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3995" windowHeight="7680" activeTab="0"/>
  </bookViews>
  <sheets>
    <sheet name="FiberglassEmissions" sheetId="1" r:id="rId1"/>
    <sheet name="Printing" sheetId="2" r:id="rId2"/>
    <sheet name="PrintingEmployment" sheetId="3" r:id="rId3"/>
  </sheets>
  <definedNames/>
  <calcPr fullCalcOnLoad="1"/>
</workbook>
</file>

<file path=xl/sharedStrings.xml><?xml version="1.0" encoding="utf-8"?>
<sst xmlns="http://schemas.openxmlformats.org/spreadsheetml/2006/main" count="186" uniqueCount="159">
  <si>
    <t>336 Transportation equipment mfg</t>
  </si>
  <si>
    <t>Number of Employees for week including March 12, 2000</t>
  </si>
  <si>
    <t>California</t>
  </si>
  <si>
    <t>US</t>
  </si>
  <si>
    <t>3361 Motor vehicle mfg</t>
  </si>
  <si>
    <t>233 Building developing &amp; general contracting</t>
  </si>
  <si>
    <t>33593 Wiring device mfg</t>
  </si>
  <si>
    <t>3352 Household appliance mfg</t>
  </si>
  <si>
    <t>336612 Boat building</t>
  </si>
  <si>
    <t>3364 Aerospace product &amp; parts mfg</t>
  </si>
  <si>
    <t>3363 Motor vehicle parts mfg</t>
  </si>
  <si>
    <t>3362 Motor vehicle body &amp; trailer mfg</t>
  </si>
  <si>
    <t>326191 Plastics plumbing fixture mfg</t>
  </si>
  <si>
    <t>326199 All other plastics product mfg</t>
  </si>
  <si>
    <t>auto, truck, RV</t>
  </si>
  <si>
    <t>marine</t>
  </si>
  <si>
    <t>electrical</t>
  </si>
  <si>
    <t>corrosion-resistent products</t>
  </si>
  <si>
    <t>consumer products</t>
  </si>
  <si>
    <t>33992 Sporting &amp; athletic goods mfg</t>
  </si>
  <si>
    <t>construction products (bathtubs, countertops, etc.)</t>
  </si>
  <si>
    <t>appliances</t>
  </si>
  <si>
    <t>aircraft</t>
  </si>
  <si>
    <t>other</t>
  </si>
  <si>
    <t>end use % of US production</t>
  </si>
  <si>
    <t>CA % of US production</t>
  </si>
  <si>
    <t>CCOS % of CA</t>
  </si>
  <si>
    <t>CA production (tons)</t>
  </si>
  <si>
    <t>CCOS % of CA production</t>
  </si>
  <si>
    <t>CCOS production (tons)</t>
  </si>
  <si>
    <t>closed mold</t>
  </si>
  <si>
    <t>pultrusion</t>
  </si>
  <si>
    <t>open mold</t>
  </si>
  <si>
    <t>process % of US production</t>
  </si>
  <si>
    <t>County</t>
  </si>
  <si>
    <t>Amador</t>
  </si>
  <si>
    <t>Butte</t>
  </si>
  <si>
    <t>Calaveras</t>
  </si>
  <si>
    <t>Colusa</t>
  </si>
  <si>
    <t>El Dorado</t>
  </si>
  <si>
    <t>Glenn</t>
  </si>
  <si>
    <t>Mariposa</t>
  </si>
  <si>
    <t>Mendocino</t>
  </si>
  <si>
    <t>Nevada</t>
  </si>
  <si>
    <t>Placer</t>
  </si>
  <si>
    <t>Plumas</t>
  </si>
  <si>
    <t>Sacramento</t>
  </si>
  <si>
    <t>Shasta</t>
  </si>
  <si>
    <t>Sierra</t>
  </si>
  <si>
    <t>Solano</t>
  </si>
  <si>
    <t>Sutter</t>
  </si>
  <si>
    <t>Tehama</t>
  </si>
  <si>
    <t>Tuolumne</t>
  </si>
  <si>
    <t>Yolo</t>
  </si>
  <si>
    <t>Yuba</t>
  </si>
  <si>
    <t>Co % of CCOS</t>
  </si>
  <si>
    <t>filament wind</t>
  </si>
  <si>
    <t>% styrene</t>
  </si>
  <si>
    <t>CCOS Emissions (tons)</t>
  </si>
  <si>
    <t>CFA EF (%)</t>
  </si>
  <si>
    <t>UEFs (lb/ton)</t>
  </si>
  <si>
    <t>CA % of US</t>
  </si>
  <si>
    <t xml:space="preserve">  3361, 3362, and 3362 combined</t>
  </si>
  <si>
    <t>year-2000 US production (billion pounds)</t>
  </si>
  <si>
    <t>CCOSII Production (tons)</t>
  </si>
  <si>
    <t>Printing Process</t>
  </si>
  <si>
    <t>Emission Factor</t>
  </si>
  <si>
    <t>(lb VOC/lb ink)</t>
  </si>
  <si>
    <t>US Ink Consumption</t>
  </si>
  <si>
    <t>(million lb)</t>
  </si>
  <si>
    <t>Emissions</t>
  </si>
  <si>
    <t>(tons VOC)</t>
  </si>
  <si>
    <t>Rotogravure</t>
  </si>
  <si>
    <t>Flexography</t>
  </si>
  <si>
    <t>Heatset</t>
  </si>
  <si>
    <t>Nonheatset Web</t>
  </si>
  <si>
    <t>Nonheatset Sheet</t>
  </si>
  <si>
    <t>Newspaper</t>
  </si>
  <si>
    <t>Letterpress</t>
  </si>
  <si>
    <t>Screen</t>
  </si>
  <si>
    <t>Unavailable</t>
  </si>
  <si>
    <t>Other</t>
  </si>
  <si>
    <t>hi</t>
  </si>
  <si>
    <t>lo</t>
  </si>
  <si>
    <t>2000 County Business Patterns</t>
  </si>
  <si>
    <t>Comparision</t>
  </si>
  <si>
    <t>32311 Printing</t>
  </si>
  <si>
    <t>Code</t>
  </si>
  <si>
    <t>Area Name</t>
  </si>
  <si>
    <t>Number of Employees for week including March 12</t>
  </si>
  <si>
    <t>1st Quarter</t>
  </si>
  <si>
    <t>Annual</t>
  </si>
  <si>
    <t>Total Establishments</t>
  </si>
  <si>
    <t>'1-4'</t>
  </si>
  <si>
    <t>'5-9'</t>
  </si>
  <si>
    <t>'10-19'</t>
  </si>
  <si>
    <t>'20-49'</t>
  </si>
  <si>
    <t>'50-99'</t>
  </si>
  <si>
    <t>'100-249'</t>
  </si>
  <si>
    <t>'250-499'</t>
  </si>
  <si>
    <t>'500-999'</t>
  </si>
  <si>
    <t>'1000 or more'</t>
  </si>
  <si>
    <t>Source:U.S. Census Bureau</t>
  </si>
  <si>
    <t>newspaper</t>
  </si>
  <si>
    <t>magazine</t>
  </si>
  <si>
    <t>Offset Lithography (weighted)</t>
  </si>
  <si>
    <t>uncontrolled emis</t>
  </si>
  <si>
    <t>Alameda</t>
  </si>
  <si>
    <t>Contra Costa</t>
  </si>
  <si>
    <t>Del Norte</t>
  </si>
  <si>
    <t>Fresno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</si>
  <si>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</si>
  <si>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</si>
  <si>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</si>
  <si>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</si>
  <si>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</si>
  <si>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</si>
  <si>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</si>
  <si>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</si>
  <si>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</si>
  <si>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</si>
  <si>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Merced</t>
  </si>
  <si>
    <t>Monterey</t>
  </si>
  <si>
    <t>Napa</t>
  </si>
  <si>
    <t>Orange</t>
  </si>
  <si>
    <t>Riverside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</si>
  <si>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</si>
  <si>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</si>
  <si>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</si>
  <si>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</si>
  <si>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</si>
  <si>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</si>
  <si>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</si>
  <si>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</si>
  <si>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</si>
  <si>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</si>
  <si>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Siskiyou</t>
  </si>
  <si>
    <t>Sonoma</t>
  </si>
  <si>
    <t>Stanislaus</t>
  </si>
  <si>
    <t>Tulare</t>
  </si>
  <si>
    <t>Ventura</t>
  </si>
  <si>
    <t>controlled emis</t>
  </si>
  <si>
    <t>products</t>
  </si>
  <si>
    <t>shipments ($1000)</t>
  </si>
  <si>
    <t>ratio</t>
  </si>
  <si>
    <t>2000 % CA of US employment</t>
  </si>
  <si>
    <t>2000 CA emissions (tons)</t>
  </si>
  <si>
    <t>Total (hi)</t>
  </si>
  <si>
    <t>Total (lo)</t>
  </si>
  <si>
    <t>Total (mid)</t>
  </si>
  <si>
    <t>Growth 2000 US:1998 US employment</t>
  </si>
  <si>
    <t>This spreadsheet calculates and disaggregates emissions from fiberglass manufacturing.</t>
  </si>
  <si>
    <t>This spreadsheet calculates emissions from printing.</t>
  </si>
  <si>
    <t>Control factor</t>
  </si>
  <si>
    <t>This spreadsheet applies control factors and disaggregates emissions from printing</t>
  </si>
  <si>
    <t>% of total emissions</t>
  </si>
  <si>
    <t>ink consumption (lb)</t>
  </si>
  <si>
    <t>County Emissions (CFA, tons)</t>
  </si>
  <si>
    <t>CountyProduction (tons)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</si>
</sst>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  <numFmt numFmtId="174" formatCode="_(* #,##0.000_);_(* \(#,##0.000\);_(* &quot;-&quot;???_);_(@_)"/>
    <numFmt numFmtId="175" formatCode="0.0000"/>
    <numFmt numFmtId="176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165" fontId="0" fillId="0" borderId="0" xfId="15" applyNumberFormat="1" applyAlignment="1">
      <alignment/>
    </xf>
    <xf numFmtId="9" fontId="0" fillId="0" borderId="0" xfId="22" applyAlignment="1">
      <alignment/>
    </xf>
    <xf numFmtId="166" fontId="0" fillId="0" borderId="0" xfId="22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22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2" fillId="0" borderId="2" xfId="22" applyNumberFormat="1" applyFont="1" applyFill="1" applyBorder="1" applyAlignment="1">
      <alignment horizontal="right" wrapText="1"/>
    </xf>
    <xf numFmtId="166" fontId="0" fillId="0" borderId="0" xfId="22" applyNumberFormat="1" applyFill="1" applyAlignment="1">
      <alignment/>
    </xf>
    <xf numFmtId="165" fontId="0" fillId="0" borderId="0" xfId="0" applyNumberFormat="1" applyAlignment="1" quotePrefix="1">
      <alignment/>
    </xf>
    <xf numFmtId="166" fontId="2" fillId="2" borderId="1" xfId="22" applyNumberFormat="1" applyFont="1" applyFill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73" fontId="0" fillId="0" borderId="0" xfId="22" applyNumberFormat="1" applyAlignment="1">
      <alignment/>
    </xf>
    <xf numFmtId="165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0" fontId="0" fillId="0" borderId="0" xfId="22" applyNumberFormat="1" applyAlignment="1">
      <alignment/>
    </xf>
    <xf numFmtId="173" fontId="0" fillId="0" borderId="0" xfId="0" applyNumberFormat="1" applyAlignment="1">
      <alignment/>
    </xf>
    <xf numFmtId="3" fontId="0" fillId="0" borderId="0" xfId="22" applyNumberFormat="1" applyAlignment="1">
      <alignment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3" max="3" width="12.8515625" style="0" bestFit="1" customWidth="1"/>
    <col min="4" max="5" width="12.8515625" style="0" customWidth="1"/>
    <col min="7" max="7" width="15.140625" style="0" bestFit="1" customWidth="1"/>
    <col min="10" max="10" width="9.28125" style="0" bestFit="1" customWidth="1"/>
  </cols>
  <sheetData>
    <row r="1" ht="12.75">
      <c r="A1" t="s">
        <v>151</v>
      </c>
    </row>
    <row r="2" ht="12.75">
      <c r="B2" t="s">
        <v>1</v>
      </c>
    </row>
    <row r="3" spans="2:5" ht="12.75">
      <c r="B3" t="s">
        <v>2</v>
      </c>
      <c r="C3" t="s">
        <v>3</v>
      </c>
      <c r="D3" t="s">
        <v>61</v>
      </c>
      <c r="E3" t="s">
        <v>26</v>
      </c>
    </row>
    <row r="4" spans="1:5" ht="12.75">
      <c r="A4" t="s">
        <v>5</v>
      </c>
      <c r="B4">
        <v>181703</v>
      </c>
      <c r="C4" s="3">
        <v>1604913</v>
      </c>
      <c r="D4" s="5">
        <f>B4/C4</f>
        <v>0.11321672888187709</v>
      </c>
      <c r="E4" s="5">
        <v>0.0988188793842873</v>
      </c>
    </row>
    <row r="5" spans="1:5" ht="12.75">
      <c r="A5" t="s">
        <v>7</v>
      </c>
      <c r="B5">
        <v>2548</v>
      </c>
      <c r="C5" s="3">
        <v>115269</v>
      </c>
      <c r="D5" s="5">
        <f aca="true" t="shared" si="0" ref="D5:D16">B5/C5</f>
        <v>0.02210481569199004</v>
      </c>
      <c r="E5" s="5">
        <v>0.00411334552102377</v>
      </c>
    </row>
    <row r="6" spans="1:5" ht="12.75">
      <c r="A6" t="s">
        <v>6</v>
      </c>
      <c r="B6">
        <v>4508</v>
      </c>
      <c r="C6" s="3">
        <v>68914.5</v>
      </c>
      <c r="D6" s="5">
        <f t="shared" si="0"/>
        <v>0.06541439029522089</v>
      </c>
      <c r="E6" s="5">
        <v>0.0409356725146199</v>
      </c>
    </row>
    <row r="7" spans="1:5" ht="12.75">
      <c r="A7" t="s">
        <v>0</v>
      </c>
      <c r="B7">
        <v>156803</v>
      </c>
      <c r="C7" s="3">
        <v>1874384</v>
      </c>
      <c r="D7" s="5">
        <f t="shared" si="0"/>
        <v>0.08365575036918796</v>
      </c>
      <c r="E7" s="5">
        <v>0.0287365416512815</v>
      </c>
    </row>
    <row r="8" spans="1:5" ht="12.75">
      <c r="A8" t="s">
        <v>4</v>
      </c>
      <c r="B8">
        <v>7500</v>
      </c>
      <c r="C8" s="3">
        <v>242571</v>
      </c>
      <c r="D8" s="5">
        <f t="shared" si="0"/>
        <v>0.030918782542018627</v>
      </c>
      <c r="E8" s="5">
        <v>0.0087463556851312</v>
      </c>
    </row>
    <row r="9" spans="1:5" ht="12.75">
      <c r="A9" t="s">
        <v>11</v>
      </c>
      <c r="B9">
        <v>12668</v>
      </c>
      <c r="C9" s="3">
        <v>151681.5</v>
      </c>
      <c r="D9" s="5">
        <f t="shared" si="0"/>
        <v>0.08351710656869822</v>
      </c>
      <c r="E9" s="5">
        <v>0.0547259151338554</v>
      </c>
    </row>
    <row r="10" spans="1:5" ht="12.75">
      <c r="A10" t="s">
        <v>10</v>
      </c>
      <c r="B10">
        <v>32389</v>
      </c>
      <c r="C10" s="3">
        <v>814614</v>
      </c>
      <c r="D10" s="5">
        <f t="shared" si="0"/>
        <v>0.03975993538043785</v>
      </c>
      <c r="E10" s="5">
        <v>0.0174920969441517</v>
      </c>
    </row>
    <row r="11" spans="1:5" ht="12.75">
      <c r="A11" t="s">
        <v>62</v>
      </c>
      <c r="B11">
        <f>SUM(B8:B10)</f>
        <v>52557</v>
      </c>
      <c r="C11">
        <f>SUM(C8:C10)</f>
        <v>1208866.5</v>
      </c>
      <c r="D11" s="5">
        <f t="shared" si="0"/>
        <v>0.04347626474883703</v>
      </c>
      <c r="E11" s="5">
        <f>AVERAGE(E8:E10)</f>
        <v>0.026988122587712767</v>
      </c>
    </row>
    <row r="12" spans="1:5" ht="12.75">
      <c r="A12" t="s">
        <v>9</v>
      </c>
      <c r="B12">
        <v>87475</v>
      </c>
      <c r="C12" s="3">
        <v>449242</v>
      </c>
      <c r="D12" s="5">
        <f t="shared" si="0"/>
        <v>0.19471687865337614</v>
      </c>
      <c r="E12" s="5">
        <v>0.00996159996740581</v>
      </c>
    </row>
    <row r="13" spans="1:5" ht="12.75">
      <c r="A13" t="s">
        <v>8</v>
      </c>
      <c r="B13">
        <v>2405</v>
      </c>
      <c r="C13" s="3">
        <v>56458</v>
      </c>
      <c r="D13" s="5">
        <f t="shared" si="0"/>
        <v>0.04259803747918807</v>
      </c>
      <c r="E13" s="5">
        <v>0.0476190476190476</v>
      </c>
    </row>
    <row r="14" spans="1:5" ht="12.75">
      <c r="A14" t="s">
        <v>12</v>
      </c>
      <c r="B14">
        <v>5209</v>
      </c>
      <c r="C14">
        <v>23398.5</v>
      </c>
      <c r="D14" s="5">
        <f t="shared" si="0"/>
        <v>0.22262110819069597</v>
      </c>
      <c r="E14" s="5">
        <v>0.0366598778004073</v>
      </c>
    </row>
    <row r="15" spans="1:5" ht="12.75">
      <c r="A15" t="s">
        <v>13</v>
      </c>
      <c r="B15">
        <v>49168</v>
      </c>
      <c r="C15">
        <v>551152</v>
      </c>
      <c r="D15" s="5">
        <f t="shared" si="0"/>
        <v>0.08920951026214184</v>
      </c>
      <c r="E15" s="5">
        <v>0.0289686619875721</v>
      </c>
    </row>
    <row r="16" spans="1:5" ht="12.75">
      <c r="A16" t="s">
        <v>19</v>
      </c>
      <c r="B16">
        <v>12995</v>
      </c>
      <c r="C16">
        <v>68463</v>
      </c>
      <c r="D16" s="8">
        <f t="shared" si="0"/>
        <v>0.18981055460613763</v>
      </c>
      <c r="E16" s="5">
        <v>0.0374098438614568</v>
      </c>
    </row>
    <row r="18" spans="1:2" ht="12.75">
      <c r="A18" t="s">
        <v>63</v>
      </c>
      <c r="B18">
        <v>3.9</v>
      </c>
    </row>
    <row r="20" spans="2:6" ht="12.75">
      <c r="B20" t="s">
        <v>24</v>
      </c>
      <c r="C20" t="s">
        <v>25</v>
      </c>
      <c r="D20" t="s">
        <v>27</v>
      </c>
      <c r="E20" t="s">
        <v>28</v>
      </c>
      <c r="F20" t="s">
        <v>29</v>
      </c>
    </row>
    <row r="21" spans="1:8" ht="12.75">
      <c r="A21" t="s">
        <v>14</v>
      </c>
      <c r="B21" s="4">
        <v>0.33</v>
      </c>
      <c r="C21" s="9">
        <f>D11</f>
        <v>0.04347626474883703</v>
      </c>
      <c r="D21" s="3">
        <f aca="true" t="shared" si="1" ref="D21:D29">$B$18*B21*C21*1000000000/2000</f>
        <v>27976.976365876628</v>
      </c>
      <c r="E21" s="9">
        <f>E11</f>
        <v>0.026988122587712767</v>
      </c>
      <c r="F21" s="10">
        <f>D21*E21</f>
        <v>755.0460677958213</v>
      </c>
      <c r="H21" s="11"/>
    </row>
    <row r="22" spans="1:8" ht="12.75">
      <c r="A22" t="s">
        <v>15</v>
      </c>
      <c r="B22" s="4">
        <v>0.11</v>
      </c>
      <c r="C22" s="9">
        <f>D13</f>
        <v>0.04259803747918807</v>
      </c>
      <c r="D22" s="3">
        <f t="shared" si="1"/>
        <v>9137.27903928584</v>
      </c>
      <c r="E22" s="9">
        <f>E13</f>
        <v>0.0476190476190476</v>
      </c>
      <c r="F22" s="10">
        <f aca="true" t="shared" si="2" ref="F22:F29">D22*E22</f>
        <v>435.108525680278</v>
      </c>
      <c r="H22" s="11"/>
    </row>
    <row r="23" spans="1:8" ht="12.75">
      <c r="A23" t="s">
        <v>16</v>
      </c>
      <c r="B23" s="4">
        <v>0.1</v>
      </c>
      <c r="C23" s="9">
        <f>D6</f>
        <v>0.06541439029522089</v>
      </c>
      <c r="D23" s="3">
        <f t="shared" si="1"/>
        <v>12755.806107568074</v>
      </c>
      <c r="E23" s="9">
        <f>E6</f>
        <v>0.0409356725146199</v>
      </c>
      <c r="F23" s="10">
        <f t="shared" si="2"/>
        <v>522.1675014793951</v>
      </c>
      <c r="H23" s="11"/>
    </row>
    <row r="24" spans="1:8" ht="12.75">
      <c r="A24" t="s">
        <v>17</v>
      </c>
      <c r="B24" s="4">
        <v>0.12</v>
      </c>
      <c r="C24" s="9">
        <f>D15</f>
        <v>0.08920951026214184</v>
      </c>
      <c r="D24" s="3">
        <f t="shared" si="1"/>
        <v>20875.025401341194</v>
      </c>
      <c r="E24" s="9">
        <f>E15</f>
        <v>0.0289686619875721</v>
      </c>
      <c r="F24" s="10">
        <f t="shared" si="2"/>
        <v>604.7215548334347</v>
      </c>
      <c r="H24" s="11"/>
    </row>
    <row r="25" spans="1:6" ht="12.75">
      <c r="A25" t="s">
        <v>18</v>
      </c>
      <c r="B25" s="4">
        <v>0.06</v>
      </c>
      <c r="C25" s="9">
        <f>D16</f>
        <v>0.18981055460613763</v>
      </c>
      <c r="D25" s="3">
        <f t="shared" si="1"/>
        <v>22207.834888918103</v>
      </c>
      <c r="E25" s="9">
        <f>E16</f>
        <v>0.0374098438614568</v>
      </c>
      <c r="F25" s="10">
        <f t="shared" si="2"/>
        <v>830.791635695439</v>
      </c>
    </row>
    <row r="26" spans="1:8" ht="12.75">
      <c r="A26" t="s">
        <v>20</v>
      </c>
      <c r="B26" s="4">
        <v>0.19</v>
      </c>
      <c r="C26" s="9">
        <f>D14</f>
        <v>0.22262110819069597</v>
      </c>
      <c r="D26" s="3">
        <f t="shared" si="1"/>
        <v>82481.12058465286</v>
      </c>
      <c r="E26" s="9">
        <f>E14</f>
        <v>0.0366598778004073</v>
      </c>
      <c r="F26" s="10">
        <f t="shared" si="2"/>
        <v>3023.747801474033</v>
      </c>
      <c r="H26" s="11"/>
    </row>
    <row r="27" spans="1:6" ht="12.75">
      <c r="A27" t="s">
        <v>21</v>
      </c>
      <c r="B27" s="4">
        <v>0.05</v>
      </c>
      <c r="C27" s="9">
        <f>D5</f>
        <v>0.02210481569199004</v>
      </c>
      <c r="D27" s="3">
        <f t="shared" si="1"/>
        <v>2155.2195299690293</v>
      </c>
      <c r="E27" s="9">
        <f>E5</f>
        <v>0.00411334552102377</v>
      </c>
      <c r="F27" s="10">
        <f t="shared" si="2"/>
        <v>8.865162600421062</v>
      </c>
    </row>
    <row r="28" spans="1:6" ht="12.75">
      <c r="A28" t="s">
        <v>22</v>
      </c>
      <c r="B28" s="4">
        <v>0.01</v>
      </c>
      <c r="C28" s="9">
        <f>D12</f>
        <v>0.19471687865337614</v>
      </c>
      <c r="D28" s="3">
        <f t="shared" si="1"/>
        <v>3796.9791337408346</v>
      </c>
      <c r="E28" s="9">
        <f>E12</f>
        <v>0.00996159996740581</v>
      </c>
      <c r="F28" s="10">
        <f t="shared" si="2"/>
        <v>37.82398721491324</v>
      </c>
    </row>
    <row r="29" spans="1:6" ht="12.75">
      <c r="A29" t="s">
        <v>23</v>
      </c>
      <c r="B29" s="4">
        <v>0.03</v>
      </c>
      <c r="C29" s="9">
        <f>D15</f>
        <v>0.08920951026214184</v>
      </c>
      <c r="D29" s="3">
        <f t="shared" si="1"/>
        <v>5218.7563503352985</v>
      </c>
      <c r="E29" s="9">
        <f>E15</f>
        <v>0.0289686619875721</v>
      </c>
      <c r="F29" s="10">
        <f t="shared" si="2"/>
        <v>151.18038870835866</v>
      </c>
    </row>
    <row r="30" spans="4:6" ht="12.75">
      <c r="D30" s="10">
        <f>SUM(D21:D29)</f>
        <v>186604.99740168787</v>
      </c>
      <c r="F30" s="10">
        <f>SUM(F21:F29)</f>
        <v>6369.452625482094</v>
      </c>
    </row>
    <row r="32" spans="2:8" ht="12.75">
      <c r="B32" t="s">
        <v>33</v>
      </c>
      <c r="C32" t="s">
        <v>57</v>
      </c>
      <c r="D32" t="s">
        <v>64</v>
      </c>
      <c r="E32" t="s">
        <v>59</v>
      </c>
      <c r="F32" t="s">
        <v>58</v>
      </c>
      <c r="G32" t="s">
        <v>60</v>
      </c>
      <c r="H32" t="s">
        <v>58</v>
      </c>
    </row>
    <row r="33" spans="1:8" ht="12.75">
      <c r="A33" t="s">
        <v>32</v>
      </c>
      <c r="B33" s="4">
        <v>0.47</v>
      </c>
      <c r="C33" s="4">
        <v>0.43</v>
      </c>
      <c r="D33" s="14">
        <f>$F$30*B33</f>
        <v>2993.642733976584</v>
      </c>
      <c r="E33" s="13">
        <f>0.00714*C33*100-0.18</f>
        <v>0.12702000000000002</v>
      </c>
      <c r="F33" s="7">
        <f>$F$30*B33*E33</f>
        <v>380.2525000697058</v>
      </c>
      <c r="G33">
        <v>254</v>
      </c>
      <c r="H33" s="7">
        <f>$F$30*B33*G33/2000</f>
        <v>380.19262721502616</v>
      </c>
    </row>
    <row r="34" spans="1:8" ht="12.75">
      <c r="A34" t="s">
        <v>30</v>
      </c>
      <c r="B34" s="4">
        <f>0.13+0.18</f>
        <v>0.31</v>
      </c>
      <c r="C34" s="4">
        <v>0.35</v>
      </c>
      <c r="D34" s="14">
        <f>$F$30*B34</f>
        <v>1974.530313899449</v>
      </c>
      <c r="E34" s="5">
        <f>E33*0.15</f>
        <v>0.019053000000000004</v>
      </c>
      <c r="F34" s="7">
        <f>$F$30*B34*E34</f>
        <v>37.620726070726214</v>
      </c>
      <c r="G34">
        <f>G33*0.15</f>
        <v>38.1</v>
      </c>
      <c r="H34" s="7">
        <f>$F$30*B34*G34/2000</f>
        <v>37.61480247978451</v>
      </c>
    </row>
    <row r="35" spans="1:8" ht="12.75">
      <c r="A35" t="s">
        <v>56</v>
      </c>
      <c r="B35" s="4">
        <v>0.12</v>
      </c>
      <c r="C35" s="4">
        <v>0.4</v>
      </c>
      <c r="D35" s="14">
        <f>$F$30*B35</f>
        <v>764.3343150578512</v>
      </c>
      <c r="E35" s="5">
        <f>0.002746*C35*100-0.0298</f>
        <v>0.08004</v>
      </c>
      <c r="F35" s="7">
        <f>$F$30*B35*E35</f>
        <v>61.17731857723041</v>
      </c>
      <c r="G35">
        <v>160</v>
      </c>
      <c r="H35" s="7">
        <f>$F$30*B35*G35/2000</f>
        <v>61.1467452046281</v>
      </c>
    </row>
    <row r="36" spans="1:8" ht="12.75">
      <c r="A36" t="s">
        <v>31</v>
      </c>
      <c r="B36" s="4">
        <v>0.05</v>
      </c>
      <c r="C36" s="4">
        <v>0.4</v>
      </c>
      <c r="D36" s="14">
        <f>$F$30*B36</f>
        <v>318.47263127410474</v>
      </c>
      <c r="E36" s="5">
        <f>0.002746*C36*100-0.0298</f>
        <v>0.08004</v>
      </c>
      <c r="F36" s="7">
        <f>$F$30*B36*E36</f>
        <v>25.490549407179344</v>
      </c>
      <c r="G36">
        <f>G35</f>
        <v>160</v>
      </c>
      <c r="H36" s="7">
        <f>$F$30*B36*G36/2000</f>
        <v>25.477810501928378</v>
      </c>
    </row>
    <row r="37" spans="1:8" ht="12.75">
      <c r="A37" t="s">
        <v>23</v>
      </c>
      <c r="B37" s="4">
        <v>0.05</v>
      </c>
      <c r="C37" s="4">
        <v>0.4</v>
      </c>
      <c r="D37" s="14">
        <f>$F$30*B37</f>
        <v>318.47263127410474</v>
      </c>
      <c r="E37" s="5">
        <f>E33</f>
        <v>0.12702000000000002</v>
      </c>
      <c r="F37" s="7">
        <f>$F$30*B37*E37</f>
        <v>40.452393624436795</v>
      </c>
      <c r="G37">
        <f>G33</f>
        <v>254</v>
      </c>
      <c r="H37" s="7">
        <f>$F$30*B37*G37/2000</f>
        <v>40.4460241718113</v>
      </c>
    </row>
    <row r="38" spans="4:8" ht="12.75">
      <c r="D38" s="6">
        <f>SUM(D33:D37)</f>
        <v>6369.452625482094</v>
      </c>
      <c r="F38" s="6">
        <f>SUM(F33:F37)</f>
        <v>544.9934877492785</v>
      </c>
      <c r="G38" s="25">
        <f>H38*2000/D38</f>
        <v>171.09099999999998</v>
      </c>
      <c r="H38" s="6">
        <f>SUM(H33:H37)</f>
        <v>544.8780095731784</v>
      </c>
    </row>
    <row r="39" ht="19.5" customHeight="1"/>
    <row r="40" spans="1:4" ht="12.75">
      <c r="A40" s="1" t="s">
        <v>34</v>
      </c>
      <c r="B40" s="15" t="s">
        <v>55</v>
      </c>
      <c r="C40" t="s">
        <v>157</v>
      </c>
      <c r="D40" t="s">
        <v>158</v>
      </c>
    </row>
    <row r="41" spans="1:4" ht="12.75">
      <c r="A41" s="2" t="s">
        <v>35</v>
      </c>
      <c r="B41" s="12">
        <v>0.0032401936492204475</v>
      </c>
      <c r="C41" s="10">
        <f aca="true" t="shared" si="3" ref="C41:C60">$F$38*B41</f>
        <v>1.765884437871714</v>
      </c>
      <c r="D41" s="16">
        <f>B41*$D$38</f>
        <v>20.638259946097588</v>
      </c>
    </row>
    <row r="42" spans="1:4" ht="12.75">
      <c r="A42" s="2" t="s">
        <v>36</v>
      </c>
      <c r="B42" s="12">
        <v>0.08416879502916175</v>
      </c>
      <c r="C42" s="10">
        <f t="shared" si="3"/>
        <v>45.871445162597</v>
      </c>
      <c r="D42" s="16">
        <f aca="true" t="shared" si="4" ref="D42:D60">B42*$D$38</f>
        <v>536.1091524821585</v>
      </c>
    </row>
    <row r="43" spans="1:4" ht="12.75">
      <c r="A43" s="2" t="s">
        <v>37</v>
      </c>
      <c r="B43" s="12">
        <v>0.012350855792322648</v>
      </c>
      <c r="C43" s="10">
        <f t="shared" si="3"/>
        <v>6.731135974946299</v>
      </c>
      <c r="D43" s="16">
        <f t="shared" si="4"/>
        <v>78.66819085336022</v>
      </c>
    </row>
    <row r="44" spans="1:4" ht="12.75">
      <c r="A44" s="2" t="s">
        <v>38</v>
      </c>
      <c r="B44" s="12">
        <v>0.0014866770861129111</v>
      </c>
      <c r="C44" s="10">
        <f t="shared" si="3"/>
        <v>0.8102293303176099</v>
      </c>
      <c r="D44" s="16">
        <f t="shared" si="4"/>
        <v>9.46931926938595</v>
      </c>
    </row>
    <row r="45" spans="1:4" ht="12.75">
      <c r="A45" s="2" t="s">
        <v>39</v>
      </c>
      <c r="B45" s="12">
        <v>0.053406015324209966</v>
      </c>
      <c r="C45" s="10">
        <f t="shared" si="3"/>
        <v>29.105930558332606</v>
      </c>
      <c r="D45" s="16">
        <f t="shared" si="4"/>
        <v>340.1670845233261</v>
      </c>
    </row>
    <row r="46" spans="1:4" ht="12.75">
      <c r="A46" s="2" t="s">
        <v>40</v>
      </c>
      <c r="B46" s="12">
        <v>0.002515915068806465</v>
      </c>
      <c r="C46" s="10">
        <f t="shared" si="3"/>
        <v>1.3711573282298013</v>
      </c>
      <c r="D46" s="16">
        <f t="shared" si="4"/>
        <v>16.0250018404993</v>
      </c>
    </row>
    <row r="47" spans="1:4" ht="12.75">
      <c r="A47" s="2" t="s">
        <v>41</v>
      </c>
      <c r="B47" s="12">
        <v>0.0014866770861129111</v>
      </c>
      <c r="C47" s="10">
        <f t="shared" si="3"/>
        <v>0.8102293303176099</v>
      </c>
      <c r="D47" s="16">
        <f t="shared" si="4"/>
        <v>9.46931926938595</v>
      </c>
    </row>
    <row r="48" spans="1:4" ht="12.75">
      <c r="A48" s="2" t="s">
        <v>42</v>
      </c>
      <c r="B48" s="12">
        <v>0.024472992032935615</v>
      </c>
      <c r="C48" s="10">
        <f t="shared" si="3"/>
        <v>13.337621283689888</v>
      </c>
      <c r="D48" s="16">
        <f t="shared" si="4"/>
        <v>155.87956335758412</v>
      </c>
    </row>
    <row r="49" spans="1:4" ht="12.75">
      <c r="A49" s="2" t="s">
        <v>43</v>
      </c>
      <c r="B49" s="12">
        <v>0.036671368124118475</v>
      </c>
      <c r="C49" s="10">
        <f t="shared" si="3"/>
        <v>19.985656814501045</v>
      </c>
      <c r="D49" s="16">
        <f t="shared" si="4"/>
        <v>233.57654197818678</v>
      </c>
    </row>
    <row r="50" spans="1:4" ht="12.75">
      <c r="A50" s="2" t="s">
        <v>44</v>
      </c>
      <c r="B50" s="12">
        <v>0.12042084397514581</v>
      </c>
      <c r="C50" s="10">
        <f t="shared" si="3"/>
        <v>65.62857575572642</v>
      </c>
      <c r="D50" s="16">
        <f t="shared" si="4"/>
        <v>767.0148608202621</v>
      </c>
    </row>
    <row r="51" spans="1:4" ht="12.75">
      <c r="A51" s="2" t="s">
        <v>45</v>
      </c>
      <c r="B51" s="12">
        <v>0.005108069988182824</v>
      </c>
      <c r="C51" s="10">
        <f t="shared" si="3"/>
        <v>2.783864878527173</v>
      </c>
      <c r="D51" s="16">
        <f t="shared" si="4"/>
        <v>32.535609797377376</v>
      </c>
    </row>
    <row r="52" spans="1:4" ht="12.75">
      <c r="A52" s="2" t="s">
        <v>46</v>
      </c>
      <c r="B52" s="12">
        <v>0.4223306522319216</v>
      </c>
      <c r="C52" s="10">
        <f t="shared" si="3"/>
        <v>230.1674551433026</v>
      </c>
      <c r="D52" s="16">
        <f t="shared" si="4"/>
        <v>2690.0150816801784</v>
      </c>
    </row>
    <row r="53" spans="1:4" ht="12.75">
      <c r="A53" s="2" t="s">
        <v>47</v>
      </c>
      <c r="B53" s="12">
        <v>0.03190637746350017</v>
      </c>
      <c r="C53" s="10">
        <f t="shared" si="3"/>
        <v>17.388767935277937</v>
      </c>
      <c r="D53" s="16">
        <f t="shared" si="4"/>
        <v>203.22615970451386</v>
      </c>
    </row>
    <row r="54" spans="1:4" ht="12.75">
      <c r="A54" s="2" t="s">
        <v>48</v>
      </c>
      <c r="B54" s="12">
        <v>0.000343079327564518</v>
      </c>
      <c r="C54" s="10">
        <f t="shared" si="3"/>
        <v>0.18697599930406383</v>
      </c>
      <c r="D54" s="16">
        <f t="shared" si="4"/>
        <v>2.1852275237044503</v>
      </c>
    </row>
    <row r="55" spans="1:4" ht="12.75">
      <c r="A55" s="2" t="s">
        <v>49</v>
      </c>
      <c r="B55" s="12">
        <v>0.09892120611443601</v>
      </c>
      <c r="C55" s="10">
        <f t="shared" si="3"/>
        <v>53.91141313267174</v>
      </c>
      <c r="D55" s="16">
        <f t="shared" si="4"/>
        <v>630.0739360014499</v>
      </c>
    </row>
    <row r="56" spans="1:4" ht="12.75">
      <c r="A56" s="2" t="s">
        <v>50</v>
      </c>
      <c r="B56" s="12">
        <v>0.013646933252010825</v>
      </c>
      <c r="C56" s="10">
        <f t="shared" si="3"/>
        <v>7.437489750094984</v>
      </c>
      <c r="D56" s="16">
        <f t="shared" si="4"/>
        <v>86.92349483179925</v>
      </c>
    </row>
    <row r="57" spans="1:4" ht="12.75">
      <c r="A57" s="2" t="s">
        <v>51</v>
      </c>
      <c r="B57" s="12">
        <v>0.0037357526779247512</v>
      </c>
      <c r="C57" s="10">
        <f t="shared" si="3"/>
        <v>2.0359608813109173</v>
      </c>
      <c r="D57" s="16">
        <f t="shared" si="4"/>
        <v>23.79469970255957</v>
      </c>
    </row>
    <row r="58" spans="1:4" ht="12.75">
      <c r="A58" s="2" t="s">
        <v>52</v>
      </c>
      <c r="B58" s="12">
        <v>0.018564403613768918</v>
      </c>
      <c r="C58" s="10">
        <f t="shared" si="3"/>
        <v>10.117479073453232</v>
      </c>
      <c r="D58" s="16">
        <f t="shared" si="4"/>
        <v>118.2450893382297</v>
      </c>
    </row>
    <row r="59" spans="1:4" ht="12.75">
      <c r="A59" s="2" t="s">
        <v>53</v>
      </c>
      <c r="B59" s="12">
        <v>0.061563679335188505</v>
      </c>
      <c r="C59" s="10">
        <f t="shared" si="3"/>
        <v>33.55180431956257</v>
      </c>
      <c r="D59" s="16">
        <f t="shared" si="4"/>
        <v>392.12693897585416</v>
      </c>
    </row>
    <row r="60" spans="1:4" ht="12.75">
      <c r="A60" s="2" t="s">
        <v>54</v>
      </c>
      <c r="B60" s="12">
        <v>0.0036595128273548584</v>
      </c>
      <c r="C60" s="10">
        <f t="shared" si="3"/>
        <v>1.9944106592433477</v>
      </c>
      <c r="D60" s="16">
        <f t="shared" si="4"/>
        <v>23.309093586180804</v>
      </c>
    </row>
    <row r="61" spans="3:4" ht="12.75">
      <c r="C61" s="10">
        <f>SUM(C41:C60)</f>
        <v>544.9934877492786</v>
      </c>
      <c r="D61" s="16">
        <f>SUM(D41:D60)</f>
        <v>6369.452625482093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14.7109375" style="0" bestFit="1" customWidth="1"/>
    <col min="3" max="3" width="18.28125" style="0" bestFit="1" customWidth="1"/>
    <col min="4" max="4" width="12.8515625" style="0" bestFit="1" customWidth="1"/>
    <col min="5" max="6" width="12.8515625" style="0" customWidth="1"/>
    <col min="8" max="8" width="15.7109375" style="0" bestFit="1" customWidth="1"/>
  </cols>
  <sheetData>
    <row r="1" ht="12.75">
      <c r="A1" t="s">
        <v>152</v>
      </c>
    </row>
    <row r="2" spans="2:6" ht="12.75">
      <c r="B2" t="s">
        <v>66</v>
      </c>
      <c r="C2" t="s">
        <v>68</v>
      </c>
      <c r="D2" t="s">
        <v>70</v>
      </c>
      <c r="F2" t="s">
        <v>155</v>
      </c>
    </row>
    <row r="3" spans="1:4" ht="12.75">
      <c r="A3" t="s">
        <v>65</v>
      </c>
      <c r="B3" t="s">
        <v>67</v>
      </c>
      <c r="C3" t="s">
        <v>69</v>
      </c>
      <c r="D3" t="s">
        <v>71</v>
      </c>
    </row>
    <row r="4" spans="1:6" ht="12.75">
      <c r="A4" t="s">
        <v>72</v>
      </c>
      <c r="B4">
        <v>0.73</v>
      </c>
      <c r="C4">
        <v>329</v>
      </c>
      <c r="D4" s="3">
        <f>C4*1000000*B4/2000</f>
        <v>120085</v>
      </c>
      <c r="E4" s="3"/>
      <c r="F4" s="22">
        <f>D4/$D$18</f>
        <v>0.29553405674821914</v>
      </c>
    </row>
    <row r="5" spans="1:6" ht="12.75">
      <c r="A5" t="s">
        <v>73</v>
      </c>
      <c r="B5">
        <v>0.64</v>
      </c>
      <c r="C5">
        <v>203</v>
      </c>
      <c r="D5" s="3">
        <f>C5*1000000*B5/2000</f>
        <v>64960</v>
      </c>
      <c r="E5" s="3"/>
      <c r="F5" s="22">
        <f>D5/$D$18</f>
        <v>0.15986919537298008</v>
      </c>
    </row>
    <row r="6" spans="1:6" ht="12.75">
      <c r="A6" t="s">
        <v>105</v>
      </c>
      <c r="B6">
        <f>B24*B10+(1-B24)*AVERAGE(B7:B9)</f>
        <v>0.38169093564863965</v>
      </c>
      <c r="C6">
        <v>1078</v>
      </c>
      <c r="D6" s="3">
        <f>C6*1000000*B6/2000</f>
        <v>205731.41431461676</v>
      </c>
      <c r="E6" s="3"/>
      <c r="F6" s="22">
        <f>D6/$D$18</f>
        <v>0.5063133569800335</v>
      </c>
    </row>
    <row r="7" spans="1:6" ht="12.75">
      <c r="A7" s="17" t="s">
        <v>74</v>
      </c>
      <c r="B7">
        <v>1.25</v>
      </c>
      <c r="D7" s="3"/>
      <c r="E7" s="3"/>
      <c r="F7" s="3"/>
    </row>
    <row r="8" spans="1:6" ht="12.75">
      <c r="A8" s="17" t="s">
        <v>75</v>
      </c>
      <c r="B8">
        <v>0.58</v>
      </c>
      <c r="D8" s="3"/>
      <c r="E8" s="3"/>
      <c r="F8" s="3"/>
    </row>
    <row r="9" spans="1:5" ht="12.75">
      <c r="A9" s="17" t="s">
        <v>76</v>
      </c>
      <c r="B9">
        <v>3.37</v>
      </c>
      <c r="D9" s="3"/>
      <c r="E9" s="3"/>
    </row>
    <row r="10" spans="1:5" ht="12.75">
      <c r="A10" s="17" t="s">
        <v>77</v>
      </c>
      <c r="B10">
        <v>0.16</v>
      </c>
      <c r="D10" s="3"/>
      <c r="E10" s="3"/>
    </row>
    <row r="11" spans="1:6" ht="12.75">
      <c r="A11" t="s">
        <v>78</v>
      </c>
      <c r="B11">
        <v>0.31</v>
      </c>
      <c r="C11">
        <v>100</v>
      </c>
      <c r="D11" s="3">
        <f>C11*1000000*B11/2000</f>
        <v>15500</v>
      </c>
      <c r="E11" s="3"/>
      <c r="F11" s="22">
        <f>D11/$D$18</f>
        <v>0.038146128822062676</v>
      </c>
    </row>
    <row r="12" spans="1:7" ht="12.75">
      <c r="A12" t="s">
        <v>79</v>
      </c>
      <c r="B12" t="s">
        <v>80</v>
      </c>
      <c r="C12">
        <v>26</v>
      </c>
      <c r="D12" s="3">
        <f>C12*MAX(B4:B11)</f>
        <v>87.62</v>
      </c>
      <c r="E12" s="20" t="s">
        <v>82</v>
      </c>
      <c r="F12" s="23">
        <f>AVERAGE(G12:G13)</f>
        <v>0.00011293715171899717</v>
      </c>
      <c r="G12" s="19">
        <f>D12/$D$18</f>
        <v>0.00021563637467026655</v>
      </c>
    </row>
    <row r="13" spans="4:7" ht="12.75">
      <c r="D13" s="3">
        <f>C12*MIN(B4:B11)</f>
        <v>4.16</v>
      </c>
      <c r="E13" s="20" t="s">
        <v>83</v>
      </c>
      <c r="G13" s="19">
        <f>D13/$D$18</f>
        <v>1.0237928767727789E-05</v>
      </c>
    </row>
    <row r="14" spans="1:7" ht="12.75">
      <c r="A14" t="s">
        <v>81</v>
      </c>
      <c r="B14" t="s">
        <v>80</v>
      </c>
      <c r="C14">
        <v>5.6</v>
      </c>
      <c r="D14" s="3">
        <f>C14*MAX(B4:B11)</f>
        <v>18.872</v>
      </c>
      <c r="E14" s="20" t="s">
        <v>82</v>
      </c>
      <c r="F14" s="23">
        <f>AVERAGE(G14:G15)</f>
        <v>2.432492498563016E-05</v>
      </c>
      <c r="G14" s="19">
        <f>D14/$D$18</f>
        <v>4.644475762128818E-05</v>
      </c>
    </row>
    <row r="15" spans="4:7" ht="12.75">
      <c r="D15" s="16">
        <f>C14*MIN(B4:B11)</f>
        <v>0.8959999999999999</v>
      </c>
      <c r="E15" s="21" t="s">
        <v>83</v>
      </c>
      <c r="G15" s="19">
        <f>D15/$D$18</f>
        <v>2.205092349972139E-06</v>
      </c>
    </row>
    <row r="16" spans="1:6" ht="12.75">
      <c r="A16" t="s">
        <v>147</v>
      </c>
      <c r="C16" s="3">
        <f>SUM(C4:C11)+C12+C14</f>
        <v>1741.6</v>
      </c>
      <c r="D16" s="3">
        <f>SUM($D$4:$D$11)+D12+D14</f>
        <v>406382.90631461673</v>
      </c>
      <c r="E16" s="20" t="s">
        <v>82</v>
      </c>
      <c r="F16" s="3"/>
    </row>
    <row r="17" spans="1:6" ht="12.75">
      <c r="A17" t="s">
        <v>148</v>
      </c>
      <c r="D17" s="3">
        <f>SUM($D$4:$D$11)+D13+D15</f>
        <v>406281.47031461674</v>
      </c>
      <c r="E17" s="20" t="s">
        <v>83</v>
      </c>
      <c r="F17" s="3"/>
    </row>
    <row r="18" spans="1:4" ht="12.75">
      <c r="A18" t="s">
        <v>149</v>
      </c>
      <c r="D18" s="6">
        <f>AVERAGE(D16:D17)</f>
        <v>406332.18831461674</v>
      </c>
    </row>
    <row r="21" spans="1:2" ht="12.75">
      <c r="A21" t="s">
        <v>142</v>
      </c>
      <c r="B21" t="s">
        <v>143</v>
      </c>
    </row>
    <row r="22" spans="1:2" ht="12.75">
      <c r="A22" s="20" t="s">
        <v>104</v>
      </c>
      <c r="B22">
        <v>5177</v>
      </c>
    </row>
    <row r="23" spans="1:2" ht="12.75">
      <c r="A23" s="20" t="s">
        <v>103</v>
      </c>
      <c r="B23">
        <v>31564</v>
      </c>
    </row>
    <row r="24" spans="1:2" ht="12.75">
      <c r="A24" t="s">
        <v>144</v>
      </c>
      <c r="B24">
        <f>B23/(B23+B22)</f>
        <v>0.8590947442911189</v>
      </c>
    </row>
    <row r="26" spans="1:2" ht="12.75">
      <c r="A26" t="s">
        <v>145</v>
      </c>
      <c r="B26">
        <f>75511/739309</f>
        <v>0.10213726601461635</v>
      </c>
    </row>
    <row r="27" spans="1:2" ht="12.75">
      <c r="A27" t="s">
        <v>146</v>
      </c>
      <c r="B27" s="7">
        <f>B26*D18</f>
        <v>41501.6588081912</v>
      </c>
    </row>
    <row r="29" spans="1:2" ht="12.75">
      <c r="A29" t="s">
        <v>150</v>
      </c>
      <c r="B29">
        <f>(405125+21757+32088+70685)/(416752+20718+30203+69409)</f>
        <v>0.986171571566353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/>
  <cols>
    <col min="2" max="2" width="18.7109375" style="0" bestFit="1" customWidth="1"/>
    <col min="7" max="7" width="11.140625" style="0" bestFit="1" customWidth="1"/>
    <col min="8" max="8" width="17.00390625" style="0" customWidth="1"/>
    <col min="9" max="9" width="12.28125" style="0" customWidth="1"/>
    <col min="10" max="10" width="8.7109375" style="10" customWidth="1"/>
  </cols>
  <sheetData>
    <row r="1" ht="12.75">
      <c r="A1" t="s">
        <v>154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spans="1:22" ht="12.75">
      <c r="A5" t="s">
        <v>87</v>
      </c>
      <c r="B5" t="s">
        <v>88</v>
      </c>
      <c r="C5" t="s">
        <v>89</v>
      </c>
      <c r="G5" t="s">
        <v>156</v>
      </c>
      <c r="H5" t="s">
        <v>106</v>
      </c>
      <c r="I5" t="s">
        <v>141</v>
      </c>
      <c r="J5" s="10" t="s">
        <v>153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</row>
    <row r="6" spans="1:22" ht="12.75">
      <c r="A6">
        <v>5</v>
      </c>
      <c r="B6" t="s">
        <v>35</v>
      </c>
      <c r="C6">
        <v>0</v>
      </c>
      <c r="D6">
        <v>19</v>
      </c>
      <c r="E6">
        <f aca="true" t="shared" si="0" ref="E6:E15">AVERAGE(C6:D6)</f>
        <v>9.5</v>
      </c>
      <c r="F6" s="19">
        <f aca="true" t="shared" si="1" ref="F6:F37">E6/SUM($E$6:$E$59)</f>
        <v>0.00012570627075807498</v>
      </c>
      <c r="G6" s="24">
        <f>F6*Printing!$C$16*1000000</f>
        <v>218930.04115226338</v>
      </c>
      <c r="H6" s="3">
        <f>F6*Printing!$B$27</f>
        <v>5.21701875905173</v>
      </c>
      <c r="I6" s="3">
        <f>H6*J6</f>
        <v>5.21701875905173</v>
      </c>
      <c r="J6" s="16">
        <v>1</v>
      </c>
      <c r="K6">
        <v>0</v>
      </c>
      <c r="L6">
        <v>0</v>
      </c>
      <c r="M6">
        <v>5</v>
      </c>
      <c r="N6">
        <v>4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>
        <v>7</v>
      </c>
      <c r="B7" t="s">
        <v>36</v>
      </c>
      <c r="C7">
        <v>100</v>
      </c>
      <c r="D7">
        <v>249</v>
      </c>
      <c r="E7">
        <f t="shared" si="0"/>
        <v>174.5</v>
      </c>
      <c r="F7" s="19">
        <f t="shared" si="1"/>
        <v>0.00230902571024043</v>
      </c>
      <c r="G7" s="24">
        <f>F7*Printing!$C$16*1000000</f>
        <v>4021399.1769547323</v>
      </c>
      <c r="H7" s="3">
        <f>F7*Printing!$B$27</f>
        <v>95.82839720573968</v>
      </c>
      <c r="I7" s="3">
        <f aca="true" t="shared" si="2" ref="I7:I25">H7*J7</f>
        <v>95.82839720573968</v>
      </c>
      <c r="J7" s="16">
        <v>1</v>
      </c>
      <c r="K7">
        <v>0</v>
      </c>
      <c r="L7">
        <v>0</v>
      </c>
      <c r="M7">
        <v>19</v>
      </c>
      <c r="N7">
        <v>9</v>
      </c>
      <c r="O7">
        <v>6</v>
      </c>
      <c r="P7">
        <v>1</v>
      </c>
      <c r="Q7">
        <v>3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>
        <v>9</v>
      </c>
      <c r="B8" t="s">
        <v>37</v>
      </c>
      <c r="C8">
        <v>31</v>
      </c>
      <c r="E8">
        <f t="shared" si="0"/>
        <v>31</v>
      </c>
      <c r="F8" s="19">
        <f t="shared" si="1"/>
        <v>0.0004101994098421394</v>
      </c>
      <c r="G8" s="24">
        <f>F8*Printing!$C$16*1000000</f>
        <v>714403.2921810698</v>
      </c>
      <c r="H8" s="3">
        <f>F8*Printing!$B$27</f>
        <v>17.023955950589855</v>
      </c>
      <c r="I8" s="3">
        <f t="shared" si="2"/>
        <v>17.023955950589855</v>
      </c>
      <c r="J8" s="16">
        <v>1</v>
      </c>
      <c r="K8">
        <v>140</v>
      </c>
      <c r="L8">
        <v>608</v>
      </c>
      <c r="M8">
        <v>5</v>
      </c>
      <c r="N8">
        <v>3</v>
      </c>
      <c r="O8">
        <v>1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>
        <v>11</v>
      </c>
      <c r="B9" t="s">
        <v>38</v>
      </c>
      <c r="C9">
        <v>0</v>
      </c>
      <c r="D9">
        <v>19</v>
      </c>
      <c r="E9">
        <f t="shared" si="0"/>
        <v>9.5</v>
      </c>
      <c r="F9" s="19">
        <f t="shared" si="1"/>
        <v>0.00012570627075807498</v>
      </c>
      <c r="G9" s="24">
        <f>F9*Printing!$C$16*1000000</f>
        <v>218930.04115226338</v>
      </c>
      <c r="H9" s="3">
        <f>F9*Printing!$B$27</f>
        <v>5.21701875905173</v>
      </c>
      <c r="I9" s="3">
        <f t="shared" si="2"/>
        <v>5.21701875905173</v>
      </c>
      <c r="J9" s="16">
        <v>1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>
        <v>17</v>
      </c>
      <c r="B10" t="s">
        <v>39</v>
      </c>
      <c r="C10">
        <v>20</v>
      </c>
      <c r="D10">
        <v>99</v>
      </c>
      <c r="E10">
        <f t="shared" si="0"/>
        <v>59.5</v>
      </c>
      <c r="F10" s="19">
        <f t="shared" si="1"/>
        <v>0.0007873182221163643</v>
      </c>
      <c r="G10" s="24">
        <f>F10*Printing!$C$16*1000000</f>
        <v>1371193.41563786</v>
      </c>
      <c r="H10" s="3">
        <f>F10*Printing!$B$27</f>
        <v>32.67501222774504</v>
      </c>
      <c r="I10" s="3">
        <f t="shared" si="2"/>
        <v>9.802503668323512</v>
      </c>
      <c r="J10" s="16">
        <v>0.3</v>
      </c>
      <c r="K10">
        <v>0</v>
      </c>
      <c r="L10">
        <v>0</v>
      </c>
      <c r="M10">
        <v>19</v>
      </c>
      <c r="N10">
        <v>11</v>
      </c>
      <c r="O10">
        <v>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>
        <v>21</v>
      </c>
      <c r="B11" t="s">
        <v>40</v>
      </c>
      <c r="C11">
        <v>20</v>
      </c>
      <c r="D11">
        <v>99</v>
      </c>
      <c r="E11">
        <f t="shared" si="0"/>
        <v>59.5</v>
      </c>
      <c r="F11" s="19">
        <f t="shared" si="1"/>
        <v>0.0007873182221163643</v>
      </c>
      <c r="G11" s="24">
        <f>F11*Printing!$C$16*1000000</f>
        <v>1371193.41563786</v>
      </c>
      <c r="H11" s="3">
        <f>F11*Printing!$B$27</f>
        <v>32.67501222774504</v>
      </c>
      <c r="I11" s="3">
        <f t="shared" si="2"/>
        <v>32.67501222774504</v>
      </c>
      <c r="J11" s="16">
        <v>1</v>
      </c>
      <c r="K11">
        <v>0</v>
      </c>
      <c r="L11">
        <v>0</v>
      </c>
      <c r="M11">
        <v>2</v>
      </c>
      <c r="N11">
        <v>1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2:10" ht="12.75">
      <c r="B12" t="s">
        <v>41</v>
      </c>
      <c r="C12">
        <v>0</v>
      </c>
      <c r="E12">
        <f t="shared" si="0"/>
        <v>0</v>
      </c>
      <c r="F12" s="19">
        <f t="shared" si="1"/>
        <v>0</v>
      </c>
      <c r="G12" s="24">
        <f>F12*Printing!$C$16*1000000</f>
        <v>0</v>
      </c>
      <c r="H12" s="3">
        <f>F12*Printing!$B$27</f>
        <v>0</v>
      </c>
      <c r="I12" s="3">
        <f t="shared" si="2"/>
        <v>0</v>
      </c>
      <c r="J12" s="16">
        <v>1</v>
      </c>
    </row>
    <row r="13" spans="1:22" ht="12.75">
      <c r="A13">
        <v>45</v>
      </c>
      <c r="B13" t="s">
        <v>42</v>
      </c>
      <c r="C13">
        <v>20</v>
      </c>
      <c r="D13">
        <v>99</v>
      </c>
      <c r="E13">
        <f t="shared" si="0"/>
        <v>59.5</v>
      </c>
      <c r="F13" s="19">
        <f t="shared" si="1"/>
        <v>0.0007873182221163643</v>
      </c>
      <c r="G13" s="24">
        <f>F13*Printing!$C$16*1000000</f>
        <v>1371193.41563786</v>
      </c>
      <c r="H13" s="3">
        <f>F13*Printing!$B$27</f>
        <v>32.67501222774504</v>
      </c>
      <c r="I13" s="3">
        <f t="shared" si="2"/>
        <v>32.67501222774504</v>
      </c>
      <c r="J13" s="16">
        <v>1</v>
      </c>
      <c r="K13">
        <v>0</v>
      </c>
      <c r="L13">
        <v>0</v>
      </c>
      <c r="M13">
        <v>14</v>
      </c>
      <c r="N13">
        <v>9</v>
      </c>
      <c r="O13">
        <v>4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>
        <v>57</v>
      </c>
      <c r="B14" t="s">
        <v>43</v>
      </c>
      <c r="C14">
        <v>20</v>
      </c>
      <c r="D14">
        <v>99</v>
      </c>
      <c r="E14">
        <f t="shared" si="0"/>
        <v>59.5</v>
      </c>
      <c r="F14" s="19">
        <f t="shared" si="1"/>
        <v>0.0007873182221163643</v>
      </c>
      <c r="G14" s="24">
        <f>F14*Printing!$C$16*1000000</f>
        <v>1371193.41563786</v>
      </c>
      <c r="H14" s="3">
        <f>F14*Printing!$B$27</f>
        <v>32.67501222774504</v>
      </c>
      <c r="I14" s="3">
        <f t="shared" si="2"/>
        <v>32.67501222774504</v>
      </c>
      <c r="J14" s="16">
        <v>1</v>
      </c>
      <c r="K14">
        <v>0</v>
      </c>
      <c r="L14">
        <v>0</v>
      </c>
      <c r="M14">
        <v>11</v>
      </c>
      <c r="N14">
        <v>7</v>
      </c>
      <c r="O14">
        <v>3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>
        <v>61</v>
      </c>
      <c r="B15" t="s">
        <v>44</v>
      </c>
      <c r="C15">
        <v>100</v>
      </c>
      <c r="D15">
        <v>249</v>
      </c>
      <c r="E15">
        <f t="shared" si="0"/>
        <v>174.5</v>
      </c>
      <c r="F15" s="19">
        <f t="shared" si="1"/>
        <v>0.00230902571024043</v>
      </c>
      <c r="G15" s="24">
        <f>F15*Printing!$C$16*1000000</f>
        <v>4021399.1769547323</v>
      </c>
      <c r="H15" s="3">
        <f>F15*Printing!$B$27</f>
        <v>95.82839720573968</v>
      </c>
      <c r="I15" s="3">
        <f t="shared" si="2"/>
        <v>28.7485191617219</v>
      </c>
      <c r="J15" s="16">
        <v>0.3</v>
      </c>
      <c r="K15">
        <v>0</v>
      </c>
      <c r="L15">
        <v>0</v>
      </c>
      <c r="M15">
        <v>30</v>
      </c>
      <c r="N15">
        <v>17</v>
      </c>
      <c r="O15">
        <v>5</v>
      </c>
      <c r="P15">
        <v>6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2:10" ht="12.75">
      <c r="B16" t="s">
        <v>45</v>
      </c>
      <c r="C16">
        <v>0</v>
      </c>
      <c r="E16">
        <v>0</v>
      </c>
      <c r="F16" s="19">
        <f t="shared" si="1"/>
        <v>0</v>
      </c>
      <c r="G16" s="24">
        <f>F16*Printing!$C$16*1000000</f>
        <v>0</v>
      </c>
      <c r="H16" s="3">
        <f>F16*Printing!$B$27</f>
        <v>0</v>
      </c>
      <c r="I16" s="3">
        <f t="shared" si="2"/>
        <v>0</v>
      </c>
      <c r="J16" s="16">
        <v>1</v>
      </c>
    </row>
    <row r="17" spans="1:22" ht="12.75">
      <c r="A17">
        <v>67</v>
      </c>
      <c r="B17" t="s">
        <v>46</v>
      </c>
      <c r="C17">
        <v>2343</v>
      </c>
      <c r="E17">
        <f aca="true" t="shared" si="3" ref="E17:E59">AVERAGE(C17:D17)</f>
        <v>2343</v>
      </c>
      <c r="F17" s="19">
        <f t="shared" si="1"/>
        <v>0.03100313604064944</v>
      </c>
      <c r="G17" s="24">
        <f>F17*Printing!$C$16*1000000</f>
        <v>53995061.72839506</v>
      </c>
      <c r="H17" s="3">
        <f>F17*Printing!$B$27</f>
        <v>1286.6815739429687</v>
      </c>
      <c r="I17" s="3">
        <f t="shared" si="2"/>
        <v>386.0044721828906</v>
      </c>
      <c r="J17" s="16">
        <v>0.3</v>
      </c>
      <c r="K17">
        <v>18963</v>
      </c>
      <c r="L17">
        <v>80439</v>
      </c>
      <c r="M17">
        <v>137</v>
      </c>
      <c r="N17">
        <v>60</v>
      </c>
      <c r="O17">
        <v>34</v>
      </c>
      <c r="P17">
        <v>12</v>
      </c>
      <c r="Q17">
        <v>19</v>
      </c>
      <c r="R17">
        <v>5</v>
      </c>
      <c r="S17">
        <v>7</v>
      </c>
      <c r="T17">
        <v>0</v>
      </c>
      <c r="U17">
        <v>0</v>
      </c>
      <c r="V17">
        <v>0</v>
      </c>
    </row>
    <row r="18" spans="1:22" ht="12.75">
      <c r="A18">
        <v>89</v>
      </c>
      <c r="B18" t="s">
        <v>47</v>
      </c>
      <c r="C18">
        <v>106</v>
      </c>
      <c r="E18">
        <f t="shared" si="3"/>
        <v>106</v>
      </c>
      <c r="F18" s="19">
        <f t="shared" si="1"/>
        <v>0.0014026173368795734</v>
      </c>
      <c r="G18" s="24">
        <f>F18*Printing!$C$16*1000000</f>
        <v>2442798.353909465</v>
      </c>
      <c r="H18" s="3">
        <f>F18*Printing!$B$27</f>
        <v>58.21094615362983</v>
      </c>
      <c r="I18" s="3">
        <f t="shared" si="2"/>
        <v>58.21094615362983</v>
      </c>
      <c r="J18" s="16">
        <v>1</v>
      </c>
      <c r="K18">
        <v>622</v>
      </c>
      <c r="L18">
        <v>2662</v>
      </c>
      <c r="M18">
        <v>11</v>
      </c>
      <c r="N18">
        <v>4</v>
      </c>
      <c r="O18">
        <v>5</v>
      </c>
      <c r="P18">
        <v>0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2:10" ht="12.75">
      <c r="B19" t="s">
        <v>48</v>
      </c>
      <c r="C19">
        <v>0</v>
      </c>
      <c r="E19">
        <f t="shared" si="3"/>
        <v>0</v>
      </c>
      <c r="F19" s="19">
        <f t="shared" si="1"/>
        <v>0</v>
      </c>
      <c r="G19" s="24">
        <f>F19*Printing!$C$16*1000000</f>
        <v>0</v>
      </c>
      <c r="H19" s="3">
        <f>F19*Printing!$B$27</f>
        <v>0</v>
      </c>
      <c r="I19" s="3">
        <f t="shared" si="2"/>
        <v>0</v>
      </c>
      <c r="J19" s="16">
        <v>1</v>
      </c>
    </row>
    <row r="20" spans="1:22" ht="12.75">
      <c r="A20">
        <v>95</v>
      </c>
      <c r="B20" t="s">
        <v>49</v>
      </c>
      <c r="C20">
        <v>133</v>
      </c>
      <c r="E20">
        <f t="shared" si="3"/>
        <v>133</v>
      </c>
      <c r="F20" s="19">
        <f t="shared" si="1"/>
        <v>0.0017598877906130495</v>
      </c>
      <c r="G20" s="24">
        <f>F20*Printing!$C$16*1000000</f>
        <v>3065020.576131687</v>
      </c>
      <c r="H20" s="3">
        <f>F20*Printing!$B$27</f>
        <v>73.03826262672422</v>
      </c>
      <c r="I20" s="3">
        <f t="shared" si="2"/>
        <v>21.911478788017266</v>
      </c>
      <c r="J20" s="16">
        <v>0.3</v>
      </c>
      <c r="K20">
        <v>686</v>
      </c>
      <c r="L20">
        <v>2830</v>
      </c>
      <c r="M20">
        <v>23</v>
      </c>
      <c r="N20">
        <v>8</v>
      </c>
      <c r="O20">
        <v>13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>
        <v>101</v>
      </c>
      <c r="B21" t="s">
        <v>50</v>
      </c>
      <c r="C21">
        <v>0</v>
      </c>
      <c r="D21">
        <v>19</v>
      </c>
      <c r="E21">
        <f t="shared" si="3"/>
        <v>9.5</v>
      </c>
      <c r="F21" s="19">
        <f t="shared" si="1"/>
        <v>0.00012570627075807498</v>
      </c>
      <c r="G21" s="24">
        <f>F21*Printing!$C$16*1000000</f>
        <v>218930.04115226338</v>
      </c>
      <c r="H21" s="3">
        <f>F21*Printing!$B$27</f>
        <v>5.21701875905173</v>
      </c>
      <c r="I21" s="3">
        <f t="shared" si="2"/>
        <v>5.21701875905173</v>
      </c>
      <c r="J21" s="16">
        <v>1</v>
      </c>
      <c r="K21">
        <v>0</v>
      </c>
      <c r="L21">
        <v>0</v>
      </c>
      <c r="M21">
        <v>5</v>
      </c>
      <c r="N21">
        <v>3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>
        <v>103</v>
      </c>
      <c r="B22" t="s">
        <v>51</v>
      </c>
      <c r="C22">
        <v>0</v>
      </c>
      <c r="D22">
        <v>19</v>
      </c>
      <c r="E22">
        <f t="shared" si="3"/>
        <v>9.5</v>
      </c>
      <c r="F22" s="19">
        <f t="shared" si="1"/>
        <v>0.00012570627075807498</v>
      </c>
      <c r="G22" s="24">
        <f>F22*Printing!$C$16*1000000</f>
        <v>218930.04115226338</v>
      </c>
      <c r="H22" s="3">
        <f>F22*Printing!$B$27</f>
        <v>5.21701875905173</v>
      </c>
      <c r="I22" s="3">
        <f t="shared" si="2"/>
        <v>5.21701875905173</v>
      </c>
      <c r="J22" s="16">
        <v>1</v>
      </c>
      <c r="K22">
        <v>0</v>
      </c>
      <c r="L22">
        <v>0</v>
      </c>
      <c r="M22">
        <v>2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>
        <v>109</v>
      </c>
      <c r="B23" t="s">
        <v>52</v>
      </c>
      <c r="C23">
        <v>0</v>
      </c>
      <c r="D23">
        <v>19</v>
      </c>
      <c r="E23">
        <f t="shared" si="3"/>
        <v>9.5</v>
      </c>
      <c r="F23" s="19">
        <f t="shared" si="1"/>
        <v>0.00012570627075807498</v>
      </c>
      <c r="G23" s="24">
        <f>F23*Printing!$C$16*1000000</f>
        <v>218930.04115226338</v>
      </c>
      <c r="H23" s="3">
        <f>F23*Printing!$B$27</f>
        <v>5.21701875905173</v>
      </c>
      <c r="I23" s="3">
        <f t="shared" si="2"/>
        <v>5.21701875905173</v>
      </c>
      <c r="J23" s="16">
        <v>1</v>
      </c>
      <c r="K23">
        <v>0</v>
      </c>
      <c r="L23">
        <v>0</v>
      </c>
      <c r="M23">
        <v>4</v>
      </c>
      <c r="N23">
        <v>4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2.75">
      <c r="A24">
        <v>113</v>
      </c>
      <c r="B24" t="s">
        <v>53</v>
      </c>
      <c r="C24">
        <v>250</v>
      </c>
      <c r="D24">
        <v>499</v>
      </c>
      <c r="E24">
        <f t="shared" si="3"/>
        <v>374.5</v>
      </c>
      <c r="F24" s="19">
        <f t="shared" si="1"/>
        <v>0.004955473515673587</v>
      </c>
      <c r="G24" s="24">
        <f>F24*Printing!$C$16*1000000</f>
        <v>8630452.67489712</v>
      </c>
      <c r="H24" s="3">
        <f>F24*Printing!$B$27</f>
        <v>205.66037108051293</v>
      </c>
      <c r="I24" s="3">
        <f t="shared" si="2"/>
        <v>61.69811132415388</v>
      </c>
      <c r="J24" s="16">
        <v>0.3</v>
      </c>
      <c r="K24">
        <v>0</v>
      </c>
      <c r="L24">
        <v>0</v>
      </c>
      <c r="M24">
        <v>22</v>
      </c>
      <c r="N24">
        <v>8</v>
      </c>
      <c r="O24">
        <v>7</v>
      </c>
      <c r="P24">
        <v>4</v>
      </c>
      <c r="Q24">
        <v>1</v>
      </c>
      <c r="R24">
        <v>0</v>
      </c>
      <c r="S24">
        <v>2</v>
      </c>
      <c r="T24">
        <v>0</v>
      </c>
      <c r="U24">
        <v>0</v>
      </c>
      <c r="V24">
        <v>0</v>
      </c>
    </row>
    <row r="25" spans="1:22" ht="12.75">
      <c r="A25">
        <v>115</v>
      </c>
      <c r="B25" t="s">
        <v>54</v>
      </c>
      <c r="C25">
        <v>0</v>
      </c>
      <c r="D25">
        <v>19</v>
      </c>
      <c r="E25">
        <f t="shared" si="3"/>
        <v>9.5</v>
      </c>
      <c r="F25" s="19">
        <f t="shared" si="1"/>
        <v>0.00012570627075807498</v>
      </c>
      <c r="G25" s="24">
        <f>F25*Printing!$C$16*1000000</f>
        <v>218930.04115226338</v>
      </c>
      <c r="H25" s="3">
        <f>F25*Printing!$B$27</f>
        <v>5.21701875905173</v>
      </c>
      <c r="I25" s="3">
        <f t="shared" si="2"/>
        <v>5.21701875905173</v>
      </c>
      <c r="J25" s="16">
        <v>1</v>
      </c>
      <c r="K25">
        <v>0</v>
      </c>
      <c r="L25">
        <v>0</v>
      </c>
      <c r="M25">
        <v>2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>
        <v>1</v>
      </c>
      <c r="B26" t="s">
        <v>107</v>
      </c>
      <c r="C26">
        <v>3511</v>
      </c>
      <c r="E26">
        <f t="shared" si="3"/>
        <v>3511</v>
      </c>
      <c r="F26" s="19">
        <f t="shared" si="1"/>
        <v>0.04645839122437908</v>
      </c>
      <c r="G26" s="24">
        <f>F26*Printing!$C$16*1000000</f>
        <v>80911934.15637861</v>
      </c>
      <c r="H26" s="3">
        <f>F26*Printing!$B$27</f>
        <v>1928.1003013716447</v>
      </c>
      <c r="I26" s="3"/>
      <c r="J26" s="16"/>
      <c r="K26">
        <v>31999</v>
      </c>
      <c r="L26">
        <v>135704</v>
      </c>
      <c r="M26">
        <v>218</v>
      </c>
      <c r="N26">
        <v>93</v>
      </c>
      <c r="O26">
        <v>47</v>
      </c>
      <c r="P26">
        <v>36</v>
      </c>
      <c r="Q26">
        <v>28</v>
      </c>
      <c r="R26">
        <v>7</v>
      </c>
      <c r="S26">
        <v>6</v>
      </c>
      <c r="T26">
        <v>1</v>
      </c>
      <c r="U26">
        <v>0</v>
      </c>
      <c r="V26">
        <v>0</v>
      </c>
    </row>
    <row r="27" spans="1:22" ht="12.75">
      <c r="A27">
        <v>13</v>
      </c>
      <c r="B27" t="s">
        <v>108</v>
      </c>
      <c r="C27">
        <v>904</v>
      </c>
      <c r="E27">
        <f t="shared" si="3"/>
        <v>904</v>
      </c>
      <c r="F27" s="19">
        <f t="shared" si="1"/>
        <v>0.011961944080557872</v>
      </c>
      <c r="G27" s="24">
        <f>F27*Printing!$C$16*1000000</f>
        <v>20832921.81069959</v>
      </c>
      <c r="H27" s="3">
        <f>F27*Printing!$B$27</f>
        <v>496.44052191397515</v>
      </c>
      <c r="I27" s="3"/>
      <c r="J27" s="16"/>
      <c r="K27">
        <v>8191</v>
      </c>
      <c r="L27">
        <v>33840</v>
      </c>
      <c r="M27">
        <v>88</v>
      </c>
      <c r="N27">
        <v>45</v>
      </c>
      <c r="O27">
        <v>19</v>
      </c>
      <c r="P27">
        <v>15</v>
      </c>
      <c r="Q27">
        <v>6</v>
      </c>
      <c r="R27">
        <v>2</v>
      </c>
      <c r="S27">
        <v>1</v>
      </c>
      <c r="T27">
        <v>0</v>
      </c>
      <c r="U27">
        <v>0</v>
      </c>
      <c r="V27">
        <v>0</v>
      </c>
    </row>
    <row r="28" spans="1:22" ht="12.75">
      <c r="A28">
        <v>15</v>
      </c>
      <c r="B28" t="s">
        <v>109</v>
      </c>
      <c r="C28">
        <v>0</v>
      </c>
      <c r="D28">
        <v>19</v>
      </c>
      <c r="E28">
        <f t="shared" si="3"/>
        <v>9.5</v>
      </c>
      <c r="F28" s="19">
        <f t="shared" si="1"/>
        <v>0.00012570627075807498</v>
      </c>
      <c r="G28" s="24">
        <f>F28*Printing!$C$16*1000000</f>
        <v>218930.04115226338</v>
      </c>
      <c r="H28" s="3">
        <f>F28*Printing!$B$27</f>
        <v>5.21701875905173</v>
      </c>
      <c r="I28" s="3"/>
      <c r="J28" s="16"/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>
        <v>19</v>
      </c>
      <c r="B29" t="s">
        <v>110</v>
      </c>
      <c r="C29">
        <v>992</v>
      </c>
      <c r="E29">
        <f t="shared" si="3"/>
        <v>992</v>
      </c>
      <c r="F29" s="19">
        <f t="shared" si="1"/>
        <v>0.01312638111494846</v>
      </c>
      <c r="G29" s="24">
        <f>F29*Printing!$C$16*1000000</f>
        <v>22860905.349794235</v>
      </c>
      <c r="H29" s="3">
        <f>F29*Printing!$B$27</f>
        <v>544.7665904188754</v>
      </c>
      <c r="I29" s="3"/>
      <c r="J29" s="16"/>
      <c r="K29">
        <v>7041</v>
      </c>
      <c r="L29">
        <v>29053</v>
      </c>
      <c r="M29">
        <v>68</v>
      </c>
      <c r="N29">
        <v>33</v>
      </c>
      <c r="O29">
        <v>15</v>
      </c>
      <c r="P29">
        <v>8</v>
      </c>
      <c r="Q29">
        <v>8</v>
      </c>
      <c r="R29">
        <v>3</v>
      </c>
      <c r="S29">
        <v>1</v>
      </c>
      <c r="T29">
        <v>0</v>
      </c>
      <c r="U29">
        <v>0</v>
      </c>
      <c r="V29">
        <v>0</v>
      </c>
    </row>
    <row r="30" spans="1:22" ht="12.75">
      <c r="A30">
        <v>23</v>
      </c>
      <c r="B30" t="s">
        <v>111</v>
      </c>
      <c r="C30">
        <v>69</v>
      </c>
      <c r="E30">
        <f t="shared" si="3"/>
        <v>69</v>
      </c>
      <c r="F30" s="19">
        <f t="shared" si="1"/>
        <v>0.0009130244928744393</v>
      </c>
      <c r="G30" s="24">
        <f>F30*Printing!$C$16*1000000</f>
        <v>1590123.4567901234</v>
      </c>
      <c r="H30" s="3">
        <f>F30*Printing!$B$27</f>
        <v>37.892030986796776</v>
      </c>
      <c r="I30" s="3"/>
      <c r="J30" s="16"/>
      <c r="K30">
        <v>370</v>
      </c>
      <c r="L30">
        <v>1558</v>
      </c>
      <c r="M30">
        <v>12</v>
      </c>
      <c r="N30">
        <v>7</v>
      </c>
      <c r="O30">
        <v>3</v>
      </c>
      <c r="P30">
        <v>1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>
        <v>25</v>
      </c>
      <c r="B31" t="s">
        <v>112</v>
      </c>
      <c r="C31">
        <v>20</v>
      </c>
      <c r="D31">
        <v>99</v>
      </c>
      <c r="E31">
        <f t="shared" si="3"/>
        <v>59.5</v>
      </c>
      <c r="F31" s="19">
        <f t="shared" si="1"/>
        <v>0.0007873182221163643</v>
      </c>
      <c r="G31" s="24">
        <f>F31*Printing!$C$16*1000000</f>
        <v>1371193.41563786</v>
      </c>
      <c r="H31" s="3">
        <f>F31*Printing!$B$27</f>
        <v>32.67501222774504</v>
      </c>
      <c r="I31" s="3"/>
      <c r="J31" s="16"/>
      <c r="K31">
        <v>0</v>
      </c>
      <c r="L31">
        <v>0</v>
      </c>
      <c r="M31">
        <v>3</v>
      </c>
      <c r="N31">
        <v>2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>
        <v>27</v>
      </c>
      <c r="B32" t="s">
        <v>113</v>
      </c>
      <c r="C32">
        <v>0</v>
      </c>
      <c r="D32">
        <v>19</v>
      </c>
      <c r="E32">
        <f t="shared" si="3"/>
        <v>9.5</v>
      </c>
      <c r="F32" s="19">
        <f t="shared" si="1"/>
        <v>0.00012570627075807498</v>
      </c>
      <c r="G32" s="24">
        <f>F32*Printing!$C$16*1000000</f>
        <v>218930.04115226338</v>
      </c>
      <c r="H32" s="3">
        <f>F32*Printing!$B$27</f>
        <v>5.21701875905173</v>
      </c>
      <c r="I32" s="3"/>
      <c r="J32" s="16"/>
      <c r="K32">
        <v>0</v>
      </c>
      <c r="L32">
        <v>0</v>
      </c>
      <c r="M32">
        <v>2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>
        <v>29</v>
      </c>
      <c r="B33" t="s">
        <v>114</v>
      </c>
      <c r="C33">
        <v>100</v>
      </c>
      <c r="D33">
        <v>249</v>
      </c>
      <c r="E33">
        <f t="shared" si="3"/>
        <v>174.5</v>
      </c>
      <c r="F33" s="19">
        <f t="shared" si="1"/>
        <v>0.00230902571024043</v>
      </c>
      <c r="G33" s="24">
        <f>F33*Printing!$C$16*1000000</f>
        <v>4021399.1769547323</v>
      </c>
      <c r="H33" s="3">
        <f>F33*Printing!$B$27</f>
        <v>95.82839720573968</v>
      </c>
      <c r="I33" s="3"/>
      <c r="J33" s="16"/>
      <c r="K33">
        <v>0</v>
      </c>
      <c r="L33">
        <v>0</v>
      </c>
      <c r="M33">
        <v>27</v>
      </c>
      <c r="N33">
        <v>12</v>
      </c>
      <c r="O33">
        <v>9</v>
      </c>
      <c r="P33">
        <v>3</v>
      </c>
      <c r="Q33">
        <v>3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2.75">
      <c r="A34">
        <v>31</v>
      </c>
      <c r="B34" t="s">
        <v>115</v>
      </c>
      <c r="C34">
        <v>20</v>
      </c>
      <c r="D34">
        <v>99</v>
      </c>
      <c r="E34">
        <f t="shared" si="3"/>
        <v>59.5</v>
      </c>
      <c r="F34" s="19">
        <f t="shared" si="1"/>
        <v>0.0007873182221163643</v>
      </c>
      <c r="G34" s="24">
        <f>F34*Printing!$C$16*1000000</f>
        <v>1371193.41563786</v>
      </c>
      <c r="H34" s="3">
        <f>F34*Printing!$B$27</f>
        <v>32.67501222774504</v>
      </c>
      <c r="I34" s="3"/>
      <c r="J34" s="16"/>
      <c r="K34">
        <v>0</v>
      </c>
      <c r="L34">
        <v>0</v>
      </c>
      <c r="M34">
        <v>7</v>
      </c>
      <c r="N34">
        <v>3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2.75">
      <c r="A35">
        <v>33</v>
      </c>
      <c r="B35" t="s">
        <v>116</v>
      </c>
      <c r="C35">
        <v>12</v>
      </c>
      <c r="E35">
        <f t="shared" si="3"/>
        <v>12</v>
      </c>
      <c r="F35" s="19">
        <f t="shared" si="1"/>
        <v>0.00015878686832598943</v>
      </c>
      <c r="G35" s="24">
        <f>F35*Printing!$C$16*1000000</f>
        <v>276543.2098765432</v>
      </c>
      <c r="H35" s="3">
        <f>F35*Printing!$B$27</f>
        <v>6.589918432486395</v>
      </c>
      <c r="I35" s="3"/>
      <c r="J35" s="16"/>
      <c r="K35">
        <v>45</v>
      </c>
      <c r="L35">
        <v>188</v>
      </c>
      <c r="M35">
        <v>5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2.75">
      <c r="A36">
        <v>35</v>
      </c>
      <c r="B36" t="s">
        <v>117</v>
      </c>
      <c r="C36">
        <v>0</v>
      </c>
      <c r="D36">
        <v>19</v>
      </c>
      <c r="E36">
        <f t="shared" si="3"/>
        <v>9.5</v>
      </c>
      <c r="F36" s="19">
        <f t="shared" si="1"/>
        <v>0.00012570627075807498</v>
      </c>
      <c r="G36" s="24">
        <f>F36*Printing!$C$16*1000000</f>
        <v>218930.04115226338</v>
      </c>
      <c r="H36" s="3">
        <f>F36*Printing!$B$27</f>
        <v>5.21701875905173</v>
      </c>
      <c r="I36" s="3"/>
      <c r="J36" s="16"/>
      <c r="K36">
        <v>0</v>
      </c>
      <c r="L36">
        <v>0</v>
      </c>
      <c r="M36">
        <v>2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>
        <v>37</v>
      </c>
      <c r="B37" t="s">
        <v>118</v>
      </c>
      <c r="C37">
        <v>30153</v>
      </c>
      <c r="E37">
        <f t="shared" si="3"/>
        <v>30153</v>
      </c>
      <c r="F37" s="19">
        <f t="shared" si="1"/>
        <v>0.39899170338613</v>
      </c>
      <c r="G37" s="24">
        <f>F37*Printing!$C$16*1000000</f>
        <v>694883950.6172839</v>
      </c>
      <c r="H37" s="3">
        <f>F37*Printing!$B$27</f>
        <v>16558.81754123019</v>
      </c>
      <c r="I37" s="3"/>
      <c r="J37" s="16"/>
      <c r="K37">
        <v>258862</v>
      </c>
      <c r="L37">
        <v>1051159</v>
      </c>
      <c r="M37">
        <v>1497</v>
      </c>
      <c r="N37">
        <v>638</v>
      </c>
      <c r="O37">
        <v>309</v>
      </c>
      <c r="P37">
        <v>216</v>
      </c>
      <c r="Q37">
        <v>200</v>
      </c>
      <c r="R37">
        <v>80</v>
      </c>
      <c r="S37">
        <v>35</v>
      </c>
      <c r="T37">
        <v>16</v>
      </c>
      <c r="U37">
        <v>3</v>
      </c>
      <c r="V37">
        <v>0</v>
      </c>
    </row>
    <row r="38" spans="1:22" ht="12.75">
      <c r="A38">
        <v>39</v>
      </c>
      <c r="B38" t="s">
        <v>119</v>
      </c>
      <c r="C38">
        <v>20</v>
      </c>
      <c r="D38">
        <v>99</v>
      </c>
      <c r="E38">
        <f t="shared" si="3"/>
        <v>59.5</v>
      </c>
      <c r="F38" s="19">
        <f aca="true" t="shared" si="4" ref="F38:F59">E38/SUM($E$6:$E$59)</f>
        <v>0.0007873182221163643</v>
      </c>
      <c r="G38" s="24">
        <f>F38*Printing!$C$16*1000000</f>
        <v>1371193.41563786</v>
      </c>
      <c r="H38" s="3">
        <f>F38*Printing!$B$27</f>
        <v>32.67501222774504</v>
      </c>
      <c r="I38" s="3"/>
      <c r="J38" s="16"/>
      <c r="K38">
        <v>0</v>
      </c>
      <c r="L38">
        <v>0</v>
      </c>
      <c r="M38">
        <v>5</v>
      </c>
      <c r="N38">
        <v>1</v>
      </c>
      <c r="O38">
        <v>3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2.75">
      <c r="A39">
        <v>41</v>
      </c>
      <c r="B39" t="s">
        <v>120</v>
      </c>
      <c r="C39">
        <v>474</v>
      </c>
      <c r="E39">
        <f t="shared" si="3"/>
        <v>474</v>
      </c>
      <c r="F39" s="19">
        <f t="shared" si="4"/>
        <v>0.006272081298876583</v>
      </c>
      <c r="G39" s="24">
        <f>F39*Printing!$C$16*1000000</f>
        <v>10923456.790123457</v>
      </c>
      <c r="H39" s="3">
        <f>F39*Printing!$B$27</f>
        <v>260.30177808321264</v>
      </c>
      <c r="I39" s="3"/>
      <c r="J39" s="16"/>
      <c r="K39">
        <v>5135</v>
      </c>
      <c r="L39">
        <v>23250</v>
      </c>
      <c r="M39">
        <v>47</v>
      </c>
      <c r="N39">
        <v>19</v>
      </c>
      <c r="O39">
        <v>15</v>
      </c>
      <c r="P39">
        <v>6</v>
      </c>
      <c r="Q39">
        <v>6</v>
      </c>
      <c r="R39">
        <v>1</v>
      </c>
      <c r="S39">
        <v>0</v>
      </c>
      <c r="T39">
        <v>0</v>
      </c>
      <c r="U39">
        <v>0</v>
      </c>
      <c r="V39">
        <v>0</v>
      </c>
    </row>
    <row r="40" spans="1:22" ht="12.75">
      <c r="A40">
        <v>47</v>
      </c>
      <c r="B40" t="s">
        <v>121</v>
      </c>
      <c r="C40">
        <v>500</v>
      </c>
      <c r="D40">
        <v>999</v>
      </c>
      <c r="E40">
        <f t="shared" si="3"/>
        <v>749.5</v>
      </c>
      <c r="F40" s="19">
        <f t="shared" si="4"/>
        <v>0.009917563150860757</v>
      </c>
      <c r="G40" s="24">
        <f>F40*Printing!$C$16*1000000</f>
        <v>17272427.983539093</v>
      </c>
      <c r="H40" s="3">
        <f>F40*Printing!$B$27</f>
        <v>411.5953220957128</v>
      </c>
      <c r="I40" s="3"/>
      <c r="J40" s="16"/>
      <c r="K40">
        <v>0</v>
      </c>
      <c r="L40">
        <v>0</v>
      </c>
      <c r="M40">
        <v>7</v>
      </c>
      <c r="N40">
        <v>3</v>
      </c>
      <c r="O40">
        <v>1</v>
      </c>
      <c r="P40">
        <v>1</v>
      </c>
      <c r="Q40">
        <v>0</v>
      </c>
      <c r="R40">
        <v>1</v>
      </c>
      <c r="S40">
        <v>0</v>
      </c>
      <c r="T40">
        <v>0</v>
      </c>
      <c r="U40">
        <v>1</v>
      </c>
      <c r="V40">
        <v>0</v>
      </c>
    </row>
    <row r="41" spans="1:22" ht="12.75">
      <c r="A41">
        <v>53</v>
      </c>
      <c r="B41" t="s">
        <v>122</v>
      </c>
      <c r="C41">
        <v>273</v>
      </c>
      <c r="E41">
        <f t="shared" si="3"/>
        <v>273</v>
      </c>
      <c r="F41" s="19">
        <f t="shared" si="4"/>
        <v>0.0036124012544162597</v>
      </c>
      <c r="G41" s="24">
        <f>F41*Printing!$C$16*1000000</f>
        <v>6291358.024691357</v>
      </c>
      <c r="H41" s="3">
        <f>F41*Printing!$B$27</f>
        <v>149.9206443390655</v>
      </c>
      <c r="I41" s="3"/>
      <c r="J41" s="16"/>
      <c r="K41">
        <v>1957</v>
      </c>
      <c r="L41">
        <v>8330</v>
      </c>
      <c r="M41">
        <v>29</v>
      </c>
      <c r="N41">
        <v>13</v>
      </c>
      <c r="O41">
        <v>8</v>
      </c>
      <c r="P41">
        <v>5</v>
      </c>
      <c r="Q41">
        <v>2</v>
      </c>
      <c r="R41">
        <v>1</v>
      </c>
      <c r="S41">
        <v>0</v>
      </c>
      <c r="T41">
        <v>0</v>
      </c>
      <c r="U41">
        <v>0</v>
      </c>
      <c r="V41">
        <v>0</v>
      </c>
    </row>
    <row r="42" spans="1:22" ht="12.75">
      <c r="A42">
        <v>55</v>
      </c>
      <c r="B42" t="s">
        <v>123</v>
      </c>
      <c r="C42">
        <v>250</v>
      </c>
      <c r="D42">
        <v>499</v>
      </c>
      <c r="E42">
        <f t="shared" si="3"/>
        <v>374.5</v>
      </c>
      <c r="F42" s="19">
        <f t="shared" si="4"/>
        <v>0.004955473515673587</v>
      </c>
      <c r="G42" s="24">
        <f>F42*Printing!$C$16*1000000</f>
        <v>8630452.67489712</v>
      </c>
      <c r="H42" s="3">
        <f>F42*Printing!$B$27</f>
        <v>205.66037108051293</v>
      </c>
      <c r="I42" s="3"/>
      <c r="J42" s="16"/>
      <c r="K42">
        <v>0</v>
      </c>
      <c r="L42">
        <v>0</v>
      </c>
      <c r="M42">
        <v>16</v>
      </c>
      <c r="N42">
        <v>6</v>
      </c>
      <c r="O42">
        <v>5</v>
      </c>
      <c r="P42">
        <v>1</v>
      </c>
      <c r="Q42">
        <v>3</v>
      </c>
      <c r="R42">
        <v>0</v>
      </c>
      <c r="S42">
        <v>1</v>
      </c>
      <c r="T42">
        <v>0</v>
      </c>
      <c r="U42">
        <v>0</v>
      </c>
      <c r="V42">
        <v>0</v>
      </c>
    </row>
    <row r="43" spans="1:22" ht="12.75">
      <c r="A43">
        <v>59</v>
      </c>
      <c r="B43" t="s">
        <v>124</v>
      </c>
      <c r="C43">
        <v>10546</v>
      </c>
      <c r="E43">
        <f t="shared" si="3"/>
        <v>10546</v>
      </c>
      <c r="F43" s="19">
        <f t="shared" si="4"/>
        <v>0.13954719278049038</v>
      </c>
      <c r="G43" s="24">
        <f>F43*Printing!$C$16*1000000</f>
        <v>243035390.94650206</v>
      </c>
      <c r="H43" s="3">
        <f>F43*Printing!$B$27</f>
        <v>5791.439982416794</v>
      </c>
      <c r="I43" s="3"/>
      <c r="J43" s="16"/>
      <c r="K43">
        <v>89005</v>
      </c>
      <c r="L43">
        <v>363383</v>
      </c>
      <c r="M43">
        <v>626</v>
      </c>
      <c r="N43">
        <v>274</v>
      </c>
      <c r="O43">
        <v>147</v>
      </c>
      <c r="P43">
        <v>85</v>
      </c>
      <c r="Q43">
        <v>66</v>
      </c>
      <c r="R43">
        <v>42</v>
      </c>
      <c r="S43">
        <v>9</v>
      </c>
      <c r="T43">
        <v>2</v>
      </c>
      <c r="U43">
        <v>1</v>
      </c>
      <c r="V43">
        <v>0</v>
      </c>
    </row>
    <row r="44" spans="1:22" ht="12.75">
      <c r="A44">
        <v>65</v>
      </c>
      <c r="B44" t="s">
        <v>125</v>
      </c>
      <c r="C44">
        <v>1782</v>
      </c>
      <c r="E44">
        <f t="shared" si="3"/>
        <v>1782</v>
      </c>
      <c r="F44" s="19">
        <f t="shared" si="4"/>
        <v>0.023579849946409433</v>
      </c>
      <c r="G44" s="24">
        <f>F44*Printing!$C$16*1000000</f>
        <v>41066666.66666667</v>
      </c>
      <c r="H44" s="3">
        <f>F44*Printing!$B$27</f>
        <v>978.6028872242298</v>
      </c>
      <c r="I44" s="3"/>
      <c r="J44" s="16"/>
      <c r="K44">
        <v>12656</v>
      </c>
      <c r="L44">
        <v>53209</v>
      </c>
      <c r="M44">
        <v>109</v>
      </c>
      <c r="N44">
        <v>54</v>
      </c>
      <c r="O44">
        <v>22</v>
      </c>
      <c r="P44">
        <v>14</v>
      </c>
      <c r="Q44">
        <v>14</v>
      </c>
      <c r="R44">
        <v>2</v>
      </c>
      <c r="S44">
        <v>1</v>
      </c>
      <c r="T44">
        <v>2</v>
      </c>
      <c r="U44">
        <v>0</v>
      </c>
      <c r="V44">
        <v>0</v>
      </c>
    </row>
    <row r="45" spans="1:22" ht="12.75">
      <c r="A45">
        <v>69</v>
      </c>
      <c r="B45" t="s">
        <v>126</v>
      </c>
      <c r="C45">
        <v>20</v>
      </c>
      <c r="E45">
        <f t="shared" si="3"/>
        <v>20</v>
      </c>
      <c r="F45" s="19">
        <f t="shared" si="4"/>
        <v>0.0002646447805433157</v>
      </c>
      <c r="G45" s="24">
        <f>F45*Printing!$C$16*1000000</f>
        <v>460905.34979423863</v>
      </c>
      <c r="H45" s="3">
        <f>F45*Printing!$B$27</f>
        <v>10.983197387477325</v>
      </c>
      <c r="I45" s="3"/>
      <c r="J45" s="16"/>
      <c r="K45">
        <v>168</v>
      </c>
      <c r="L45">
        <v>774</v>
      </c>
      <c r="M45">
        <v>4</v>
      </c>
      <c r="N45">
        <v>2</v>
      </c>
      <c r="O45">
        <v>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2.75">
      <c r="A46">
        <v>71</v>
      </c>
      <c r="B46" t="s">
        <v>127</v>
      </c>
      <c r="C46">
        <v>1282</v>
      </c>
      <c r="E46">
        <f t="shared" si="3"/>
        <v>1282</v>
      </c>
      <c r="F46" s="19">
        <f t="shared" si="4"/>
        <v>0.01696373043282654</v>
      </c>
      <c r="G46" s="24">
        <f>F46*Printing!$C$16*1000000</f>
        <v>29544032.921810698</v>
      </c>
      <c r="H46" s="3">
        <f>F46*Printing!$B$27</f>
        <v>704.0229525372965</v>
      </c>
      <c r="I46" s="3"/>
      <c r="J46" s="16"/>
      <c r="K46">
        <v>9786</v>
      </c>
      <c r="L46">
        <v>41978</v>
      </c>
      <c r="M46">
        <v>133</v>
      </c>
      <c r="N46">
        <v>68</v>
      </c>
      <c r="O46">
        <v>29</v>
      </c>
      <c r="P46">
        <v>16</v>
      </c>
      <c r="Q46">
        <v>16</v>
      </c>
      <c r="R46">
        <v>4</v>
      </c>
      <c r="S46">
        <v>0</v>
      </c>
      <c r="T46">
        <v>0</v>
      </c>
      <c r="U46">
        <v>0</v>
      </c>
      <c r="V46">
        <v>0</v>
      </c>
    </row>
    <row r="47" spans="1:22" ht="12.75">
      <c r="A47">
        <v>73</v>
      </c>
      <c r="B47" t="s">
        <v>128</v>
      </c>
      <c r="C47">
        <v>5554</v>
      </c>
      <c r="E47">
        <f t="shared" si="3"/>
        <v>5554</v>
      </c>
      <c r="F47" s="19">
        <f t="shared" si="4"/>
        <v>0.07349185555687877</v>
      </c>
      <c r="G47" s="24">
        <f>F47*Printing!$C$16*1000000</f>
        <v>127993415.63786007</v>
      </c>
      <c r="H47" s="3">
        <f>F47*Printing!$B$27</f>
        <v>3050.033914502453</v>
      </c>
      <c r="I47" s="3"/>
      <c r="J47" s="16"/>
      <c r="K47">
        <v>42542</v>
      </c>
      <c r="L47">
        <v>182788</v>
      </c>
      <c r="M47">
        <v>382</v>
      </c>
      <c r="N47">
        <v>181</v>
      </c>
      <c r="O47">
        <v>80</v>
      </c>
      <c r="P47">
        <v>55</v>
      </c>
      <c r="Q47">
        <v>43</v>
      </c>
      <c r="R47">
        <v>13</v>
      </c>
      <c r="S47">
        <v>9</v>
      </c>
      <c r="T47">
        <v>1</v>
      </c>
      <c r="U47">
        <v>0</v>
      </c>
      <c r="V47">
        <v>0</v>
      </c>
    </row>
    <row r="48" spans="1:22" ht="12.75">
      <c r="A48">
        <v>75</v>
      </c>
      <c r="B48" t="s">
        <v>129</v>
      </c>
      <c r="C48">
        <v>2039</v>
      </c>
      <c r="E48">
        <f t="shared" si="3"/>
        <v>2039</v>
      </c>
      <c r="F48" s="19">
        <f t="shared" si="4"/>
        <v>0.02698053537639104</v>
      </c>
      <c r="G48" s="24">
        <f>F48*Printing!$C$16*1000000</f>
        <v>46989300.411522634</v>
      </c>
      <c r="H48" s="3">
        <f>F48*Printing!$B$27</f>
        <v>1119.7369736533135</v>
      </c>
      <c r="I48" s="3"/>
      <c r="J48" s="16"/>
      <c r="K48">
        <v>20229</v>
      </c>
      <c r="L48">
        <v>94080</v>
      </c>
      <c r="M48">
        <v>180</v>
      </c>
      <c r="N48">
        <v>88</v>
      </c>
      <c r="O48">
        <v>41</v>
      </c>
      <c r="P48">
        <v>29</v>
      </c>
      <c r="Q48">
        <v>14</v>
      </c>
      <c r="R48">
        <v>6</v>
      </c>
      <c r="S48">
        <v>2</v>
      </c>
      <c r="T48">
        <v>0</v>
      </c>
      <c r="U48">
        <v>0</v>
      </c>
      <c r="V48">
        <v>0</v>
      </c>
    </row>
    <row r="49" spans="1:22" ht="12.75">
      <c r="A49">
        <v>77</v>
      </c>
      <c r="B49" t="s">
        <v>130</v>
      </c>
      <c r="C49">
        <v>594</v>
      </c>
      <c r="E49">
        <f t="shared" si="3"/>
        <v>594</v>
      </c>
      <c r="F49" s="19">
        <f t="shared" si="4"/>
        <v>0.007859949982136478</v>
      </c>
      <c r="G49" s="24">
        <f>F49*Printing!$C$16*1000000</f>
        <v>13688888.888888888</v>
      </c>
      <c r="H49" s="3">
        <f>F49*Printing!$B$27</f>
        <v>326.2009624080766</v>
      </c>
      <c r="I49" s="3"/>
      <c r="J49" s="16"/>
      <c r="K49">
        <v>3704</v>
      </c>
      <c r="L49">
        <v>15678</v>
      </c>
      <c r="M49">
        <v>47</v>
      </c>
      <c r="N49">
        <v>21</v>
      </c>
      <c r="O49">
        <v>12</v>
      </c>
      <c r="P49">
        <v>10</v>
      </c>
      <c r="Q49">
        <v>1</v>
      </c>
      <c r="R49">
        <v>2</v>
      </c>
      <c r="S49">
        <v>1</v>
      </c>
      <c r="T49">
        <v>0</v>
      </c>
      <c r="U49">
        <v>0</v>
      </c>
      <c r="V49">
        <v>0</v>
      </c>
    </row>
    <row r="50" spans="1:22" ht="12.75">
      <c r="A50">
        <v>79</v>
      </c>
      <c r="B50" t="s">
        <v>131</v>
      </c>
      <c r="C50">
        <v>500</v>
      </c>
      <c r="D50">
        <v>999</v>
      </c>
      <c r="E50">
        <f t="shared" si="3"/>
        <v>749.5</v>
      </c>
      <c r="F50" s="19">
        <f t="shared" si="4"/>
        <v>0.009917563150860757</v>
      </c>
      <c r="G50" s="24">
        <f>F50*Printing!$C$16*1000000</f>
        <v>17272427.983539093</v>
      </c>
      <c r="H50" s="3">
        <f>F50*Printing!$B$27</f>
        <v>411.5953220957128</v>
      </c>
      <c r="I50" s="3"/>
      <c r="J50" s="16"/>
      <c r="K50">
        <v>0</v>
      </c>
      <c r="L50">
        <v>0</v>
      </c>
      <c r="M50">
        <v>27</v>
      </c>
      <c r="N50">
        <v>13</v>
      </c>
      <c r="O50">
        <v>2</v>
      </c>
      <c r="P50">
        <v>4</v>
      </c>
      <c r="Q50">
        <v>4</v>
      </c>
      <c r="R50">
        <v>1</v>
      </c>
      <c r="S50">
        <v>3</v>
      </c>
      <c r="T50">
        <v>0</v>
      </c>
      <c r="U50">
        <v>0</v>
      </c>
      <c r="V50">
        <v>0</v>
      </c>
    </row>
    <row r="51" spans="1:22" ht="12.75">
      <c r="A51">
        <v>81</v>
      </c>
      <c r="B51" t="s">
        <v>132</v>
      </c>
      <c r="C51">
        <v>2161</v>
      </c>
      <c r="E51">
        <f t="shared" si="3"/>
        <v>2161</v>
      </c>
      <c r="F51" s="19">
        <f t="shared" si="4"/>
        <v>0.028594868537705265</v>
      </c>
      <c r="G51" s="24">
        <f>F51*Printing!$C$16*1000000</f>
        <v>49800823.045267485</v>
      </c>
      <c r="H51" s="3">
        <f>F51*Printing!$B$27</f>
        <v>1186.734477716925</v>
      </c>
      <c r="I51" s="3"/>
      <c r="J51" s="16"/>
      <c r="K51">
        <v>29574</v>
      </c>
      <c r="L51">
        <v>128081</v>
      </c>
      <c r="M51">
        <v>117</v>
      </c>
      <c r="N51">
        <v>47</v>
      </c>
      <c r="O51">
        <v>23</v>
      </c>
      <c r="P51">
        <v>17</v>
      </c>
      <c r="Q51">
        <v>19</v>
      </c>
      <c r="R51">
        <v>8</v>
      </c>
      <c r="S51">
        <v>3</v>
      </c>
      <c r="T51">
        <v>0</v>
      </c>
      <c r="U51">
        <v>0</v>
      </c>
      <c r="V51">
        <v>0</v>
      </c>
    </row>
    <row r="52" spans="1:22" ht="12.75">
      <c r="A52">
        <v>83</v>
      </c>
      <c r="B52" t="s">
        <v>133</v>
      </c>
      <c r="C52">
        <v>507</v>
      </c>
      <c r="E52">
        <f t="shared" si="3"/>
        <v>507</v>
      </c>
      <c r="F52" s="19">
        <f t="shared" si="4"/>
        <v>0.006708745186773054</v>
      </c>
      <c r="G52" s="24">
        <f>F52*Printing!$C$16*1000000</f>
        <v>11683950.61728395</v>
      </c>
      <c r="H52" s="3">
        <f>F52*Printing!$B$27</f>
        <v>278.4240537725502</v>
      </c>
      <c r="I52" s="3"/>
      <c r="J52" s="16"/>
      <c r="K52">
        <v>3818</v>
      </c>
      <c r="L52">
        <v>15062</v>
      </c>
      <c r="M52">
        <v>48</v>
      </c>
      <c r="N52">
        <v>25</v>
      </c>
      <c r="O52">
        <v>8</v>
      </c>
      <c r="P52">
        <v>8</v>
      </c>
      <c r="Q52">
        <v>6</v>
      </c>
      <c r="R52">
        <v>0</v>
      </c>
      <c r="S52">
        <v>1</v>
      </c>
      <c r="T52">
        <v>0</v>
      </c>
      <c r="U52">
        <v>0</v>
      </c>
      <c r="V52">
        <v>0</v>
      </c>
    </row>
    <row r="53" spans="1:22" ht="12.75">
      <c r="A53">
        <v>85</v>
      </c>
      <c r="B53" t="s">
        <v>134</v>
      </c>
      <c r="C53">
        <v>4304</v>
      </c>
      <c r="E53">
        <f t="shared" si="3"/>
        <v>4304</v>
      </c>
      <c r="F53" s="19">
        <f t="shared" si="4"/>
        <v>0.05695155677292155</v>
      </c>
      <c r="G53" s="24">
        <f>F53*Printing!$C$16*1000000</f>
        <v>99186831.27572016</v>
      </c>
      <c r="H53" s="3">
        <f>F53*Printing!$B$27</f>
        <v>2363.5840777851204</v>
      </c>
      <c r="I53" s="3"/>
      <c r="J53" s="16"/>
      <c r="K53">
        <v>47475</v>
      </c>
      <c r="L53">
        <v>206965</v>
      </c>
      <c r="M53">
        <v>249</v>
      </c>
      <c r="N53">
        <v>102</v>
      </c>
      <c r="O53">
        <v>57</v>
      </c>
      <c r="P53">
        <v>50</v>
      </c>
      <c r="Q53">
        <v>22</v>
      </c>
      <c r="R53">
        <v>8</v>
      </c>
      <c r="S53">
        <v>8</v>
      </c>
      <c r="T53">
        <v>2</v>
      </c>
      <c r="U53">
        <v>0</v>
      </c>
      <c r="V53">
        <v>0</v>
      </c>
    </row>
    <row r="54" spans="1:22" ht="12.75">
      <c r="A54">
        <v>87</v>
      </c>
      <c r="B54" t="s">
        <v>135</v>
      </c>
      <c r="C54">
        <v>306</v>
      </c>
      <c r="E54">
        <f t="shared" si="3"/>
        <v>306</v>
      </c>
      <c r="F54" s="19">
        <f t="shared" si="4"/>
        <v>0.00404906514231273</v>
      </c>
      <c r="G54" s="24">
        <f>F54*Printing!$C$16*1000000</f>
        <v>7051851.851851851</v>
      </c>
      <c r="H54" s="3">
        <f>F54*Printing!$B$27</f>
        <v>168.04292002840307</v>
      </c>
      <c r="I54" s="3"/>
      <c r="J54" s="16"/>
      <c r="K54">
        <v>2299</v>
      </c>
      <c r="L54">
        <v>9697</v>
      </c>
      <c r="M54">
        <v>39</v>
      </c>
      <c r="N54">
        <v>23</v>
      </c>
      <c r="O54">
        <v>7</v>
      </c>
      <c r="P54">
        <v>4</v>
      </c>
      <c r="Q54">
        <v>5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2.75">
      <c r="A55">
        <v>93</v>
      </c>
      <c r="B55" t="s">
        <v>136</v>
      </c>
      <c r="C55">
        <v>0</v>
      </c>
      <c r="D55">
        <v>19</v>
      </c>
      <c r="E55">
        <f t="shared" si="3"/>
        <v>9.5</v>
      </c>
      <c r="F55" s="19">
        <f t="shared" si="4"/>
        <v>0.00012570627075807498</v>
      </c>
      <c r="G55" s="24">
        <f>F55*Printing!$C$16*1000000</f>
        <v>218930.04115226338</v>
      </c>
      <c r="H55" s="3">
        <f>F55*Printing!$B$27</f>
        <v>5.21701875905173</v>
      </c>
      <c r="I55" s="3"/>
      <c r="J55" s="16"/>
      <c r="K55">
        <v>0</v>
      </c>
      <c r="L55">
        <v>0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2.75">
      <c r="A56">
        <v>97</v>
      </c>
      <c r="B56" t="s">
        <v>137</v>
      </c>
      <c r="C56">
        <v>919</v>
      </c>
      <c r="E56">
        <f t="shared" si="3"/>
        <v>919</v>
      </c>
      <c r="F56" s="19">
        <f t="shared" si="4"/>
        <v>0.012160427665965357</v>
      </c>
      <c r="G56" s="24">
        <f>F56*Printing!$C$16*1000000</f>
        <v>21178600.823045265</v>
      </c>
      <c r="H56" s="3">
        <f>F56*Printing!$B$27</f>
        <v>504.6779199545831</v>
      </c>
      <c r="I56" s="3"/>
      <c r="J56" s="16"/>
      <c r="K56">
        <v>7851</v>
      </c>
      <c r="L56">
        <v>34317</v>
      </c>
      <c r="M56">
        <v>68</v>
      </c>
      <c r="N56">
        <v>32</v>
      </c>
      <c r="O56">
        <v>16</v>
      </c>
      <c r="P56">
        <v>7</v>
      </c>
      <c r="Q56">
        <v>10</v>
      </c>
      <c r="R56">
        <v>2</v>
      </c>
      <c r="S56">
        <v>1</v>
      </c>
      <c r="T56">
        <v>0</v>
      </c>
      <c r="U56">
        <v>0</v>
      </c>
      <c r="V56">
        <v>0</v>
      </c>
    </row>
    <row r="57" spans="1:22" ht="12.75">
      <c r="A57">
        <v>99</v>
      </c>
      <c r="B57" t="s">
        <v>138</v>
      </c>
      <c r="C57">
        <v>250</v>
      </c>
      <c r="D57">
        <v>499</v>
      </c>
      <c r="E57">
        <f t="shared" si="3"/>
        <v>374.5</v>
      </c>
      <c r="F57" s="19">
        <f t="shared" si="4"/>
        <v>0.004955473515673587</v>
      </c>
      <c r="G57" s="24">
        <f>F57*Printing!$C$16*1000000</f>
        <v>8630452.67489712</v>
      </c>
      <c r="H57" s="3">
        <f>F57*Printing!$B$27</f>
        <v>205.66037108051293</v>
      </c>
      <c r="I57" s="3"/>
      <c r="J57" s="16"/>
      <c r="K57">
        <v>0</v>
      </c>
      <c r="L57">
        <v>0</v>
      </c>
      <c r="M57">
        <v>28</v>
      </c>
      <c r="N57">
        <v>11</v>
      </c>
      <c r="O57">
        <v>6</v>
      </c>
      <c r="P57">
        <v>4</v>
      </c>
      <c r="Q57">
        <v>7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2.75">
      <c r="A58">
        <v>107</v>
      </c>
      <c r="B58" t="s">
        <v>139</v>
      </c>
      <c r="C58" s="18">
        <v>1000</v>
      </c>
      <c r="D58" s="18">
        <v>2499</v>
      </c>
      <c r="E58">
        <f t="shared" si="3"/>
        <v>1749.5</v>
      </c>
      <c r="F58" s="19">
        <f t="shared" si="4"/>
        <v>0.023149802178026545</v>
      </c>
      <c r="G58" s="24">
        <f>F58*Printing!$C$16*1000000</f>
        <v>40317695.47325103</v>
      </c>
      <c r="H58" s="3">
        <f>F58*Printing!$B$27</f>
        <v>960.7551914695791</v>
      </c>
      <c r="I58" s="3"/>
      <c r="J58" s="16"/>
      <c r="K58">
        <v>0</v>
      </c>
      <c r="L58">
        <v>0</v>
      </c>
      <c r="M58">
        <v>23</v>
      </c>
      <c r="N58">
        <v>9</v>
      </c>
      <c r="O58">
        <v>3</v>
      </c>
      <c r="P58">
        <v>2</v>
      </c>
      <c r="Q58">
        <v>3</v>
      </c>
      <c r="R58">
        <v>1</v>
      </c>
      <c r="S58">
        <v>4</v>
      </c>
      <c r="T58">
        <v>0</v>
      </c>
      <c r="U58">
        <v>1</v>
      </c>
      <c r="V58">
        <v>0</v>
      </c>
    </row>
    <row r="59" spans="1:22" ht="12.75">
      <c r="A59">
        <v>111</v>
      </c>
      <c r="B59" t="s">
        <v>140</v>
      </c>
      <c r="C59">
        <v>1151</v>
      </c>
      <c r="E59">
        <f t="shared" si="3"/>
        <v>1151</v>
      </c>
      <c r="F59" s="19">
        <f t="shared" si="4"/>
        <v>0.01523030712026782</v>
      </c>
      <c r="G59" s="24">
        <f>F59*Printing!$C$16*1000000</f>
        <v>26525102.880658433</v>
      </c>
      <c r="H59" s="3">
        <f>F59*Printing!$B$27</f>
        <v>632.08300964932</v>
      </c>
      <c r="I59" s="3"/>
      <c r="J59" s="16"/>
      <c r="K59">
        <v>9706</v>
      </c>
      <c r="L59">
        <v>39865</v>
      </c>
      <c r="M59">
        <v>86</v>
      </c>
      <c r="N59">
        <v>37</v>
      </c>
      <c r="O59">
        <v>22</v>
      </c>
      <c r="P59">
        <v>11</v>
      </c>
      <c r="Q59">
        <v>9</v>
      </c>
      <c r="R59">
        <v>7</v>
      </c>
      <c r="S59">
        <v>0</v>
      </c>
      <c r="T59">
        <v>0</v>
      </c>
      <c r="U59">
        <v>0</v>
      </c>
      <c r="V59">
        <v>0</v>
      </c>
    </row>
    <row r="61" ht="12.75">
      <c r="A61" t="s"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2002-09-13T00:14:05Z</dcterms:created>
  <dcterms:modified xsi:type="dcterms:W3CDTF">2002-09-13T21:48:27Z</dcterms:modified>
  <cp:category/>
  <cp:version/>
  <cp:contentType/>
  <cp:contentStatus/>
</cp:coreProperties>
</file>