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<sst xmlns="http://schemas.openxmlformats.org/spreadsheetml/2006/main" count="276" uniqueCount="94">
  <si>
    <t>Product</t>
  </si>
  <si>
    <t>2000 US Production</t>
  </si>
  <si>
    <t>Units</t>
  </si>
  <si>
    <t>Sawn softwood*</t>
  </si>
  <si>
    <t>million cubic meters</t>
  </si>
  <si>
    <t>Sawn hardwood</t>
  </si>
  <si>
    <t>thousand cubic meters</t>
  </si>
  <si>
    <t>Hardwood plywood</t>
  </si>
  <si>
    <t>Particle board</t>
  </si>
  <si>
    <t>Hardboard</t>
  </si>
  <si>
    <t>Medium-density fiberboard</t>
  </si>
  <si>
    <t>thousand bd-ft</t>
  </si>
  <si>
    <t>2000 CA Production</t>
  </si>
  <si>
    <t>NAICS</t>
  </si>
  <si>
    <t>Description</t>
  </si>
  <si>
    <t>PercentCCOSofCA</t>
  </si>
  <si>
    <t>321113</t>
  </si>
  <si>
    <t>Sawmills</t>
  </si>
  <si>
    <t>321211</t>
  </si>
  <si>
    <t>Hardwood veneer &amp; plywood mfg</t>
  </si>
  <si>
    <t>321219</t>
  </si>
  <si>
    <t>Reconstituted wood product mfg</t>
  </si>
  <si>
    <t>% CA of US total</t>
  </si>
  <si>
    <t>%CCOS of CA Total</t>
  </si>
  <si>
    <t>2000 CCOS Production</t>
  </si>
  <si>
    <t>PM</t>
  </si>
  <si>
    <t>Processes</t>
  </si>
  <si>
    <t xml:space="preserve">Cyclone for truck chip bin at chip and saw operations (x2); Cyclone receiving wood refuse from trim saw and planar at chip and saw operations; </t>
  </si>
  <si>
    <t>NOx</t>
  </si>
  <si>
    <t>CO</t>
  </si>
  <si>
    <t>VOC</t>
  </si>
  <si>
    <t>EF Units</t>
  </si>
  <si>
    <t>pounds of pollutant per thousand square feet of 3/8-inch thick panel</t>
  </si>
  <si>
    <t>pounds per oven-dried ton</t>
  </si>
  <si>
    <t>Press; wood-fired plywood dryer; plywood trim chipper; sander; saw</t>
  </si>
  <si>
    <t>Wood-fired rotary dryer</t>
  </si>
  <si>
    <t>PM10</t>
  </si>
  <si>
    <t>press; cooler; flaker/refiner/hammermill; sander</t>
  </si>
  <si>
    <t>pounds of pollutant per thousand square feet of 3/4-inch thick panel</t>
  </si>
  <si>
    <t>One lb/MSF 3/4 = 0.26 kg/m3</t>
  </si>
  <si>
    <t>One lb/MSF 3/8 = 0.5 kg/m3.</t>
  </si>
  <si>
    <t>pounds of pollutant per thousand square feet of 1/8-inch thick panel</t>
  </si>
  <si>
    <t>One lb/MSF 1/8 = 1.54 kg/m3.</t>
  </si>
  <si>
    <t>Wood-fired dryer, ovens, press preheaters; log chipper; refiner</t>
  </si>
  <si>
    <t>Press; sander; humidification</t>
  </si>
  <si>
    <t>One lb/MSF 3/4 = 0.26 kg/m3.</t>
  </si>
  <si>
    <t>Dryer; chipper; former</t>
  </si>
  <si>
    <t>Press; cooler; sander; saw; hogger</t>
  </si>
  <si>
    <t>thousand cu m3</t>
  </si>
  <si>
    <t>EFs (kg/m3)</t>
  </si>
  <si>
    <t>45 lbs/cu ft</t>
  </si>
  <si>
    <t>2000 lbs/ton / 45 lbs/cu ft *.02832 m3/cu ft *.4536 kg/lb</t>
  </si>
  <si>
    <t>kg/m3</t>
  </si>
  <si>
    <t>Sawn softwood</t>
  </si>
  <si>
    <t>2000 lbs/ton / 31 lbs/cu ft *.02832 m3/cu ft *.4536 kg/lb</t>
  </si>
  <si>
    <t>2000 lbs/ton / 40 lbs/cu ft *.02832 m3/cu ft *.4536 kg/lb</t>
  </si>
  <si>
    <t>lb/bd-ft</t>
  </si>
  <si>
    <t>Emissions (kg)</t>
  </si>
  <si>
    <t>Proportion of total California employment in the CCOS II area</t>
  </si>
  <si>
    <t>US productions of wood products and estimated productions for California and CCOS</t>
  </si>
  <si>
    <t>Emission factors from AP-42</t>
  </si>
  <si>
    <t>Emission factors converted to metric units</t>
  </si>
  <si>
    <t>Emission factors converted to English units</t>
  </si>
  <si>
    <t>Emissions in metric units</t>
  </si>
  <si>
    <t>Emissions converted to English units</t>
  </si>
  <si>
    <t>press; cooler; sander</t>
  </si>
  <si>
    <t>Wood-fired rotary dryer; flaker/refiner/hammermill</t>
  </si>
  <si>
    <t>EFs (various units, as reported by AP-42)</t>
  </si>
  <si>
    <t>2.205 lb/kg /(35.3 ft3/m3) *82.99 ft3/bd-ft</t>
  </si>
  <si>
    <t>EFs (lb/bd-ft)</t>
  </si>
  <si>
    <t>Uncontrolled Emissions (tons)</t>
  </si>
  <si>
    <t>Controlled Emissions (tons)</t>
  </si>
  <si>
    <t>County</t>
  </si>
  <si>
    <t>SumOfTEMPMM</t>
  </si>
  <si>
    <t>Amador</t>
  </si>
  <si>
    <t>Butte</t>
  </si>
  <si>
    <t>Calaveras</t>
  </si>
  <si>
    <t>El Dorado</t>
  </si>
  <si>
    <t>Mariposa</t>
  </si>
  <si>
    <t>Mendocino</t>
  </si>
  <si>
    <t>Nevada</t>
  </si>
  <si>
    <t>Placer</t>
  </si>
  <si>
    <t>Plumas</t>
  </si>
  <si>
    <t>Sacramento</t>
  </si>
  <si>
    <t>Shasta</t>
  </si>
  <si>
    <t>Sierra</t>
  </si>
  <si>
    <t>Tehama</t>
  </si>
  <si>
    <t>Tuolumne</t>
  </si>
  <si>
    <t>Yolo</t>
  </si>
  <si>
    <t>Yuba</t>
  </si>
  <si>
    <t>Solano</t>
  </si>
  <si>
    <t>This spreadsheet calculates emissions for the wood processing industry and disaggregates emissions to the CCOSII counties.</t>
  </si>
  <si>
    <t>Sawmill Emissions (tpy)</t>
  </si>
  <si>
    <t>Other Facilities' Emissions (tpy)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</si>
</sst>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_);_(* \(#,##0.0\);_(* &quot;-&quot;?_);_(@_)"/>
    <numFmt numFmtId="173" formatCode="_(* #,##0.0000_);_(* \(#,##0.0000\);_(* &quot;-&quot;????_);_(@_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"/>
    <numFmt numFmtId="182" formatCode="0.00000000"/>
    <numFmt numFmtId="183" formatCode="_(* #,##0.000_);_(* \(#,##0.000\);_(* &quot;-&quot;?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22" applyAlignment="1">
      <alignment/>
    </xf>
    <xf numFmtId="168" fontId="0" fillId="0" borderId="0" xfId="22" applyNumberFormat="1" applyAlignment="1">
      <alignment/>
    </xf>
    <xf numFmtId="169" fontId="0" fillId="0" borderId="0" xfId="15" applyNumberFormat="1" applyAlignment="1">
      <alignment/>
    </xf>
    <xf numFmtId="170" fontId="0" fillId="0" borderId="0" xfId="15" applyNumberFormat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2" borderId="1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wrapText="1"/>
      <protection/>
    </xf>
    <xf numFmtId="0" fontId="5" fillId="0" borderId="2" xfId="21" applyFont="1" applyFill="1" applyBorder="1" applyAlignment="1">
      <alignment horizontal="right" wrapText="1"/>
      <protection/>
    </xf>
    <xf numFmtId="0" fontId="5" fillId="0" borderId="2" xfId="21" applyNumberFormat="1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2" width="42.421875" style="0" bestFit="1" customWidth="1"/>
    <col min="3" max="3" width="19.00390625" style="0" customWidth="1"/>
    <col min="4" max="4" width="17.8515625" style="0" bestFit="1" customWidth="1"/>
    <col min="5" max="5" width="20.140625" style="0" customWidth="1"/>
    <col min="6" max="6" width="12.8515625" style="0" bestFit="1" customWidth="1"/>
    <col min="7" max="7" width="13.421875" style="0" bestFit="1" customWidth="1"/>
    <col min="8" max="8" width="15.57421875" style="0" bestFit="1" customWidth="1"/>
    <col min="9" max="9" width="11.28125" style="0" bestFit="1" customWidth="1"/>
    <col min="10" max="11" width="11.421875" style="0" bestFit="1" customWidth="1"/>
  </cols>
  <sheetData>
    <row r="1" spans="1:9" ht="12.75">
      <c r="A1" t="s">
        <v>91</v>
      </c>
      <c r="F1" s="5"/>
      <c r="G1" s="5"/>
      <c r="H1" s="3"/>
      <c r="I1" s="3"/>
    </row>
    <row r="2" spans="1:9" ht="12.75">
      <c r="A2" t="s">
        <v>59</v>
      </c>
      <c r="F2" s="5"/>
      <c r="G2" s="5"/>
      <c r="H2" s="3"/>
      <c r="I2" s="3"/>
    </row>
    <row r="3" spans="1:10" ht="12.75">
      <c r="A3" t="s">
        <v>0</v>
      </c>
      <c r="B3" t="s">
        <v>1</v>
      </c>
      <c r="C3" t="s">
        <v>2</v>
      </c>
      <c r="D3" t="s">
        <v>1</v>
      </c>
      <c r="E3" t="s">
        <v>2</v>
      </c>
      <c r="F3" t="s">
        <v>22</v>
      </c>
      <c r="G3" t="s">
        <v>12</v>
      </c>
      <c r="I3" t="s">
        <v>23</v>
      </c>
      <c r="J3" t="s">
        <v>24</v>
      </c>
    </row>
    <row r="4" spans="1:11" ht="12.75">
      <c r="A4" t="s">
        <v>3</v>
      </c>
      <c r="B4" s="4">
        <v>81.5</v>
      </c>
      <c r="C4" t="s">
        <v>4</v>
      </c>
      <c r="D4" s="5">
        <f>B4/2.35*1000</f>
        <v>34680.85106382978</v>
      </c>
      <c r="E4" t="s">
        <v>11</v>
      </c>
      <c r="F4" s="3">
        <f>+(134257+1758190+145076)/(746790+14106372+1005658)</f>
        <v>0.12847885277719276</v>
      </c>
      <c r="G4" s="8">
        <f aca="true" t="shared" si="0" ref="G4:G9">F4*D4</f>
        <v>4455.755958017536</v>
      </c>
      <c r="H4" t="s">
        <v>11</v>
      </c>
      <c r="I4" s="1">
        <f>C13</f>
        <v>0.32357414448669203</v>
      </c>
      <c r="J4" s="8">
        <f aca="true" t="shared" si="1" ref="J4:J9">I4*G4</f>
        <v>1441.767422157005</v>
      </c>
      <c r="K4" t="s">
        <v>11</v>
      </c>
    </row>
    <row r="5" spans="1:11" ht="12.75">
      <c r="A5" t="s">
        <v>5</v>
      </c>
      <c r="B5" s="5">
        <v>29932</v>
      </c>
      <c r="C5" t="s">
        <v>6</v>
      </c>
      <c r="D5" s="5">
        <f>B5/2.36</f>
        <v>12683.050847457627</v>
      </c>
      <c r="E5" t="s">
        <v>11</v>
      </c>
      <c r="F5" s="3">
        <v>0.034</v>
      </c>
      <c r="G5" s="8">
        <f t="shared" si="0"/>
        <v>431.2237288135594</v>
      </c>
      <c r="H5" t="s">
        <v>11</v>
      </c>
      <c r="I5" s="1">
        <f>C13</f>
        <v>0.32357414448669203</v>
      </c>
      <c r="J5" s="8">
        <f t="shared" si="1"/>
        <v>139.53284913320877</v>
      </c>
      <c r="K5" t="s">
        <v>11</v>
      </c>
    </row>
    <row r="6" spans="1:11" ht="12.75">
      <c r="A6" t="s">
        <v>7</v>
      </c>
      <c r="B6" s="5">
        <v>1806</v>
      </c>
      <c r="C6" t="s">
        <v>6</v>
      </c>
      <c r="D6" s="5">
        <f>B6/2.36</f>
        <v>765.2542372881356</v>
      </c>
      <c r="E6" t="s">
        <v>11</v>
      </c>
      <c r="F6" s="3">
        <v>0.024</v>
      </c>
      <c r="G6" s="8">
        <f t="shared" si="0"/>
        <v>18.366101694915255</v>
      </c>
      <c r="H6" t="s">
        <v>11</v>
      </c>
      <c r="I6" s="1">
        <f>C14</f>
        <v>0.0366598778004073</v>
      </c>
      <c r="J6" s="6">
        <f t="shared" si="1"/>
        <v>0.6732990438054467</v>
      </c>
      <c r="K6" t="s">
        <v>11</v>
      </c>
    </row>
    <row r="7" spans="1:11" ht="12.75">
      <c r="A7" t="s">
        <v>8</v>
      </c>
      <c r="B7" s="5">
        <v>9256</v>
      </c>
      <c r="C7" t="s">
        <v>6</v>
      </c>
      <c r="D7" s="5">
        <f>B7/2.36</f>
        <v>3922.033898305085</v>
      </c>
      <c r="E7" t="s">
        <v>11</v>
      </c>
      <c r="F7" s="3">
        <v>0.055</v>
      </c>
      <c r="G7" s="8">
        <f t="shared" si="0"/>
        <v>215.71186440677968</v>
      </c>
      <c r="H7" t="s">
        <v>11</v>
      </c>
      <c r="I7" s="1">
        <f>C15</f>
        <v>0.468337730870712</v>
      </c>
      <c r="J7" s="8">
        <f t="shared" si="1"/>
        <v>101.0260050981619</v>
      </c>
      <c r="K7" t="s">
        <v>11</v>
      </c>
    </row>
    <row r="8" spans="1:11" ht="12.75">
      <c r="A8" t="s">
        <v>9</v>
      </c>
      <c r="B8" s="5">
        <v>1238</v>
      </c>
      <c r="C8" t="s">
        <v>6</v>
      </c>
      <c r="D8" s="5">
        <f>B8/2.36</f>
        <v>524.5762711864407</v>
      </c>
      <c r="E8" t="s">
        <v>11</v>
      </c>
      <c r="F8" s="3">
        <v>0.016</v>
      </c>
      <c r="G8" s="8">
        <f t="shared" si="0"/>
        <v>8.393220338983053</v>
      </c>
      <c r="H8" t="s">
        <v>11</v>
      </c>
      <c r="I8" s="1">
        <f>C15</f>
        <v>0.468337730870712</v>
      </c>
      <c r="J8" s="6">
        <f t="shared" si="1"/>
        <v>3.9308617682572313</v>
      </c>
      <c r="K8" t="s">
        <v>11</v>
      </c>
    </row>
    <row r="9" spans="1:11" ht="12.75">
      <c r="A9" t="s">
        <v>10</v>
      </c>
      <c r="B9" s="5">
        <v>2501</v>
      </c>
      <c r="C9" t="s">
        <v>6</v>
      </c>
      <c r="D9" s="5">
        <f>B9/2.36</f>
        <v>1059.7457627118645</v>
      </c>
      <c r="E9" t="s">
        <v>11</v>
      </c>
      <c r="F9" s="3">
        <v>0.14</v>
      </c>
      <c r="G9" s="8">
        <f t="shared" si="0"/>
        <v>148.36440677966104</v>
      </c>
      <c r="H9" t="s">
        <v>11</v>
      </c>
      <c r="I9" s="1">
        <f>C15</f>
        <v>0.468337730870712</v>
      </c>
      <c r="J9" s="8">
        <f t="shared" si="1"/>
        <v>69.48464961316573</v>
      </c>
      <c r="K9" t="s">
        <v>11</v>
      </c>
    </row>
    <row r="11" ht="12.75">
      <c r="A11" t="s">
        <v>58</v>
      </c>
    </row>
    <row r="12" spans="1:3" ht="12.75">
      <c r="A12" t="s">
        <v>13</v>
      </c>
      <c r="B12" t="s">
        <v>14</v>
      </c>
      <c r="C12" t="s">
        <v>15</v>
      </c>
    </row>
    <row r="13" spans="1:3" ht="12.75">
      <c r="A13" t="s">
        <v>16</v>
      </c>
      <c r="B13" t="s">
        <v>17</v>
      </c>
      <c r="C13" s="2">
        <v>0.32357414448669203</v>
      </c>
    </row>
    <row r="14" spans="1:3" ht="12.75">
      <c r="A14" t="s">
        <v>18</v>
      </c>
      <c r="B14" t="s">
        <v>19</v>
      </c>
      <c r="C14" s="2">
        <v>0.0366598778004073</v>
      </c>
    </row>
    <row r="15" spans="1:3" ht="12.75">
      <c r="A15" t="s">
        <v>20</v>
      </c>
      <c r="B15" t="s">
        <v>21</v>
      </c>
      <c r="C15" s="2">
        <v>0.468337730870712</v>
      </c>
    </row>
    <row r="18" spans="1:6" ht="12.75">
      <c r="A18" t="s">
        <v>60</v>
      </c>
      <c r="F18" t="s">
        <v>67</v>
      </c>
    </row>
    <row r="19" spans="6:11" ht="12.75">
      <c r="F19" t="s">
        <v>25</v>
      </c>
      <c r="G19" t="s">
        <v>36</v>
      </c>
      <c r="H19" t="s">
        <v>28</v>
      </c>
      <c r="I19" t="s">
        <v>29</v>
      </c>
      <c r="J19" t="s">
        <v>30</v>
      </c>
      <c r="K19" t="s">
        <v>31</v>
      </c>
    </row>
    <row r="20" spans="1:2" ht="12.75">
      <c r="A20" t="s">
        <v>26</v>
      </c>
      <c r="B20" t="s">
        <v>0</v>
      </c>
    </row>
    <row r="21" spans="1:11" ht="12.75">
      <c r="A21" t="s">
        <v>27</v>
      </c>
      <c r="B21" t="s">
        <v>53</v>
      </c>
      <c r="F21">
        <f>0.6+0.004*2</f>
        <v>0.608</v>
      </c>
      <c r="K21" t="s">
        <v>33</v>
      </c>
    </row>
    <row r="22" spans="1:11" ht="12.75">
      <c r="A22" t="s">
        <v>27</v>
      </c>
      <c r="B22" t="s">
        <v>5</v>
      </c>
      <c r="F22">
        <f>0.6+0.004*2</f>
        <v>0.608</v>
      </c>
      <c r="K22" t="s">
        <v>33</v>
      </c>
    </row>
    <row r="23" spans="1:18" ht="12.75">
      <c r="A23" t="s">
        <v>34</v>
      </c>
      <c r="B23" t="s">
        <v>7</v>
      </c>
      <c r="F23">
        <v>0.443</v>
      </c>
      <c r="G23" s="15">
        <f>F23*0.25</f>
        <v>0.11075</v>
      </c>
      <c r="H23">
        <v>0.17</v>
      </c>
      <c r="I23">
        <v>0.23</v>
      </c>
      <c r="J23">
        <v>0.40149999999999997</v>
      </c>
      <c r="K23" t="s">
        <v>32</v>
      </c>
      <c r="R23" t="s">
        <v>40</v>
      </c>
    </row>
    <row r="24" spans="1:18" s="14" customFormat="1" ht="12.75">
      <c r="A24" s="14" t="s">
        <v>66</v>
      </c>
      <c r="B24" s="14" t="s">
        <v>8</v>
      </c>
      <c r="F24" s="14">
        <v>2.2</v>
      </c>
      <c r="G24" s="14">
        <v>0.69</v>
      </c>
      <c r="H24" s="14">
        <v>1.8</v>
      </c>
      <c r="I24" s="14">
        <f>0.59</f>
        <v>0.59</v>
      </c>
      <c r="J24" s="14">
        <f>0.059+1.1</f>
        <v>1.159</v>
      </c>
      <c r="K24" s="14" t="s">
        <v>33</v>
      </c>
      <c r="R24" s="14" t="s">
        <v>50</v>
      </c>
    </row>
    <row r="25" spans="1:18" s="14" customFormat="1" ht="12.75">
      <c r="A25" s="14" t="s">
        <v>65</v>
      </c>
      <c r="B25" s="14" t="s">
        <v>8</v>
      </c>
      <c r="F25" s="14">
        <f>0.2+0.15+0.23+0.077</f>
        <v>0.6569999999999999</v>
      </c>
      <c r="G25" s="14">
        <f>0.016</f>
        <v>0.016</v>
      </c>
      <c r="H25" s="14">
        <v>0.017</v>
      </c>
      <c r="I25" s="14">
        <f>0.22+0.15</f>
        <v>0.37</v>
      </c>
      <c r="J25" s="14">
        <f>1.1+0.091+0.079</f>
        <v>1.27</v>
      </c>
      <c r="K25" s="14" t="s">
        <v>38</v>
      </c>
      <c r="R25" s="14" t="s">
        <v>39</v>
      </c>
    </row>
    <row r="26" spans="1:11" s="14" customFormat="1" ht="12.75">
      <c r="A26" s="14" t="s">
        <v>43</v>
      </c>
      <c r="B26" s="14" t="s">
        <v>9</v>
      </c>
      <c r="F26" s="14">
        <f>1.9+0.57</f>
        <v>2.4699999999999998</v>
      </c>
      <c r="G26" s="15">
        <f>F26*0.25</f>
        <v>0.6174999999999999</v>
      </c>
      <c r="H26" s="14">
        <v>0.44</v>
      </c>
      <c r="I26" s="14">
        <v>0.085</v>
      </c>
      <c r="J26" s="14">
        <f>1.1+0.005+0.49</f>
        <v>1.595</v>
      </c>
      <c r="K26" s="14" t="s">
        <v>33</v>
      </c>
    </row>
    <row r="27" spans="1:18" s="14" customFormat="1" ht="12.75">
      <c r="A27" s="14" t="s">
        <v>44</v>
      </c>
      <c r="B27" s="14" t="s">
        <v>9</v>
      </c>
      <c r="F27" s="14">
        <f>0.14+0.12+0.03</f>
        <v>0.29000000000000004</v>
      </c>
      <c r="G27" s="14">
        <v>0.086</v>
      </c>
      <c r="H27" s="14">
        <v>0.0028</v>
      </c>
      <c r="I27" s="14">
        <v>0.16</v>
      </c>
      <c r="J27" s="14">
        <f>0.52+0.76</f>
        <v>1.28</v>
      </c>
      <c r="K27" s="14" t="s">
        <v>41</v>
      </c>
      <c r="R27" s="14" t="s">
        <v>42</v>
      </c>
    </row>
    <row r="28" spans="1:11" s="14" customFormat="1" ht="12.75">
      <c r="A28" s="14" t="s">
        <v>46</v>
      </c>
      <c r="B28" s="14" t="s">
        <v>10</v>
      </c>
      <c r="F28" s="14">
        <f>10.4+0.59</f>
        <v>10.99</v>
      </c>
      <c r="G28" s="14">
        <v>1.6</v>
      </c>
      <c r="H28" s="15">
        <v>12</v>
      </c>
      <c r="I28" s="14">
        <f>4</f>
        <v>4</v>
      </c>
      <c r="J28" s="14">
        <f>6.7+0.005+0.067</f>
        <v>6.772</v>
      </c>
      <c r="K28" s="14" t="s">
        <v>33</v>
      </c>
    </row>
    <row r="29" spans="1:18" s="14" customFormat="1" ht="12.75">
      <c r="A29" s="14" t="s">
        <v>47</v>
      </c>
      <c r="B29" s="14" t="s">
        <v>10</v>
      </c>
      <c r="F29" s="14">
        <f>0.18+0.2+0.054</f>
        <v>0.434</v>
      </c>
      <c r="G29" s="14">
        <f>0.15+0.0038</f>
        <v>0.1538</v>
      </c>
      <c r="H29" s="14">
        <v>0.03</v>
      </c>
      <c r="I29" s="14">
        <v>0.034</v>
      </c>
      <c r="J29" s="14">
        <f>0.8+0.13+0.0066+0.13</f>
        <v>1.0666000000000002</v>
      </c>
      <c r="K29" s="14" t="s">
        <v>38</v>
      </c>
      <c r="R29" s="14" t="s">
        <v>45</v>
      </c>
    </row>
    <row r="31" ht="12.75">
      <c r="F31" t="s">
        <v>49</v>
      </c>
    </row>
    <row r="32" spans="1:11" ht="12.75">
      <c r="A32" t="s">
        <v>61</v>
      </c>
      <c r="F32" t="s">
        <v>25</v>
      </c>
      <c r="G32" t="s">
        <v>36</v>
      </c>
      <c r="H32" t="s">
        <v>28</v>
      </c>
      <c r="I32" t="s">
        <v>29</v>
      </c>
      <c r="J32" t="s">
        <v>30</v>
      </c>
      <c r="K32" t="s">
        <v>31</v>
      </c>
    </row>
    <row r="33" spans="1:5" ht="12.75">
      <c r="A33" t="s">
        <v>26</v>
      </c>
      <c r="E33" t="s">
        <v>0</v>
      </c>
    </row>
    <row r="34" spans="1:14" ht="12.75">
      <c r="A34" t="s">
        <v>27</v>
      </c>
      <c r="E34" t="s">
        <v>3</v>
      </c>
      <c r="F34" s="12">
        <f aca="true" t="shared" si="2" ref="F34:F42">$L34*F21</f>
        <v>0.15086947845804985</v>
      </c>
      <c r="G34" s="11"/>
      <c r="H34" s="11"/>
      <c r="I34" s="11"/>
      <c r="J34" s="11"/>
      <c r="K34" t="s">
        <v>52</v>
      </c>
      <c r="L34">
        <f>31*35.3/2.205/2000</f>
        <v>0.24814058956916096</v>
      </c>
      <c r="N34" t="s">
        <v>54</v>
      </c>
    </row>
    <row r="35" spans="1:14" ht="12.75">
      <c r="A35" t="s">
        <v>27</v>
      </c>
      <c r="E35" t="s">
        <v>5</v>
      </c>
      <c r="F35" s="12">
        <f t="shared" si="2"/>
        <v>0.1946702947845805</v>
      </c>
      <c r="G35" s="11"/>
      <c r="H35" s="11"/>
      <c r="I35" s="11"/>
      <c r="J35" s="11"/>
      <c r="K35" t="s">
        <v>52</v>
      </c>
      <c r="L35">
        <f>40*35.3/2.205/2000</f>
        <v>0.3201814058956916</v>
      </c>
      <c r="N35" t="s">
        <v>55</v>
      </c>
    </row>
    <row r="36" spans="1:14" ht="12.75">
      <c r="A36" t="s">
        <v>34</v>
      </c>
      <c r="E36" t="s">
        <v>7</v>
      </c>
      <c r="F36" s="12">
        <f t="shared" si="2"/>
        <v>0.2215</v>
      </c>
      <c r="G36" s="12">
        <f aca="true" t="shared" si="3" ref="G36:J42">$L36*G23</f>
        <v>0.055375</v>
      </c>
      <c r="H36" s="11">
        <f t="shared" si="3"/>
        <v>0.085</v>
      </c>
      <c r="I36" s="12">
        <f t="shared" si="3"/>
        <v>0.115</v>
      </c>
      <c r="J36" s="12">
        <f t="shared" si="3"/>
        <v>0.20074999999999998</v>
      </c>
      <c r="K36" t="s">
        <v>52</v>
      </c>
      <c r="L36">
        <v>0.5</v>
      </c>
      <c r="N36" t="s">
        <v>40</v>
      </c>
    </row>
    <row r="37" spans="1:14" ht="12.75">
      <c r="A37" t="s">
        <v>35</v>
      </c>
      <c r="E37" t="s">
        <v>8</v>
      </c>
      <c r="F37" s="13">
        <f t="shared" si="2"/>
        <v>0.7924489795918367</v>
      </c>
      <c r="G37" s="12">
        <f t="shared" si="3"/>
        <v>0.24854081632653055</v>
      </c>
      <c r="H37" s="13">
        <f t="shared" si="3"/>
        <v>0.6483673469387754</v>
      </c>
      <c r="I37" s="12">
        <f t="shared" si="3"/>
        <v>0.21252040816326526</v>
      </c>
      <c r="J37" s="12">
        <f t="shared" si="3"/>
        <v>0.4174765306122448</v>
      </c>
      <c r="K37" t="s">
        <v>52</v>
      </c>
      <c r="L37">
        <f>45*35.3/2.205/2000</f>
        <v>0.360204081632653</v>
      </c>
      <c r="N37" t="s">
        <v>51</v>
      </c>
    </row>
    <row r="38" spans="1:14" ht="12.75">
      <c r="A38" t="s">
        <v>37</v>
      </c>
      <c r="E38" t="s">
        <v>8</v>
      </c>
      <c r="F38" s="12">
        <f t="shared" si="2"/>
        <v>0.17081999999999997</v>
      </c>
      <c r="G38" s="10">
        <f t="shared" si="3"/>
        <v>0.0041600000000000005</v>
      </c>
      <c r="H38" s="10">
        <f t="shared" si="3"/>
        <v>0.00442</v>
      </c>
      <c r="I38" s="11">
        <f t="shared" si="3"/>
        <v>0.09620000000000001</v>
      </c>
      <c r="J38" s="12">
        <f t="shared" si="3"/>
        <v>0.3302</v>
      </c>
      <c r="K38" t="s">
        <v>52</v>
      </c>
      <c r="L38">
        <v>0.26</v>
      </c>
      <c r="N38" t="s">
        <v>39</v>
      </c>
    </row>
    <row r="39" spans="1:14" ht="12.75">
      <c r="A39" t="s">
        <v>43</v>
      </c>
      <c r="E39" t="s">
        <v>9</v>
      </c>
      <c r="F39" s="13">
        <f t="shared" si="2"/>
        <v>0.7908480725623582</v>
      </c>
      <c r="G39" s="12">
        <f t="shared" si="3"/>
        <v>0.19771201814058956</v>
      </c>
      <c r="H39" s="12">
        <f t="shared" si="3"/>
        <v>0.1408798185941043</v>
      </c>
      <c r="I39" s="11">
        <f t="shared" si="3"/>
        <v>0.02721541950113379</v>
      </c>
      <c r="J39" s="13">
        <f t="shared" si="3"/>
        <v>0.5106893424036281</v>
      </c>
      <c r="K39" t="s">
        <v>52</v>
      </c>
      <c r="L39">
        <f>40*35.3/2.205/2000</f>
        <v>0.3201814058956916</v>
      </c>
      <c r="N39" t="s">
        <v>55</v>
      </c>
    </row>
    <row r="40" spans="1:14" ht="12.75">
      <c r="A40" t="s">
        <v>44</v>
      </c>
      <c r="E40" t="s">
        <v>9</v>
      </c>
      <c r="F40" s="11">
        <f t="shared" si="2"/>
        <v>0.44660000000000005</v>
      </c>
      <c r="G40" s="11">
        <f t="shared" si="3"/>
        <v>0.13244</v>
      </c>
      <c r="H40" s="9">
        <f t="shared" si="3"/>
        <v>0.004312</v>
      </c>
      <c r="I40" s="11">
        <f t="shared" si="3"/>
        <v>0.2464</v>
      </c>
      <c r="J40" s="12">
        <f t="shared" si="3"/>
        <v>1.9712</v>
      </c>
      <c r="K40" t="s">
        <v>52</v>
      </c>
      <c r="L40">
        <v>1.54</v>
      </c>
      <c r="N40" t="s">
        <v>42</v>
      </c>
    </row>
    <row r="41" spans="1:14" ht="12.75">
      <c r="A41" t="s">
        <v>46</v>
      </c>
      <c r="E41" t="s">
        <v>10</v>
      </c>
      <c r="F41" s="13">
        <f t="shared" si="2"/>
        <v>3.518793650793651</v>
      </c>
      <c r="G41" s="12">
        <f t="shared" si="3"/>
        <v>0.5122902494331066</v>
      </c>
      <c r="H41" s="12">
        <f t="shared" si="3"/>
        <v>3.8421768707482995</v>
      </c>
      <c r="I41" s="13">
        <f t="shared" si="3"/>
        <v>1.2807256235827664</v>
      </c>
      <c r="J41" s="13">
        <f t="shared" si="3"/>
        <v>2.1682684807256236</v>
      </c>
      <c r="K41" t="s">
        <v>52</v>
      </c>
      <c r="L41">
        <f>40*35.3/2.205/2000</f>
        <v>0.3201814058956916</v>
      </c>
      <c r="N41" t="s">
        <v>55</v>
      </c>
    </row>
    <row r="42" spans="1:14" ht="12.75">
      <c r="A42" t="s">
        <v>47</v>
      </c>
      <c r="E42" t="s">
        <v>10</v>
      </c>
      <c r="F42" s="12">
        <f t="shared" si="2"/>
        <v>0.11284000000000001</v>
      </c>
      <c r="G42" s="11">
        <f t="shared" si="3"/>
        <v>0.039988</v>
      </c>
      <c r="H42" s="10">
        <f t="shared" si="3"/>
        <v>0.0078</v>
      </c>
      <c r="I42" s="10">
        <f t="shared" si="3"/>
        <v>0.00884</v>
      </c>
      <c r="J42" s="12">
        <f t="shared" si="3"/>
        <v>0.27731600000000006</v>
      </c>
      <c r="K42" t="s">
        <v>52</v>
      </c>
      <c r="L42">
        <v>0.26</v>
      </c>
      <c r="N42" t="s">
        <v>45</v>
      </c>
    </row>
    <row r="44" ht="12.75">
      <c r="F44" t="s">
        <v>69</v>
      </c>
    </row>
    <row r="45" spans="1:11" ht="12.75">
      <c r="A45" t="s">
        <v>62</v>
      </c>
      <c r="F45" t="s">
        <v>25</v>
      </c>
      <c r="G45" t="s">
        <v>36</v>
      </c>
      <c r="H45" t="s">
        <v>28</v>
      </c>
      <c r="I45" t="s">
        <v>29</v>
      </c>
      <c r="J45" t="s">
        <v>30</v>
      </c>
      <c r="K45" t="s">
        <v>31</v>
      </c>
    </row>
    <row r="46" spans="1:5" ht="12.75">
      <c r="A46" t="s">
        <v>26</v>
      </c>
      <c r="E46" t="s">
        <v>0</v>
      </c>
    </row>
    <row r="47" spans="1:14" ht="12.75">
      <c r="A47" t="s">
        <v>27</v>
      </c>
      <c r="E47" t="s">
        <v>3</v>
      </c>
      <c r="F47" s="12">
        <f aca="true" t="shared" si="4" ref="F47:F55">F34*$L47</f>
        <v>0.7820977599999999</v>
      </c>
      <c r="G47" s="11"/>
      <c r="H47" s="11"/>
      <c r="I47" s="11"/>
      <c r="J47" s="11"/>
      <c r="K47" t="s">
        <v>56</v>
      </c>
      <c r="L47">
        <f>2.205/35.3*82.99</f>
        <v>5.18393626062323</v>
      </c>
      <c r="N47" t="s">
        <v>68</v>
      </c>
    </row>
    <row r="48" spans="1:14" ht="12.75">
      <c r="A48" t="s">
        <v>27</v>
      </c>
      <c r="E48" t="s">
        <v>5</v>
      </c>
      <c r="F48" s="12">
        <f t="shared" si="4"/>
        <v>1.0091584</v>
      </c>
      <c r="G48" s="11"/>
      <c r="H48" s="11"/>
      <c r="I48" s="11"/>
      <c r="J48" s="11"/>
      <c r="K48" t="s">
        <v>56</v>
      </c>
      <c r="L48">
        <f aca="true" t="shared" si="5" ref="L48:L55">2.205/35.3*82.99</f>
        <v>5.18393626062323</v>
      </c>
      <c r="N48" t="s">
        <v>68</v>
      </c>
    </row>
    <row r="49" spans="1:14" ht="12.75">
      <c r="A49" t="s">
        <v>34</v>
      </c>
      <c r="E49" t="s">
        <v>7</v>
      </c>
      <c r="F49" s="12">
        <f t="shared" si="4"/>
        <v>1.1482418817280453</v>
      </c>
      <c r="G49" s="12">
        <f aca="true" t="shared" si="6" ref="G49:J55">G36*$L49</f>
        <v>0.2870604704320113</v>
      </c>
      <c r="H49" s="12">
        <f t="shared" si="6"/>
        <v>0.4406345821529746</v>
      </c>
      <c r="I49" s="12">
        <f t="shared" si="6"/>
        <v>0.5961526699716715</v>
      </c>
      <c r="J49" s="12">
        <f t="shared" si="6"/>
        <v>1.0406752043201133</v>
      </c>
      <c r="K49" t="s">
        <v>56</v>
      </c>
      <c r="L49">
        <f t="shared" si="5"/>
        <v>5.18393626062323</v>
      </c>
      <c r="N49" t="s">
        <v>68</v>
      </c>
    </row>
    <row r="50" spans="1:14" ht="12.75">
      <c r="A50" t="s">
        <v>35</v>
      </c>
      <c r="E50" t="s">
        <v>8</v>
      </c>
      <c r="F50" s="12">
        <f t="shared" si="4"/>
        <v>4.108005</v>
      </c>
      <c r="G50" s="12">
        <f t="shared" si="6"/>
        <v>1.2884197499999999</v>
      </c>
      <c r="H50" s="12">
        <f t="shared" si="6"/>
        <v>3.3610949999999997</v>
      </c>
      <c r="I50" s="12">
        <f t="shared" si="6"/>
        <v>1.1016922499999997</v>
      </c>
      <c r="J50" s="12">
        <f t="shared" si="6"/>
        <v>2.1641717249999997</v>
      </c>
      <c r="K50" t="s">
        <v>56</v>
      </c>
      <c r="L50">
        <f t="shared" si="5"/>
        <v>5.18393626062323</v>
      </c>
      <c r="N50" t="s">
        <v>68</v>
      </c>
    </row>
    <row r="51" spans="1:14" ht="12.75">
      <c r="A51" t="s">
        <v>37</v>
      </c>
      <c r="E51" t="s">
        <v>8</v>
      </c>
      <c r="F51" s="12">
        <f t="shared" si="4"/>
        <v>0.8855199920396599</v>
      </c>
      <c r="G51" s="11">
        <f t="shared" si="6"/>
        <v>0.02156517484419264</v>
      </c>
      <c r="H51" s="11">
        <f t="shared" si="6"/>
        <v>0.022912998271954678</v>
      </c>
      <c r="I51" s="12">
        <f t="shared" si="6"/>
        <v>0.49869466827195474</v>
      </c>
      <c r="J51" s="12">
        <f t="shared" si="6"/>
        <v>1.7117357532577904</v>
      </c>
      <c r="K51" t="s">
        <v>56</v>
      </c>
      <c r="L51">
        <f t="shared" si="5"/>
        <v>5.18393626062323</v>
      </c>
      <c r="N51" t="s">
        <v>68</v>
      </c>
    </row>
    <row r="52" spans="1:14" ht="12.75">
      <c r="A52" t="s">
        <v>43</v>
      </c>
      <c r="E52" t="s">
        <v>9</v>
      </c>
      <c r="F52" s="12">
        <f t="shared" si="4"/>
        <v>4.099706</v>
      </c>
      <c r="G52" s="12">
        <f t="shared" si="6"/>
        <v>1.0249265</v>
      </c>
      <c r="H52" s="12">
        <f t="shared" si="6"/>
        <v>0.7303120000000001</v>
      </c>
      <c r="I52" s="12">
        <f t="shared" si="6"/>
        <v>0.14108300000000001</v>
      </c>
      <c r="J52" s="12">
        <f t="shared" si="6"/>
        <v>2.6473809999999998</v>
      </c>
      <c r="K52" t="s">
        <v>56</v>
      </c>
      <c r="L52">
        <f t="shared" si="5"/>
        <v>5.18393626062323</v>
      </c>
      <c r="N52" t="s">
        <v>68</v>
      </c>
    </row>
    <row r="53" spans="1:14" ht="12.75">
      <c r="A53" t="s">
        <v>44</v>
      </c>
      <c r="E53" t="s">
        <v>9</v>
      </c>
      <c r="F53" s="12">
        <f t="shared" si="4"/>
        <v>2.3151459339943345</v>
      </c>
      <c r="G53" s="11">
        <f t="shared" si="6"/>
        <v>0.6865605183569405</v>
      </c>
      <c r="H53" s="10">
        <f t="shared" si="6"/>
        <v>0.022353133155807368</v>
      </c>
      <c r="I53" s="12">
        <f t="shared" si="6"/>
        <v>1.277321894617564</v>
      </c>
      <c r="J53" s="12">
        <f t="shared" si="6"/>
        <v>10.218575156940512</v>
      </c>
      <c r="K53" t="s">
        <v>56</v>
      </c>
      <c r="L53">
        <f t="shared" si="5"/>
        <v>5.18393626062323</v>
      </c>
      <c r="N53" t="s">
        <v>68</v>
      </c>
    </row>
    <row r="54" spans="1:14" ht="12.75">
      <c r="A54" t="s">
        <v>46</v>
      </c>
      <c r="E54" t="s">
        <v>10</v>
      </c>
      <c r="F54" s="13">
        <f t="shared" si="4"/>
        <v>18.241202</v>
      </c>
      <c r="G54" s="12">
        <f t="shared" si="6"/>
        <v>2.6556800000000003</v>
      </c>
      <c r="H54" s="16">
        <f t="shared" si="6"/>
        <v>19.917600000000004</v>
      </c>
      <c r="I54" s="13">
        <f t="shared" si="6"/>
        <v>6.639200000000001</v>
      </c>
      <c r="J54" s="13">
        <f t="shared" si="6"/>
        <v>11.240165600000001</v>
      </c>
      <c r="K54" t="s">
        <v>56</v>
      </c>
      <c r="L54">
        <f t="shared" si="5"/>
        <v>5.18393626062323</v>
      </c>
      <c r="N54" t="s">
        <v>68</v>
      </c>
    </row>
    <row r="55" spans="1:14" ht="12.75">
      <c r="A55" t="s">
        <v>47</v>
      </c>
      <c r="E55" t="s">
        <v>10</v>
      </c>
      <c r="F55" s="12">
        <f t="shared" si="4"/>
        <v>0.5849553676487252</v>
      </c>
      <c r="G55" s="12">
        <f t="shared" si="6"/>
        <v>0.20729524318980172</v>
      </c>
      <c r="H55" s="11">
        <f t="shared" si="6"/>
        <v>0.04043470283286119</v>
      </c>
      <c r="I55" s="12">
        <f t="shared" si="6"/>
        <v>0.045825996543909356</v>
      </c>
      <c r="J55" s="12">
        <f t="shared" si="6"/>
        <v>1.4375884680509918</v>
      </c>
      <c r="K55" t="s">
        <v>56</v>
      </c>
      <c r="L55">
        <f t="shared" si="5"/>
        <v>5.18393626062323</v>
      </c>
      <c r="N55" t="s">
        <v>68</v>
      </c>
    </row>
    <row r="57" spans="1:6" ht="12.75">
      <c r="A57" t="s">
        <v>63</v>
      </c>
      <c r="F57" t="s">
        <v>57</v>
      </c>
    </row>
    <row r="58" spans="1:10" ht="12.75">
      <c r="A58" t="s">
        <v>0</v>
      </c>
      <c r="B58" t="s">
        <v>24</v>
      </c>
      <c r="F58" t="s">
        <v>25</v>
      </c>
      <c r="G58" t="s">
        <v>36</v>
      </c>
      <c r="H58" t="s">
        <v>28</v>
      </c>
      <c r="I58" t="s">
        <v>29</v>
      </c>
      <c r="J58" t="s">
        <v>30</v>
      </c>
    </row>
    <row r="59" spans="1:10" ht="12.75">
      <c r="A59" t="s">
        <v>3</v>
      </c>
      <c r="B59" s="8">
        <f aca="true" t="shared" si="7" ref="B59:B64">J4</f>
        <v>1441.767422157005</v>
      </c>
      <c r="C59" t="s">
        <v>11</v>
      </c>
      <c r="D59" s="6">
        <f aca="true" t="shared" si="8" ref="D59:D64">B59*2.35</f>
        <v>3388.153442068962</v>
      </c>
      <c r="E59" t="s">
        <v>48</v>
      </c>
      <c r="F59" s="5">
        <f>(F34*D59)*1000</f>
        <v>511168.94274079066</v>
      </c>
      <c r="G59" s="5"/>
      <c r="H59" s="5"/>
      <c r="I59" s="5"/>
      <c r="J59" s="5"/>
    </row>
    <row r="60" spans="1:10" ht="12.75">
      <c r="A60" t="s">
        <v>5</v>
      </c>
      <c r="B60" s="8">
        <f t="shared" si="7"/>
        <v>139.53284913320877</v>
      </c>
      <c r="C60" t="s">
        <v>11</v>
      </c>
      <c r="D60" s="6">
        <f t="shared" si="8"/>
        <v>327.90219546304064</v>
      </c>
      <c r="E60" t="s">
        <v>48</v>
      </c>
      <c r="F60" s="5">
        <f>(F35*D60)*1000</f>
        <v>63832.81705130125</v>
      </c>
      <c r="G60" s="5"/>
      <c r="H60" s="5"/>
      <c r="I60" s="5"/>
      <c r="J60" s="5"/>
    </row>
    <row r="61" spans="1:10" ht="12.75">
      <c r="A61" t="s">
        <v>7</v>
      </c>
      <c r="B61" s="7">
        <f t="shared" si="7"/>
        <v>0.6732990438054467</v>
      </c>
      <c r="C61" t="s">
        <v>11</v>
      </c>
      <c r="D61" s="6">
        <f t="shared" si="8"/>
        <v>1.5822527529427999</v>
      </c>
      <c r="E61" t="s">
        <v>48</v>
      </c>
      <c r="F61" s="5">
        <f>($D61*F36)*1000</f>
        <v>350.4689847768302</v>
      </c>
      <c r="G61" s="5">
        <f>($D61*G36)*1000</f>
        <v>87.61724619420755</v>
      </c>
      <c r="H61" s="5">
        <f>($D61*H36)*1000</f>
        <v>134.491484000138</v>
      </c>
      <c r="I61" s="5">
        <f>($D61*I36)*1000</f>
        <v>181.959066588422</v>
      </c>
      <c r="J61" s="5">
        <f>($D61*J36)*1000</f>
        <v>317.63724015326704</v>
      </c>
    </row>
    <row r="62" spans="1:10" ht="12.75">
      <c r="A62" t="s">
        <v>8</v>
      </c>
      <c r="B62" s="8">
        <f t="shared" si="7"/>
        <v>101.0260050981619</v>
      </c>
      <c r="C62" t="s">
        <v>11</v>
      </c>
      <c r="D62" s="6">
        <f t="shared" si="8"/>
        <v>237.4111119806805</v>
      </c>
      <c r="E62" t="s">
        <v>48</v>
      </c>
      <c r="F62" s="5">
        <f>($D62*(F37+F38))*1000</f>
        <v>228690.75958139336</v>
      </c>
      <c r="G62" s="5">
        <f>($D62*(G37+G38))*1000</f>
        <v>59993.98180250732</v>
      </c>
      <c r="H62" s="5">
        <f>($D62*(H37+H38))*1000</f>
        <v>154978.9699236529</v>
      </c>
      <c r="I62" s="5">
        <f>($D62*(I37+I38))*1000</f>
        <v>73293.65539317037</v>
      </c>
      <c r="J62" s="5">
        <f>($D62*(J37+J38))*1000</f>
        <v>177506.71653451034</v>
      </c>
    </row>
    <row r="63" spans="1:10" ht="12.75">
      <c r="A63" t="s">
        <v>9</v>
      </c>
      <c r="B63" s="7">
        <f t="shared" si="7"/>
        <v>3.9308617682572313</v>
      </c>
      <c r="C63" t="s">
        <v>11</v>
      </c>
      <c r="D63" s="6">
        <f t="shared" si="8"/>
        <v>9.237525155404494</v>
      </c>
      <c r="E63" t="s">
        <v>48</v>
      </c>
      <c r="F63" s="5">
        <f>($D63*(F39+F40))*1000</f>
        <v>11430.95769880159</v>
      </c>
      <c r="G63" s="5">
        <f>($D63*(G39+G40))*1000</f>
        <v>3049.787572681257</v>
      </c>
      <c r="H63" s="5">
        <f>($D63*(H39+H40))*1000</f>
        <v>1341.2130766219648</v>
      </c>
      <c r="I63" s="5">
        <f>($D63*(I39+I40))*1000</f>
        <v>2527.5293205482767</v>
      </c>
      <c r="J63" s="5">
        <f>($D63*(J39+J40))*1000</f>
        <v>22926.51523338383</v>
      </c>
    </row>
    <row r="64" spans="1:10" ht="12.75">
      <c r="A64" t="s">
        <v>10</v>
      </c>
      <c r="B64" s="8">
        <f t="shared" si="7"/>
        <v>69.48464961316573</v>
      </c>
      <c r="C64" t="s">
        <v>11</v>
      </c>
      <c r="D64" s="6">
        <f t="shared" si="8"/>
        <v>163.28892659093947</v>
      </c>
      <c r="E64" t="s">
        <v>48</v>
      </c>
      <c r="F64" s="5">
        <f>($D64*(F41+F42))*1000</f>
        <v>593005.56060963</v>
      </c>
      <c r="G64" s="5">
        <f>($D64*(G41+G42))*1000</f>
        <v>90180.92252945511</v>
      </c>
      <c r="H64" s="5">
        <f>($D64*(H41+H42))*1000</f>
        <v>628658.590624434</v>
      </c>
      <c r="I64" s="5">
        <f>($D64*(I41+I42))*1000</f>
        <v>210571.7864434054</v>
      </c>
      <c r="J64" s="5">
        <f>($D64*(J41+J42))*1000</f>
        <v>399336.8647451472</v>
      </c>
    </row>
    <row r="66" spans="1:6" ht="12.75">
      <c r="A66" t="s">
        <v>64</v>
      </c>
      <c r="F66" t="s">
        <v>70</v>
      </c>
    </row>
    <row r="67" spans="1:10" ht="12.75">
      <c r="A67" t="s">
        <v>0</v>
      </c>
      <c r="F67" t="s">
        <v>25</v>
      </c>
      <c r="G67" t="s">
        <v>36</v>
      </c>
      <c r="H67" t="s">
        <v>28</v>
      </c>
      <c r="I67" t="s">
        <v>29</v>
      </c>
      <c r="J67" t="s">
        <v>30</v>
      </c>
    </row>
    <row r="68" spans="1:10" ht="12.75">
      <c r="A68" t="s">
        <v>3</v>
      </c>
      <c r="B68" s="8"/>
      <c r="D68" s="6"/>
      <c r="F68" s="5">
        <f>F59*2.205/2000</f>
        <v>563.5637593717217</v>
      </c>
      <c r="G68" s="5"/>
      <c r="H68" s="5"/>
      <c r="I68" s="5"/>
      <c r="J68" s="5"/>
    </row>
    <row r="69" spans="1:10" ht="12.75">
      <c r="A69" t="s">
        <v>5</v>
      </c>
      <c r="B69" s="8"/>
      <c r="D69" s="6"/>
      <c r="F69" s="5">
        <f aca="true" t="shared" si="9" ref="F69:I73">F60*2.205/2000</f>
        <v>70.37568079905962</v>
      </c>
      <c r="G69" s="5"/>
      <c r="H69" s="5"/>
      <c r="I69" s="5"/>
      <c r="J69" s="5"/>
    </row>
    <row r="70" spans="1:10" ht="12.75">
      <c r="A70" t="s">
        <v>7</v>
      </c>
      <c r="B70" s="8"/>
      <c r="D70" s="6"/>
      <c r="F70" s="4">
        <f t="shared" si="9"/>
        <v>0.38639205571645535</v>
      </c>
      <c r="G70" s="4">
        <f t="shared" si="9"/>
        <v>0.09659801392911384</v>
      </c>
      <c r="H70" s="4">
        <f t="shared" si="9"/>
        <v>0.14827686111015215</v>
      </c>
      <c r="I70" s="4">
        <f t="shared" si="9"/>
        <v>0.20060987091373525</v>
      </c>
      <c r="J70" s="4">
        <f>J61*2.205/2000</f>
        <v>0.35019505726897693</v>
      </c>
    </row>
    <row r="71" spans="1:10" ht="12.75">
      <c r="A71" t="s">
        <v>8</v>
      </c>
      <c r="B71" s="8"/>
      <c r="D71" s="6"/>
      <c r="F71" s="5">
        <f t="shared" si="9"/>
        <v>252.13156243848618</v>
      </c>
      <c r="G71" s="5">
        <f t="shared" si="9"/>
        <v>66.14336493726432</v>
      </c>
      <c r="H71" s="5">
        <f t="shared" si="9"/>
        <v>170.86431434082735</v>
      </c>
      <c r="I71" s="5">
        <f t="shared" si="9"/>
        <v>80.80625507097034</v>
      </c>
      <c r="J71" s="5">
        <f>J62*2.205/2000</f>
        <v>195.70115497929766</v>
      </c>
    </row>
    <row r="72" spans="1:10" ht="12.75">
      <c r="A72" t="s">
        <v>9</v>
      </c>
      <c r="B72" s="8"/>
      <c r="D72" s="6"/>
      <c r="F72" s="4">
        <f t="shared" si="9"/>
        <v>12.602630862928754</v>
      </c>
      <c r="G72" s="4">
        <f t="shared" si="9"/>
        <v>3.362390798881086</v>
      </c>
      <c r="H72" s="4">
        <f t="shared" si="9"/>
        <v>1.478687416975716</v>
      </c>
      <c r="I72" s="4">
        <f t="shared" si="9"/>
        <v>2.7866010759044753</v>
      </c>
      <c r="J72" s="4">
        <f>J63*2.205/2000</f>
        <v>25.276483044805676</v>
      </c>
    </row>
    <row r="73" spans="1:10" ht="12.75">
      <c r="A73" t="s">
        <v>10</v>
      </c>
      <c r="B73" s="8"/>
      <c r="D73" s="6"/>
      <c r="F73" s="5">
        <f t="shared" si="9"/>
        <v>653.7886305721171</v>
      </c>
      <c r="G73" s="5">
        <f t="shared" si="9"/>
        <v>99.42446708872427</v>
      </c>
      <c r="H73" s="4">
        <f t="shared" si="9"/>
        <v>693.0960961634383</v>
      </c>
      <c r="I73" s="5">
        <f t="shared" si="9"/>
        <v>232.15539455385448</v>
      </c>
      <c r="J73" s="5">
        <f>J64*2.205/2000</f>
        <v>440.2688933815248</v>
      </c>
    </row>
    <row r="76" spans="1:6" ht="12.75">
      <c r="A76" t="s">
        <v>64</v>
      </c>
      <c r="F76" t="s">
        <v>71</v>
      </c>
    </row>
    <row r="77" spans="1:10" ht="12.75">
      <c r="A77" t="s">
        <v>0</v>
      </c>
      <c r="F77" t="s">
        <v>25</v>
      </c>
      <c r="G77" t="s">
        <v>36</v>
      </c>
      <c r="H77" t="s">
        <v>28</v>
      </c>
      <c r="I77" t="s">
        <v>29</v>
      </c>
      <c r="J77" t="s">
        <v>30</v>
      </c>
    </row>
    <row r="78" spans="1:10" ht="12.75">
      <c r="A78" t="s">
        <v>3</v>
      </c>
      <c r="B78" s="8"/>
      <c r="D78" s="6"/>
      <c r="F78" s="5">
        <f>F68</f>
        <v>563.5637593717217</v>
      </c>
      <c r="G78" s="5"/>
      <c r="H78" s="5"/>
      <c r="I78" s="5"/>
      <c r="J78" s="5"/>
    </row>
    <row r="79" spans="1:10" ht="12.75">
      <c r="A79" t="s">
        <v>5</v>
      </c>
      <c r="B79" s="8"/>
      <c r="D79" s="6"/>
      <c r="F79" s="5">
        <f>F69</f>
        <v>70.37568079905962</v>
      </c>
      <c r="G79" s="5"/>
      <c r="H79" s="5"/>
      <c r="I79" s="5"/>
      <c r="J79" s="5"/>
    </row>
    <row r="80" spans="1:10" ht="12.75">
      <c r="A80" t="s">
        <v>7</v>
      </c>
      <c r="B80" s="8"/>
      <c r="D80" s="6"/>
      <c r="F80" s="4">
        <f>F70*0.15</f>
        <v>0.0579588083574683</v>
      </c>
      <c r="G80" s="17">
        <f>G70*0.15</f>
        <v>0.014489702089367075</v>
      </c>
      <c r="H80" s="4">
        <f aca="true" t="shared" si="10" ref="H80:I83">H70</f>
        <v>0.14827686111015215</v>
      </c>
      <c r="I80" s="4">
        <f t="shared" si="10"/>
        <v>0.20060987091373525</v>
      </c>
      <c r="J80" s="4">
        <f>J70</f>
        <v>0.35019505726897693</v>
      </c>
    </row>
    <row r="81" spans="1:10" ht="12.75">
      <c r="A81" t="s">
        <v>8</v>
      </c>
      <c r="B81" s="8"/>
      <c r="D81" s="6"/>
      <c r="F81" s="4">
        <f aca="true" t="shared" si="11" ref="F81:G83">F71*0.15</f>
        <v>37.81973436577292</v>
      </c>
      <c r="G81" s="4">
        <f t="shared" si="11"/>
        <v>9.921504740589649</v>
      </c>
      <c r="H81" s="5">
        <f t="shared" si="10"/>
        <v>170.86431434082735</v>
      </c>
      <c r="I81" s="5">
        <f t="shared" si="10"/>
        <v>80.80625507097034</v>
      </c>
      <c r="J81" s="5">
        <f>J71</f>
        <v>195.70115497929766</v>
      </c>
    </row>
    <row r="82" spans="1:10" ht="12.75">
      <c r="A82" t="s">
        <v>9</v>
      </c>
      <c r="B82" s="8"/>
      <c r="D82" s="6"/>
      <c r="F82" s="4">
        <f t="shared" si="11"/>
        <v>1.890394629439313</v>
      </c>
      <c r="G82" s="17">
        <f t="shared" si="11"/>
        <v>0.5043586198321629</v>
      </c>
      <c r="H82" s="4">
        <f t="shared" si="10"/>
        <v>1.478687416975716</v>
      </c>
      <c r="I82" s="4">
        <f t="shared" si="10"/>
        <v>2.7866010759044753</v>
      </c>
      <c r="J82" s="5">
        <f>J72</f>
        <v>25.276483044805676</v>
      </c>
    </row>
    <row r="83" spans="1:10" ht="12.75">
      <c r="A83" t="s">
        <v>10</v>
      </c>
      <c r="B83" s="8"/>
      <c r="D83" s="6"/>
      <c r="F83" s="4">
        <f t="shared" si="11"/>
        <v>98.06829458581755</v>
      </c>
      <c r="G83" s="4">
        <f t="shared" si="11"/>
        <v>14.91367006330864</v>
      </c>
      <c r="H83" s="5">
        <f t="shared" si="10"/>
        <v>693.0960961634383</v>
      </c>
      <c r="I83" s="5">
        <f t="shared" si="10"/>
        <v>232.15539455385448</v>
      </c>
      <c r="J83" s="5">
        <f>J73</f>
        <v>440.2688933815248</v>
      </c>
    </row>
    <row r="84" spans="6:10" ht="12.75">
      <c r="F84" s="8">
        <f>SUM(F78:F83)</f>
        <v>771.7758225601686</v>
      </c>
      <c r="G84" s="8">
        <f>SUM(G78:G83)</f>
        <v>25.35402312581982</v>
      </c>
      <c r="H84" s="8">
        <f>SUM(H78:H83)</f>
        <v>865.5873747823516</v>
      </c>
      <c r="I84" s="8">
        <f>SUM(I78:I83)</f>
        <v>315.948860571643</v>
      </c>
      <c r="J84" s="8">
        <f>SUM(J78:J83)</f>
        <v>661.5967264628971</v>
      </c>
    </row>
    <row r="86" spans="2:6" ht="51">
      <c r="B86" s="19" t="s">
        <v>17</v>
      </c>
      <c r="C86" s="19" t="s">
        <v>21</v>
      </c>
      <c r="D86" s="19" t="s">
        <v>19</v>
      </c>
      <c r="F86" s="22" t="s">
        <v>93</v>
      </c>
    </row>
    <row r="87" spans="1:10" ht="12.75">
      <c r="A87" s="18" t="s">
        <v>72</v>
      </c>
      <c r="B87" s="18" t="s">
        <v>73</v>
      </c>
      <c r="C87" s="18" t="s">
        <v>73</v>
      </c>
      <c r="D87" s="18" t="s">
        <v>73</v>
      </c>
      <c r="F87" s="13" t="s">
        <v>25</v>
      </c>
      <c r="G87" s="13" t="s">
        <v>36</v>
      </c>
      <c r="H87" s="13" t="s">
        <v>28</v>
      </c>
      <c r="I87" s="13" t="s">
        <v>29</v>
      </c>
      <c r="J87" s="13" t="s">
        <v>30</v>
      </c>
    </row>
    <row r="88" spans="1:10" ht="12.75">
      <c r="A88" s="19" t="s">
        <v>74</v>
      </c>
      <c r="B88" s="21">
        <v>39</v>
      </c>
      <c r="C88" s="21">
        <v>74</v>
      </c>
      <c r="F88" s="13">
        <f>+$C88/$C$105*(F$81+F$83)+$D88/$D$105*(F$80+F$82)</f>
        <v>28.325955330754073</v>
      </c>
      <c r="G88" s="13">
        <f>+$C88/$C$105*(G$81+G$83)+$D88/$D$105*(G$80+G$82)</f>
        <v>5.176909677432319</v>
      </c>
      <c r="H88" s="13">
        <f>+$C88/$C$105*(H$81+H$83)+$D88/$D$105*(H$80+H$82)</f>
        <v>180.09315599243848</v>
      </c>
      <c r="I88" s="13">
        <f>+$C88/$C$105*(I$81+I$83)+$D88/$D$105*(I$80+I$82)</f>
        <v>65.23707625982264</v>
      </c>
      <c r="J88" s="13">
        <f>+$C88/$C$105*(J$81+J$83)+$D88/$D$105*(J$80+J$82)</f>
        <v>132.56840444704466</v>
      </c>
    </row>
    <row r="89" spans="1:10" ht="12.75">
      <c r="A89" s="19" t="s">
        <v>75</v>
      </c>
      <c r="B89" s="21">
        <v>9</v>
      </c>
      <c r="C89" s="21">
        <v>74</v>
      </c>
      <c r="E89" s="6"/>
      <c r="F89" s="13">
        <f aca="true" t="shared" si="12" ref="F89:J104">+$C89/$C$105*(F$81+F$83)+$D89/$D$105*(F$80+F$82)</f>
        <v>28.325955330754073</v>
      </c>
      <c r="G89" s="13">
        <f t="shared" si="12"/>
        <v>5.176909677432319</v>
      </c>
      <c r="H89" s="13">
        <f t="shared" si="12"/>
        <v>180.09315599243848</v>
      </c>
      <c r="I89" s="13">
        <f t="shared" si="12"/>
        <v>65.23707625982264</v>
      </c>
      <c r="J89" s="13">
        <f t="shared" si="12"/>
        <v>132.56840444704466</v>
      </c>
    </row>
    <row r="90" spans="1:10" ht="12.75">
      <c r="A90" s="19" t="s">
        <v>76</v>
      </c>
      <c r="B90" s="21">
        <v>9</v>
      </c>
      <c r="E90" s="6"/>
      <c r="F90" s="13">
        <f t="shared" si="12"/>
        <v>0</v>
      </c>
      <c r="G90" s="13">
        <f t="shared" si="12"/>
        <v>0</v>
      </c>
      <c r="H90" s="13">
        <f t="shared" si="12"/>
        <v>0</v>
      </c>
      <c r="I90" s="13">
        <f t="shared" si="12"/>
        <v>0</v>
      </c>
      <c r="J90" s="13">
        <f t="shared" si="12"/>
        <v>0</v>
      </c>
    </row>
    <row r="91" spans="1:10" ht="12.75">
      <c r="A91" s="19" t="s">
        <v>77</v>
      </c>
      <c r="B91" s="21">
        <v>124</v>
      </c>
      <c r="F91" s="13">
        <f t="shared" si="12"/>
        <v>0</v>
      </c>
      <c r="G91" s="13">
        <f t="shared" si="12"/>
        <v>0</v>
      </c>
      <c r="H91" s="13">
        <f t="shared" si="12"/>
        <v>0</v>
      </c>
      <c r="I91" s="13">
        <f t="shared" si="12"/>
        <v>0</v>
      </c>
      <c r="J91" s="13">
        <f t="shared" si="12"/>
        <v>0</v>
      </c>
    </row>
    <row r="92" spans="1:10" ht="12.75">
      <c r="A92" s="19" t="s">
        <v>78</v>
      </c>
      <c r="B92" s="21">
        <v>9</v>
      </c>
      <c r="D92" s="21">
        <v>9</v>
      </c>
      <c r="F92" s="13">
        <f t="shared" si="12"/>
        <v>0.9741767188983906</v>
      </c>
      <c r="G92" s="13">
        <f t="shared" si="12"/>
        <v>0.259424160960765</v>
      </c>
      <c r="H92" s="13">
        <f t="shared" si="12"/>
        <v>0.8134821390429341</v>
      </c>
      <c r="I92" s="13">
        <f t="shared" si="12"/>
        <v>1.4936054734091053</v>
      </c>
      <c r="J92" s="13">
        <f t="shared" si="12"/>
        <v>12.813339051037326</v>
      </c>
    </row>
    <row r="93" spans="1:10" ht="12.75">
      <c r="A93" s="19" t="s">
        <v>79</v>
      </c>
      <c r="B93" s="21">
        <v>249</v>
      </c>
      <c r="C93" s="21">
        <v>74</v>
      </c>
      <c r="F93" s="13">
        <f t="shared" si="12"/>
        <v>28.325955330754073</v>
      </c>
      <c r="G93" s="13">
        <f t="shared" si="12"/>
        <v>5.176909677432319</v>
      </c>
      <c r="H93" s="13">
        <f t="shared" si="12"/>
        <v>180.09315599243848</v>
      </c>
      <c r="I93" s="13">
        <f t="shared" si="12"/>
        <v>65.23707625982264</v>
      </c>
      <c r="J93" s="13">
        <f t="shared" si="12"/>
        <v>132.56840444704466</v>
      </c>
    </row>
    <row r="94" spans="1:10" ht="12.75">
      <c r="A94" s="19" t="s">
        <v>80</v>
      </c>
      <c r="B94" s="21">
        <v>9</v>
      </c>
      <c r="F94" s="13">
        <f t="shared" si="12"/>
        <v>0</v>
      </c>
      <c r="G94" s="13">
        <f t="shared" si="12"/>
        <v>0</v>
      </c>
      <c r="H94" s="13">
        <f t="shared" si="12"/>
        <v>0</v>
      </c>
      <c r="I94" s="13">
        <f t="shared" si="12"/>
        <v>0</v>
      </c>
      <c r="J94" s="13">
        <f t="shared" si="12"/>
        <v>0</v>
      </c>
    </row>
    <row r="95" spans="1:10" ht="12.75">
      <c r="A95" s="19" t="s">
        <v>81</v>
      </c>
      <c r="B95" s="21">
        <v>124</v>
      </c>
      <c r="C95" s="21">
        <v>124</v>
      </c>
      <c r="F95" s="13">
        <f t="shared" si="12"/>
        <v>47.465114338020335</v>
      </c>
      <c r="G95" s="13">
        <f t="shared" si="12"/>
        <v>8.674821621643346</v>
      </c>
      <c r="H95" s="13">
        <f t="shared" si="12"/>
        <v>301.7777208521942</v>
      </c>
      <c r="I95" s="13">
        <f t="shared" si="12"/>
        <v>109.31618184078387</v>
      </c>
      <c r="J95" s="13">
        <f t="shared" si="12"/>
        <v>222.14165069504782</v>
      </c>
    </row>
    <row r="96" spans="1:10" ht="12.75">
      <c r="A96" s="19" t="s">
        <v>82</v>
      </c>
      <c r="B96" s="21">
        <v>249</v>
      </c>
      <c r="F96" s="13">
        <f t="shared" si="12"/>
        <v>0</v>
      </c>
      <c r="G96" s="13">
        <f t="shared" si="12"/>
        <v>0</v>
      </c>
      <c r="H96" s="13">
        <f t="shared" si="12"/>
        <v>0</v>
      </c>
      <c r="I96" s="13">
        <f t="shared" si="12"/>
        <v>0</v>
      </c>
      <c r="J96" s="13">
        <f t="shared" si="12"/>
        <v>0</v>
      </c>
    </row>
    <row r="97" spans="1:10" ht="12.75">
      <c r="A97" s="19" t="s">
        <v>83</v>
      </c>
      <c r="B97" s="21">
        <v>9</v>
      </c>
      <c r="F97" s="13">
        <f t="shared" si="12"/>
        <v>0</v>
      </c>
      <c r="G97" s="13">
        <f t="shared" si="12"/>
        <v>0</v>
      </c>
      <c r="H97" s="13">
        <f t="shared" si="12"/>
        <v>0</v>
      </c>
      <c r="I97" s="13">
        <f t="shared" si="12"/>
        <v>0</v>
      </c>
      <c r="J97" s="13">
        <f t="shared" si="12"/>
        <v>0</v>
      </c>
    </row>
    <row r="98" spans="1:10" ht="12.75">
      <c r="A98" s="19" t="s">
        <v>84</v>
      </c>
      <c r="B98" s="21">
        <v>617</v>
      </c>
      <c r="D98" s="21">
        <v>9</v>
      </c>
      <c r="F98" s="13">
        <f t="shared" si="12"/>
        <v>0.9741767188983906</v>
      </c>
      <c r="G98" s="13">
        <f t="shared" si="12"/>
        <v>0.259424160960765</v>
      </c>
      <c r="H98" s="13">
        <f t="shared" si="12"/>
        <v>0.8134821390429341</v>
      </c>
      <c r="I98" s="13">
        <f t="shared" si="12"/>
        <v>1.4936054734091053</v>
      </c>
      <c r="J98" s="13">
        <f t="shared" si="12"/>
        <v>12.813339051037326</v>
      </c>
    </row>
    <row r="99" spans="1:10" ht="12.75">
      <c r="A99" s="19" t="s">
        <v>85</v>
      </c>
      <c r="B99" s="21">
        <v>74</v>
      </c>
      <c r="F99" s="13">
        <f t="shared" si="12"/>
        <v>0</v>
      </c>
      <c r="G99" s="13">
        <f t="shared" si="12"/>
        <v>0</v>
      </c>
      <c r="H99" s="13">
        <f t="shared" si="12"/>
        <v>0</v>
      </c>
      <c r="I99" s="13">
        <f t="shared" si="12"/>
        <v>0</v>
      </c>
      <c r="J99" s="13">
        <f t="shared" si="12"/>
        <v>0</v>
      </c>
    </row>
    <row r="100" spans="1:10" ht="12.75">
      <c r="A100" s="19" t="s">
        <v>90</v>
      </c>
      <c r="B100" s="20"/>
      <c r="C100" s="21">
        <v>9</v>
      </c>
      <c r="F100" s="13">
        <f t="shared" si="12"/>
        <v>3.445048621307928</v>
      </c>
      <c r="G100" s="13">
        <f t="shared" si="12"/>
        <v>0.6296241499579849</v>
      </c>
      <c r="H100" s="13">
        <f t="shared" si="12"/>
        <v>21.903221674756033</v>
      </c>
      <c r="I100" s="13">
        <f t="shared" si="12"/>
        <v>7.934239004573024</v>
      </c>
      <c r="J100" s="13">
        <f t="shared" si="12"/>
        <v>16.12318432464057</v>
      </c>
    </row>
    <row r="101" spans="1:10" ht="12.75">
      <c r="A101" s="19" t="s">
        <v>86</v>
      </c>
      <c r="B101" s="21">
        <v>9</v>
      </c>
      <c r="F101" s="13">
        <f t="shared" si="12"/>
        <v>0</v>
      </c>
      <c r="G101" s="13">
        <f t="shared" si="12"/>
        <v>0</v>
      </c>
      <c r="H101" s="13">
        <f t="shared" si="12"/>
        <v>0</v>
      </c>
      <c r="I101" s="13">
        <f t="shared" si="12"/>
        <v>0</v>
      </c>
      <c r="J101" s="13">
        <f t="shared" si="12"/>
        <v>0</v>
      </c>
    </row>
    <row r="102" spans="1:10" ht="12.75">
      <c r="A102" s="19" t="s">
        <v>87</v>
      </c>
      <c r="B102" s="21">
        <v>124</v>
      </c>
      <c r="F102" s="13">
        <f t="shared" si="12"/>
        <v>0</v>
      </c>
      <c r="G102" s="13">
        <f t="shared" si="12"/>
        <v>0</v>
      </c>
      <c r="H102" s="13">
        <f t="shared" si="12"/>
        <v>0</v>
      </c>
      <c r="I102" s="13">
        <f t="shared" si="12"/>
        <v>0</v>
      </c>
      <c r="J102" s="13">
        <f t="shared" si="12"/>
        <v>0</v>
      </c>
    </row>
    <row r="103" spans="1:10" ht="12.75">
      <c r="A103" s="19" t="s">
        <v>88</v>
      </c>
      <c r="B103" s="21">
        <v>9</v>
      </c>
      <c r="F103" s="13">
        <f t="shared" si="12"/>
        <v>0</v>
      </c>
      <c r="G103" s="13">
        <f t="shared" si="12"/>
        <v>0</v>
      </c>
      <c r="H103" s="13">
        <f t="shared" si="12"/>
        <v>0</v>
      </c>
      <c r="I103" s="13">
        <f t="shared" si="12"/>
        <v>0</v>
      </c>
      <c r="J103" s="13">
        <f t="shared" si="12"/>
        <v>0</v>
      </c>
    </row>
    <row r="104" spans="1:10" ht="12.75">
      <c r="A104" s="19" t="s">
        <v>89</v>
      </c>
      <c r="B104" s="21">
        <v>39</v>
      </c>
      <c r="F104" s="13">
        <f t="shared" si="12"/>
        <v>0</v>
      </c>
      <c r="G104" s="13">
        <f t="shared" si="12"/>
        <v>0</v>
      </c>
      <c r="H104" s="13">
        <f t="shared" si="12"/>
        <v>0</v>
      </c>
      <c r="I104" s="13">
        <f t="shared" si="12"/>
        <v>0</v>
      </c>
      <c r="J104" s="13">
        <f t="shared" si="12"/>
        <v>0</v>
      </c>
    </row>
    <row r="105" spans="2:6" ht="12.75">
      <c r="B105">
        <f>SUM(B88:B104)</f>
        <v>1702</v>
      </c>
      <c r="C105">
        <f>SUM(C88:C104)</f>
        <v>355</v>
      </c>
      <c r="D105">
        <f>SUM(D88:D104)</f>
        <v>18</v>
      </c>
      <c r="F105" s="6"/>
    </row>
    <row r="106" ht="38.25">
      <c r="F106" s="22" t="s">
        <v>92</v>
      </c>
    </row>
    <row r="107" spans="6:10" ht="12.75">
      <c r="F107" t="s">
        <v>25</v>
      </c>
      <c r="G107" t="s">
        <v>36</v>
      </c>
      <c r="H107" t="s">
        <v>28</v>
      </c>
      <c r="I107" t="s">
        <v>29</v>
      </c>
      <c r="J107" t="s">
        <v>30</v>
      </c>
    </row>
    <row r="108" spans="6:10" ht="12.75">
      <c r="F108" s="7">
        <f>$B88/$B$105*(F$78+F$79)</f>
        <v>14.526226889929772</v>
      </c>
      <c r="G108" s="7">
        <f>$B88/$B$105*(G$78+G$79)</f>
        <v>0</v>
      </c>
      <c r="H108" s="7">
        <f>$B88/$B$105*(H$78+H$79)</f>
        <v>0</v>
      </c>
      <c r="I108" s="7">
        <f>$B88/$B$105*(I$78+I$79)</f>
        <v>0</v>
      </c>
      <c r="J108" s="7">
        <f>$B88/$B$105*(J$78+J$79)</f>
        <v>0</v>
      </c>
    </row>
    <row r="109" spans="6:10" ht="12.75">
      <c r="F109" s="7">
        <f aca="true" t="shared" si="13" ref="F109:J124">$B89/$B$105*(F$78+F$79)</f>
        <v>3.3522062053684096</v>
      </c>
      <c r="G109" s="7">
        <f t="shared" si="13"/>
        <v>0</v>
      </c>
      <c r="H109" s="7">
        <f t="shared" si="13"/>
        <v>0</v>
      </c>
      <c r="I109" s="7">
        <f t="shared" si="13"/>
        <v>0</v>
      </c>
      <c r="J109" s="7">
        <f t="shared" si="13"/>
        <v>0</v>
      </c>
    </row>
    <row r="110" spans="6:10" ht="12.75">
      <c r="F110" s="7">
        <f t="shared" si="13"/>
        <v>3.3522062053684096</v>
      </c>
      <c r="G110" s="7">
        <f t="shared" si="13"/>
        <v>0</v>
      </c>
      <c r="H110" s="7">
        <f t="shared" si="13"/>
        <v>0</v>
      </c>
      <c r="I110" s="7">
        <f t="shared" si="13"/>
        <v>0</v>
      </c>
      <c r="J110" s="7">
        <f t="shared" si="13"/>
        <v>0</v>
      </c>
    </row>
    <row r="111" spans="6:10" ht="12.75">
      <c r="F111" s="7">
        <f t="shared" si="13"/>
        <v>46.18595216285364</v>
      </c>
      <c r="G111" s="7">
        <f t="shared" si="13"/>
        <v>0</v>
      </c>
      <c r="H111" s="7">
        <f t="shared" si="13"/>
        <v>0</v>
      </c>
      <c r="I111" s="7">
        <f t="shared" si="13"/>
        <v>0</v>
      </c>
      <c r="J111" s="7">
        <f t="shared" si="13"/>
        <v>0</v>
      </c>
    </row>
    <row r="112" spans="6:10" ht="12.75">
      <c r="F112" s="7">
        <f t="shared" si="13"/>
        <v>3.3522062053684096</v>
      </c>
      <c r="G112" s="7">
        <f t="shared" si="13"/>
        <v>0</v>
      </c>
      <c r="H112" s="7">
        <f t="shared" si="13"/>
        <v>0</v>
      </c>
      <c r="I112" s="7">
        <f t="shared" si="13"/>
        <v>0</v>
      </c>
      <c r="J112" s="7">
        <f t="shared" si="13"/>
        <v>0</v>
      </c>
    </row>
    <row r="113" spans="6:10" ht="12.75">
      <c r="F113" s="7">
        <f t="shared" si="13"/>
        <v>92.74437168185932</v>
      </c>
      <c r="G113" s="7">
        <f t="shared" si="13"/>
        <v>0</v>
      </c>
      <c r="H113" s="7">
        <f t="shared" si="13"/>
        <v>0</v>
      </c>
      <c r="I113" s="7">
        <f t="shared" si="13"/>
        <v>0</v>
      </c>
      <c r="J113" s="7">
        <f t="shared" si="13"/>
        <v>0</v>
      </c>
    </row>
    <row r="114" spans="6:10" ht="12.75">
      <c r="F114" s="7">
        <f t="shared" si="13"/>
        <v>3.3522062053684096</v>
      </c>
      <c r="G114" s="7">
        <f t="shared" si="13"/>
        <v>0</v>
      </c>
      <c r="H114" s="7">
        <f t="shared" si="13"/>
        <v>0</v>
      </c>
      <c r="I114" s="7">
        <f t="shared" si="13"/>
        <v>0</v>
      </c>
      <c r="J114" s="7">
        <f t="shared" si="13"/>
        <v>0</v>
      </c>
    </row>
    <row r="115" spans="6:10" ht="12.75">
      <c r="F115" s="7">
        <f t="shared" si="13"/>
        <v>46.18595216285364</v>
      </c>
      <c r="G115" s="7">
        <f t="shared" si="13"/>
        <v>0</v>
      </c>
      <c r="H115" s="7">
        <f t="shared" si="13"/>
        <v>0</v>
      </c>
      <c r="I115" s="7">
        <f t="shared" si="13"/>
        <v>0</v>
      </c>
      <c r="J115" s="7">
        <f t="shared" si="13"/>
        <v>0</v>
      </c>
    </row>
    <row r="116" spans="6:10" ht="12.75">
      <c r="F116" s="7">
        <f t="shared" si="13"/>
        <v>92.74437168185932</v>
      </c>
      <c r="G116" s="7">
        <f t="shared" si="13"/>
        <v>0</v>
      </c>
      <c r="H116" s="7">
        <f t="shared" si="13"/>
        <v>0</v>
      </c>
      <c r="I116" s="7">
        <f t="shared" si="13"/>
        <v>0</v>
      </c>
      <c r="J116" s="7">
        <f t="shared" si="13"/>
        <v>0</v>
      </c>
    </row>
    <row r="117" spans="6:10" ht="12.75">
      <c r="F117" s="7">
        <f t="shared" si="13"/>
        <v>3.3522062053684096</v>
      </c>
      <c r="G117" s="7">
        <f t="shared" si="13"/>
        <v>0</v>
      </c>
      <c r="H117" s="7">
        <f t="shared" si="13"/>
        <v>0</v>
      </c>
      <c r="I117" s="7">
        <f t="shared" si="13"/>
        <v>0</v>
      </c>
      <c r="J117" s="7">
        <f t="shared" si="13"/>
        <v>0</v>
      </c>
    </row>
    <row r="118" spans="6:10" ht="12.75">
      <c r="F118" s="7">
        <f t="shared" si="13"/>
        <v>229.81235874581205</v>
      </c>
      <c r="G118" s="7">
        <f t="shared" si="13"/>
        <v>0</v>
      </c>
      <c r="H118" s="7">
        <f t="shared" si="13"/>
        <v>0</v>
      </c>
      <c r="I118" s="7">
        <f t="shared" si="13"/>
        <v>0</v>
      </c>
      <c r="J118" s="7">
        <f t="shared" si="13"/>
        <v>0</v>
      </c>
    </row>
    <row r="119" spans="6:10" ht="12.75">
      <c r="F119" s="7">
        <f t="shared" si="13"/>
        <v>27.562584355251364</v>
      </c>
      <c r="G119" s="7">
        <f t="shared" si="13"/>
        <v>0</v>
      </c>
      <c r="H119" s="7">
        <f t="shared" si="13"/>
        <v>0</v>
      </c>
      <c r="I119" s="7">
        <f t="shared" si="13"/>
        <v>0</v>
      </c>
      <c r="J119" s="7">
        <f t="shared" si="13"/>
        <v>0</v>
      </c>
    </row>
    <row r="120" spans="6:10" ht="12.75">
      <c r="F120" s="7">
        <f t="shared" si="13"/>
        <v>0</v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</row>
    <row r="121" spans="6:10" ht="12.75">
      <c r="F121" s="7">
        <f t="shared" si="13"/>
        <v>3.3522062053684096</v>
      </c>
      <c r="G121" s="7">
        <f t="shared" si="13"/>
        <v>0</v>
      </c>
      <c r="H121" s="7">
        <f t="shared" si="13"/>
        <v>0</v>
      </c>
      <c r="I121" s="7">
        <f t="shared" si="13"/>
        <v>0</v>
      </c>
      <c r="J121" s="7">
        <f t="shared" si="13"/>
        <v>0</v>
      </c>
    </row>
    <row r="122" spans="6:10" ht="12.75">
      <c r="F122" s="7">
        <f t="shared" si="13"/>
        <v>46.18595216285364</v>
      </c>
      <c r="G122" s="7">
        <f t="shared" si="13"/>
        <v>0</v>
      </c>
      <c r="H122" s="7">
        <f t="shared" si="13"/>
        <v>0</v>
      </c>
      <c r="I122" s="7">
        <f t="shared" si="13"/>
        <v>0</v>
      </c>
      <c r="J122" s="7">
        <f t="shared" si="13"/>
        <v>0</v>
      </c>
    </row>
    <row r="123" spans="6:10" ht="12.75">
      <c r="F123" s="7">
        <f t="shared" si="13"/>
        <v>3.3522062053684096</v>
      </c>
      <c r="G123" s="7">
        <f t="shared" si="13"/>
        <v>0</v>
      </c>
      <c r="H123" s="7">
        <f t="shared" si="13"/>
        <v>0</v>
      </c>
      <c r="I123" s="7">
        <f t="shared" si="13"/>
        <v>0</v>
      </c>
      <c r="J123" s="7">
        <f t="shared" si="13"/>
        <v>0</v>
      </c>
    </row>
    <row r="124" spans="6:10" ht="12.75">
      <c r="F124" s="7">
        <f t="shared" si="13"/>
        <v>14.526226889929772</v>
      </c>
      <c r="G124" s="7">
        <f t="shared" si="13"/>
        <v>0</v>
      </c>
      <c r="H124" s="7">
        <f t="shared" si="13"/>
        <v>0</v>
      </c>
      <c r="I124" s="7">
        <f t="shared" si="13"/>
        <v>0</v>
      </c>
      <c r="J124" s="7">
        <f t="shared" si="13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Technology,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2002-09-16T08:57:31Z</dcterms:created>
  <dcterms:modified xsi:type="dcterms:W3CDTF">2002-09-17T02:17:54Z</dcterms:modified>
  <cp:category/>
  <cp:version/>
  <cp:contentType/>
  <cp:contentStatus/>
</cp:coreProperties>
</file>