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195" tabRatio="644" activeTab="0"/>
  </bookViews>
  <sheets>
    <sheet name="Phase 3 PM for PM Flat" sheetId="1" r:id="rId1"/>
    <sheet name="A" sheetId="2" r:id="rId2"/>
    <sheet name="B" sheetId="3" r:id="rId3"/>
    <sheet name="C" sheetId="4" r:id="rId4"/>
    <sheet name="PM Flat Batch (Report)" sheetId="5" r:id="rId5"/>
    <sheet name="PM Flat Batch (Data)" sheetId="6" r:id="rId6"/>
  </sheets>
  <definedNames>
    <definedName name="INPUT">'A'!$A$10:$A$10</definedName>
    <definedName name="OUTPUT">'A'!$B$43:$B$43</definedName>
    <definedName name="_xlnm.Print_Area" localSheetId="1">'A'!$K$197:$AE$232</definedName>
    <definedName name="_xlnm.Print_Area" localSheetId="2">'B'!$A$71:$E$71</definedName>
    <definedName name="_xlnm.Print_Area" localSheetId="0">'Phase 3 PM for PM Flat'!$A$31:$G$66</definedName>
  </definedNames>
  <calcPr fullCalcOnLoad="1"/>
</workbook>
</file>

<file path=xl/comments1.xml><?xml version="1.0" encoding="utf-8"?>
<comments xmlns="http://schemas.openxmlformats.org/spreadsheetml/2006/main">
  <authors>
    <author>tuser</author>
  </authors>
  <commentList>
    <comment ref="B36" authorId="0">
      <text>
        <r>
          <rPr>
            <b/>
            <sz val="10"/>
            <rFont val="Tahoma"/>
            <family val="2"/>
          </rPr>
          <t>RVP:</t>
        </r>
        <r>
          <rPr>
            <sz val="10"/>
            <rFont val="Tahoma"/>
            <family val="2"/>
          </rPr>
          <t xml:space="preserve">
This number must be expressed in the nearest hundreth of a pound per square inch. (two decimals)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10"/>
            <rFont val="Tahoma"/>
            <family val="2"/>
          </rPr>
          <t>T50:</t>
        </r>
        <r>
          <rPr>
            <sz val="10"/>
            <rFont val="Tahoma"/>
            <family val="2"/>
          </rPr>
          <t xml:space="preserve">
This number must be expressed in the nearst degree Fahrenheit. (no decimals)</t>
        </r>
        <r>
          <rPr>
            <sz val="8"/>
            <rFont val="Tahoma"/>
            <family val="0"/>
          </rPr>
          <t xml:space="preserve">
</t>
        </r>
      </text>
    </comment>
    <comment ref="B38" authorId="0">
      <text>
        <r>
          <rPr>
            <b/>
            <sz val="10"/>
            <rFont val="Tahoma"/>
            <family val="2"/>
          </rPr>
          <t xml:space="preserve">T90:
</t>
        </r>
        <r>
          <rPr>
            <sz val="10"/>
            <rFont val="Tahoma"/>
            <family val="2"/>
          </rPr>
          <t>This number must be expressed in the nearest degree Fahrenheit. (no decimals)</t>
        </r>
      </text>
    </comment>
    <comment ref="B39" authorId="0">
      <text>
        <r>
          <rPr>
            <b/>
            <sz val="10"/>
            <rFont val="Tahoma"/>
            <family val="2"/>
          </rPr>
          <t>Aromatics:</t>
        </r>
        <r>
          <rPr>
            <sz val="10"/>
            <rFont val="Tahoma"/>
            <family val="2"/>
          </rPr>
          <t xml:space="preserve">
This number must be expressed in the nearest tenth of a percent by volume. (one decimal)</t>
        </r>
        <r>
          <rPr>
            <sz val="8"/>
            <rFont val="Tahoma"/>
            <family val="0"/>
          </rPr>
          <t xml:space="preserve">
</t>
        </r>
      </text>
    </comment>
    <comment ref="B40" authorId="0">
      <text>
        <r>
          <rPr>
            <sz val="10"/>
            <rFont val="Tahoma"/>
            <family val="2"/>
          </rPr>
          <t>Olefin:
This number must be expressed in the nearest tenth of a percent by volume. (one decimal)</t>
        </r>
        <r>
          <rPr>
            <sz val="8"/>
            <rFont val="Tahoma"/>
            <family val="0"/>
          </rPr>
          <t xml:space="preserve">
</t>
        </r>
      </text>
    </comment>
    <comment ref="B42" authorId="0">
      <text>
        <r>
          <rPr>
            <b/>
            <sz val="10"/>
            <rFont val="Tahoma"/>
            <family val="2"/>
          </rPr>
          <t xml:space="preserve">Maximum Oxygen:
</t>
        </r>
        <r>
          <rPr>
            <sz val="10"/>
            <rFont val="Tahoma"/>
            <family val="2"/>
          </rPr>
          <t>This number must be expressed in the nearest tenth of a percent by weight. (one decimal)</t>
        </r>
        <r>
          <rPr>
            <sz val="8"/>
            <rFont val="Tahoma"/>
            <family val="0"/>
          </rPr>
          <t xml:space="preserve">
</t>
        </r>
      </text>
    </comment>
    <comment ref="B43" authorId="0">
      <text>
        <r>
          <rPr>
            <b/>
            <sz val="10"/>
            <rFont val="Tahoma"/>
            <family val="2"/>
          </rPr>
          <t>Sulfur:</t>
        </r>
        <r>
          <rPr>
            <sz val="10"/>
            <rFont val="Tahoma"/>
            <family val="2"/>
          </rPr>
          <t xml:space="preserve">
This number must be expressed in the nearest parts per million by weight. (no decimals)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10"/>
            <rFont val="Tahoma"/>
            <family val="2"/>
          </rPr>
          <t xml:space="preserve">Benzene:
</t>
        </r>
        <r>
          <rPr>
            <sz val="10"/>
            <rFont val="Tahoma"/>
            <family val="2"/>
          </rPr>
          <t>This number must be expressed in the nearest hundredth of a percent by volume. (two decimals)</t>
        </r>
        <r>
          <rPr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10"/>
            <rFont val="Tahoma"/>
            <family val="2"/>
          </rPr>
          <t>Minimum Oxygen Content:</t>
        </r>
        <r>
          <rPr>
            <sz val="10"/>
            <rFont val="Tahoma"/>
            <family val="2"/>
          </rPr>
          <t xml:space="preserve">
This number must be expressed in the nearest tenth of a percent by weight (one decimal).
If  RVP control gasoline = N and winter time minimum oxygen content = Y then Minimum Oxy Limit = 1.8 otherwise Minimum Oxy Limit = 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<sst xmlns="http://schemas.openxmlformats.org/spreadsheetml/2006/main" count="1086" uniqueCount="326">
  <si>
    <t>INPUTS</t>
  </si>
  <si>
    <t>PROPERTY</t>
  </si>
  <si>
    <t>VALUE</t>
  </si>
  <si>
    <t>UNITS</t>
  </si>
  <si>
    <t>RVP</t>
  </si>
  <si>
    <t>psi, max.</t>
  </si>
  <si>
    <t>T50</t>
  </si>
  <si>
    <t>deg. F.</t>
  </si>
  <si>
    <t>T90</t>
  </si>
  <si>
    <t>AROM</t>
  </si>
  <si>
    <t>vol.%, max.</t>
  </si>
  <si>
    <t>OLEF</t>
  </si>
  <si>
    <t>(max)</t>
  </si>
  <si>
    <t>(min)</t>
  </si>
  <si>
    <t>TOTAL OXYGEN</t>
  </si>
  <si>
    <t>wt. %</t>
  </si>
  <si>
    <t>OXYGEN AS ETOH</t>
  </si>
  <si>
    <t>SULFUR</t>
  </si>
  <si>
    <t>ppmw.</t>
  </si>
  <si>
    <t>BENZENE</t>
  </si>
  <si>
    <t xml:space="preserve">INDICATE WHETHER AN AVERAGING LIMIT OR A FLAT LIMIT WILL BE USED. </t>
  </si>
  <si>
    <t>ENTER "A" FOR AVERAGING LIMIT AND "F" FOR FLAT LIMIT.</t>
  </si>
  <si>
    <t>F</t>
  </si>
  <si>
    <t>BENZ</t>
  </si>
  <si>
    <t>OUTPUTS--SUMMARY OF EMISSIONS PREDICTIONS</t>
  </si>
  <si>
    <t>FOR OXYGEN AT MAXIMUM VALUE</t>
  </si>
  <si>
    <t>PREDICTED PERCENT CHANGE IN EMISSIONS (CANDIDATE VS REFERENCE)</t>
  </si>
  <si>
    <t>POLLUTANT</t>
  </si>
  <si>
    <t>COMPOSITE</t>
  </si>
  <si>
    <t xml:space="preserve"> </t>
  </si>
  <si>
    <t>NOX</t>
  </si>
  <si>
    <t>CO (Reactivity Weighted)</t>
  </si>
  <si>
    <t>POT.TOX.</t>
  </si>
  <si>
    <t>FOR OXYGEN AT MINIMUM VALUE</t>
  </si>
  <si>
    <t xml:space="preserve">   COMPOSITE</t>
  </si>
  <si>
    <t xml:space="preserve">THE CANDIDATE FUEL </t>
  </si>
  <si>
    <t xml:space="preserve">,SINCE THE PERCENT CHANGE IN EMISSIONS  </t>
  </si>
  <si>
    <t>THIS PAGE DOES THE EXHAUST EMISSIONS CALCULATIONS AND MODEL PREDICTIONS</t>
  </si>
  <si>
    <t>THE FUEL PROPERTY VALUES ARE TRANSFERRED FROM PAGE A.</t>
  </si>
  <si>
    <t>OXYGEN</t>
  </si>
  <si>
    <t>RESULTS</t>
  </si>
  <si>
    <t>PREDICTED PERCENT CHANGE IN EMISSION (CANDIDATE VS REFERENCE)</t>
  </si>
  <si>
    <t>THC</t>
  </si>
  <si>
    <t>OXYGEN VALUE DETERMINATION</t>
  </si>
  <si>
    <t>REF MAX</t>
  </si>
  <si>
    <t>REF MIN</t>
  </si>
  <si>
    <t>CAN MAX</t>
  </si>
  <si>
    <t>CAN MIN</t>
  </si>
  <si>
    <t>TEST 1</t>
  </si>
  <si>
    <t>TEST 2</t>
  </si>
  <si>
    <t>TEST 3</t>
  </si>
  <si>
    <t>TEST 4</t>
  </si>
  <si>
    <t>TEST 5</t>
  </si>
  <si>
    <t>TEST 6</t>
  </si>
  <si>
    <t>OXYGEN VALUES USED</t>
  </si>
  <si>
    <t>OXYGEN MAXIMUM CALCULATION</t>
  </si>
  <si>
    <t>PREDICTED PERCENT CHANGE IN EMISSION (REF FUEL RELATIVE TO CAN FUEL)</t>
  </si>
  <si>
    <t>REF FUEL</t>
  </si>
  <si>
    <t>CAN FUEL</t>
  </si>
  <si>
    <t>TECH GROUP WEIGHTS FOR EXHAUST EMISSIONS :</t>
  </si>
  <si>
    <t>TOXICS POTENCY WEIGHTS:</t>
  </si>
  <si>
    <t>WEIGHTS FOR EXHAUST AND EVAP EMISSIONS</t>
  </si>
  <si>
    <t>TECH 3</t>
  </si>
  <si>
    <t>TECH 4</t>
  </si>
  <si>
    <t>TECH 5</t>
  </si>
  <si>
    <t>WEIGHT</t>
  </si>
  <si>
    <t>MODE</t>
  </si>
  <si>
    <t>DIURNAL/RESTING</t>
  </si>
  <si>
    <t>BUTADI.</t>
  </si>
  <si>
    <t>HOT SOAK</t>
  </si>
  <si>
    <t>ALL TOXICS</t>
  </si>
  <si>
    <t>FORMAL.</t>
  </si>
  <si>
    <t>RUNNING</t>
  </si>
  <si>
    <t>ACETAL.</t>
  </si>
  <si>
    <t>EX. TOG</t>
  </si>
  <si>
    <t xml:space="preserve">note: The TECH GROUP Weights are the same for </t>
  </si>
  <si>
    <t>CO</t>
  </si>
  <si>
    <t xml:space="preserve">  all Toxics because these weights are VMT weights.</t>
  </si>
  <si>
    <t>FUEL PROPERTY MEANS AND STANDARD DEVIATIONS:</t>
  </si>
  <si>
    <t>MEAN</t>
  </si>
  <si>
    <t>STD.</t>
  </si>
  <si>
    <t>Computation of Values of Oxygen, T50, and T90 for Which Techs 4 and 5 Responses are a Minimum</t>
  </si>
  <si>
    <t>Minimum</t>
  </si>
  <si>
    <t>Values Used in Model Predictions</t>
  </si>
  <si>
    <t>Upper Oxygen</t>
  </si>
  <si>
    <t>LOG SULFUR</t>
  </si>
  <si>
    <t>MODEL COEFFICIENTS:</t>
  </si>
  <si>
    <t xml:space="preserve">THESE ARE THE 7/99 PROC MIXED PARAMETER ESTIMATES (AFTER RANDOM BALANCING FOR THC AND NOX). </t>
  </si>
  <si>
    <t>STANDARDIZED FUEL PROPERTIES:</t>
  </si>
  <si>
    <t>POT</t>
  </si>
  <si>
    <t>ALL</t>
  </si>
  <si>
    <t>TERM</t>
  </si>
  <si>
    <t>TECHS 4&amp;5</t>
  </si>
  <si>
    <t>INTERCEPT</t>
  </si>
  <si>
    <t>ETOH*OXYGEN</t>
  </si>
  <si>
    <t>RVAR</t>
  </si>
  <si>
    <t>RVT5</t>
  </si>
  <si>
    <t>T5AR</t>
  </si>
  <si>
    <t>T5T5</t>
  </si>
  <si>
    <t>T5T9</t>
  </si>
  <si>
    <t>T5OX</t>
  </si>
  <si>
    <t>T9T9</t>
  </si>
  <si>
    <t>T9OX</t>
  </si>
  <si>
    <t>RVT9</t>
  </si>
  <si>
    <t>T9AR</t>
  </si>
  <si>
    <t>ARAR</t>
  </si>
  <si>
    <t>SUOX</t>
  </si>
  <si>
    <t>AROX</t>
  </si>
  <si>
    <t>ARSU</t>
  </si>
  <si>
    <t>OLT9</t>
  </si>
  <si>
    <t>OXOX</t>
  </si>
  <si>
    <t>SUSU</t>
  </si>
  <si>
    <t>RVOL</t>
  </si>
  <si>
    <t>OLOL</t>
  </si>
  <si>
    <t>RVSU</t>
  </si>
  <si>
    <t>T9SU</t>
  </si>
  <si>
    <t>T9OL</t>
  </si>
  <si>
    <t>MODEL PREDICTIONS: EXP(PREDICTION) ARE EMISSIONS PREDICTIONS IN g/mi FOR THC AND NOX AND mg/mi FOR TOXICS.</t>
  </si>
  <si>
    <t>PREDICTIONS FOR THE REFERENCE FUEL:</t>
  </si>
  <si>
    <t>POT. WT.</t>
  </si>
  <si>
    <t>TOXICS</t>
  </si>
  <si>
    <t>MODEL PREDICTION</t>
  </si>
  <si>
    <t>EXP(PREDICTION)</t>
  </si>
  <si>
    <t>PREDICTIONS FOR THE CANDIDATE FUEL:</t>
  </si>
  <si>
    <t>PERCENT CHANGE IN PREDICTED EMISSIONS (REFERENCE FUEL RELATIVE TO CANDIDATE FUEL):</t>
  </si>
  <si>
    <t>NOX (RANBAL)</t>
  </si>
  <si>
    <t>THC (RANBAL)</t>
  </si>
  <si>
    <t>POTENCY TOXICS</t>
  </si>
  <si>
    <t>OXYGEN MINIMUM CALCULATION</t>
  </si>
  <si>
    <t>STD</t>
  </si>
  <si>
    <t>Computation of Values of Oxygen, T50, and T90 for Which Techs 4 and 5 Responses are Minimum.</t>
  </si>
  <si>
    <t>Lower Oxygen</t>
  </si>
  <si>
    <t>PERCENT CHANGE IN PREDICTED EMISSIONS (REFRENCE FUEL RELATIVE TO CANDIDATE FUEL):</t>
  </si>
  <si>
    <t>EVAPORATIVE EMISSIONS CALCULATIONS</t>
  </si>
  <si>
    <t>THIS PAGE CALCULATES THE PERCENT CHANGE IN REACTIVITY-WEIGHTED EVAPORATIVE HYDROCARBON EMISSIONS.</t>
  </si>
  <si>
    <t>Reference Fuel</t>
  </si>
  <si>
    <t>Candidate Fuel</t>
  </si>
  <si>
    <t>RVP (psi)</t>
  </si>
  <si>
    <t>% Oxygen (as MTBE)</t>
  </si>
  <si>
    <t>Fuel Benzene (%)</t>
  </si>
  <si>
    <t>Predicted Percent</t>
  </si>
  <si>
    <t>Emissions</t>
  </si>
  <si>
    <t>Reactivity Weighted</t>
  </si>
  <si>
    <t>Weighted with</t>
  </si>
  <si>
    <t>Evaporative Emissions Mode</t>
  </si>
  <si>
    <t>Change in Emissions</t>
  </si>
  <si>
    <t>Relative Reactivity</t>
  </si>
  <si>
    <t>Fraction</t>
  </si>
  <si>
    <t xml:space="preserve">Percent Change </t>
  </si>
  <si>
    <t>Diurnal and Resting Losses</t>
  </si>
  <si>
    <t>Hot Soak</t>
  </si>
  <si>
    <t>Running Losses</t>
  </si>
  <si>
    <t>OXYGEN VALUES DETERMINATION (For Use in Evap. Benzene Calculations)</t>
  </si>
  <si>
    <t>EVAP BENZENE MODEL PREDICTIONS</t>
  </si>
  <si>
    <t>EVAP THC MODEL PREDICTIONS (g/mi in year 2005 MVEI7G scale)</t>
  </si>
  <si>
    <t xml:space="preserve">MODEL PREDICTIONS FOR BENZENE/THC FRACTIONS </t>
  </si>
  <si>
    <t>EVAP BENZENE EMISSION PREDICTIONS (Product of Evap. THC predictions and Benzene/HC fractions).</t>
  </si>
  <si>
    <t>EVAP MODEL</t>
  </si>
  <si>
    <t>Evap. Mode</t>
  </si>
  <si>
    <t>Max. Oxygen</t>
  </si>
  <si>
    <t>Min. Oxygen</t>
  </si>
  <si>
    <t>Diurnal and Resting</t>
  </si>
  <si>
    <t>Running</t>
  </si>
  <si>
    <t>Sum</t>
  </si>
  <si>
    <t>Predicted % Change</t>
  </si>
  <si>
    <t>The above numbers need to be scaled to the exhaust predictive model scale.</t>
  </si>
  <si>
    <t>in Total Evap.</t>
  </si>
  <si>
    <t>They also need to be multiplied by 1000 to convert from g/mi to mg/mi.</t>
  </si>
  <si>
    <t>The combination of the predicted potency-weighted exhaust toxics and evaporative benzene is done below.</t>
  </si>
  <si>
    <t>Evap. Benzene Emissions Predictions (mg/mi in exhaust toxics PM scale)</t>
  </si>
  <si>
    <t xml:space="preserve">Pot.-Weighted </t>
  </si>
  <si>
    <t>Evap. Benzene</t>
  </si>
  <si>
    <t>The above numbers need to be potency weighted to combine with exhaust predictions</t>
  </si>
  <si>
    <t>Predictions</t>
  </si>
  <si>
    <t>Potency-Weighted Evap. Benzene Emissions</t>
  </si>
  <si>
    <t>Pot.-Weighted</t>
  </si>
  <si>
    <t>Ex. Toxics</t>
  </si>
  <si>
    <t>Tech 3</t>
  </si>
  <si>
    <t>Tech 4</t>
  </si>
  <si>
    <t>Tech 5</t>
  </si>
  <si>
    <t>Composite</t>
  </si>
  <si>
    <t>Total Predicted</t>
  </si>
  <si>
    <t>Toxics</t>
  </si>
  <si>
    <t xml:space="preserve">Max. Oxygen </t>
  </si>
  <si>
    <t>% Change in</t>
  </si>
  <si>
    <t>CO EMISSION REDUCTION CALCULATION</t>
  </si>
  <si>
    <t xml:space="preserve">THIS PAGE COMPUTES THE CO EMISSIONS CHANGE (FUNCTION OF OXYGEN ONLY) AND  </t>
  </si>
  <si>
    <t xml:space="preserve">INCLUDES THIS AS A CREDIT (IF NEGATIVE) IN THE TOTAL HYDROCARBON PORTION OF THE </t>
  </si>
  <si>
    <t>PASS/FAIL CRITERIA.</t>
  </si>
  <si>
    <t xml:space="preserve">THE CO CHANGE IS COMPUTED USING THE CO REDUCTION ESTIMATE OF 8.90 PERCENT </t>
  </si>
  <si>
    <t>BETWEEN A 2.0 PERCENT OXYGEN FUEL AND A 3.5 PERCENT OXYGEN FUEL, OR</t>
  </si>
  <si>
    <t xml:space="preserve">A -5.933 PERCENT CHANGE PER PERCENT INCREASE IN OXYGEN. NO CO INCREASE IS </t>
  </si>
  <si>
    <t>ASSUMED FOR OXYGEN LESS THAN 2.0 PERCENT.</t>
  </si>
  <si>
    <t>REFERENCE FUEL</t>
  </si>
  <si>
    <t>CANDIDATE FUEL</t>
  </si>
  <si>
    <t>DIFFERENCE IN</t>
  </si>
  <si>
    <t>PREDICTED</t>
  </si>
  <si>
    <t>CO RELATIVE</t>
  </si>
  <si>
    <t>REACTIVITY WEIGHTED</t>
  </si>
  <si>
    <t>OXYGEN LEVEL (%)</t>
  </si>
  <si>
    <t>CO CHANGE (%)</t>
  </si>
  <si>
    <t>REACTIVITY</t>
  </si>
  <si>
    <t>CO CHANGE</t>
  </si>
  <si>
    <t>TEST 7</t>
  </si>
  <si>
    <t>TEST 8</t>
  </si>
  <si>
    <t>This is done by multiplying by 0.275/0.481 = 0.572</t>
  </si>
  <si>
    <t>PM Flat</t>
  </si>
  <si>
    <t>Tank Number:</t>
  </si>
  <si>
    <t>Grade:</t>
  </si>
  <si>
    <t>Fuel Parameter</t>
  </si>
  <si>
    <t xml:space="preserve">Compliance </t>
  </si>
  <si>
    <t>Predictive Model</t>
  </si>
  <si>
    <t>Units</t>
  </si>
  <si>
    <t>Option</t>
  </si>
  <si>
    <t>Percent Change in Emissions</t>
  </si>
  <si>
    <t>Pollutants</t>
  </si>
  <si>
    <t>Oxides of Nitrogen</t>
  </si>
  <si>
    <t>Exhaust THC</t>
  </si>
  <si>
    <t>Evap THC (Reactivity Weighted)</t>
  </si>
  <si>
    <t>Total Hydrocarbons</t>
  </si>
  <si>
    <t>Potency Weighted Toxins</t>
  </si>
  <si>
    <t>Comment:</t>
  </si>
  <si>
    <t>n/a</t>
  </si>
  <si>
    <t>ARO</t>
  </si>
  <si>
    <t>BEN</t>
  </si>
  <si>
    <t>OLE</t>
  </si>
  <si>
    <t>SUL</t>
  </si>
  <si>
    <t>CaRFG Phase</t>
  </si>
  <si>
    <t>OXYX</t>
  </si>
  <si>
    <t>OXYN</t>
  </si>
  <si>
    <t>CARB</t>
  </si>
  <si>
    <t>EPA Facility ID:</t>
  </si>
  <si>
    <t>Person Reporting:</t>
  </si>
  <si>
    <t>City, St  Zip Code</t>
  </si>
  <si>
    <t>Location</t>
  </si>
  <si>
    <t>Total Oxy, wt%</t>
  </si>
  <si>
    <t>Aromatics, vol%</t>
  </si>
  <si>
    <t>Benzene, vol%</t>
  </si>
  <si>
    <t>Olefin, vol%</t>
  </si>
  <si>
    <t>Sulfur, ppm</t>
  </si>
  <si>
    <r>
      <t xml:space="preserve">T50, 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F</t>
    </r>
  </si>
  <si>
    <r>
      <t xml:space="preserve">T90, 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F</t>
    </r>
  </si>
  <si>
    <t>Notification Date:</t>
  </si>
  <si>
    <t>Notification Time:</t>
  </si>
  <si>
    <t>Start Production Date:</t>
  </si>
  <si>
    <t>Start Production Time:</t>
  </si>
  <si>
    <t>Phone Number:</t>
  </si>
  <si>
    <t>PM Specification Number:</t>
  </si>
  <si>
    <t>Batch Number:</t>
  </si>
  <si>
    <t>Predictive Model Specification</t>
  </si>
  <si>
    <t>Do you elect to use the evaporative HC emissions model?:</t>
  </si>
  <si>
    <t xml:space="preserve">The candidate fuel </t>
  </si>
  <si>
    <t xml:space="preserve">the candidate fuel and the reference fuel is:  </t>
  </si>
  <si>
    <t xml:space="preserve">request that this report be kept confidential as trade secret information  </t>
  </si>
  <si>
    <t xml:space="preserve">pursuant to the California Public Records CA Government Code Section 6250 et seq.  </t>
  </si>
  <si>
    <t>CTRSP</t>
  </si>
  <si>
    <t>REFINERY NAME</t>
  </si>
  <si>
    <t>INPUTS (from Page Phase 3 PM for PM Flat)</t>
  </si>
  <si>
    <t>Is this an RVP controlled gasoline (summertime gasoline)?:</t>
  </si>
  <si>
    <t xml:space="preserve">BETWEEN THE CANDIDATE FUEL AND REFERENCE FUEL IS:  </t>
  </si>
  <si>
    <t xml:space="preserve">Required Input </t>
  </si>
  <si>
    <t>Optional Input</t>
  </si>
  <si>
    <t>Entry Key:</t>
  </si>
  <si>
    <t>Ethanol</t>
  </si>
  <si>
    <r>
      <t>Max. O</t>
    </r>
    <r>
      <rPr>
        <vertAlign val="subscript"/>
        <sz val="12"/>
        <rFont val="Arial"/>
        <family val="2"/>
      </rPr>
      <t>2</t>
    </r>
  </si>
  <si>
    <r>
      <t>Min. O</t>
    </r>
    <r>
      <rPr>
        <vertAlign val="subscript"/>
        <sz val="12"/>
        <rFont val="Arial"/>
        <family val="2"/>
      </rPr>
      <t>2</t>
    </r>
  </si>
  <si>
    <r>
      <t>Minimum O</t>
    </r>
    <r>
      <rPr>
        <vertAlign val="subscript"/>
        <sz val="12"/>
        <rFont val="Arial"/>
        <family val="2"/>
      </rPr>
      <t>2</t>
    </r>
  </si>
  <si>
    <t>MTBX</t>
  </si>
  <si>
    <t>MTBN</t>
  </si>
  <si>
    <t>EOHX</t>
  </si>
  <si>
    <t>EOHN</t>
  </si>
  <si>
    <t xml:space="preserve"> Finished Gasoline PM</t>
  </si>
  <si>
    <t>Alternative Specifications</t>
  </si>
  <si>
    <t>Is this fuel being supplied from the production facility as a CARBOB?:</t>
  </si>
  <si>
    <t xml:space="preserve">                 Specify Oxygenate % for downstream blending: (Vol%)</t>
  </si>
  <si>
    <t xml:space="preserve">                 Are you using the default values?:</t>
  </si>
  <si>
    <t xml:space="preserve">     If Yes: Specify Oxygenate for downstream blending :</t>
  </si>
  <si>
    <t>Y</t>
  </si>
  <si>
    <t>RVP, psi</t>
  </si>
  <si>
    <t>COMPLIANCE OPTION FOR EACH PROPERTY</t>
  </si>
  <si>
    <r>
      <t>Maximum O</t>
    </r>
    <r>
      <rPr>
        <vertAlign val="subscript"/>
        <sz val="12"/>
        <rFont val="Arial"/>
        <family val="2"/>
      </rPr>
      <t>2</t>
    </r>
  </si>
  <si>
    <t xml:space="preserve">, since the percent change in emissions between  </t>
  </si>
  <si>
    <t>N</t>
  </si>
  <si>
    <r>
      <t xml:space="preserve">California Air Resources Board -- </t>
    </r>
    <r>
      <rPr>
        <b/>
        <sz val="8"/>
        <rFont val="Arial"/>
        <family val="2"/>
      </rPr>
      <t>Revised:12/25/2003</t>
    </r>
  </si>
  <si>
    <t>This spreadsheet uses the California Predictive Model to evaluate alternative specifications for Phase 3 reformulated gasoline</t>
  </si>
  <si>
    <t>This spreadsheet is based on the procedures defined in the California Procedures for Evaluating Alternative Specifications</t>
  </si>
  <si>
    <t xml:space="preserve"> for Phase 3 Reformulated Gasoline Using the California Predictive Model.</t>
  </si>
  <si>
    <t xml:space="preserve">To use this spreadsheet the user will first be required to indicate if he/she wishes to use the compliance option which </t>
  </si>
  <si>
    <t xml:space="preserve">provides for the use of the evaporative HC emissions model, or if he/she wants the HC emissions equivalency of the alternative </t>
  </si>
  <si>
    <t xml:space="preserve">specifications to be based on the exhaust HC emissions model only.  Next the user will be required to enter the value of each </t>
  </si>
  <si>
    <t xml:space="preserve">predicitve model candidate fuel property.  The spreadsheet will calculate the percent in emissions reduction between the </t>
  </si>
  <si>
    <t>candidate fuel and the reference fuel and indicate ehether the candidate fuel can be use as an alternative fuel for compliance</t>
  </si>
  <si>
    <t>with the Reformulated Gasoline Regulations.</t>
  </si>
  <si>
    <t>This page summarizes the model predictions and states whether the candidate fuel passes or fails the equivalency criteria.</t>
  </si>
  <si>
    <t>Page B computes the exhaust model predictions, while Page C computes the evaporative model predictions, and page D computes</t>
  </si>
  <si>
    <t xml:space="preserve"> the credit due to CO reductions.</t>
  </si>
  <si>
    <t>If No to a summertime gasoline, leave the RVP value blank.</t>
  </si>
  <si>
    <t xml:space="preserve">PHASE 3 RFG PREDICTIVE MODEL FOR COMPLIANCE OPTION FLAT (12-25-03)  </t>
  </si>
  <si>
    <t>Total</t>
  </si>
  <si>
    <t xml:space="preserve">WEIGHT </t>
  </si>
  <si>
    <t>Reactivity</t>
  </si>
  <si>
    <t>Emission</t>
  </si>
  <si>
    <t>Weighted Only</t>
  </si>
  <si>
    <t>RVRV</t>
  </si>
  <si>
    <t xml:space="preserve">Permeation Increase </t>
  </si>
  <si>
    <t>TOTAL</t>
  </si>
  <si>
    <t>(Onroad)</t>
  </si>
  <si>
    <t>Coefficient</t>
  </si>
  <si>
    <t>Product</t>
  </si>
  <si>
    <t>Ref</t>
  </si>
  <si>
    <t>Candidate</t>
  </si>
  <si>
    <t>Intercept</t>
  </si>
  <si>
    <t>RV</t>
  </si>
  <si>
    <t>T5</t>
  </si>
  <si>
    <t>T9</t>
  </si>
  <si>
    <t>AR</t>
  </si>
  <si>
    <t>OL</t>
  </si>
  <si>
    <t>OX</t>
  </si>
  <si>
    <t>SU</t>
  </si>
  <si>
    <t xml:space="preserve">TECH 4 </t>
  </si>
  <si>
    <t>DRAFT PM FOR 2010 CY (DO NOT QUOTE OR CITE) FOR REVIEW ONLY:</t>
  </si>
  <si>
    <t>TOG Exhaust</t>
  </si>
  <si>
    <t>TOG Evap (Reactivity Weighted)</t>
  </si>
  <si>
    <t>POT. TOX.</t>
  </si>
  <si>
    <t>TOT. O3 FORMING POT. (Emis. Wt. TOG exh and evap + Perm + CO)</t>
  </si>
  <si>
    <t>TOT. OZONE FORMING POT. (Emis. Wt. TOG exh and evap + Perm + CO)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</si>
</sst>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0000"/>
    <numFmt numFmtId="168" formatCode="0.00000"/>
    <numFmt numFmtId="169" formatCode="0.000"/>
    <numFmt numFmtId="170" formatCode="0.00000000"/>
    <numFmt numFmtId="171" formatCode="0;[Red]0"/>
    <numFmt numFmtId="172" formatCode="0.00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u val="single"/>
      <sz val="12"/>
      <color indexed="48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vertAlign val="subscript"/>
      <sz val="12"/>
      <name val="Arial"/>
      <family val="2"/>
    </font>
    <font>
      <sz val="12"/>
      <color indexed="9"/>
      <name val="Arial"/>
      <family val="2"/>
    </font>
    <font>
      <b/>
      <u val="single"/>
      <sz val="16"/>
      <color indexed="10"/>
      <name val="Arial"/>
      <family val="2"/>
    </font>
    <font>
      <u val="single"/>
      <sz val="10"/>
      <name val="Arial"/>
      <family val="2"/>
    </font>
    <font>
      <b/>
      <sz val="12"/>
      <color indexed="33"/>
      <name val="Arial"/>
      <family val="2"/>
    </font>
    <font>
      <b/>
      <u val="single"/>
      <sz val="16"/>
      <name val="Arial"/>
      <family val="2"/>
    </font>
    <font>
      <b/>
      <sz val="8"/>
      <name val="Arial"/>
      <family val="2"/>
    </font>
    <font>
      <b/>
      <sz val="24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ill="0" applyBorder="0" applyAlignment="0" applyProtection="0"/>
    <xf numFmtId="3" fontId="4" fillId="0" borderId="0" applyFill="0" applyBorder="0" applyAlignment="0" applyProtection="0"/>
    <xf numFmtId="7" fontId="4" fillId="0" borderId="0" applyFill="0" applyBorder="0" applyAlignment="0" applyProtection="0"/>
    <xf numFmtId="5" fontId="4" fillId="0" borderId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0" fontId="4" fillId="0" borderId="0" applyFill="0" applyBorder="0" applyAlignment="0" applyProtection="0"/>
    <xf numFmtId="0" fontId="4" fillId="0" borderId="1" applyNumberFormat="0" applyFill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23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5" fontId="1" fillId="0" borderId="0" xfId="23" applyNumberFormat="1" applyFont="1" applyAlignment="1">
      <alignment/>
    </xf>
    <xf numFmtId="165" fontId="0" fillId="0" borderId="0" xfId="23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13" fillId="2" borderId="0" xfId="0" applyFont="1" applyFill="1" applyAlignment="1" applyProtection="1" quotePrefix="1">
      <alignment horizontal="left"/>
      <protection locked="0"/>
    </xf>
    <xf numFmtId="14" fontId="13" fillId="3" borderId="0" xfId="0" applyNumberFormat="1" applyFont="1" applyFill="1" applyAlignment="1" applyProtection="1">
      <alignment horizontal="left"/>
      <protection locked="0"/>
    </xf>
    <xf numFmtId="20" fontId="13" fillId="3" borderId="0" xfId="0" applyNumberFormat="1" applyFont="1" applyFill="1" applyAlignment="1" applyProtection="1">
      <alignment horizontal="left"/>
      <protection locked="0"/>
    </xf>
    <xf numFmtId="14" fontId="13" fillId="4" borderId="0" xfId="0" applyNumberFormat="1" applyFont="1" applyFill="1" applyAlignment="1" applyProtection="1">
      <alignment horizontal="left"/>
      <protection locked="0"/>
    </xf>
    <xf numFmtId="20" fontId="13" fillId="4" borderId="0" xfId="0" applyNumberFormat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4" fillId="0" borderId="0" xfId="23" applyFont="1" applyAlignment="1" applyProtection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23" applyFont="1" applyAlignment="1">
      <alignment horizontal="right"/>
    </xf>
    <xf numFmtId="0" fontId="4" fillId="0" borderId="0" xfId="23" applyFont="1" applyBorder="1" applyAlignment="1" applyProtection="1">
      <alignment/>
      <protection/>
    </xf>
    <xf numFmtId="0" fontId="7" fillId="0" borderId="0" xfId="23" applyFont="1" applyAlignment="1" applyProtection="1">
      <alignment/>
      <protection/>
    </xf>
    <xf numFmtId="0" fontId="8" fillId="0" borderId="0" xfId="23" applyFont="1" applyAlignment="1" applyProtection="1">
      <alignment/>
      <protection/>
    </xf>
    <xf numFmtId="2" fontId="4" fillId="0" borderId="0" xfId="23" applyNumberFormat="1" applyFont="1" applyAlignment="1" applyProtection="1">
      <alignment/>
      <protection/>
    </xf>
    <xf numFmtId="165" fontId="4" fillId="0" borderId="0" xfId="23" applyNumberFormat="1" applyFont="1" applyAlignment="1" applyProtection="1">
      <alignment/>
      <protection/>
    </xf>
    <xf numFmtId="2" fontId="4" fillId="5" borderId="0" xfId="23" applyNumberFormat="1" applyFont="1" applyFill="1" applyAlignment="1" applyProtection="1">
      <alignment/>
      <protection/>
    </xf>
    <xf numFmtId="165" fontId="4" fillId="5" borderId="0" xfId="23" applyNumberFormat="1" applyFont="1" applyFill="1" applyAlignment="1" applyProtection="1">
      <alignment/>
      <protection/>
    </xf>
    <xf numFmtId="170" fontId="4" fillId="0" borderId="0" xfId="23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165" fontId="4" fillId="0" borderId="0" xfId="23" applyNumberFormat="1" applyFont="1" applyBorder="1" applyAlignment="1" applyProtection="1">
      <alignment/>
      <protection/>
    </xf>
    <xf numFmtId="165" fontId="7" fillId="0" borderId="0" xfId="23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23" applyFont="1" applyAlignment="1" applyProtection="1">
      <alignment horizontal="left"/>
      <protection/>
    </xf>
    <xf numFmtId="0" fontId="4" fillId="0" borderId="0" xfId="23" applyFont="1" applyBorder="1" applyAlignment="1" applyProtection="1">
      <alignment horizontal="center"/>
      <protection/>
    </xf>
    <xf numFmtId="0" fontId="4" fillId="0" borderId="0" xfId="23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8" fillId="0" borderId="0" xfId="23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2" xfId="23" applyFont="1" applyBorder="1" applyAlignment="1" applyProtection="1">
      <alignment horizontal="center"/>
      <protection/>
    </xf>
    <xf numFmtId="0" fontId="13" fillId="0" borderId="3" xfId="23" applyFont="1" applyBorder="1" applyAlignment="1" applyProtection="1">
      <alignment horizontal="center"/>
      <protection/>
    </xf>
    <xf numFmtId="0" fontId="13" fillId="0" borderId="4" xfId="23" applyFont="1" applyBorder="1" applyAlignment="1" applyProtection="1">
      <alignment horizontal="center"/>
      <protection/>
    </xf>
    <xf numFmtId="0" fontId="4" fillId="0" borderId="5" xfId="0" applyFont="1" applyBorder="1" applyAlignment="1">
      <alignment horizontal="left" indent="2"/>
    </xf>
    <xf numFmtId="0" fontId="4" fillId="0" borderId="6" xfId="0" applyFont="1" applyBorder="1" applyAlignment="1">
      <alignment horizontal="center"/>
    </xf>
    <xf numFmtId="2" fontId="13" fillId="6" borderId="7" xfId="23" applyNumberFormat="1" applyFont="1" applyFill="1" applyBorder="1" applyAlignment="1" applyProtection="1">
      <alignment horizontal="center"/>
      <protection locked="0"/>
    </xf>
    <xf numFmtId="1" fontId="13" fillId="6" borderId="8" xfId="23" applyNumberFormat="1" applyFont="1" applyFill="1" applyBorder="1" applyAlignment="1" applyProtection="1">
      <alignment horizontal="center"/>
      <protection locked="0"/>
    </xf>
    <xf numFmtId="165" fontId="13" fillId="6" borderId="8" xfId="23" applyNumberFormat="1" applyFont="1" applyFill="1" applyBorder="1" applyAlignment="1" applyProtection="1">
      <alignment horizontal="center"/>
      <protection locked="0"/>
    </xf>
    <xf numFmtId="165" fontId="13" fillId="6" borderId="9" xfId="23" applyNumberFormat="1" applyFont="1" applyFill="1" applyBorder="1" applyAlignment="1" applyProtection="1">
      <alignment horizontal="center"/>
      <protection locked="0"/>
    </xf>
    <xf numFmtId="165" fontId="13" fillId="6" borderId="7" xfId="23" applyNumberFormat="1" applyFont="1" applyFill="1" applyBorder="1" applyAlignment="1" applyProtection="1">
      <alignment horizontal="center"/>
      <protection locked="0"/>
    </xf>
    <xf numFmtId="2" fontId="13" fillId="6" borderId="9" xfId="23" applyNumberFormat="1" applyFont="1" applyFill="1" applyBorder="1" applyAlignment="1" applyProtection="1">
      <alignment horizontal="center"/>
      <protection locked="0"/>
    </xf>
    <xf numFmtId="0" fontId="19" fillId="0" borderId="0" xfId="23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11" fillId="0" borderId="0" xfId="23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65" fontId="13" fillId="0" borderId="11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0" xfId="0" applyAlignment="1" applyProtection="1">
      <alignment/>
      <protection/>
    </xf>
    <xf numFmtId="1" fontId="13" fillId="6" borderId="17" xfId="23" applyNumberFormat="1" applyFont="1" applyFill="1" applyBorder="1" applyAlignment="1" applyProtection="1">
      <alignment horizontal="center"/>
      <protection locked="0"/>
    </xf>
    <xf numFmtId="165" fontId="13" fillId="6" borderId="18" xfId="2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5" fontId="1" fillId="0" borderId="0" xfId="23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19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24" fillId="0" borderId="0" xfId="0" applyFont="1" applyAlignment="1" applyProtection="1">
      <alignment/>
      <protection/>
    </xf>
    <xf numFmtId="0" fontId="13" fillId="0" borderId="20" xfId="0" applyFont="1" applyFill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11" fillId="0" borderId="0" xfId="23" applyFont="1" applyAlignment="1" applyProtection="1">
      <alignment horizontal="center"/>
      <protection/>
    </xf>
    <xf numFmtId="0" fontId="28" fillId="0" borderId="0" xfId="23" applyFont="1" applyAlignment="1" applyProtection="1">
      <alignment/>
      <protection/>
    </xf>
    <xf numFmtId="0" fontId="11" fillId="7" borderId="0" xfId="0" applyFont="1" applyFill="1" applyAlignment="1" applyProtection="1">
      <alignment horizontal="center"/>
      <protection/>
    </xf>
    <xf numFmtId="0" fontId="11" fillId="6" borderId="0" xfId="0" applyFont="1" applyFill="1" applyAlignment="1" applyProtection="1">
      <alignment horizontal="center"/>
      <protection/>
    </xf>
    <xf numFmtId="0" fontId="7" fillId="0" borderId="0" xfId="23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3" fillId="0" borderId="0" xfId="23" applyFont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8" fillId="0" borderId="0" xfId="24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2" fontId="13" fillId="0" borderId="2" xfId="24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24" applyFont="1" applyFill="1" applyAlignment="1">
      <alignment/>
    </xf>
    <xf numFmtId="1" fontId="13" fillId="0" borderId="3" xfId="0" applyNumberFormat="1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/>
    </xf>
    <xf numFmtId="165" fontId="13" fillId="0" borderId="22" xfId="0" applyNumberFormat="1" applyFont="1" applyFill="1" applyBorder="1" applyAlignment="1">
      <alignment horizontal="center"/>
    </xf>
    <xf numFmtId="165" fontId="13" fillId="0" borderId="23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66" fontId="7" fillId="0" borderId="0" xfId="24" applyNumberFormat="1" applyFont="1" applyFill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4" fillId="0" borderId="0" xfId="24" applyFont="1" applyFill="1" applyAlignment="1">
      <alignment horizontal="left"/>
    </xf>
    <xf numFmtId="166" fontId="4" fillId="0" borderId="0" xfId="24" applyNumberFormat="1" applyFont="1" applyFill="1" applyAlignment="1">
      <alignment/>
    </xf>
    <xf numFmtId="165" fontId="4" fillId="0" borderId="0" xfId="24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25" xfId="24" applyFont="1" applyFill="1" applyBorder="1" applyAlignment="1">
      <alignment/>
    </xf>
    <xf numFmtId="165" fontId="4" fillId="0" borderId="26" xfId="24" applyNumberFormat="1" applyFont="1" applyFill="1" applyBorder="1" applyAlignment="1">
      <alignment/>
    </xf>
    <xf numFmtId="0" fontId="4" fillId="0" borderId="27" xfId="24" applyFont="1" applyFill="1" applyBorder="1" applyAlignment="1">
      <alignment/>
    </xf>
    <xf numFmtId="0" fontId="4" fillId="0" borderId="26" xfId="24" applyFont="1" applyFill="1" applyBorder="1" applyAlignment="1">
      <alignment/>
    </xf>
    <xf numFmtId="166" fontId="4" fillId="0" borderId="26" xfId="24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9" fontId="4" fillId="0" borderId="0" xfId="24" applyNumberFormat="1" applyFont="1" applyFill="1" applyAlignment="1">
      <alignment horizontal="center"/>
    </xf>
    <xf numFmtId="165" fontId="4" fillId="0" borderId="0" xfId="24" applyNumberFormat="1" applyFont="1" applyFill="1" applyAlignment="1">
      <alignment horizontal="center"/>
    </xf>
    <xf numFmtId="169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4" fillId="0" borderId="0" xfId="24" applyNumberFormat="1" applyFont="1" applyFill="1" applyAlignment="1">
      <alignment/>
    </xf>
    <xf numFmtId="0" fontId="4" fillId="0" borderId="0" xfId="24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24" applyFont="1" applyFill="1" applyAlignment="1">
      <alignment horizontal="right"/>
    </xf>
    <xf numFmtId="0" fontId="0" fillId="0" borderId="0" xfId="24" applyFont="1" applyFill="1" applyAlignment="1">
      <alignment horizontal="right"/>
    </xf>
    <xf numFmtId="0" fontId="4" fillId="0" borderId="0" xfId="24" applyFont="1" applyFill="1" applyAlignment="1" applyProtection="1">
      <alignment/>
      <protection locked="0"/>
    </xf>
    <xf numFmtId="165" fontId="4" fillId="0" borderId="0" xfId="24" applyNumberFormat="1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8" fillId="0" borderId="0" xfId="24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>
      <alignment/>
    </xf>
    <xf numFmtId="0" fontId="4" fillId="0" borderId="0" xfId="23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24" fillId="0" borderId="0" xfId="0" applyFont="1" applyAlignment="1" applyProtection="1">
      <alignment/>
      <protection/>
    </xf>
    <xf numFmtId="2" fontId="4" fillId="0" borderId="0" xfId="23" applyNumberFormat="1" applyFont="1" applyFill="1" applyAlignment="1" applyProtection="1">
      <alignment/>
      <protection/>
    </xf>
    <xf numFmtId="0" fontId="4" fillId="0" borderId="0" xfId="25" applyFont="1" applyFill="1" applyAlignment="1">
      <alignment horizontal="center"/>
    </xf>
    <xf numFmtId="168" fontId="4" fillId="0" borderId="0" xfId="0" applyNumberFormat="1" applyFont="1" applyFill="1" applyAlignment="1">
      <alignment/>
    </xf>
    <xf numFmtId="0" fontId="4" fillId="0" borderId="28" xfId="0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166" fontId="4" fillId="0" borderId="28" xfId="0" applyNumberFormat="1" applyFont="1" applyFill="1" applyBorder="1" applyAlignment="1">
      <alignment/>
    </xf>
    <xf numFmtId="0" fontId="4" fillId="0" borderId="25" xfId="25" applyFont="1" applyFill="1" applyBorder="1" applyAlignment="1">
      <alignment/>
    </xf>
    <xf numFmtId="165" fontId="4" fillId="0" borderId="26" xfId="25" applyNumberFormat="1" applyFont="1" applyFill="1" applyBorder="1" applyAlignment="1">
      <alignment/>
    </xf>
    <xf numFmtId="0" fontId="30" fillId="0" borderId="0" xfId="23" applyFont="1" applyAlignment="1" applyProtection="1">
      <alignment/>
      <protection/>
    </xf>
    <xf numFmtId="0" fontId="0" fillId="0" borderId="0" xfId="0" applyFill="1" applyBorder="1" applyAlignment="1">
      <alignment/>
    </xf>
    <xf numFmtId="165" fontId="13" fillId="0" borderId="0" xfId="23" applyNumberFormat="1" applyFont="1" applyFill="1" applyBorder="1" applyAlignment="1" applyProtection="1">
      <alignment horizontal="center"/>
      <protection locked="0"/>
    </xf>
    <xf numFmtId="1" fontId="13" fillId="0" borderId="0" xfId="23" applyNumberFormat="1" applyFont="1" applyFill="1" applyBorder="1" applyAlignment="1" applyProtection="1">
      <alignment horizontal="center"/>
      <protection locked="0"/>
    </xf>
    <xf numFmtId="2" fontId="13" fillId="0" borderId="0" xfId="23" applyNumberFormat="1" applyFont="1" applyFill="1" applyBorder="1" applyAlignment="1" applyProtection="1">
      <alignment horizontal="center"/>
      <protection locked="0"/>
    </xf>
    <xf numFmtId="169" fontId="4" fillId="0" borderId="28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23" applyNumberFormat="1" applyFont="1" applyAlignment="1">
      <alignment/>
    </xf>
    <xf numFmtId="0" fontId="1" fillId="0" borderId="0" xfId="23" applyFont="1" applyAlignment="1">
      <alignment horizontal="right"/>
    </xf>
    <xf numFmtId="0" fontId="1" fillId="0" borderId="0" xfId="0" applyFont="1" applyAlignment="1">
      <alignment horizontal="right"/>
    </xf>
    <xf numFmtId="0" fontId="16" fillId="0" borderId="0" xfId="23" applyFont="1" applyAlignment="1">
      <alignment/>
    </xf>
    <xf numFmtId="0" fontId="7" fillId="0" borderId="0" xfId="23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13" fillId="6" borderId="34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11" fillId="0" borderId="0" xfId="23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0" xfId="24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0" fillId="0" borderId="0" xfId="0" applyAlignment="1">
      <alignment/>
    </xf>
    <xf numFmtId="2" fontId="13" fillId="0" borderId="37" xfId="0" applyNumberFormat="1" applyFont="1" applyBorder="1" applyAlignment="1">
      <alignment horizontal="center"/>
    </xf>
    <xf numFmtId="2" fontId="13" fillId="0" borderId="38" xfId="0" applyNumberFormat="1" applyFont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41" xfId="0" applyFont="1" applyBorder="1" applyAlignment="1">
      <alignment horizontal="left" indent="2"/>
    </xf>
    <xf numFmtId="0" fontId="4" fillId="0" borderId="38" xfId="0" applyFont="1" applyBorder="1" applyAlignment="1">
      <alignment horizontal="left" indent="2"/>
    </xf>
    <xf numFmtId="0" fontId="4" fillId="0" borderId="15" xfId="0" applyFont="1" applyBorder="1" applyAlignment="1">
      <alignment horizontal="left" indent="2"/>
    </xf>
    <xf numFmtId="0" fontId="4" fillId="0" borderId="26" xfId="0" applyFont="1" applyBorder="1" applyAlignment="1">
      <alignment horizontal="left" indent="2"/>
    </xf>
    <xf numFmtId="2" fontId="13" fillId="0" borderId="42" xfId="0" applyNumberFormat="1" applyFont="1" applyBorder="1" applyAlignment="1">
      <alignment horizontal="center"/>
    </xf>
    <xf numFmtId="165" fontId="13" fillId="0" borderId="27" xfId="0" applyNumberFormat="1" applyFont="1" applyBorder="1" applyAlignment="1">
      <alignment horizontal="center"/>
    </xf>
    <xf numFmtId="1" fontId="13" fillId="0" borderId="27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right"/>
    </xf>
    <xf numFmtId="165" fontId="13" fillId="0" borderId="40" xfId="0" applyNumberFormat="1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4" xfId="0" applyBorder="1" applyAlignment="1">
      <alignment/>
    </xf>
    <xf numFmtId="1" fontId="13" fillId="0" borderId="45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27" xfId="0" applyFont="1" applyBorder="1" applyAlignment="1">
      <alignment/>
    </xf>
    <xf numFmtId="0" fontId="0" fillId="0" borderId="40" xfId="0" applyFont="1" applyBorder="1" applyAlignment="1">
      <alignment/>
    </xf>
    <xf numFmtId="0" fontId="4" fillId="0" borderId="47" xfId="0" applyFont="1" applyBorder="1" applyAlignment="1">
      <alignment/>
    </xf>
    <xf numFmtId="1" fontId="13" fillId="0" borderId="40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13" fillId="2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2" fontId="4" fillId="0" borderId="0" xfId="0" applyNumberFormat="1" applyFont="1" applyAlignment="1">
      <alignment horizontal="left"/>
    </xf>
    <xf numFmtId="171" fontId="13" fillId="2" borderId="0" xfId="0" applyNumberFormat="1" applyFont="1" applyFill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left"/>
      <protection locked="0"/>
    </xf>
    <xf numFmtId="0" fontId="4" fillId="0" borderId="38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50" xfId="0" applyFont="1" applyBorder="1" applyAlignment="1">
      <alignment/>
    </xf>
    <xf numFmtId="0" fontId="1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13" fillId="8" borderId="0" xfId="0" applyFont="1" applyFill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3" fillId="3" borderId="0" xfId="0" applyFont="1" applyFill="1" applyAlignment="1" applyProtection="1">
      <alignment horizontal="left"/>
      <protection locked="0"/>
    </xf>
    <xf numFmtId="17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48" xfId="0" applyFont="1" applyBorder="1" applyAlignment="1">
      <alignment horizontal="center"/>
    </xf>
    <xf numFmtId="0" fontId="0" fillId="0" borderId="51" xfId="0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0" xfId="23" applyFont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_A" xfId="23"/>
    <cellStyle name="normal_B" xfId="24"/>
    <cellStyle name="normal_C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T620"/>
  <sheetViews>
    <sheetView tabSelected="1" showOutlineSymbols="0" zoomScale="75" zoomScaleNormal="75" workbookViewId="0" topLeftCell="A1">
      <selection activeCell="B36" sqref="B36"/>
    </sheetView>
  </sheetViews>
  <sheetFormatPr defaultColWidth="9.140625" defaultRowHeight="15" customHeight="1"/>
  <cols>
    <col min="1" max="1" width="22.8515625" style="1" customWidth="1"/>
    <col min="2" max="2" width="57.140625" style="1" customWidth="1"/>
    <col min="3" max="3" width="24.140625" style="1" customWidth="1"/>
    <col min="4" max="4" width="19.7109375" style="1" customWidth="1"/>
    <col min="5" max="5" width="13.28125" style="1" customWidth="1"/>
    <col min="6" max="6" width="10.8515625" style="1" customWidth="1"/>
    <col min="7" max="16384" width="9.140625" style="1" customWidth="1"/>
  </cols>
  <sheetData>
    <row r="1" spans="1:72" ht="31.5" customHeight="1">
      <c r="A1" s="160" t="s">
        <v>320</v>
      </c>
      <c r="B1" s="21"/>
      <c r="C1" s="21"/>
      <c r="D1" s="21"/>
      <c r="E1" s="21"/>
      <c r="F1" s="22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</row>
    <row r="2" spans="1:72" ht="15" customHeight="1">
      <c r="A2" s="2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</row>
    <row r="3" spans="1:72" ht="15" customHeight="1">
      <c r="A3" s="21" t="s">
        <v>284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</row>
    <row r="4" spans="1:72" ht="15" customHeight="1">
      <c r="A4" s="21" t="s">
        <v>285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</row>
    <row r="5" spans="1:72" ht="15" customHeight="1">
      <c r="A5" s="21" t="s">
        <v>286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</row>
    <row r="6" spans="1:72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</row>
    <row r="7" spans="1:72" ht="15" customHeight="1">
      <c r="A7" s="21" t="s">
        <v>287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</row>
    <row r="8" spans="1:72" ht="15" customHeight="1">
      <c r="A8" s="21" t="s">
        <v>288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</row>
    <row r="9" spans="1:72" ht="15" customHeight="1">
      <c r="A9" s="21" t="s">
        <v>289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</row>
    <row r="10" spans="1:72" ht="15" customHeight="1">
      <c r="A10" s="1" t="s">
        <v>290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</row>
    <row r="11" spans="1:72" ht="15" customHeight="1">
      <c r="A11" s="21" t="s">
        <v>291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</row>
    <row r="12" spans="1:72" ht="15" customHeight="1">
      <c r="A12" s="21" t="s">
        <v>292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</row>
    <row r="13" spans="1:72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</row>
    <row r="14" spans="1:72" ht="15" customHeight="1">
      <c r="A14" s="21" t="s">
        <v>293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</row>
    <row r="15" spans="1:72" ht="15" customHeight="1">
      <c r="A15" s="21" t="s">
        <v>294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</row>
    <row r="16" spans="1:72" ht="15" customHeight="1">
      <c r="A16" s="21" t="s">
        <v>295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</row>
    <row r="17" spans="1:72" ht="15" customHeight="1">
      <c r="A17" s="21"/>
      <c r="B17" s="21"/>
      <c r="C17" s="21"/>
      <c r="D17" s="21"/>
      <c r="E17" s="21"/>
      <c r="F17" s="21"/>
      <c r="G17" s="21"/>
      <c r="H17" s="21"/>
      <c r="I17" s="21"/>
      <c r="J17" s="151" t="s">
        <v>277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</row>
    <row r="18" spans="1:72" ht="15" customHeight="1" thickBot="1">
      <c r="A18" s="21" t="s">
        <v>279</v>
      </c>
      <c r="B18" s="21"/>
      <c r="C18" s="21"/>
      <c r="D18" s="21"/>
      <c r="E18" s="21"/>
      <c r="F18" s="21"/>
      <c r="G18" s="21"/>
      <c r="H18" s="21"/>
      <c r="I18" s="21"/>
      <c r="J18" s="151" t="s">
        <v>282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</row>
    <row r="19" spans="1:72" ht="15" customHeight="1">
      <c r="A19" s="21" t="s">
        <v>6</v>
      </c>
      <c r="B19" s="45" t="s">
        <v>22</v>
      </c>
      <c r="C19" s="26"/>
      <c r="D19" s="21"/>
      <c r="E19" s="21"/>
      <c r="F19" s="21"/>
      <c r="G19" s="21"/>
      <c r="H19" s="21"/>
      <c r="I19" s="21"/>
      <c r="J19" s="151" t="s">
        <v>263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</row>
    <row r="20" spans="1:72" ht="15" customHeight="1">
      <c r="A20" s="21" t="s">
        <v>8</v>
      </c>
      <c r="B20" s="46" t="s">
        <v>22</v>
      </c>
      <c r="C20" s="26"/>
      <c r="D20" s="21"/>
      <c r="E20" s="21"/>
      <c r="F20" s="21"/>
      <c r="G20" s="21"/>
      <c r="H20" s="21"/>
      <c r="I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</row>
    <row r="21" spans="1:72" ht="14.25" customHeight="1">
      <c r="A21" s="21" t="s">
        <v>9</v>
      </c>
      <c r="B21" s="46" t="s">
        <v>22</v>
      </c>
      <c r="C21" s="2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</row>
    <row r="22" spans="1:72" ht="14.25" customHeight="1">
      <c r="A22" s="21" t="s">
        <v>11</v>
      </c>
      <c r="B22" s="46" t="s">
        <v>22</v>
      </c>
      <c r="C22" s="26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</row>
    <row r="23" spans="1:72" ht="14.25" customHeight="1">
      <c r="A23" s="21" t="s">
        <v>17</v>
      </c>
      <c r="B23" s="46" t="s">
        <v>22</v>
      </c>
      <c r="C23" s="26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</row>
    <row r="24" spans="1:72" ht="14.25" customHeight="1" thickBot="1">
      <c r="A24" s="21" t="s">
        <v>23</v>
      </c>
      <c r="B24" s="47" t="s">
        <v>22</v>
      </c>
      <c r="C24" s="26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</row>
    <row r="25" spans="1:72" ht="14.25" customHeight="1">
      <c r="A25" s="21"/>
      <c r="B25" s="100"/>
      <c r="C25" s="2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</row>
    <row r="26" spans="1:72" ht="14.25" customHeight="1">
      <c r="A26" s="21"/>
      <c r="B26" s="100"/>
      <c r="C26" s="26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</row>
    <row r="27" spans="1:72" ht="14.25" customHeight="1">
      <c r="A27" s="21"/>
      <c r="B27" s="100"/>
      <c r="C27" s="26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</row>
    <row r="28" spans="1:72" ht="20.25" customHeight="1">
      <c r="A28" s="95" t="s">
        <v>0</v>
      </c>
      <c r="B28" s="43" t="s">
        <v>262</v>
      </c>
      <c r="C28" s="97" t="s">
        <v>260</v>
      </c>
      <c r="D28" s="96" t="s">
        <v>261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</row>
    <row r="29" spans="1:72" ht="15" customHeight="1">
      <c r="A29" s="28"/>
      <c r="B29" s="21"/>
      <c r="C29" s="21"/>
      <c r="D29" s="21"/>
      <c r="E29" s="21"/>
      <c r="F29" s="21"/>
      <c r="G29" s="21"/>
      <c r="H29" s="21"/>
      <c r="I29" s="90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</row>
    <row r="30" spans="1:72" ht="20.25" customHeight="1">
      <c r="A30" s="193" t="s">
        <v>297</v>
      </c>
      <c r="B30" s="194"/>
      <c r="C30" s="194"/>
      <c r="D30" s="194"/>
      <c r="E30" s="194"/>
      <c r="F30" s="194"/>
      <c r="G30" s="194"/>
      <c r="H30" s="194"/>
      <c r="I30" s="194"/>
      <c r="J30" s="194"/>
      <c r="K30" s="73"/>
      <c r="L30" s="76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</row>
    <row r="31" spans="1:72" ht="15" customHeight="1" thickBot="1">
      <c r="A31" s="190"/>
      <c r="B31" s="190"/>
      <c r="C31" s="190"/>
      <c r="D31" s="191"/>
      <c r="E31" s="192"/>
      <c r="F31" s="192"/>
      <c r="G31" s="192"/>
      <c r="H31" s="192"/>
      <c r="I31" s="192"/>
      <c r="J31" s="192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</row>
    <row r="32" spans="1:72" ht="15" customHeight="1" thickBot="1">
      <c r="A32" s="197" t="s">
        <v>258</v>
      </c>
      <c r="B32" s="197"/>
      <c r="C32" s="197"/>
      <c r="D32" s="198"/>
      <c r="E32" s="195" t="s">
        <v>277</v>
      </c>
      <c r="F32" s="196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</row>
    <row r="33" spans="1:72" ht="15" customHeight="1">
      <c r="A33" s="197" t="s">
        <v>296</v>
      </c>
      <c r="B33" s="197"/>
      <c r="C33" s="197"/>
      <c r="D33" s="197"/>
      <c r="E33" s="197"/>
      <c r="F33" s="197"/>
      <c r="G33" s="197"/>
      <c r="H33" s="166"/>
      <c r="I33" s="73"/>
      <c r="J33" s="73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</row>
    <row r="34" spans="1:72" ht="15" customHeight="1">
      <c r="A34" s="21"/>
      <c r="B34" s="21"/>
      <c r="C34" s="21"/>
      <c r="D34" s="21"/>
      <c r="E34" s="21"/>
      <c r="F34" s="21"/>
      <c r="G34" s="21"/>
      <c r="H34" s="167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</row>
    <row r="35" spans="1:72" ht="15" customHeight="1" thickBot="1">
      <c r="A35" s="42" t="s">
        <v>1</v>
      </c>
      <c r="B35" s="41" t="s">
        <v>2</v>
      </c>
      <c r="C35" s="21"/>
      <c r="D35" s="41" t="s">
        <v>3</v>
      </c>
      <c r="E35" s="21"/>
      <c r="F35" s="21"/>
      <c r="G35" s="21"/>
      <c r="H35" s="167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</row>
    <row r="36" spans="1:72" ht="15" customHeight="1">
      <c r="A36" s="21" t="s">
        <v>278</v>
      </c>
      <c r="B36" s="50">
        <v>7</v>
      </c>
      <c r="C36" s="22"/>
      <c r="D36" s="21" t="s">
        <v>5</v>
      </c>
      <c r="E36" s="65" t="str">
        <f>IF(AND(E32="Y",OR(B36&gt;7,B36&lt;6.4)),"EXCEEDS CAP SEE PROCEDURES"," ")</f>
        <v> </v>
      </c>
      <c r="F36" s="44"/>
      <c r="G36" s="44"/>
      <c r="H36" s="168"/>
      <c r="I36" s="66" t="str">
        <f>IF(AND(E32="N",OR(B36&lt;6.4,B36&gt;7.2)),"EXCEEDS CAP SEE PROCEDURE"," ")</f>
        <v> </v>
      </c>
      <c r="J36" s="44"/>
      <c r="K36" s="4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</row>
    <row r="37" spans="1:72" ht="15" customHeight="1">
      <c r="A37" s="21" t="s">
        <v>6</v>
      </c>
      <c r="B37" s="51">
        <v>213</v>
      </c>
      <c r="C37" s="26"/>
      <c r="D37" s="21" t="s">
        <v>7</v>
      </c>
      <c r="E37" s="65" t="str">
        <f>IF(OR(B37&gt;220,B37&lt;0),"EXCEEDS CAP SEE PROCEDURES"," ")</f>
        <v> </v>
      </c>
      <c r="F37" s="44"/>
      <c r="G37" s="44"/>
      <c r="H37" s="168"/>
      <c r="I37" s="44"/>
      <c r="J37" s="44"/>
      <c r="K37" s="44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</row>
    <row r="38" spans="1:72" ht="15" customHeight="1">
      <c r="A38" s="21" t="s">
        <v>8</v>
      </c>
      <c r="B38" s="51">
        <v>305</v>
      </c>
      <c r="C38" s="26"/>
      <c r="D38" s="21" t="s">
        <v>7</v>
      </c>
      <c r="E38" s="65" t="str">
        <f>IF(OR(B38&gt;330,B38&lt;0),"EXCEEDS CAP SEE PROCEDURES"," ")</f>
        <v> </v>
      </c>
      <c r="F38" s="44"/>
      <c r="G38" s="44"/>
      <c r="H38" s="168"/>
      <c r="I38" s="44"/>
      <c r="J38" s="44"/>
      <c r="K38" s="44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</row>
    <row r="39" spans="1:72" ht="15" customHeight="1">
      <c r="A39" s="21" t="s">
        <v>9</v>
      </c>
      <c r="B39" s="52">
        <v>25</v>
      </c>
      <c r="C39" s="26"/>
      <c r="D39" s="21" t="s">
        <v>10</v>
      </c>
      <c r="E39" s="65" t="str">
        <f>IF(OR(B39&gt;35,B39&lt;0),"EXCEEDS CAP SEE PROCEDURES"," ")</f>
        <v> </v>
      </c>
      <c r="F39" s="44"/>
      <c r="G39" s="44"/>
      <c r="H39" s="167"/>
      <c r="I39" s="44"/>
      <c r="J39" s="44"/>
      <c r="K39" s="44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</row>
    <row r="40" spans="1:72" ht="15" customHeight="1" thickBot="1">
      <c r="A40" s="21" t="s">
        <v>11</v>
      </c>
      <c r="B40" s="53">
        <v>6</v>
      </c>
      <c r="C40" s="26"/>
      <c r="D40" s="21" t="s">
        <v>10</v>
      </c>
      <c r="E40" s="65" t="str">
        <f>IF(OR(B40&gt;10,B40&lt;0),"EXCEEDS CAP SEE PROCEDURES"," ")</f>
        <v> </v>
      </c>
      <c r="F40" s="44"/>
      <c r="G40" s="44"/>
      <c r="H40" s="166"/>
      <c r="I40" s="44"/>
      <c r="J40" s="44"/>
      <c r="K40" s="44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</row>
    <row r="41" spans="1:72" ht="15" customHeight="1" thickBot="1">
      <c r="A41" s="21"/>
      <c r="B41" s="39" t="s">
        <v>12</v>
      </c>
      <c r="C41" s="40" t="s">
        <v>13</v>
      </c>
      <c r="D41" s="21"/>
      <c r="E41" s="66"/>
      <c r="F41" s="44"/>
      <c r="G41" s="44"/>
      <c r="H41" s="44"/>
      <c r="I41" s="44"/>
      <c r="J41" s="44"/>
      <c r="K41" s="44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</row>
    <row r="42" spans="1:72" ht="15" customHeight="1" thickBot="1">
      <c r="A42" s="21" t="s">
        <v>14</v>
      </c>
      <c r="B42" s="54">
        <v>2</v>
      </c>
      <c r="C42" s="75">
        <v>2</v>
      </c>
      <c r="D42" s="26" t="s">
        <v>15</v>
      </c>
      <c r="E42" s="199" t="str">
        <f>IF(AND(B42&gt;3.5,B42&lt;=3.7),"Exceeds Cap UNLESS ethanol  content is &lt;=10%",IF(B42&gt;3.5,"EXCEEDS CAP SEE PROCEDURES"," "))</f>
        <v> </v>
      </c>
      <c r="F42" s="200"/>
      <c r="G42" s="200"/>
      <c r="H42" s="200"/>
      <c r="I42" s="200"/>
      <c r="J42" s="200"/>
      <c r="K42" s="66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</row>
    <row r="43" spans="1:72" ht="15" customHeight="1">
      <c r="A43" s="21" t="s">
        <v>17</v>
      </c>
      <c r="B43" s="74">
        <v>20</v>
      </c>
      <c r="C43" s="26"/>
      <c r="D43" s="21" t="s">
        <v>18</v>
      </c>
      <c r="E43" s="65" t="str">
        <f>IF(OR(B43&gt;30,B43&lt;0),"EXCEEDS CAP SEE PROCEDURES"," ")</f>
        <v> </v>
      </c>
      <c r="F43" s="21"/>
      <c r="G43" s="44"/>
      <c r="H43" s="44"/>
      <c r="I43" s="44"/>
      <c r="J43" s="44"/>
      <c r="K43" s="44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</row>
    <row r="44" spans="1:72" ht="15" customHeight="1" thickBot="1">
      <c r="A44" s="21" t="s">
        <v>19</v>
      </c>
      <c r="B44" s="55">
        <v>0.8</v>
      </c>
      <c r="C44" s="26"/>
      <c r="D44" s="21" t="s">
        <v>10</v>
      </c>
      <c r="E44" s="65" t="str">
        <f>IF(OR(B44&gt;1.1,B44&lt;0),"EXCEEDS CAP SEE PROCEDURES"," ")</f>
        <v> </v>
      </c>
      <c r="F44" s="21"/>
      <c r="G44" s="44"/>
      <c r="H44" s="44"/>
      <c r="I44" s="44"/>
      <c r="J44" s="44"/>
      <c r="K44" s="44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</row>
    <row r="45" spans="1:72" ht="1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</row>
    <row r="46" spans="1:72" ht="15" customHeight="1">
      <c r="A46" s="93" t="str">
        <f>IF(OR(E36="EXCEEDS CAP SEE PROCEDURES",I36="EXCEEDS CAP SEE PROCEDURES",E37="EXCEEDS CAP SEE PROCEDURES",E38="EXCEEDS CAP SEE PROCEDURES",E39="EXCEEDS CAP SEE PROCEDURES",E40="EXCEEDS CAP SEE PROCEDURES",,E42="EXCEEDS CAP SEE PROCEDURES",E43="EXCEEDS CAP SEE PROCEDURES",E44="EXCEEDS CAP SEE PROCEDURES"),"A Pass/Fail determination for the candidate fuel will not be made due to input error"," ")</f>
        <v> 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</row>
    <row r="47" spans="1:72" ht="1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</row>
    <row r="48" spans="1:72" ht="15" customHeight="1">
      <c r="A48" s="187" t="s">
        <v>35</v>
      </c>
      <c r="B48" s="189"/>
      <c r="C48" s="94" t="str">
        <f>IF(A46=" ",IF(AND(AND(AND(AND(AND(ROUND(C60,2)&lt;0.05,ROUND(C64,2)&lt;0.05),ROUND(C65,2)&lt;0.05),ROUND(C73,2)&lt;0.05),ROUND(C77,2)&lt;0.05),ROUND(C78,2)&lt;0.05),"PASSES","FAILS")," ")</f>
        <v>FAILS</v>
      </c>
      <c r="D48" s="36" t="s">
        <v>36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</row>
    <row r="49" spans="1:72" ht="15" customHeight="1">
      <c r="A49" s="187" t="s">
        <v>259</v>
      </c>
      <c r="B49" s="188"/>
      <c r="C49" s="28" t="str">
        <f>IF(C48="passes","LESS THAN OR EQUAL TO 0.04% FOR NOx, O3 FORMING POT., AND POT. TOXICS","GREATER THAN OR EQUAL TO 0.05% FOR NOx OR O3 FORMING POT. OR POT. TOXICS ")</f>
        <v>GREATER THAN OR EQUAL TO 0.05% FOR NOx OR O3 FORMING POT. OR POT. TOXICS </v>
      </c>
      <c r="D49" s="169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</row>
    <row r="50" spans="1:72" ht="15" customHeight="1">
      <c r="A50" s="98"/>
      <c r="B50" s="99"/>
      <c r="C50" s="98"/>
      <c r="D50" s="99"/>
      <c r="E50" s="76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</row>
    <row r="51" spans="1:72" ht="1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</row>
    <row r="52" spans="1:72" ht="15" customHeight="1">
      <c r="A52" s="27" t="s">
        <v>24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</row>
    <row r="54" spans="1:72" ht="15" customHeight="1">
      <c r="A54" s="28" t="s">
        <v>25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</row>
    <row r="55" spans="1:72" ht="15" customHeight="1">
      <c r="A55" s="28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</row>
    <row r="56" spans="1:72" ht="15" customHeight="1">
      <c r="A56" s="21" t="s">
        <v>26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</row>
    <row r="57" spans="1:72" ht="1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</row>
    <row r="58" spans="1:72" ht="15" customHeight="1">
      <c r="A58" s="21" t="s">
        <v>27</v>
      </c>
      <c r="B58" s="21"/>
      <c r="C58" s="21" t="s">
        <v>28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</row>
    <row r="59" spans="1:72" ht="15" customHeight="1">
      <c r="A59" s="21" t="s">
        <v>29</v>
      </c>
      <c r="B59" s="21"/>
      <c r="C59" s="21" t="s">
        <v>29</v>
      </c>
      <c r="D59" s="21" t="s">
        <v>29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</row>
    <row r="60" spans="1:72" ht="15" customHeight="1">
      <c r="A60" s="21" t="s">
        <v>30</v>
      </c>
      <c r="B60" s="21"/>
      <c r="C60" s="29">
        <f>(A!D47)</f>
        <v>0</v>
      </c>
      <c r="D60" s="21"/>
      <c r="E60" s="30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</row>
    <row r="61" spans="1:72" ht="15" customHeight="1">
      <c r="A61" s="21" t="s">
        <v>321</v>
      </c>
      <c r="B61" s="21"/>
      <c r="C61" s="29">
        <f>(A!D48)</f>
        <v>0</v>
      </c>
      <c r="D61" s="21"/>
      <c r="E61" s="3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</row>
    <row r="62" spans="1:72" ht="15" customHeight="1">
      <c r="A62" s="21" t="s">
        <v>322</v>
      </c>
      <c r="B62" s="21"/>
      <c r="C62" s="29">
        <f>B!G18</f>
        <v>0</v>
      </c>
      <c r="D62" s="21"/>
      <c r="E62" s="3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</row>
    <row r="63" spans="1:72" ht="15" customHeight="1">
      <c r="A63" s="21" t="s">
        <v>31</v>
      </c>
      <c r="B63" s="21"/>
      <c r="C63" s="29">
        <f>C!F15</f>
        <v>0</v>
      </c>
      <c r="D63" s="21"/>
      <c r="E63" s="3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</row>
    <row r="64" spans="1:72" ht="15" customHeight="1">
      <c r="A64" s="21" t="s">
        <v>325</v>
      </c>
      <c r="B64" s="21"/>
      <c r="C64" s="152">
        <f>IF(B42&gt;0,((B!E$15*B!F$15+B!E$16*B!F$16+B!E$17*B!F$17+A!X84*C61+A!X85*C63+A!X86*0.82*100)/(B!D$15*B!E$15+B!D$16*B!E$16+B!D$17*B!E$17+A!X$84+C!E15*A!X85+A!X86*0.82)),((B!E$15*B!F$15+B!E$16*B!F$16+B!E$17*B!F$17+A!X84*C61+A!X85*C63+A!X86*0.82*100)/(B!D$15*B!E$15+B!D$16*B!E$16+B!D$17*B!E$17+A!X$84+C!E15*A!X85+A!X86*0.82))-((A!X86*0.82*100)/(B!D$15*B!E$15+B!D$16*B!E$16+B!D$17*B!E$17+A!X$84+C!E15*A!X85+A!X86*0.82)))</f>
        <v>3.318095877520747</v>
      </c>
      <c r="D64" s="21"/>
      <c r="E64" s="3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</row>
    <row r="65" spans="1:72" ht="15" customHeight="1">
      <c r="A65" s="21" t="s">
        <v>323</v>
      </c>
      <c r="B65" s="21"/>
      <c r="C65" s="29">
        <f>(B!B64)</f>
        <v>0.185729720816632</v>
      </c>
      <c r="D65" s="30" t="s">
        <v>29</v>
      </c>
      <c r="E65" s="30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</row>
    <row r="66" spans="1:72" ht="15" customHeight="1">
      <c r="A66" s="21"/>
      <c r="B66" s="21"/>
      <c r="C66" s="33"/>
      <c r="D66" s="3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</row>
    <row r="67" spans="1:72" ht="15" customHeight="1">
      <c r="A67" s="28" t="s">
        <v>33</v>
      </c>
      <c r="B67" s="21"/>
      <c r="C67" s="34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</row>
    <row r="68" spans="1:72" ht="15" customHeight="1">
      <c r="A68" s="21"/>
      <c r="B68" s="21"/>
      <c r="C68" s="34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</row>
    <row r="69" spans="1:72" ht="15" customHeight="1">
      <c r="A69" s="21" t="s">
        <v>26</v>
      </c>
      <c r="B69" s="21"/>
      <c r="C69" s="34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</row>
    <row r="70" spans="1:72" ht="15" customHeight="1">
      <c r="A70" s="21"/>
      <c r="B70" s="21"/>
      <c r="C70" s="34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</row>
    <row r="71" spans="1:72" ht="15" customHeight="1">
      <c r="A71" s="21" t="s">
        <v>27</v>
      </c>
      <c r="B71" s="21"/>
      <c r="C71" s="34" t="s">
        <v>34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</row>
    <row r="72" spans="1:72" ht="15" customHeight="1">
      <c r="A72" s="21" t="s">
        <v>29</v>
      </c>
      <c r="B72" s="21"/>
      <c r="C72" s="34" t="s">
        <v>29</v>
      </c>
      <c r="D72" s="21" t="s">
        <v>29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</row>
    <row r="73" spans="1:72" ht="15" customHeight="1">
      <c r="A73" s="21" t="s">
        <v>30</v>
      </c>
      <c r="B73" s="30"/>
      <c r="C73" s="29">
        <f>(A!D58)</f>
        <v>0</v>
      </c>
      <c r="D73" s="21"/>
      <c r="E73" s="3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</row>
    <row r="74" spans="1:72" ht="15" customHeight="1">
      <c r="A74" s="21" t="s">
        <v>321</v>
      </c>
      <c r="B74" s="35"/>
      <c r="C74" s="29">
        <f>(A!D59)</f>
        <v>0</v>
      </c>
      <c r="D74" s="21"/>
      <c r="E74" s="3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</row>
    <row r="75" spans="1:72" ht="15" customHeight="1">
      <c r="A75" s="21" t="s">
        <v>322</v>
      </c>
      <c r="B75" s="32"/>
      <c r="C75" s="31">
        <f>B!G18</f>
        <v>0</v>
      </c>
      <c r="D75" s="21"/>
      <c r="E75" s="3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</row>
    <row r="76" spans="1:72" ht="15" customHeight="1">
      <c r="A76" s="21" t="s">
        <v>31</v>
      </c>
      <c r="B76" s="32"/>
      <c r="C76" s="31">
        <f>C!F21</f>
        <v>0</v>
      </c>
      <c r="D76" s="21"/>
      <c r="E76" s="3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</row>
    <row r="77" spans="1:72" ht="15" customHeight="1">
      <c r="A77" s="21" t="s">
        <v>324</v>
      </c>
      <c r="B77" s="32"/>
      <c r="C77" s="152">
        <f>IF(C42&gt;0,(B!E$15*B!F$15+B!E$16*B!F$16+B!E$17*B!F$17+A!X84*C74+A!X85*C76+A!X86*0.82*100)/(B!D$15*B!E$15+B!D$16*B!E$16+B!D$17*B!E17+A!X$84+C!E21*A!X85+A!X86*0.82),(B!E$15*B!F$15+B!E$16*B!F$16+B!E$17*B!F$17+A!X84*C74+A!X85*C76+A!X86*0.82*100)/(B!D$15*B!E$15+B!D$16*B!E$16+B!D$17*B!E17+A!X$84+C!E21*A!X85+A!X86*0.82)-((A!X86*0.82*100)/(B!D$15*B!E$15+B!D$16*B!E$16+B!D$17*B!E17+A!X$84+C!E21*A!X85+A!X86*0.82)))</f>
        <v>3.318095877520747</v>
      </c>
      <c r="D77" s="21"/>
      <c r="E77" s="3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</row>
    <row r="78" spans="1:72" ht="15" customHeight="1">
      <c r="A78" s="21" t="s">
        <v>32</v>
      </c>
      <c r="B78" s="30"/>
      <c r="C78" s="29">
        <f>(B!C64)</f>
        <v>0.185729720816632</v>
      </c>
      <c r="D78" s="30" t="s">
        <v>29</v>
      </c>
      <c r="E78" s="30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</row>
    <row r="79" spans="1:72" ht="15" customHeight="1">
      <c r="A79" s="21"/>
      <c r="B79" s="21"/>
      <c r="C79" s="30"/>
      <c r="D79" s="21"/>
      <c r="E79" s="21"/>
      <c r="F79" s="30"/>
      <c r="G79" s="30"/>
      <c r="H79" s="3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</row>
    <row r="80" spans="1:72" ht="15" customHeight="1">
      <c r="A80" s="21"/>
      <c r="B80" s="21"/>
      <c r="C80" s="21"/>
      <c r="D80" s="30"/>
      <c r="E80" s="21"/>
      <c r="F80" s="30"/>
      <c r="G80" s="3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</row>
    <row r="81" spans="1:72" ht="15" customHeight="1">
      <c r="A81" s="21"/>
      <c r="B81" s="38"/>
      <c r="C81" s="38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</row>
    <row r="82" spans="1:72" ht="1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</row>
    <row r="83" spans="1:72" ht="1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</row>
    <row r="84" spans="1:72" ht="1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</row>
    <row r="85" spans="1:72" ht="1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</row>
    <row r="86" spans="1:72" ht="1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</row>
    <row r="87" spans="1:72" ht="1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</row>
    <row r="88" spans="1:72" ht="1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</row>
    <row r="89" spans="1:72" ht="1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</row>
    <row r="90" spans="1:72" ht="15" customHeight="1">
      <c r="A90" s="21"/>
      <c r="B90" s="37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</row>
    <row r="91" spans="1:72" ht="1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</row>
    <row r="92" spans="1:72" ht="1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</row>
    <row r="93" spans="1:72" ht="1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</row>
    <row r="94" spans="1:72" ht="1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</row>
    <row r="95" spans="1:72" ht="15" customHeight="1">
      <c r="A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</row>
    <row r="96" spans="1:72" ht="15" customHeight="1">
      <c r="A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</row>
    <row r="97" spans="1:72" ht="15" customHeight="1">
      <c r="A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</row>
    <row r="98" spans="1:72" ht="1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</row>
    <row r="99" spans="1:72" ht="1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</row>
    <row r="100" spans="1:72" ht="1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</row>
    <row r="101" spans="1:72" ht="1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</row>
    <row r="102" spans="1:72" ht="1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</row>
    <row r="103" spans="1:72" ht="1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</row>
    <row r="104" spans="1:72" ht="1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</row>
    <row r="105" spans="1:72" ht="1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</row>
    <row r="106" spans="1:72" ht="1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</row>
    <row r="107" spans="1:72" ht="1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</row>
    <row r="108" spans="1:72" ht="1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</row>
    <row r="109" spans="1:72" ht="1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</row>
    <row r="110" spans="1:72" ht="1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</row>
    <row r="111" spans="1:72" ht="1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</row>
    <row r="112" spans="1:72" ht="1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</row>
    <row r="113" spans="1:72" ht="1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</row>
    <row r="114" spans="1:72" ht="1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</row>
    <row r="115" spans="1:72" ht="1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</row>
    <row r="116" spans="1:72" ht="1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</row>
    <row r="117" spans="1:72" ht="1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</row>
    <row r="118" spans="1:72" ht="1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</row>
    <row r="119" spans="1:72" ht="1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</row>
    <row r="120" spans="1:72" ht="1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</row>
    <row r="121" spans="1:72" ht="1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</row>
    <row r="122" spans="1:72" ht="1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</row>
    <row r="123" spans="1:72" ht="1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</row>
    <row r="124" spans="1:72" ht="1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</row>
    <row r="125" spans="1:72" ht="1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</row>
    <row r="126" spans="1:72" ht="1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</row>
    <row r="127" spans="1:72" ht="1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</row>
    <row r="128" spans="1:72" ht="1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</row>
    <row r="129" spans="1:72" ht="1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</row>
    <row r="130" spans="1:72" ht="1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</row>
    <row r="131" spans="1:72" ht="1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</row>
    <row r="132" spans="1:72" ht="1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</row>
    <row r="133" spans="1:72" ht="1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</row>
    <row r="134" spans="1:72" ht="1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</row>
    <row r="135" spans="1:72" ht="1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</row>
    <row r="136" spans="1:72" ht="1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</row>
    <row r="137" spans="1:72" ht="1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</row>
    <row r="138" spans="1:72" ht="1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</row>
    <row r="139" spans="1:72" ht="1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</row>
    <row r="140" spans="1:72" ht="1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</row>
    <row r="141" spans="1:72" ht="1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</row>
    <row r="142" spans="1:72" ht="1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</row>
    <row r="143" spans="1:72" ht="1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</row>
    <row r="144" spans="1:72" ht="1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</row>
    <row r="145" spans="1:72" ht="1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</row>
    <row r="146" spans="1:72" ht="1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</row>
    <row r="147" spans="1:72" ht="1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</row>
    <row r="148" spans="1:72" ht="1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</row>
    <row r="149" spans="1:72" ht="1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</row>
    <row r="150" spans="1:72" ht="1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</row>
    <row r="151" spans="1:72" ht="1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</row>
    <row r="152" spans="1:72" ht="1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</row>
    <row r="153" spans="1:72" ht="1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</row>
    <row r="154" spans="1:72" ht="1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</row>
    <row r="155" spans="1:72" ht="1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</row>
    <row r="156" spans="1:72" ht="1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</row>
    <row r="157" spans="1:72" ht="1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</row>
    <row r="158" spans="1:72" ht="1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</row>
    <row r="159" spans="1:72" ht="1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</row>
    <row r="160" spans="1:72" ht="1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</row>
    <row r="161" spans="1:72" ht="1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</row>
    <row r="162" spans="1:72" ht="1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</row>
    <row r="163" spans="1:72" ht="1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</row>
    <row r="164" spans="1:72" ht="1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</row>
    <row r="165" spans="1:72" ht="1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</row>
    <row r="166" spans="1:72" ht="1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</row>
    <row r="167" spans="1:72" ht="1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</row>
    <row r="168" spans="1:72" ht="1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</row>
    <row r="169" spans="1:72" ht="1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</row>
    <row r="170" spans="1:72" ht="1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</row>
    <row r="171" spans="1:72" ht="1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</row>
    <row r="172" spans="1:72" ht="1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</row>
    <row r="173" spans="1:72" ht="1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</row>
    <row r="174" spans="1:72" ht="1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</row>
    <row r="175" spans="1:72" ht="1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</row>
    <row r="176" spans="1:72" ht="1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</row>
    <row r="177" spans="1:72" ht="1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</row>
    <row r="178" spans="1:72" ht="1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</row>
    <row r="179" spans="1:72" ht="1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</row>
    <row r="180" spans="1:72" ht="1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</row>
    <row r="181" spans="1:72" ht="1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</row>
    <row r="182" spans="1:72" ht="1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</row>
    <row r="183" spans="1:72" ht="1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</row>
    <row r="184" spans="1:72" ht="1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</row>
    <row r="185" spans="1:72" ht="1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</row>
    <row r="186" spans="1:72" ht="1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</row>
    <row r="187" spans="1:72" ht="1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</row>
    <row r="188" spans="1:72" ht="1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</row>
    <row r="189" spans="1:72" ht="1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</row>
    <row r="190" spans="1:72" ht="1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</row>
    <row r="191" spans="1:72" ht="1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</row>
    <row r="192" spans="1:72" ht="1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</row>
    <row r="193" spans="1:72" ht="1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</row>
    <row r="194" spans="1:72" ht="1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</row>
    <row r="195" spans="1:72" ht="1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</row>
    <row r="196" spans="1:72" ht="1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</row>
    <row r="197" spans="1:72" ht="1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</row>
    <row r="198" spans="1:72" ht="1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</row>
    <row r="199" spans="1:72" ht="1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</row>
    <row r="200" spans="1:72" ht="1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</row>
    <row r="201" spans="1:72" ht="1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</row>
    <row r="202" spans="1:72" ht="1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</row>
    <row r="203" spans="1:72" ht="1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</row>
    <row r="204" spans="1:72" ht="1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</row>
    <row r="205" spans="1:72" ht="1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</row>
    <row r="206" spans="1:72" ht="1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</row>
    <row r="207" spans="1:72" ht="1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</row>
    <row r="208" spans="1:72" ht="1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</row>
    <row r="209" spans="1:72" ht="1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</row>
    <row r="210" spans="1:72" ht="1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</row>
    <row r="211" spans="1:72" ht="1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</row>
    <row r="212" spans="1:72" ht="1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</row>
    <row r="213" spans="1:72" ht="1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</row>
    <row r="214" spans="1:72" ht="1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</row>
    <row r="215" spans="1:72" ht="1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</row>
    <row r="216" spans="1:72" ht="1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</row>
    <row r="217" spans="1:72" ht="1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</row>
    <row r="218" spans="1:72" ht="1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</row>
    <row r="219" spans="1:72" ht="1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</row>
    <row r="220" spans="1:72" ht="1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</row>
    <row r="221" spans="1:72" ht="1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</row>
    <row r="222" spans="1:72" ht="1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</row>
    <row r="223" spans="1:72" ht="1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</row>
    <row r="224" spans="1:72" ht="1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</row>
    <row r="225" spans="1:72" ht="1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</row>
    <row r="226" spans="1:72" ht="1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</row>
    <row r="227" spans="1:72" ht="1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</row>
    <row r="228" spans="1:72" ht="1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</row>
    <row r="229" spans="1:72" ht="1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</row>
    <row r="230" spans="1:72" ht="1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</row>
    <row r="231" spans="1:72" ht="1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</row>
    <row r="232" spans="1:72" ht="1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</row>
    <row r="233" spans="1:72" ht="1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</row>
    <row r="234" spans="1:72" ht="1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</row>
    <row r="235" spans="1:72" ht="1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</row>
    <row r="236" spans="1:72" ht="1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</row>
    <row r="237" spans="1:72" ht="1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</row>
    <row r="238" spans="1:72" ht="1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</row>
    <row r="239" spans="1:72" ht="1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</row>
    <row r="240" spans="1:72" ht="1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</row>
    <row r="241" spans="1:72" ht="1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</row>
    <row r="242" spans="1:72" ht="1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</row>
    <row r="243" spans="1:72" ht="1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</row>
    <row r="244" spans="1:72" ht="1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</row>
    <row r="245" spans="1:72" ht="1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</row>
    <row r="246" spans="1:72" ht="1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</row>
    <row r="247" spans="1:72" ht="1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</row>
    <row r="248" spans="1:72" ht="1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</row>
    <row r="249" spans="1:72" ht="1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</row>
    <row r="250" spans="1:72" ht="1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</row>
    <row r="251" spans="1:72" ht="1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</row>
    <row r="252" spans="1:72" ht="1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</row>
    <row r="253" spans="1:72" ht="1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</row>
    <row r="254" spans="1:72" ht="1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</row>
    <row r="255" spans="1:72" ht="1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</row>
    <row r="256" spans="1:72" ht="1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</row>
    <row r="257" spans="1:72" ht="1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</row>
    <row r="258" spans="1:72" ht="1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</row>
    <row r="259" spans="1:72" ht="1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</row>
    <row r="260" spans="1:72" ht="1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</row>
    <row r="261" spans="1:72" ht="1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</row>
    <row r="262" spans="1:72" ht="1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</row>
    <row r="263" spans="1:72" ht="1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</row>
    <row r="264" spans="1:72" ht="1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</row>
    <row r="265" spans="1:72" ht="1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</row>
    <row r="266" spans="1:72" ht="1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</row>
    <row r="267" spans="1:72" ht="1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</row>
    <row r="268" spans="1:72" ht="1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</row>
    <row r="269" spans="1:72" ht="1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</row>
    <row r="270" spans="1:72" ht="1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</row>
    <row r="271" spans="1:72" ht="1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</row>
    <row r="272" spans="1:72" ht="1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</row>
    <row r="273" spans="1:72" ht="1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</row>
    <row r="274" spans="1:72" ht="1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</row>
    <row r="275" spans="1:72" ht="1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</row>
    <row r="276" spans="1:72" ht="1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</row>
    <row r="277" spans="1:72" ht="1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</row>
    <row r="278" spans="1:72" ht="1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</row>
    <row r="279" spans="1:72" ht="1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</row>
    <row r="280" spans="1:72" ht="1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</row>
    <row r="281" spans="1:72" ht="1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</row>
    <row r="282" spans="1:72" ht="1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</row>
    <row r="283" spans="1:72" ht="1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</row>
    <row r="284" spans="1:72" ht="1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</row>
    <row r="285" spans="1:72" ht="1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</row>
    <row r="286" spans="1:72" ht="1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</row>
    <row r="287" spans="1:72" ht="1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</row>
    <row r="288" spans="1:72" ht="1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</row>
    <row r="289" spans="1:72" ht="1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</row>
    <row r="290" spans="1:72" ht="1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</row>
    <row r="291" spans="1:72" ht="1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</row>
    <row r="292" spans="1:72" ht="1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</row>
    <row r="293" spans="1:72" ht="1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</row>
    <row r="294" spans="1:72" ht="1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</row>
    <row r="295" spans="1:72" ht="1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</row>
    <row r="296" spans="1:72" ht="1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</row>
    <row r="297" spans="1:72" ht="1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</row>
    <row r="298" spans="1:72" ht="1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</row>
    <row r="299" spans="1:72" ht="1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</row>
    <row r="300" spans="1:72" ht="1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</row>
    <row r="301" spans="1:72" ht="1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</row>
    <row r="302" spans="1:72" ht="1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</row>
    <row r="303" spans="1:72" ht="1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</row>
    <row r="304" spans="1:72" ht="1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</row>
    <row r="305" spans="1:72" ht="1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</row>
    <row r="306" spans="1:72" ht="1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</row>
    <row r="307" spans="1:72" ht="1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</row>
    <row r="308" spans="1:72" ht="1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</row>
    <row r="309" spans="1:72" ht="1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</row>
    <row r="310" spans="1:72" ht="1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</row>
    <row r="311" spans="1:72" ht="1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</row>
    <row r="312" spans="1:72" ht="1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</row>
    <row r="313" spans="1:72" ht="1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</row>
    <row r="314" spans="1:72" ht="1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</row>
    <row r="315" spans="1:72" ht="1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</row>
    <row r="316" spans="1:72" ht="1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</row>
    <row r="317" spans="1:72" ht="1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</row>
    <row r="318" spans="1:72" ht="1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</row>
    <row r="319" spans="1:72" ht="1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</row>
    <row r="320" spans="1:72" ht="1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</row>
    <row r="321" spans="1:72" ht="1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</row>
    <row r="322" spans="1:72" ht="1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</row>
    <row r="323" spans="1:72" ht="1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</row>
    <row r="324" spans="1:72" ht="1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</row>
    <row r="325" spans="1:72" ht="1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</row>
    <row r="326" spans="1:72" ht="1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</row>
    <row r="327" spans="1:72" ht="1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</row>
    <row r="328" spans="1:72" ht="1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</row>
    <row r="329" spans="1:72" ht="1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</row>
    <row r="330" spans="1:72" ht="1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</row>
    <row r="331" spans="1:72" ht="1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</row>
    <row r="332" spans="1:72" ht="1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</row>
    <row r="333" spans="1:72" ht="1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</row>
    <row r="334" spans="1:72" ht="1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</row>
    <row r="335" spans="1:72" ht="1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</row>
    <row r="336" spans="1:72" ht="1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</row>
    <row r="337" spans="1:72" ht="1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</row>
    <row r="338" spans="1:72" ht="1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</row>
    <row r="339" spans="1:72" ht="1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</row>
    <row r="340" spans="1:72" ht="1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</row>
    <row r="341" spans="1:72" ht="1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</row>
    <row r="342" spans="1:72" ht="1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</row>
    <row r="343" spans="1:72" ht="1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</row>
    <row r="344" spans="1:72" ht="1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</row>
    <row r="345" spans="1:72" ht="1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</row>
    <row r="346" spans="1:72" ht="1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</row>
    <row r="347" spans="1:72" ht="1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</row>
    <row r="348" spans="1:72" ht="1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</row>
    <row r="349" spans="1:72" ht="1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</row>
    <row r="350" spans="1:72" ht="1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</row>
    <row r="351" spans="1:72" ht="1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</row>
    <row r="352" spans="1:72" ht="1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</row>
    <row r="353" spans="1:72" ht="1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</row>
    <row r="354" spans="1:72" ht="1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</row>
    <row r="355" spans="1:72" ht="1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</row>
    <row r="356" spans="1:72" ht="1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</row>
    <row r="357" spans="1:72" ht="1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</row>
    <row r="358" spans="1:72" ht="1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</row>
    <row r="359" spans="1:72" ht="1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</row>
    <row r="360" spans="1:72" ht="1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</row>
    <row r="361" spans="1:72" ht="1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</row>
    <row r="362" spans="1:72" ht="1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</row>
    <row r="363" spans="1:72" ht="1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</row>
    <row r="364" spans="1:72" ht="1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</row>
    <row r="365" spans="1:72" ht="1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</row>
    <row r="366" spans="1:72" ht="1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</row>
    <row r="367" spans="1:72" ht="1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</row>
    <row r="368" spans="1:72" ht="1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</row>
    <row r="369" spans="1:72" ht="1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</row>
    <row r="370" spans="1:72" ht="1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</row>
    <row r="371" spans="1:72" ht="1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</row>
    <row r="372" spans="1:72" ht="1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</row>
    <row r="373" spans="1:72" ht="1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</row>
    <row r="374" spans="1:72" ht="1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</row>
    <row r="375" spans="1:72" ht="1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</row>
    <row r="376" spans="1:72" ht="1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</row>
    <row r="377" spans="1:72" ht="1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</row>
    <row r="378" spans="1:72" ht="1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</row>
    <row r="379" spans="1:72" ht="1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</row>
    <row r="380" spans="1:72" ht="1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</row>
    <row r="381" spans="1:72" ht="1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</row>
    <row r="382" spans="1:72" ht="1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</row>
    <row r="383" spans="1:72" ht="1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</row>
    <row r="384" spans="1:72" ht="1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</row>
    <row r="385" spans="1:72" ht="1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</row>
    <row r="386" spans="1:72" ht="1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</row>
    <row r="387" spans="1:72" ht="1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</row>
    <row r="388" spans="1:72" ht="1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</row>
    <row r="389" spans="1:72" ht="1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</row>
    <row r="390" spans="1:72" ht="1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</row>
    <row r="391" spans="1:72" ht="1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</row>
    <row r="392" spans="1:72" ht="1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</row>
    <row r="393" spans="1:72" ht="1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</row>
    <row r="394" spans="1:72" ht="1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</row>
    <row r="395" spans="1:72" ht="1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</row>
    <row r="396" spans="1:72" ht="1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</row>
    <row r="397" spans="1:72" ht="1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</row>
    <row r="398" spans="1:72" ht="1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</row>
    <row r="399" spans="1:72" ht="1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</row>
    <row r="400" spans="1:72" ht="1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</row>
    <row r="401" spans="1:72" ht="1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</row>
    <row r="402" spans="1:72" ht="1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</row>
    <row r="403" spans="1:72" ht="1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</row>
    <row r="404" spans="1:72" ht="1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</row>
    <row r="405" spans="1:72" ht="1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</row>
    <row r="406" spans="1:72" ht="1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</row>
    <row r="407" spans="1:72" ht="1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</row>
    <row r="408" spans="1:72" ht="1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</row>
    <row r="409" spans="1:72" ht="1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</row>
    <row r="410" spans="1:72" ht="1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</row>
    <row r="411" spans="1:72" ht="1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</row>
    <row r="412" spans="1:72" ht="1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</row>
    <row r="413" spans="1:72" ht="1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</row>
    <row r="414" spans="1:72" ht="1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</row>
    <row r="415" spans="1:72" ht="1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</row>
    <row r="416" spans="1:72" ht="1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</row>
    <row r="417" spans="1:72" ht="1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</row>
    <row r="418" spans="1:72" ht="1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</row>
    <row r="419" spans="1:72" ht="1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</row>
    <row r="420" spans="1:72" ht="1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</row>
    <row r="421" spans="1:72" ht="1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</row>
    <row r="422" spans="1:72" ht="1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</row>
    <row r="423" spans="1:72" ht="1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</row>
    <row r="424" spans="1:72" ht="1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</row>
    <row r="425" spans="1:72" ht="1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</row>
    <row r="426" spans="1:72" ht="1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</row>
    <row r="427" spans="1:72" ht="1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</row>
    <row r="428" spans="1:72" ht="1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</row>
    <row r="429" spans="1:72" ht="1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</row>
    <row r="430" spans="1:72" ht="1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</row>
    <row r="431" spans="1:72" ht="1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</row>
    <row r="432" spans="1:72" ht="1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</row>
    <row r="433" spans="1:72" ht="1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</row>
    <row r="434" spans="1:72" ht="1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</row>
    <row r="435" spans="1:72" ht="1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</row>
    <row r="436" spans="1:72" ht="1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</row>
    <row r="437" spans="1:72" ht="1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</row>
    <row r="438" spans="1:72" ht="1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</row>
    <row r="439" spans="1:72" ht="1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</row>
    <row r="440" spans="1:72" ht="1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</row>
    <row r="441" spans="1:72" ht="1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</row>
    <row r="442" spans="1:72" ht="1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</row>
    <row r="443" spans="1:72" ht="1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</row>
    <row r="444" spans="1:72" ht="1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</row>
    <row r="445" spans="1:72" ht="1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</row>
    <row r="446" spans="1:72" ht="1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</row>
    <row r="447" spans="1:72" ht="1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</row>
    <row r="448" spans="1:72" ht="1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</row>
    <row r="449" spans="1:72" ht="1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</row>
    <row r="450" spans="1:72" ht="1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</row>
    <row r="451" spans="1:72" ht="1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</row>
    <row r="452" spans="1:72" ht="1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</row>
    <row r="453" spans="1:72" ht="1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</row>
    <row r="454" spans="1:72" ht="1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</row>
    <row r="455" spans="1:72" ht="1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</row>
    <row r="456" spans="1:72" ht="1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</row>
    <row r="457" spans="1:72" ht="1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</row>
    <row r="458" spans="1:72" ht="1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</row>
    <row r="459" spans="1:72" ht="1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</row>
    <row r="460" spans="1:72" ht="1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</row>
    <row r="461" spans="1:72" ht="1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</row>
    <row r="462" spans="1:72" ht="1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</row>
    <row r="463" spans="1:72" ht="1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</row>
    <row r="464" spans="1:72" ht="1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</row>
    <row r="465" spans="1:72" ht="1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</row>
    <row r="466" spans="1:72" ht="1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</row>
    <row r="467" spans="1:72" ht="1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</row>
    <row r="468" spans="1:72" ht="1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</row>
    <row r="469" spans="1:72" ht="1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</row>
    <row r="470" spans="1:72" ht="1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</row>
    <row r="471" spans="1:72" ht="1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</row>
    <row r="472" spans="1:72" ht="1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</row>
    <row r="473" spans="1:72" ht="1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</row>
    <row r="474" spans="1:72" ht="1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</row>
    <row r="475" spans="1:72" ht="1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</row>
    <row r="476" spans="1:72" ht="1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</row>
    <row r="477" spans="1:72" ht="1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</row>
    <row r="478" spans="1:72" ht="1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</row>
    <row r="479" spans="1:72" ht="1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</row>
    <row r="480" spans="1:72" ht="1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</row>
    <row r="481" spans="1:72" ht="1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</row>
    <row r="482" spans="1:72" ht="1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</row>
    <row r="483" spans="1:72" ht="1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</row>
    <row r="484" spans="1:72" ht="1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</row>
    <row r="485" spans="1:72" ht="1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</row>
    <row r="486" spans="1:72" ht="1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</row>
    <row r="487" spans="1:72" ht="1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</row>
    <row r="488" spans="1:72" ht="1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</row>
    <row r="489" spans="1:72" ht="1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</row>
    <row r="490" spans="1:72" ht="1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</row>
    <row r="491" spans="1:72" ht="1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</row>
    <row r="492" spans="1:72" ht="1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</row>
    <row r="493" spans="1:72" ht="1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</row>
    <row r="494" spans="1:72" ht="1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</row>
    <row r="495" spans="1:72" ht="1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</row>
    <row r="496" spans="1:72" ht="1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</row>
    <row r="497" spans="1:72" ht="1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</row>
    <row r="498" spans="1:72" ht="1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</row>
    <row r="499" spans="1:72" ht="1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</row>
    <row r="500" spans="1:72" ht="1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</row>
    <row r="501" spans="1:72" ht="1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</row>
    <row r="502" spans="1:72" ht="1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</row>
    <row r="503" spans="1:72" ht="1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</row>
    <row r="504" spans="1:72" ht="1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</row>
    <row r="505" spans="1:72" ht="1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</row>
    <row r="506" spans="1:72" ht="1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</row>
    <row r="507" spans="1:72" ht="1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</row>
    <row r="508" spans="1:72" ht="1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</row>
    <row r="509" spans="1:72" ht="1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</row>
    <row r="510" spans="1:72" ht="1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</row>
    <row r="511" spans="1:72" ht="1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</row>
    <row r="512" spans="1:72" ht="1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</row>
    <row r="513" spans="1:72" ht="1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</row>
    <row r="514" spans="1:72" ht="1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</row>
    <row r="515" spans="1:72" ht="1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</row>
    <row r="516" spans="1:72" ht="1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</row>
    <row r="517" spans="1:72" ht="1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</row>
    <row r="518" spans="1:72" ht="1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</row>
    <row r="519" spans="1:72" ht="1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</row>
    <row r="520" spans="1:72" ht="1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</row>
    <row r="521" spans="1:72" ht="1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</row>
    <row r="522" spans="1:72" ht="1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</row>
    <row r="523" spans="1:72" ht="1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</row>
    <row r="524" spans="1:72" ht="1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</row>
    <row r="525" spans="1:72" ht="1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</row>
    <row r="526" spans="1:72" ht="1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</row>
    <row r="527" spans="1:72" ht="1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</row>
    <row r="528" spans="1:72" ht="1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</row>
    <row r="529" spans="1:72" ht="1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</row>
    <row r="530" spans="1:72" ht="1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</row>
    <row r="531" spans="1:72" ht="1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</row>
    <row r="532" spans="1:72" ht="1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</row>
    <row r="533" spans="1:72" ht="1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</row>
    <row r="534" spans="1:72" ht="1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</row>
    <row r="535" spans="1:72" ht="1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</row>
    <row r="536" spans="1:72" ht="1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</row>
    <row r="537" spans="1:72" ht="1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</row>
    <row r="538" spans="1:72" ht="1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</row>
    <row r="539" spans="1:72" ht="1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</row>
    <row r="540" spans="1:72" ht="1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</row>
    <row r="541" spans="1:72" ht="1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</row>
    <row r="542" spans="1:72" ht="1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</row>
    <row r="543" spans="1:72" ht="1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</row>
    <row r="544" spans="1:72" ht="1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</row>
    <row r="545" spans="1:72" ht="1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</row>
    <row r="546" spans="1:72" ht="1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</row>
    <row r="547" spans="1:72" ht="1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</row>
    <row r="548" spans="1:72" ht="1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</row>
    <row r="549" spans="1:72" ht="1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</row>
    <row r="550" spans="1:72" ht="1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</row>
    <row r="551" spans="1:72" ht="1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</row>
    <row r="552" spans="1:72" ht="1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</row>
    <row r="553" spans="1:72" ht="1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</row>
    <row r="554" spans="1:72" ht="1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</row>
    <row r="555" spans="1:72" ht="1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</row>
    <row r="556" spans="1:72" ht="1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</row>
    <row r="557" spans="1:72" ht="1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</row>
    <row r="558" spans="1:72" ht="1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</row>
    <row r="559" spans="1:72" ht="1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</row>
    <row r="560" spans="1:72" ht="1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</row>
    <row r="561" spans="1:72" ht="1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</row>
    <row r="562" spans="1:72" ht="1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</row>
    <row r="563" spans="1:72" ht="1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</row>
    <row r="564" spans="1:72" ht="1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</row>
    <row r="565" spans="1:72" ht="1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</row>
    <row r="566" spans="1:72" ht="1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</row>
    <row r="567" spans="1:72" ht="1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</row>
    <row r="568" spans="1:72" ht="1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</row>
    <row r="569" spans="1:72" ht="1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</row>
    <row r="570" spans="1:72" ht="1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</row>
    <row r="571" spans="1:72" ht="1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</row>
    <row r="572" spans="1:72" ht="1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</row>
    <row r="573" spans="1:72" ht="1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</row>
    <row r="574" spans="1:72" ht="1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</row>
    <row r="575" spans="1:72" ht="1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</row>
    <row r="576" spans="1:72" ht="1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</row>
    <row r="577" spans="1:72" ht="1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</row>
    <row r="578" spans="1:72" ht="1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</row>
    <row r="579" spans="1:72" ht="1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</row>
    <row r="580" spans="1:72" ht="1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</row>
    <row r="581" spans="1:72" ht="1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</row>
    <row r="582" spans="1:72" ht="1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</row>
    <row r="583" spans="1:72" ht="1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</row>
    <row r="584" spans="1:72" ht="1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</row>
    <row r="585" spans="1:72" ht="1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</row>
    <row r="586" spans="1:72" ht="1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</row>
    <row r="587" spans="1:72" ht="1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</row>
    <row r="588" spans="1:72" ht="1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</row>
    <row r="589" spans="1:72" ht="1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</row>
    <row r="590" spans="1:72" ht="1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</row>
    <row r="591" spans="1:72" ht="1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</row>
    <row r="592" spans="1:72" ht="1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</row>
    <row r="593" spans="1:72" ht="1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</row>
    <row r="594" spans="1:72" ht="1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</row>
    <row r="595" spans="1:72" ht="1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</row>
    <row r="596" spans="1:72" ht="1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</row>
    <row r="597" spans="1:72" ht="1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</row>
    <row r="598" spans="1:72" ht="1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</row>
    <row r="599" spans="1:72" ht="1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</row>
    <row r="600" spans="1:72" ht="1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</row>
    <row r="601" spans="1:72" ht="1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</row>
    <row r="602" spans="1:72" ht="1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</row>
    <row r="603" spans="1:72" ht="1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</row>
    <row r="604" spans="1:72" ht="1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</row>
    <row r="605" spans="1:72" ht="1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</row>
    <row r="606" spans="1:72" ht="1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</row>
    <row r="607" spans="1:72" ht="1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</row>
    <row r="608" spans="1:72" ht="1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</row>
    <row r="609" spans="1:72" ht="1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</row>
    <row r="610" spans="1:72" ht="1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</row>
    <row r="611" spans="1:72" ht="1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</row>
    <row r="612" spans="1:72" ht="1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</row>
    <row r="613" spans="1:72" ht="1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</row>
    <row r="614" spans="1:72" ht="1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</row>
    <row r="615" spans="1:72" ht="1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</row>
    <row r="616" spans="1:72" ht="1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</row>
    <row r="617" spans="1:72" ht="1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</row>
    <row r="618" spans="1:72" ht="1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</row>
    <row r="619" spans="1:72" ht="1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</row>
    <row r="620" spans="1:72" ht="1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</row>
  </sheetData>
  <mergeCells count="8">
    <mergeCell ref="A49:B49"/>
    <mergeCell ref="A48:B48"/>
    <mergeCell ref="A31:J31"/>
    <mergeCell ref="A30:J30"/>
    <mergeCell ref="E32:F32"/>
    <mergeCell ref="A32:D32"/>
    <mergeCell ref="E42:J42"/>
    <mergeCell ref="A33:G33"/>
  </mergeCells>
  <dataValidations count="1">
    <dataValidation type="list" allowBlank="1" showInputMessage="1" showErrorMessage="1" sqref="E32:F32">
      <formula1>$J$17:$J$18</formula1>
    </dataValidation>
  </dataValidations>
  <printOptions/>
  <pageMargins left="0.5" right="0.5" top="1.1666666666666667" bottom="1.1666666666666667" header="0.5" footer="0.5"/>
  <pageSetup fitToHeight="1" fitToWidth="1" horizontalDpi="600" verticalDpi="600" orientation="portrait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259"/>
  <sheetViews>
    <sheetView showOutlineSymbols="0" zoomScale="75" zoomScaleNormal="75" workbookViewId="0" topLeftCell="A38">
      <selection activeCell="A195" sqref="A195"/>
    </sheetView>
  </sheetViews>
  <sheetFormatPr defaultColWidth="9.140625" defaultRowHeight="15" customHeight="1"/>
  <cols>
    <col min="1" max="1" width="20.7109375" style="101" customWidth="1"/>
    <col min="2" max="3" width="12.7109375" style="101" customWidth="1"/>
    <col min="4" max="4" width="15.00390625" style="102" customWidth="1"/>
    <col min="5" max="5" width="12.28125" style="101" customWidth="1"/>
    <col min="6" max="7" width="13.7109375" style="101" customWidth="1"/>
    <col min="8" max="8" width="15.140625" style="101" customWidth="1"/>
    <col min="9" max="9" width="16.57421875" style="101" customWidth="1"/>
    <col min="10" max="10" width="10.28125" style="101" customWidth="1"/>
    <col min="11" max="11" width="17.00390625" style="101" customWidth="1"/>
    <col min="12" max="12" width="13.28125" style="101" customWidth="1"/>
    <col min="13" max="13" width="11.7109375" style="101" customWidth="1"/>
    <col min="14" max="14" width="10.7109375" style="101" customWidth="1"/>
    <col min="15" max="16" width="10.8515625" style="101" customWidth="1"/>
    <col min="17" max="17" width="14.8515625" style="101" customWidth="1"/>
    <col min="18" max="18" width="10.28125" style="101" customWidth="1"/>
    <col min="19" max="19" width="12.140625" style="101" customWidth="1"/>
    <col min="20" max="21" width="10.28125" style="101" customWidth="1"/>
    <col min="22" max="22" width="13.7109375" style="101" customWidth="1"/>
    <col min="23" max="23" width="20.57421875" style="101" customWidth="1"/>
    <col min="24" max="24" width="23.140625" style="101" customWidth="1"/>
    <col min="25" max="25" width="17.28125" style="101" bestFit="1" customWidth="1"/>
    <col min="26" max="26" width="10.28125" style="101" customWidth="1"/>
    <col min="27" max="27" width="14.140625" style="101" customWidth="1"/>
    <col min="28" max="204" width="10.28125" style="101" customWidth="1"/>
    <col min="205" max="206" width="2.421875" style="101" customWidth="1"/>
    <col min="207" max="16384" width="10.28125" style="101" customWidth="1"/>
  </cols>
  <sheetData>
    <row r="1" ht="15" customHeight="1">
      <c r="A1" s="101" t="s">
        <v>37</v>
      </c>
    </row>
    <row r="2" ht="15" customHeight="1">
      <c r="A2" s="101" t="s">
        <v>38</v>
      </c>
    </row>
    <row r="5" spans="1:4" ht="15" customHeight="1">
      <c r="A5" s="201" t="s">
        <v>257</v>
      </c>
      <c r="B5" s="202"/>
      <c r="C5" s="202"/>
      <c r="D5" s="202"/>
    </row>
    <row r="6" ht="15" customHeight="1">
      <c r="A6" s="103"/>
    </row>
    <row r="9" spans="1:4" ht="15" customHeight="1">
      <c r="A9" s="104" t="s">
        <v>1</v>
      </c>
      <c r="B9" s="105" t="s">
        <v>2</v>
      </c>
      <c r="C9" s="105"/>
      <c r="D9" s="106" t="s">
        <v>3</v>
      </c>
    </row>
    <row r="10" ht="15" customHeight="1" thickBot="1"/>
    <row r="11" spans="1:6" ht="15" customHeight="1">
      <c r="A11" s="101" t="s">
        <v>4</v>
      </c>
      <c r="B11" s="107">
        <f>IF('Phase 3 PM for PM Flat'!E32="N"," ",'Phase 3 PM for PM Flat'!B36)</f>
        <v>7</v>
      </c>
      <c r="C11" s="108"/>
      <c r="D11" s="102" t="s">
        <v>5</v>
      </c>
      <c r="F11" s="109"/>
    </row>
    <row r="12" spans="1:6" ht="15" customHeight="1">
      <c r="A12" s="101" t="s">
        <v>6</v>
      </c>
      <c r="B12" s="110">
        <f>ROUND('Phase 3 PM for PM Flat'!B37,0)</f>
        <v>213</v>
      </c>
      <c r="C12" s="108"/>
      <c r="D12" s="102" t="s">
        <v>7</v>
      </c>
      <c r="F12" s="109"/>
    </row>
    <row r="13" spans="1:6" ht="15" customHeight="1">
      <c r="A13" s="101" t="s">
        <v>8</v>
      </c>
      <c r="B13" s="110">
        <f>ROUND('Phase 3 PM for PM Flat'!B38,0)</f>
        <v>305</v>
      </c>
      <c r="C13" s="108"/>
      <c r="D13" s="102" t="s">
        <v>7</v>
      </c>
      <c r="F13" s="109"/>
    </row>
    <row r="14" spans="1:6" ht="15" customHeight="1">
      <c r="A14" s="101" t="s">
        <v>9</v>
      </c>
      <c r="B14" s="111">
        <f>ROUND('Phase 3 PM for PM Flat'!B39,1)</f>
        <v>25</v>
      </c>
      <c r="C14" s="108"/>
      <c r="D14" s="102" t="s">
        <v>10</v>
      </c>
      <c r="F14" s="109"/>
    </row>
    <row r="15" spans="1:6" ht="15" customHeight="1" thickBot="1">
      <c r="A15" s="101" t="s">
        <v>11</v>
      </c>
      <c r="B15" s="112">
        <f>ROUND('Phase 3 PM for PM Flat'!B40,1)</f>
        <v>6</v>
      </c>
      <c r="C15" s="108"/>
      <c r="D15" s="102" t="s">
        <v>10</v>
      </c>
      <c r="F15" s="109"/>
    </row>
    <row r="16" spans="2:3" ht="15" customHeight="1" thickBot="1">
      <c r="B16" s="108" t="s">
        <v>12</v>
      </c>
      <c r="C16" s="108" t="s">
        <v>13</v>
      </c>
    </row>
    <row r="17" spans="1:6" ht="15" customHeight="1">
      <c r="A17" s="101" t="s">
        <v>39</v>
      </c>
      <c r="B17" s="113">
        <f>ROUND('Phase 3 PM for PM Flat'!B42,1)</f>
        <v>2</v>
      </c>
      <c r="C17" s="113">
        <f>ROUND('Phase 3 PM for PM Flat'!C42,1)</f>
        <v>2</v>
      </c>
      <c r="D17" s="102" t="s">
        <v>15</v>
      </c>
      <c r="F17" s="109"/>
    </row>
    <row r="18" spans="1:6" ht="15" customHeight="1" thickBot="1">
      <c r="A18" s="101" t="s">
        <v>16</v>
      </c>
      <c r="B18" s="111">
        <f>ROUND('Phase 3 PM for PM Flat'!B42,1)</f>
        <v>2</v>
      </c>
      <c r="C18" s="111">
        <f>ROUND('Phase 3 PM for PM Flat'!C42,1)</f>
        <v>2</v>
      </c>
      <c r="F18" s="109"/>
    </row>
    <row r="19" spans="2:6" ht="15" customHeight="1" thickBot="1">
      <c r="B19" s="114"/>
      <c r="C19" s="115"/>
      <c r="F19" s="109"/>
    </row>
    <row r="20" spans="1:6" ht="15" customHeight="1">
      <c r="A20" s="101" t="s">
        <v>17</v>
      </c>
      <c r="B20" s="110">
        <f>ROUND('Phase 3 PM for PM Flat'!B43,0)</f>
        <v>20</v>
      </c>
      <c r="C20" s="116"/>
      <c r="D20" s="102" t="s">
        <v>18</v>
      </c>
      <c r="F20" s="109"/>
    </row>
    <row r="21" spans="1:6" ht="15" customHeight="1" thickBot="1">
      <c r="A21" s="101" t="s">
        <v>19</v>
      </c>
      <c r="B21" s="117">
        <f>ROUND('Phase 3 PM for PM Flat'!B44,2)</f>
        <v>0.8</v>
      </c>
      <c r="C21" s="116"/>
      <c r="D21" s="102" t="s">
        <v>10</v>
      </c>
      <c r="F21" s="109"/>
    </row>
    <row r="23" ht="15" customHeight="1">
      <c r="A23" s="101" t="s">
        <v>20</v>
      </c>
    </row>
    <row r="24" ht="15" customHeight="1">
      <c r="A24" s="101" t="s">
        <v>21</v>
      </c>
    </row>
    <row r="27" ht="15" customHeight="1" thickBot="1">
      <c r="A27" s="101" t="s">
        <v>1</v>
      </c>
    </row>
    <row r="28" spans="1:4" ht="15" customHeight="1">
      <c r="A28" s="101" t="s">
        <v>6</v>
      </c>
      <c r="B28" s="118" t="str">
        <f>('Phase 3 PM for PM Flat'!B19)</f>
        <v>F</v>
      </c>
      <c r="D28" s="119" t="str">
        <f aca="true" t="shared" si="0" ref="D28:D33">IF(AND(B28&lt;&gt;"A",B28&lt;&gt;"F"),"INCORRECT ENTRY  'A' OR 'F' ONLY"," ")</f>
        <v> </v>
      </c>
    </row>
    <row r="29" spans="1:4" ht="15" customHeight="1">
      <c r="A29" s="101" t="s">
        <v>8</v>
      </c>
      <c r="B29" s="120" t="str">
        <f>('Phase 3 PM for PM Flat'!B20)</f>
        <v>F</v>
      </c>
      <c r="D29" s="119" t="str">
        <f t="shared" si="0"/>
        <v> </v>
      </c>
    </row>
    <row r="30" spans="1:4" ht="15" customHeight="1">
      <c r="A30" s="101" t="s">
        <v>9</v>
      </c>
      <c r="B30" s="120" t="str">
        <f>('Phase 3 PM for PM Flat'!B21)</f>
        <v>F</v>
      </c>
      <c r="D30" s="119" t="str">
        <f t="shared" si="0"/>
        <v> </v>
      </c>
    </row>
    <row r="31" spans="1:4" ht="15" customHeight="1">
      <c r="A31" s="101" t="s">
        <v>11</v>
      </c>
      <c r="B31" s="120" t="str">
        <f>('Phase 3 PM for PM Flat'!B22)</f>
        <v>F</v>
      </c>
      <c r="D31" s="119" t="str">
        <f t="shared" si="0"/>
        <v> </v>
      </c>
    </row>
    <row r="32" spans="1:4" ht="15" customHeight="1">
      <c r="A32" s="101" t="s">
        <v>17</v>
      </c>
      <c r="B32" s="120" t="str">
        <f>('Phase 3 PM for PM Flat'!B23)</f>
        <v>F</v>
      </c>
      <c r="D32" s="119" t="str">
        <f t="shared" si="0"/>
        <v> </v>
      </c>
    </row>
    <row r="33" spans="1:4" ht="15" customHeight="1" thickBot="1">
      <c r="A33" s="101" t="s">
        <v>23</v>
      </c>
      <c r="B33" s="121" t="str">
        <f>('Phase 3 PM for PM Flat'!B24)</f>
        <v>F</v>
      </c>
      <c r="D33" s="119" t="str">
        <f t="shared" si="0"/>
        <v> </v>
      </c>
    </row>
    <row r="35" ht="15" customHeight="1">
      <c r="A35" s="103"/>
    </row>
    <row r="36" ht="15" customHeight="1">
      <c r="A36" s="103" t="s">
        <v>40</v>
      </c>
    </row>
    <row r="38" ht="15" customHeight="1">
      <c r="H38" s="122"/>
    </row>
    <row r="39" ht="15" customHeight="1">
      <c r="H39" s="122"/>
    </row>
    <row r="41" ht="15" customHeight="1">
      <c r="B41" s="103" t="s">
        <v>25</v>
      </c>
    </row>
    <row r="42" ht="15" customHeight="1">
      <c r="B42" s="103"/>
    </row>
    <row r="43" ht="15" customHeight="1">
      <c r="B43" s="101" t="s">
        <v>41</v>
      </c>
    </row>
    <row r="45" spans="2:4" ht="15" customHeight="1">
      <c r="B45" s="101" t="s">
        <v>27</v>
      </c>
      <c r="D45" s="102" t="s">
        <v>28</v>
      </c>
    </row>
    <row r="46" spans="2:5" ht="15" customHeight="1">
      <c r="B46" s="101" t="s">
        <v>29</v>
      </c>
      <c r="D46" s="102" t="s">
        <v>29</v>
      </c>
      <c r="E46" s="101" t="s">
        <v>29</v>
      </c>
    </row>
    <row r="47" spans="2:6" ht="15" customHeight="1">
      <c r="B47" s="101" t="s">
        <v>30</v>
      </c>
      <c r="D47" s="123">
        <f>(J81)</f>
        <v>0</v>
      </c>
      <c r="F47" s="124"/>
    </row>
    <row r="48" spans="2:6" ht="15" customHeight="1">
      <c r="B48" s="101" t="s">
        <v>42</v>
      </c>
      <c r="D48" s="123">
        <f>(J82)</f>
        <v>0</v>
      </c>
      <c r="F48" s="124"/>
    </row>
    <row r="49" spans="2:6" ht="15" customHeight="1">
      <c r="B49" s="101" t="s">
        <v>32</v>
      </c>
      <c r="D49" s="123">
        <f>(J87)</f>
        <v>-0.01907592372996092</v>
      </c>
      <c r="E49" s="124" t="s">
        <v>29</v>
      </c>
      <c r="F49" s="124"/>
    </row>
    <row r="50" spans="4:6" ht="15" customHeight="1">
      <c r="D50" s="123"/>
      <c r="E50" s="124"/>
      <c r="F50" s="124"/>
    </row>
    <row r="52" ht="15" customHeight="1">
      <c r="B52" s="103" t="s">
        <v>33</v>
      </c>
    </row>
    <row r="54" ht="15" customHeight="1">
      <c r="B54" s="101" t="s">
        <v>41</v>
      </c>
    </row>
    <row r="56" spans="2:4" ht="15" customHeight="1">
      <c r="B56" s="101" t="s">
        <v>27</v>
      </c>
      <c r="D56" s="102" t="s">
        <v>34</v>
      </c>
    </row>
    <row r="57" spans="2:5" ht="15" customHeight="1">
      <c r="B57" s="101" t="s">
        <v>29</v>
      </c>
      <c r="D57" s="102" t="s">
        <v>29</v>
      </c>
      <c r="E57" s="101" t="s">
        <v>29</v>
      </c>
    </row>
    <row r="58" spans="2:6" ht="15" customHeight="1">
      <c r="B58" s="101" t="s">
        <v>30</v>
      </c>
      <c r="C58" s="124"/>
      <c r="D58" s="123">
        <f>($O$253)</f>
        <v>0</v>
      </c>
      <c r="F58" s="124"/>
    </row>
    <row r="59" spans="2:6" ht="15" customHeight="1">
      <c r="B59" s="101" t="s">
        <v>42</v>
      </c>
      <c r="C59" s="124"/>
      <c r="D59" s="123">
        <f>($O$254)</f>
        <v>0</v>
      </c>
      <c r="F59" s="124"/>
    </row>
    <row r="60" spans="2:6" ht="15" customHeight="1">
      <c r="B60" s="101" t="s">
        <v>32</v>
      </c>
      <c r="C60" s="124"/>
      <c r="D60" s="123">
        <f>($O$259)</f>
        <v>-0.01907592372996092</v>
      </c>
      <c r="E60" s="124" t="s">
        <v>29</v>
      </c>
      <c r="F60" s="124"/>
    </row>
    <row r="61" spans="3:8" ht="15" customHeight="1">
      <c r="C61" s="124"/>
      <c r="F61" s="124"/>
      <c r="G61" s="124"/>
      <c r="H61" s="124"/>
    </row>
    <row r="63" ht="15" customHeight="1">
      <c r="A63" s="101" t="s">
        <v>43</v>
      </c>
    </row>
    <row r="64" spans="2:5" ht="15" customHeight="1">
      <c r="B64" s="101" t="s">
        <v>44</v>
      </c>
      <c r="C64" s="101" t="s">
        <v>45</v>
      </c>
      <c r="D64" s="102" t="s">
        <v>46</v>
      </c>
      <c r="E64" s="101" t="s">
        <v>47</v>
      </c>
    </row>
    <row r="65" spans="1:5" ht="15" customHeight="1">
      <c r="A65" s="101" t="s">
        <v>48</v>
      </c>
      <c r="B65" s="125">
        <f>IF(AND(C17&gt;=1.8,B17&lt;=2.2),2,100)</f>
        <v>2</v>
      </c>
      <c r="C65" s="125">
        <f>IF(AND(C17&gt;=1.8,B17&lt;=2.2),2,100)</f>
        <v>2</v>
      </c>
      <c r="D65" s="125">
        <f>IF(AND(C17&gt;=1.8,B17&lt;=2.2),2,100)</f>
        <v>2</v>
      </c>
      <c r="E65" s="125">
        <f>IF(AND(C17&gt;=1.8,B17&lt;=2.2),2,100)</f>
        <v>2</v>
      </c>
    </row>
    <row r="66" spans="1:5" ht="15" customHeight="1">
      <c r="A66" s="101" t="s">
        <v>49</v>
      </c>
      <c r="B66" s="125">
        <f>IF(AND(AND(C17&gt;=1.8,C17&lt;=2.2),B17&gt;2.2),2,100)</f>
        <v>100</v>
      </c>
      <c r="C66" s="125">
        <f>IF(AND(AND(C17&gt;=1.8,C17&lt;=2.2),B17&gt;2.2),1.8,100)</f>
        <v>100</v>
      </c>
      <c r="D66" s="125">
        <f>IF(AND(AND(C17&gt;=1.8,C17&lt;=2.2),B17&gt;2.2),B17,100)</f>
        <v>100</v>
      </c>
      <c r="E66" s="125">
        <f>IF(AND(AND(C17&gt;=1.8,C17&lt;=2.2),B17&gt;2.2),C17,100)</f>
        <v>100</v>
      </c>
    </row>
    <row r="67" spans="1:5" ht="15" customHeight="1">
      <c r="A67" s="101" t="s">
        <v>50</v>
      </c>
      <c r="B67" s="125">
        <f>IF(AND(AND(C17&lt;1.8,B17&gt;=1.8),B17&lt;=2.2),2.2,100)</f>
        <v>100</v>
      </c>
      <c r="C67" s="125">
        <f>IF(AND(AND(C17&lt;1.8,B17&gt;=1.8),B17&lt;=2.2),2,100)</f>
        <v>100</v>
      </c>
      <c r="D67" s="125">
        <f>IF(AND(AND(C17&lt;1.8,B17&gt;=1.8),B17&lt;=2.2),B17,100)</f>
        <v>100</v>
      </c>
      <c r="E67" s="125">
        <f>IF(AND(AND(C17&lt;1.8,B17&gt;=1.8),B17&lt;=2.2),C17,100)</f>
        <v>100</v>
      </c>
    </row>
    <row r="68" spans="1:5" ht="15" customHeight="1">
      <c r="A68" s="101" t="s">
        <v>51</v>
      </c>
      <c r="B68" s="125">
        <f>IF(AND($C$17&lt;1.8,$B$17&gt;2.2),2,100)</f>
        <v>100</v>
      </c>
      <c r="C68" s="125">
        <f>IF(AND($C$17&lt;1.8,$B$17&gt;2.2),2,100)</f>
        <v>100</v>
      </c>
      <c r="D68" s="125">
        <f>IF(AND($C$17&lt;1.8,$B$17&gt;2.2),B17,100)</f>
        <v>100</v>
      </c>
      <c r="E68" s="125">
        <f>IF(AND($C$17&lt;1.8,$B$17&gt;2.2),C17,100)</f>
        <v>100</v>
      </c>
    </row>
    <row r="69" spans="1:5" ht="15" customHeight="1">
      <c r="A69" s="101" t="s">
        <v>52</v>
      </c>
      <c r="B69" s="125">
        <f>IF(AND(C17&lt;1.8,B17&lt;1.8),2,100)</f>
        <v>100</v>
      </c>
      <c r="C69" s="125">
        <f>IF(AND(C17&lt;1.8,B17&lt;1.8),2,100)</f>
        <v>100</v>
      </c>
      <c r="D69" s="125">
        <f>IF(AND(C17&lt;1.8,B17&lt;1.8),B17,100)</f>
        <v>100</v>
      </c>
      <c r="E69" s="125">
        <f>IF(AND(C17&lt;1.8,B17&lt;1.8),C17,100)</f>
        <v>100</v>
      </c>
    </row>
    <row r="70" spans="1:5" ht="15" customHeight="1">
      <c r="A70" s="101" t="s">
        <v>53</v>
      </c>
      <c r="B70" s="125">
        <f>IF(AND($C17&gt;=2.5,$B17&lt;=2.9),2,100)</f>
        <v>100</v>
      </c>
      <c r="C70" s="125">
        <f>IF(AND($C17&gt;=2.5,$B17&lt;=2.9),2,100)</f>
        <v>100</v>
      </c>
      <c r="D70" s="125">
        <f>IF(AND($C17&gt;=2.5,$B17&lt;=2.9),2.7,100)</f>
        <v>100</v>
      </c>
      <c r="E70" s="125">
        <f>IF(AND($C17&gt;=2.5,$B17&lt;=2.9),2.7,100)</f>
        <v>100</v>
      </c>
    </row>
    <row r="71" spans="1:5" ht="15" customHeight="1">
      <c r="A71" s="101" t="s">
        <v>203</v>
      </c>
      <c r="B71" s="125">
        <f>IF(AND(AND($C17&gt;2.2,$C17&lt;2.5),$B17&gt;2.2),2,100)</f>
        <v>100</v>
      </c>
      <c r="C71" s="125">
        <f>IF(AND(AND($C17&gt;2.2,$C17&lt;2.5),$B17&gt;2.2),2,100)</f>
        <v>100</v>
      </c>
      <c r="D71" s="125">
        <f>IF(AND(AND($C17&gt;2.2,$C17&lt;2.5),$B17&gt;2.2),B17,100)</f>
        <v>100</v>
      </c>
      <c r="E71" s="125">
        <f>IF(AND(AND($C17&gt;2.2,$C17&lt;2.5),$B17&gt;2.2),C17,100)</f>
        <v>100</v>
      </c>
    </row>
    <row r="72" spans="1:5" ht="15" customHeight="1">
      <c r="A72" s="101" t="s">
        <v>204</v>
      </c>
      <c r="B72" s="125">
        <f>IF(AND($C17&gt;=2.5,$B17&gt;2.9),2,100)</f>
        <v>100</v>
      </c>
      <c r="C72" s="125">
        <f>IF(AND($C17&gt;=2.5,$B17&gt;2.9),2,100)</f>
        <v>100</v>
      </c>
      <c r="D72" s="125">
        <f>IF(AND($C17&gt;=2.5,$B17&gt;2.9),B17,100)</f>
        <v>100</v>
      </c>
      <c r="E72" s="125">
        <f>IF(AND($C17&gt;=2.5,$B17&gt;2.9),C17,100)</f>
        <v>100</v>
      </c>
    </row>
    <row r="73" spans="1:6" ht="15" customHeight="1">
      <c r="A73" s="126" t="s">
        <v>54</v>
      </c>
      <c r="B73" s="127">
        <f>SUM(B65:B72)-700</f>
        <v>2</v>
      </c>
      <c r="C73" s="127">
        <f>SUM(C65:C72)-700</f>
        <v>2</v>
      </c>
      <c r="D73" s="127">
        <f>SUM(D65:D72)-700</f>
        <v>2</v>
      </c>
      <c r="E73" s="127">
        <f>SUM(E65:E72)-700</f>
        <v>2</v>
      </c>
      <c r="F73" s="128"/>
    </row>
    <row r="74" spans="1:5" ht="15" customHeight="1">
      <c r="A74" s="129"/>
      <c r="B74" s="129"/>
      <c r="C74" s="129"/>
      <c r="D74" s="130"/>
      <c r="E74" s="129"/>
    </row>
    <row r="76" ht="15" customHeight="1">
      <c r="A76" s="103" t="s">
        <v>55</v>
      </c>
    </row>
    <row r="78" ht="15" customHeight="1">
      <c r="F78" s="101" t="s">
        <v>56</v>
      </c>
    </row>
    <row r="79" spans="1:22" ht="15" customHeight="1">
      <c r="A79" s="101" t="s">
        <v>1</v>
      </c>
      <c r="B79" s="101" t="s">
        <v>57</v>
      </c>
      <c r="C79" s="101" t="s">
        <v>58</v>
      </c>
      <c r="M79" s="101" t="s">
        <v>59</v>
      </c>
      <c r="R79" s="101" t="s">
        <v>60</v>
      </c>
      <c r="V79" s="101" t="s">
        <v>61</v>
      </c>
    </row>
    <row r="80" spans="1:24" ht="15" customHeight="1">
      <c r="A80" s="101" t="s">
        <v>4</v>
      </c>
      <c r="B80" s="101">
        <v>7</v>
      </c>
      <c r="C80" s="131">
        <v>7</v>
      </c>
      <c r="F80" s="101" t="s">
        <v>27</v>
      </c>
      <c r="G80" s="101" t="s">
        <v>62</v>
      </c>
      <c r="H80" s="101" t="s">
        <v>63</v>
      </c>
      <c r="I80" s="101" t="s">
        <v>64</v>
      </c>
      <c r="J80" s="101" t="s">
        <v>28</v>
      </c>
      <c r="M80" s="101" t="s">
        <v>27</v>
      </c>
      <c r="N80" s="101" t="s">
        <v>62</v>
      </c>
      <c r="O80" s="101" t="s">
        <v>63</v>
      </c>
      <c r="P80" s="101" t="s">
        <v>64</v>
      </c>
      <c r="R80" s="101" t="s">
        <v>27</v>
      </c>
      <c r="T80" s="101" t="s">
        <v>65</v>
      </c>
      <c r="V80" s="101" t="s">
        <v>66</v>
      </c>
      <c r="X80" s="101" t="s">
        <v>299</v>
      </c>
    </row>
    <row r="81" spans="1:24" ht="15" customHeight="1">
      <c r="A81" s="101" t="s">
        <v>6</v>
      </c>
      <c r="B81" s="101">
        <f>IF(B$28="A",203,213)</f>
        <v>213</v>
      </c>
      <c r="C81" s="132">
        <f>VALUE(B12)</f>
        <v>213</v>
      </c>
      <c r="F81" s="101" t="s">
        <v>30</v>
      </c>
      <c r="G81" s="133">
        <f aca="true" t="shared" si="1" ref="G81:J87">L160</f>
        <v>0</v>
      </c>
      <c r="H81" s="133">
        <f t="shared" si="1"/>
        <v>0</v>
      </c>
      <c r="I81" s="133">
        <f t="shared" si="1"/>
        <v>0</v>
      </c>
      <c r="J81" s="133">
        <f t="shared" si="1"/>
        <v>0</v>
      </c>
      <c r="K81" s="134"/>
      <c r="L81" s="134"/>
      <c r="M81" s="101" t="s">
        <v>30</v>
      </c>
      <c r="N81" s="101">
        <v>0.091</v>
      </c>
      <c r="O81" s="101">
        <v>0.466</v>
      </c>
      <c r="P81" s="101">
        <v>0.443</v>
      </c>
      <c r="R81" s="101" t="s">
        <v>19</v>
      </c>
      <c r="T81" s="101">
        <v>0.17</v>
      </c>
      <c r="V81" s="101" t="s">
        <v>67</v>
      </c>
      <c r="X81" s="102">
        <v>0.0236201740076128</v>
      </c>
    </row>
    <row r="82" spans="1:24" ht="15" customHeight="1">
      <c r="A82" s="101" t="s">
        <v>8</v>
      </c>
      <c r="B82" s="101">
        <f>IF(B$29="A",295,305)</f>
        <v>305</v>
      </c>
      <c r="C82" s="132">
        <f>VALUE(B13)</f>
        <v>305</v>
      </c>
      <c r="F82" s="101" t="s">
        <v>42</v>
      </c>
      <c r="G82" s="133">
        <f t="shared" si="1"/>
        <v>0</v>
      </c>
      <c r="H82" s="133">
        <f t="shared" si="1"/>
        <v>0</v>
      </c>
      <c r="I82" s="133">
        <f t="shared" si="1"/>
        <v>0</v>
      </c>
      <c r="J82" s="133">
        <f>O161</f>
        <v>0</v>
      </c>
      <c r="K82" s="134"/>
      <c r="L82" s="134"/>
      <c r="M82" s="101" t="s">
        <v>42</v>
      </c>
      <c r="N82" s="101">
        <v>0.109</v>
      </c>
      <c r="O82" s="101">
        <v>0.536</v>
      </c>
      <c r="P82" s="101">
        <v>0.356</v>
      </c>
      <c r="R82" s="101" t="s">
        <v>68</v>
      </c>
      <c r="T82" s="101">
        <v>1</v>
      </c>
      <c r="V82" s="101" t="s">
        <v>69</v>
      </c>
      <c r="X82" s="102">
        <v>0.012762690720660207</v>
      </c>
    </row>
    <row r="83" spans="1:24" ht="15" customHeight="1">
      <c r="A83" s="101" t="s">
        <v>9</v>
      </c>
      <c r="B83" s="101">
        <f>IF(B$30="A",22,25)</f>
        <v>25</v>
      </c>
      <c r="C83" s="101">
        <f>VALUE(B14)</f>
        <v>25</v>
      </c>
      <c r="F83" s="101" t="s">
        <v>19</v>
      </c>
      <c r="G83" s="134">
        <f t="shared" si="1"/>
        <v>0</v>
      </c>
      <c r="H83" s="134">
        <f t="shared" si="1"/>
        <v>0</v>
      </c>
      <c r="I83" s="134">
        <f t="shared" si="1"/>
        <v>0</v>
      </c>
      <c r="J83" s="134">
        <f t="shared" si="1"/>
        <v>0</v>
      </c>
      <c r="K83" s="134"/>
      <c r="L83" s="134"/>
      <c r="M83" s="101" t="s">
        <v>70</v>
      </c>
      <c r="N83" s="135">
        <v>0.019</v>
      </c>
      <c r="O83" s="135">
        <v>0.145</v>
      </c>
      <c r="P83" s="135">
        <v>0.836</v>
      </c>
      <c r="R83" s="101" t="s">
        <v>71</v>
      </c>
      <c r="T83" s="101">
        <v>0.035</v>
      </c>
      <c r="V83" s="101" t="s">
        <v>72</v>
      </c>
      <c r="X83" s="102">
        <v>0.03404583693183636</v>
      </c>
    </row>
    <row r="84" spans="1:25" ht="15" customHeight="1">
      <c r="A84" s="101" t="s">
        <v>11</v>
      </c>
      <c r="B84" s="101">
        <f>IF(B$31="A",4,6)</f>
        <v>6</v>
      </c>
      <c r="C84" s="101">
        <f>VALUE(B15)</f>
        <v>6</v>
      </c>
      <c r="F84" s="101" t="s">
        <v>68</v>
      </c>
      <c r="G84" s="134">
        <f t="shared" si="1"/>
        <v>0</v>
      </c>
      <c r="H84" s="134">
        <f t="shared" si="1"/>
        <v>0</v>
      </c>
      <c r="I84" s="134">
        <f t="shared" si="1"/>
        <v>0</v>
      </c>
      <c r="J84" s="134">
        <f t="shared" si="1"/>
        <v>0</v>
      </c>
      <c r="K84" s="134"/>
      <c r="L84" s="134"/>
      <c r="R84" s="101" t="s">
        <v>73</v>
      </c>
      <c r="T84" s="101">
        <v>0.016</v>
      </c>
      <c r="V84" s="101" t="s">
        <v>74</v>
      </c>
      <c r="X84" s="102">
        <v>0.04971132009084221</v>
      </c>
      <c r="Y84" s="102"/>
    </row>
    <row r="85" spans="1:24" ht="15" customHeight="1">
      <c r="A85" s="101" t="s">
        <v>39</v>
      </c>
      <c r="B85" s="101">
        <f>VALUE(B73)</f>
        <v>2</v>
      </c>
      <c r="C85" s="101">
        <f>VALUE(D73)</f>
        <v>2</v>
      </c>
      <c r="F85" s="101" t="s">
        <v>71</v>
      </c>
      <c r="G85" s="134">
        <f t="shared" si="1"/>
        <v>-10.437642244754407</v>
      </c>
      <c r="H85" s="134">
        <f t="shared" si="1"/>
        <v>-3.582483834056427</v>
      </c>
      <c r="I85" s="134">
        <f t="shared" si="1"/>
        <v>-3.582483834056427</v>
      </c>
      <c r="J85" s="134">
        <f t="shared" si="1"/>
        <v>-3.7127318438596886</v>
      </c>
      <c r="K85" s="134"/>
      <c r="L85" s="134"/>
      <c r="M85" s="101" t="s">
        <v>75</v>
      </c>
      <c r="V85" s="101" t="s">
        <v>76</v>
      </c>
      <c r="X85" s="102">
        <v>0.8752418993698621</v>
      </c>
    </row>
    <row r="86" spans="1:24" ht="15" customHeight="1">
      <c r="A86" s="101" t="s">
        <v>17</v>
      </c>
      <c r="B86" s="101">
        <f>IF(B$32="A",15,20)</f>
        <v>20</v>
      </c>
      <c r="C86" s="101">
        <f>VALUE(B20)</f>
        <v>20</v>
      </c>
      <c r="F86" s="101" t="s">
        <v>73</v>
      </c>
      <c r="G86" s="134">
        <f t="shared" si="1"/>
        <v>63.27004824574425</v>
      </c>
      <c r="H86" s="134">
        <f t="shared" si="1"/>
        <v>18.94545745070979</v>
      </c>
      <c r="I86" s="134">
        <f t="shared" si="1"/>
        <v>18.94545745070979</v>
      </c>
      <c r="J86" s="134">
        <f t="shared" si="1"/>
        <v>19.787624675815444</v>
      </c>
      <c r="K86" s="134"/>
      <c r="L86" s="134"/>
      <c r="M86" s="101" t="s">
        <v>77</v>
      </c>
      <c r="V86" s="101" t="s">
        <v>304</v>
      </c>
      <c r="W86" s="101" t="s">
        <v>306</v>
      </c>
      <c r="X86" s="102">
        <v>0.004618078879186259</v>
      </c>
    </row>
    <row r="87" spans="1:24" ht="15" customHeight="1">
      <c r="A87" s="101" t="s">
        <v>23</v>
      </c>
      <c r="B87" s="101">
        <f>IF(B$33="A",0.7,0.8)</f>
        <v>0.8</v>
      </c>
      <c r="C87" s="101">
        <f>VALUE(B21)</f>
        <v>0.8</v>
      </c>
      <c r="F87" s="101" t="s">
        <v>32</v>
      </c>
      <c r="G87" s="134">
        <f t="shared" si="1"/>
        <v>-0.2781079214748794</v>
      </c>
      <c r="H87" s="134">
        <f t="shared" si="1"/>
        <v>-0.01150242513217048</v>
      </c>
      <c r="I87" s="134">
        <f t="shared" si="1"/>
        <v>-0.01150242513217048</v>
      </c>
      <c r="J87" s="134">
        <f t="shared" si="1"/>
        <v>-0.01907592372996092</v>
      </c>
      <c r="K87" s="134"/>
      <c r="L87" s="134"/>
      <c r="V87" s="101" t="s">
        <v>305</v>
      </c>
      <c r="X87" s="102">
        <f>SUM(X81:X86)</f>
        <v>1</v>
      </c>
    </row>
    <row r="90" ht="15" customHeight="1">
      <c r="A90" s="101" t="s">
        <v>78</v>
      </c>
    </row>
    <row r="91" spans="2:9" ht="15" customHeight="1">
      <c r="B91" s="101" t="s">
        <v>62</v>
      </c>
      <c r="C91" s="101" t="s">
        <v>62</v>
      </c>
      <c r="E91" s="101" t="s">
        <v>63</v>
      </c>
      <c r="F91" s="101" t="s">
        <v>63</v>
      </c>
      <c r="H91" s="101" t="s">
        <v>64</v>
      </c>
      <c r="I91" s="101" t="s">
        <v>64</v>
      </c>
    </row>
    <row r="92" spans="1:11" ht="15" customHeight="1">
      <c r="A92" s="101" t="s">
        <v>1</v>
      </c>
      <c r="B92" s="101" t="s">
        <v>79</v>
      </c>
      <c r="C92" s="101" t="s">
        <v>80</v>
      </c>
      <c r="E92" s="101" t="s">
        <v>79</v>
      </c>
      <c r="F92" s="101" t="s">
        <v>80</v>
      </c>
      <c r="H92" s="101" t="s">
        <v>79</v>
      </c>
      <c r="I92" s="101" t="s">
        <v>80</v>
      </c>
      <c r="K92" s="101" t="s">
        <v>81</v>
      </c>
    </row>
    <row r="93" spans="1:13" ht="15" customHeight="1">
      <c r="A93" s="136" t="s">
        <v>4</v>
      </c>
      <c r="B93" s="136">
        <v>8.670892</v>
      </c>
      <c r="C93" s="136">
        <v>0.635066</v>
      </c>
      <c r="D93" s="136"/>
      <c r="E93" s="136">
        <v>8.365415</v>
      </c>
      <c r="F93" s="136">
        <v>0.889114</v>
      </c>
      <c r="G93" s="136"/>
      <c r="H93" s="136">
        <v>8.365415</v>
      </c>
      <c r="I93" s="136">
        <v>0.889114</v>
      </c>
      <c r="L93" s="101" t="s">
        <v>82</v>
      </c>
      <c r="M93" s="101" t="s">
        <v>83</v>
      </c>
    </row>
    <row r="94" spans="1:13" ht="15" customHeight="1">
      <c r="A94" s="136" t="s">
        <v>6</v>
      </c>
      <c r="B94" s="136">
        <v>212.245188</v>
      </c>
      <c r="C94" s="136">
        <v>15.880385</v>
      </c>
      <c r="D94" s="136"/>
      <c r="E94" s="136">
        <v>205.261051</v>
      </c>
      <c r="F94" s="136">
        <v>17.324472</v>
      </c>
      <c r="G94" s="136"/>
      <c r="H94" s="136">
        <v>205.261051</v>
      </c>
      <c r="I94" s="136">
        <v>17.324472</v>
      </c>
      <c r="K94" s="101" t="s">
        <v>6</v>
      </c>
      <c r="L94" s="101">
        <v>181.1</v>
      </c>
      <c r="M94" s="101">
        <f>IF(C81&lt;181.3,181.3,C81)</f>
        <v>213</v>
      </c>
    </row>
    <row r="95" spans="1:13" ht="15" customHeight="1">
      <c r="A95" s="136" t="s">
        <v>8</v>
      </c>
      <c r="B95" s="136">
        <v>312.121596</v>
      </c>
      <c r="C95" s="136">
        <v>23.264684</v>
      </c>
      <c r="D95" s="136"/>
      <c r="E95" s="136">
        <v>310.931422</v>
      </c>
      <c r="F95" s="136">
        <v>20.847425</v>
      </c>
      <c r="G95" s="136"/>
      <c r="H95" s="136">
        <v>310.931422</v>
      </c>
      <c r="I95" s="136">
        <v>20.847425</v>
      </c>
      <c r="K95" s="101" t="s">
        <v>8</v>
      </c>
      <c r="L95" s="101">
        <f>(316.9-5.41*C85-0.8235*C83)</f>
        <v>285.4925</v>
      </c>
      <c r="M95" s="137">
        <f>IF(C82&lt;L95,L95,C82)</f>
        <v>305</v>
      </c>
    </row>
    <row r="96" spans="1:13" ht="15" customHeight="1">
      <c r="A96" s="136" t="s">
        <v>9</v>
      </c>
      <c r="B96" s="136">
        <v>30.212969</v>
      </c>
      <c r="C96" s="136">
        <v>8.682044</v>
      </c>
      <c r="D96" s="136"/>
      <c r="E96" s="136">
        <v>27.317137</v>
      </c>
      <c r="F96" s="136">
        <v>6.880833</v>
      </c>
      <c r="G96" s="136"/>
      <c r="H96" s="136">
        <v>27.317137</v>
      </c>
      <c r="I96" s="136">
        <v>6.880833</v>
      </c>
      <c r="K96" s="101" t="s">
        <v>84</v>
      </c>
      <c r="L96" s="124">
        <f>-0.895+0.0512*C83</f>
        <v>0.385</v>
      </c>
      <c r="M96" s="124">
        <f>IF(C85&lt;L96,L96,C85)</f>
        <v>2</v>
      </c>
    </row>
    <row r="97" spans="1:9" ht="15" customHeight="1">
      <c r="A97" s="136" t="s">
        <v>11</v>
      </c>
      <c r="B97" s="136">
        <v>7.359624</v>
      </c>
      <c r="C97" s="136">
        <v>5.383804</v>
      </c>
      <c r="D97" s="136"/>
      <c r="E97" s="136">
        <v>6.54945</v>
      </c>
      <c r="F97" s="136">
        <v>4.715345</v>
      </c>
      <c r="G97" s="136"/>
      <c r="H97" s="136">
        <v>6.54945</v>
      </c>
      <c r="I97" s="136">
        <v>4.715345</v>
      </c>
    </row>
    <row r="98" spans="1:9" ht="15" customHeight="1">
      <c r="A98" s="136" t="s">
        <v>39</v>
      </c>
      <c r="B98" s="136">
        <v>0.892363</v>
      </c>
      <c r="C98" s="136">
        <v>1.235405</v>
      </c>
      <c r="D98" s="136"/>
      <c r="E98" s="136">
        <v>1.536017</v>
      </c>
      <c r="F98" s="136">
        <v>1.248887</v>
      </c>
      <c r="G98" s="136"/>
      <c r="H98" s="136">
        <v>1.536017</v>
      </c>
      <c r="I98" s="136">
        <v>1.248887</v>
      </c>
    </row>
    <row r="99" spans="1:9" ht="15" customHeight="1">
      <c r="A99" s="136" t="s">
        <v>17</v>
      </c>
      <c r="B99" s="136">
        <v>139.69108</v>
      </c>
      <c r="C99" s="136">
        <v>126.741459</v>
      </c>
      <c r="D99" s="136"/>
      <c r="E99" s="136">
        <v>154.120828</v>
      </c>
      <c r="F99" s="136">
        <v>136.79045</v>
      </c>
      <c r="G99" s="136"/>
      <c r="H99" s="136">
        <v>154.120828</v>
      </c>
      <c r="I99" s="136">
        <v>136.79045</v>
      </c>
    </row>
    <row r="100" spans="1:9" ht="15" customHeight="1">
      <c r="A100" s="101" t="s">
        <v>23</v>
      </c>
      <c r="B100" s="101">
        <v>1.389446</v>
      </c>
      <c r="C100" s="101">
        <v>0.436822</v>
      </c>
      <c r="E100" s="101">
        <v>1.009607</v>
      </c>
      <c r="F100" s="101">
        <v>0.530184</v>
      </c>
      <c r="H100" s="101">
        <v>1.009607</v>
      </c>
      <c r="I100" s="101">
        <v>0.530184</v>
      </c>
    </row>
    <row r="103" spans="12:15" ht="15" customHeight="1">
      <c r="L103" s="101" t="s">
        <v>86</v>
      </c>
      <c r="O103" s="101" t="s">
        <v>87</v>
      </c>
    </row>
    <row r="104" spans="1:31" ht="15" customHeight="1">
      <c r="A104" s="101" t="s">
        <v>88</v>
      </c>
      <c r="F104" s="101" t="s">
        <v>58</v>
      </c>
      <c r="G104" s="101" t="s">
        <v>58</v>
      </c>
      <c r="H104" s="101" t="s">
        <v>58</v>
      </c>
      <c r="I104" s="101" t="s">
        <v>58</v>
      </c>
      <c r="L104" s="138" t="s">
        <v>62</v>
      </c>
      <c r="M104" s="138" t="s">
        <v>62</v>
      </c>
      <c r="N104" s="138" t="s">
        <v>62</v>
      </c>
      <c r="O104" s="138" t="s">
        <v>62</v>
      </c>
      <c r="P104" s="138" t="s">
        <v>62</v>
      </c>
      <c r="Q104" s="138" t="s">
        <v>62</v>
      </c>
      <c r="R104" s="138"/>
      <c r="S104" s="138" t="s">
        <v>63</v>
      </c>
      <c r="T104" s="138" t="s">
        <v>63</v>
      </c>
      <c r="U104" s="138" t="s">
        <v>63</v>
      </c>
      <c r="V104" s="138" t="s">
        <v>63</v>
      </c>
      <c r="W104" s="138" t="s">
        <v>63</v>
      </c>
      <c r="X104" s="138" t="s">
        <v>63</v>
      </c>
      <c r="Z104" s="138" t="s">
        <v>64</v>
      </c>
      <c r="AA104" s="138" t="s">
        <v>64</v>
      </c>
      <c r="AB104" s="138" t="s">
        <v>64</v>
      </c>
      <c r="AC104" s="138" t="s">
        <v>64</v>
      </c>
      <c r="AD104" s="138" t="s">
        <v>64</v>
      </c>
      <c r="AE104" s="138" t="s">
        <v>64</v>
      </c>
    </row>
    <row r="105" spans="2:31" ht="15" customHeight="1">
      <c r="B105" s="101" t="s">
        <v>57</v>
      </c>
      <c r="C105" s="101" t="s">
        <v>57</v>
      </c>
      <c r="D105" s="102" t="s">
        <v>57</v>
      </c>
      <c r="E105" s="101" t="s">
        <v>58</v>
      </c>
      <c r="F105" s="101" t="s">
        <v>30</v>
      </c>
      <c r="G105" s="101" t="s">
        <v>42</v>
      </c>
      <c r="H105" s="101" t="s">
        <v>89</v>
      </c>
      <c r="I105" s="101" t="s">
        <v>90</v>
      </c>
      <c r="K105" s="101" t="s">
        <v>91</v>
      </c>
      <c r="L105" s="138" t="s">
        <v>30</v>
      </c>
      <c r="M105" s="138" t="s">
        <v>42</v>
      </c>
      <c r="N105" s="138" t="s">
        <v>23</v>
      </c>
      <c r="O105" s="138" t="s">
        <v>68</v>
      </c>
      <c r="P105" s="138" t="s">
        <v>71</v>
      </c>
      <c r="Q105" s="138" t="s">
        <v>73</v>
      </c>
      <c r="S105" s="138" t="s">
        <v>30</v>
      </c>
      <c r="T105" s="138" t="s">
        <v>42</v>
      </c>
      <c r="U105" s="138" t="s">
        <v>23</v>
      </c>
      <c r="V105" s="138" t="s">
        <v>68</v>
      </c>
      <c r="W105" s="138" t="s">
        <v>71</v>
      </c>
      <c r="X105" s="138" t="s">
        <v>73</v>
      </c>
      <c r="Z105" s="138" t="s">
        <v>30</v>
      </c>
      <c r="AA105" s="138" t="s">
        <v>42</v>
      </c>
      <c r="AB105" s="138" t="s">
        <v>23</v>
      </c>
      <c r="AC105" s="138" t="s">
        <v>68</v>
      </c>
      <c r="AD105" s="138" t="s">
        <v>71</v>
      </c>
      <c r="AE105" s="138" t="s">
        <v>73</v>
      </c>
    </row>
    <row r="106" spans="1:31" ht="15" customHeight="1">
      <c r="A106" s="101" t="s">
        <v>1</v>
      </c>
      <c r="B106" s="101" t="s">
        <v>62</v>
      </c>
      <c r="C106" s="101" t="s">
        <v>63</v>
      </c>
      <c r="D106" s="102" t="s">
        <v>64</v>
      </c>
      <c r="E106" s="101" t="s">
        <v>62</v>
      </c>
      <c r="F106" s="101" t="s">
        <v>92</v>
      </c>
      <c r="G106" s="101" t="s">
        <v>92</v>
      </c>
      <c r="H106" s="101" t="s">
        <v>92</v>
      </c>
      <c r="I106" s="101" t="s">
        <v>64</v>
      </c>
      <c r="K106" s="101" t="s">
        <v>93</v>
      </c>
      <c r="L106" s="139">
        <v>-0.1598</v>
      </c>
      <c r="M106" s="136">
        <v>-0.7791</v>
      </c>
      <c r="N106" s="140">
        <v>2.95676525</v>
      </c>
      <c r="O106" s="140">
        <v>0.67173886</v>
      </c>
      <c r="P106" s="140">
        <v>2.16836424</v>
      </c>
      <c r="Q106" s="140">
        <v>1.10122139</v>
      </c>
      <c r="S106" s="136">
        <v>-0.6357</v>
      </c>
      <c r="T106" s="136">
        <v>-1.1578</v>
      </c>
      <c r="U106" s="140">
        <v>2.3824773</v>
      </c>
      <c r="V106" s="140">
        <v>0.43090426</v>
      </c>
      <c r="W106" s="140">
        <v>1.05886661</v>
      </c>
      <c r="X106" s="140">
        <v>0.16738341</v>
      </c>
      <c r="Z106" s="136">
        <v>-2.1815775131921162</v>
      </c>
      <c r="AA106" s="136">
        <v>-2.707759550733389</v>
      </c>
      <c r="AB106" s="140">
        <v>2.3824773</v>
      </c>
      <c r="AC106" s="140">
        <v>0.43090426</v>
      </c>
      <c r="AD106" s="140">
        <v>1.05886661</v>
      </c>
      <c r="AE106" s="140">
        <v>0.16738341</v>
      </c>
    </row>
    <row r="107" spans="1:31" ht="15" customHeight="1">
      <c r="A107" s="101" t="s">
        <v>4</v>
      </c>
      <c r="B107" s="101">
        <f aca="true" t="shared" si="2" ref="B107:B112">(B80-B93)/C93</f>
        <v>-2.6310525205254263</v>
      </c>
      <c r="C107" s="101">
        <f aca="true" t="shared" si="3" ref="C107:C112">(B80-E93)/F93</f>
        <v>-1.53570295822583</v>
      </c>
      <c r="D107" s="102">
        <f aca="true" t="shared" si="4" ref="D107:D112">(B80-H93)/I93</f>
        <v>-1.53570295822583</v>
      </c>
      <c r="E107" s="101">
        <f aca="true" t="shared" si="5" ref="E107:E112">(C80-B93)/C93</f>
        <v>-2.6310525205254263</v>
      </c>
      <c r="F107" s="101">
        <f>(C80-E93)/F93</f>
        <v>-1.53570295822583</v>
      </c>
      <c r="G107" s="101">
        <f>(C80-E93)/F93</f>
        <v>-1.53570295822583</v>
      </c>
      <c r="H107" s="101">
        <f aca="true" t="shared" si="6" ref="H107:H112">(C80-E93)/F93</f>
        <v>-1.53570295822583</v>
      </c>
      <c r="I107" s="101">
        <f aca="true" t="shared" si="7" ref="I107:I112">(C80-H93)/I93</f>
        <v>-1.53570295822583</v>
      </c>
      <c r="K107" s="101" t="s">
        <v>4</v>
      </c>
      <c r="L107" s="139">
        <v>-0.01615</v>
      </c>
      <c r="M107" s="136">
        <v>-3E-05</v>
      </c>
      <c r="N107" s="140">
        <v>0</v>
      </c>
      <c r="O107" s="140">
        <v>0</v>
      </c>
      <c r="P107" s="140">
        <v>0</v>
      </c>
      <c r="Q107" s="140">
        <v>0</v>
      </c>
      <c r="S107" s="136">
        <v>0.006125</v>
      </c>
      <c r="T107" s="136">
        <v>0.01258</v>
      </c>
      <c r="U107" s="140">
        <v>0.03114189</v>
      </c>
      <c r="V107" s="140">
        <v>0</v>
      </c>
      <c r="W107" s="140">
        <v>0</v>
      </c>
      <c r="X107" s="140">
        <v>0</v>
      </c>
      <c r="Z107" s="136">
        <v>0.001068810677998135</v>
      </c>
      <c r="AA107" s="136">
        <v>0.008241929544771615</v>
      </c>
      <c r="AB107" s="140">
        <v>0.03114189</v>
      </c>
      <c r="AC107" s="140">
        <v>0</v>
      </c>
      <c r="AD107" s="140">
        <v>0</v>
      </c>
      <c r="AE107" s="140">
        <v>0</v>
      </c>
    </row>
    <row r="108" spans="1:31" ht="15" customHeight="1">
      <c r="A108" s="101" t="s">
        <v>6</v>
      </c>
      <c r="B108" s="101">
        <f t="shared" si="2"/>
        <v>0.04753108945406468</v>
      </c>
      <c r="C108" s="101">
        <f t="shared" si="3"/>
        <v>0.4467061968757253</v>
      </c>
      <c r="D108" s="102">
        <f t="shared" si="4"/>
        <v>0.4467061968757253</v>
      </c>
      <c r="E108" s="101">
        <f t="shared" si="5"/>
        <v>0.04753108945406468</v>
      </c>
      <c r="F108" s="101">
        <f>(C81-E94)/F94</f>
        <v>0.4467061968757253</v>
      </c>
      <c r="G108" s="101">
        <f>(M94-E94)/F94</f>
        <v>0.4467061968757253</v>
      </c>
      <c r="H108" s="101">
        <f t="shared" si="6"/>
        <v>0.4467061968757253</v>
      </c>
      <c r="I108" s="101">
        <f t="shared" si="7"/>
        <v>0.4467061968757253</v>
      </c>
      <c r="K108" s="101" t="s">
        <v>6</v>
      </c>
      <c r="L108" s="139">
        <v>-0.00736</v>
      </c>
      <c r="M108" s="136">
        <v>0.01586</v>
      </c>
      <c r="N108" s="140">
        <v>0</v>
      </c>
      <c r="O108" s="140">
        <v>0.11391774</v>
      </c>
      <c r="P108" s="140">
        <v>0</v>
      </c>
      <c r="Q108" s="140">
        <v>0</v>
      </c>
      <c r="S108" s="136">
        <v>-0.00199</v>
      </c>
      <c r="T108" s="136">
        <v>0.05293</v>
      </c>
      <c r="U108" s="140">
        <v>0.04666208</v>
      </c>
      <c r="V108" s="140">
        <v>0.03707822</v>
      </c>
      <c r="W108" s="140">
        <v>0</v>
      </c>
      <c r="X108" s="140">
        <v>0.04314573</v>
      </c>
      <c r="Z108" s="136">
        <v>0.0017133433090415408</v>
      </c>
      <c r="AA108" s="136">
        <v>0.053955812736098376</v>
      </c>
      <c r="AB108" s="140">
        <v>0.04666208</v>
      </c>
      <c r="AC108" s="140">
        <v>0.03707822</v>
      </c>
      <c r="AD108" s="140">
        <v>0</v>
      </c>
      <c r="AE108" s="140">
        <v>0.04314573</v>
      </c>
    </row>
    <row r="109" spans="1:31" ht="15" customHeight="1">
      <c r="A109" s="101" t="s">
        <v>8</v>
      </c>
      <c r="B109" s="101">
        <f t="shared" si="2"/>
        <v>-0.30611187325819733</v>
      </c>
      <c r="C109" s="101">
        <f t="shared" si="3"/>
        <v>-0.2845158095064497</v>
      </c>
      <c r="D109" s="102">
        <f t="shared" si="4"/>
        <v>-0.2845158095064497</v>
      </c>
      <c r="E109" s="101">
        <f t="shared" si="5"/>
        <v>-0.30611187325819733</v>
      </c>
      <c r="F109" s="101">
        <f>(C82-E95)/F95</f>
        <v>-0.2845158095064497</v>
      </c>
      <c r="G109" s="101">
        <f>(M95-E95)/F95</f>
        <v>-0.2845158095064497</v>
      </c>
      <c r="H109" s="101">
        <f t="shared" si="6"/>
        <v>-0.2845158095064497</v>
      </c>
      <c r="I109" s="101">
        <f t="shared" si="7"/>
        <v>-0.2845158095064497</v>
      </c>
      <c r="K109" s="101" t="s">
        <v>8</v>
      </c>
      <c r="L109" s="139">
        <v>0.000654</v>
      </c>
      <c r="M109" s="136">
        <v>0.01174</v>
      </c>
      <c r="N109" s="140">
        <v>0</v>
      </c>
      <c r="O109" s="140">
        <v>0</v>
      </c>
      <c r="P109" s="140">
        <v>0</v>
      </c>
      <c r="Q109" s="140">
        <v>0</v>
      </c>
      <c r="S109" s="136">
        <v>0.002715</v>
      </c>
      <c r="T109" s="136">
        <v>0.02806</v>
      </c>
      <c r="U109" s="140">
        <v>0</v>
      </c>
      <c r="V109" s="140">
        <v>0.09454201</v>
      </c>
      <c r="W109" s="140">
        <v>0.06037698</v>
      </c>
      <c r="X109" s="140">
        <v>0.06252964</v>
      </c>
      <c r="Z109" s="136">
        <v>0.0006672940666855274</v>
      </c>
      <c r="AA109" s="136">
        <v>-0.00396550994117446</v>
      </c>
      <c r="AB109" s="140">
        <v>0</v>
      </c>
      <c r="AC109" s="140">
        <v>0.09454201</v>
      </c>
      <c r="AD109" s="140">
        <v>0.06037698</v>
      </c>
      <c r="AE109" s="140">
        <v>0.06252964</v>
      </c>
    </row>
    <row r="110" spans="1:31" ht="15" customHeight="1">
      <c r="A110" s="101" t="s">
        <v>9</v>
      </c>
      <c r="B110" s="101">
        <f t="shared" si="2"/>
        <v>-0.6004310736043266</v>
      </c>
      <c r="C110" s="101">
        <f t="shared" si="3"/>
        <v>-0.3367523961125054</v>
      </c>
      <c r="D110" s="102">
        <f t="shared" si="4"/>
        <v>-0.3367523961125054</v>
      </c>
      <c r="E110" s="101">
        <f t="shared" si="5"/>
        <v>-0.6004310736043266</v>
      </c>
      <c r="F110" s="101">
        <f>(C83-E96)/F96</f>
        <v>-0.3367523961125054</v>
      </c>
      <c r="G110" s="101">
        <f>(C83-E96)/F96</f>
        <v>-0.3367523961125054</v>
      </c>
      <c r="H110" s="101">
        <f t="shared" si="6"/>
        <v>-0.3367523961125054</v>
      </c>
      <c r="I110" s="101">
        <f t="shared" si="7"/>
        <v>-0.3367523961125054</v>
      </c>
      <c r="K110" s="101" t="s">
        <v>9</v>
      </c>
      <c r="L110" s="139">
        <v>0.04706</v>
      </c>
      <c r="M110" s="136">
        <v>-0.01676</v>
      </c>
      <c r="N110" s="140">
        <v>0.15191575</v>
      </c>
      <c r="O110" s="140">
        <v>0</v>
      </c>
      <c r="P110" s="140">
        <v>-0.07537099</v>
      </c>
      <c r="Q110" s="140">
        <v>-0.09219416</v>
      </c>
      <c r="S110" s="136">
        <v>0.02029</v>
      </c>
      <c r="T110" s="136">
        <v>0.002043</v>
      </c>
      <c r="U110" s="140">
        <v>0.15517085</v>
      </c>
      <c r="V110" s="140">
        <v>-0.03604344</v>
      </c>
      <c r="W110" s="140">
        <v>-0.05466283</v>
      </c>
      <c r="X110" s="140">
        <v>-0.05552641</v>
      </c>
      <c r="Z110" s="136">
        <v>0.015367373114554087</v>
      </c>
      <c r="AA110" s="136">
        <v>0.004001087672949063</v>
      </c>
      <c r="AB110" s="140">
        <v>0.15517085</v>
      </c>
      <c r="AC110" s="140">
        <v>-0.03604344</v>
      </c>
      <c r="AD110" s="140">
        <v>-0.05466283</v>
      </c>
      <c r="AE110" s="140">
        <v>-0.05552641</v>
      </c>
    </row>
    <row r="111" spans="1:31" ht="15" customHeight="1">
      <c r="A111" s="101" t="s">
        <v>11</v>
      </c>
      <c r="B111" s="101">
        <f t="shared" si="2"/>
        <v>-0.2525396541181663</v>
      </c>
      <c r="C111" s="101">
        <f t="shared" si="3"/>
        <v>-0.1165238174513212</v>
      </c>
      <c r="D111" s="102">
        <f t="shared" si="4"/>
        <v>-0.1165238174513212</v>
      </c>
      <c r="E111" s="101">
        <f t="shared" si="5"/>
        <v>-0.2525396541181663</v>
      </c>
      <c r="F111" s="101">
        <f>(C84-E97)/F97</f>
        <v>-0.1165238174513212</v>
      </c>
      <c r="G111" s="101">
        <f>(C84-E97)/F97</f>
        <v>-0.1165238174513212</v>
      </c>
      <c r="H111" s="101">
        <f t="shared" si="6"/>
        <v>-0.1165238174513212</v>
      </c>
      <c r="I111" s="101">
        <f t="shared" si="7"/>
        <v>-0.1165238174513212</v>
      </c>
      <c r="K111" s="101" t="s">
        <v>11</v>
      </c>
      <c r="L111" s="139">
        <v>0.02111</v>
      </c>
      <c r="M111" s="136">
        <v>-0.01651</v>
      </c>
      <c r="N111" s="140">
        <v>0</v>
      </c>
      <c r="O111" s="140">
        <v>0.18408319</v>
      </c>
      <c r="P111" s="140">
        <v>0</v>
      </c>
      <c r="Q111" s="140">
        <v>0</v>
      </c>
      <c r="S111" s="136">
        <v>0.007241</v>
      </c>
      <c r="T111" s="136">
        <v>-0.01072</v>
      </c>
      <c r="U111" s="140">
        <v>-0.02548759</v>
      </c>
      <c r="V111" s="140">
        <v>0.10354089</v>
      </c>
      <c r="W111" s="140">
        <v>0</v>
      </c>
      <c r="X111" s="140">
        <v>0</v>
      </c>
      <c r="Z111" s="136">
        <v>0.003814970762016133</v>
      </c>
      <c r="AA111" s="136">
        <v>-0.011045055136338992</v>
      </c>
      <c r="AB111" s="140">
        <v>-0.02548759</v>
      </c>
      <c r="AC111" s="140">
        <v>0.10354089</v>
      </c>
      <c r="AD111" s="140">
        <v>0</v>
      </c>
      <c r="AE111" s="140">
        <v>0</v>
      </c>
    </row>
    <row r="112" spans="1:31" ht="15" customHeight="1">
      <c r="A112" s="101" t="s">
        <v>39</v>
      </c>
      <c r="B112" s="101">
        <f t="shared" si="2"/>
        <v>0.8965780452564138</v>
      </c>
      <c r="C112" s="101">
        <f t="shared" si="3"/>
        <v>0.37151719891391294</v>
      </c>
      <c r="D112" s="102">
        <f t="shared" si="4"/>
        <v>0.37151719891391294</v>
      </c>
      <c r="E112" s="101">
        <f t="shared" si="5"/>
        <v>0.8965780452564138</v>
      </c>
      <c r="F112" s="101">
        <f>(M96-E98)/F98</f>
        <v>0.37151719891391294</v>
      </c>
      <c r="G112" s="101">
        <f>(C85-E98)/F98</f>
        <v>0.37151719891391294</v>
      </c>
      <c r="H112" s="101">
        <f t="shared" si="6"/>
        <v>0.37151719891391294</v>
      </c>
      <c r="I112" s="101">
        <f t="shared" si="7"/>
        <v>0.37151719891391294</v>
      </c>
      <c r="K112" s="101" t="s">
        <v>39</v>
      </c>
      <c r="L112" s="139">
        <v>0.01491</v>
      </c>
      <c r="M112" s="136">
        <v>-0.02636</v>
      </c>
      <c r="N112" s="140">
        <v>-0.03295985</v>
      </c>
      <c r="O112" s="140">
        <v>0</v>
      </c>
      <c r="P112" s="140">
        <v>0.12278577</v>
      </c>
      <c r="Q112" s="140">
        <v>0.00122983</v>
      </c>
      <c r="S112" s="136">
        <v>0.01413</v>
      </c>
      <c r="T112" s="136">
        <v>-0.01989</v>
      </c>
      <c r="U112" s="140">
        <v>0</v>
      </c>
      <c r="V112" s="140">
        <v>-0.02511374</v>
      </c>
      <c r="W112" s="140">
        <v>0.06370091</v>
      </c>
      <c r="X112" s="140">
        <v>0.02382123</v>
      </c>
      <c r="Z112" s="136">
        <v>0.016424407797605203</v>
      </c>
      <c r="AA112" s="136">
        <v>-0.017146108871438102</v>
      </c>
      <c r="AB112" s="140">
        <v>0</v>
      </c>
      <c r="AC112" s="140">
        <v>-0.02511374</v>
      </c>
      <c r="AD112" s="140">
        <v>0.06370091</v>
      </c>
      <c r="AE112" s="140">
        <v>0.02382123</v>
      </c>
    </row>
    <row r="113" spans="1:31" ht="15" customHeight="1">
      <c r="A113" s="101" t="s">
        <v>39</v>
      </c>
      <c r="B113" s="101">
        <f>(B85-B98)/C98</f>
        <v>0.8965780452564138</v>
      </c>
      <c r="C113" s="101">
        <f>(B85-E98)/F98</f>
        <v>0.37151719891391294</v>
      </c>
      <c r="D113" s="102">
        <f>(B85-H98)/I98</f>
        <v>0.37151719891391294</v>
      </c>
      <c r="E113" s="101">
        <f>(C85-B98)/C98</f>
        <v>0.8965780452564138</v>
      </c>
      <c r="F113" s="101">
        <f>(M96-E98)/F98</f>
        <v>0.37151719891391294</v>
      </c>
      <c r="G113" s="101">
        <f>(C85-E98)/F98</f>
        <v>0.37151719891391294</v>
      </c>
      <c r="H113" s="101">
        <f>(C85-E98)/F98</f>
        <v>0.37151719891391294</v>
      </c>
      <c r="I113" s="101">
        <f>(C85-H98)/I98</f>
        <v>0.37151719891391294</v>
      </c>
      <c r="K113" s="101" t="s">
        <v>94</v>
      </c>
      <c r="L113" s="141">
        <v>0</v>
      </c>
      <c r="M113" s="136">
        <v>0</v>
      </c>
      <c r="N113" s="140">
        <v>0</v>
      </c>
      <c r="O113" s="140">
        <v>0</v>
      </c>
      <c r="P113" s="140">
        <f>IF($B18=0,0,-0.12295089)</f>
        <v>-0.12295089</v>
      </c>
      <c r="Q113" s="140">
        <f>IF($B18=0,0,0.54678495)</f>
        <v>0.54678495</v>
      </c>
      <c r="S113" s="136">
        <v>0</v>
      </c>
      <c r="T113" s="136">
        <v>0</v>
      </c>
      <c r="U113" s="140">
        <v>0</v>
      </c>
      <c r="V113" s="140">
        <v>0</v>
      </c>
      <c r="W113" s="140">
        <f>IF($B18=0,0,-0.09819814)</f>
        <v>-0.09819814</v>
      </c>
      <c r="X113" s="140">
        <f>IF($B18=0,0,0.46699012)</f>
        <v>0.46699012</v>
      </c>
      <c r="Z113" s="136">
        <v>0</v>
      </c>
      <c r="AA113" s="136">
        <v>0</v>
      </c>
      <c r="AB113" s="140">
        <v>0</v>
      </c>
      <c r="AC113" s="140">
        <v>0</v>
      </c>
      <c r="AD113" s="140">
        <f>IF($B18=0,0,-0.09819814)</f>
        <v>-0.09819814</v>
      </c>
      <c r="AE113" s="140">
        <f>IF($B18=0,0,0.46699012)</f>
        <v>0.46699012</v>
      </c>
    </row>
    <row r="114" spans="1:31" ht="15" customHeight="1">
      <c r="A114" s="101" t="s">
        <v>17</v>
      </c>
      <c r="B114" s="101">
        <f>(B86-B99)/C99</f>
        <v>-0.9443719596126788</v>
      </c>
      <c r="C114" s="101">
        <f>(B86-E99)/F99</f>
        <v>-0.9804838568774354</v>
      </c>
      <c r="D114" s="102">
        <f>(B86-H99)/I99</f>
        <v>-0.9804838568774354</v>
      </c>
      <c r="E114" s="101">
        <f>(C86-B99)/C99</f>
        <v>-0.9443719596126788</v>
      </c>
      <c r="F114" s="101">
        <f>(C86-E99)/F99</f>
        <v>-0.9804838568774354</v>
      </c>
      <c r="G114" s="101">
        <f>(C86-E99)/F99</f>
        <v>-0.9804838568774354</v>
      </c>
      <c r="H114" s="101">
        <f>(C86-E99)/F99</f>
        <v>-0.9804838568774354</v>
      </c>
      <c r="I114" s="101">
        <f>(C86-H99)/I99</f>
        <v>-0.9804838568774354</v>
      </c>
      <c r="K114" s="101" t="s">
        <v>17</v>
      </c>
      <c r="L114" s="139">
        <v>0.02804</v>
      </c>
      <c r="M114" s="136">
        <v>0.01203</v>
      </c>
      <c r="N114" s="140">
        <v>0.0683768</v>
      </c>
      <c r="O114" s="140">
        <v>0</v>
      </c>
      <c r="P114" s="140">
        <v>0</v>
      </c>
      <c r="Q114" s="140">
        <v>0</v>
      </c>
      <c r="S114" s="136">
        <v>0.04987</v>
      </c>
      <c r="T114" s="136">
        <v>0.05669</v>
      </c>
      <c r="U114" s="140">
        <v>0.09652526</v>
      </c>
      <c r="V114" s="140">
        <v>0</v>
      </c>
      <c r="W114" s="140">
        <v>-0.04135075</v>
      </c>
      <c r="X114" s="140">
        <v>0.02788263</v>
      </c>
      <c r="Z114" s="136">
        <v>-0.26160623947270745</v>
      </c>
      <c r="AA114" s="136">
        <v>0.08726376997054465</v>
      </c>
      <c r="AB114" s="140">
        <v>0.09652526</v>
      </c>
      <c r="AC114" s="140">
        <v>0</v>
      </c>
      <c r="AD114" s="140">
        <v>-0.04135075</v>
      </c>
      <c r="AE114" s="140">
        <v>0.02788263</v>
      </c>
    </row>
    <row r="115" spans="1:31" ht="15" customHeight="1">
      <c r="A115" s="101" t="s">
        <v>23</v>
      </c>
      <c r="B115" s="101">
        <f>(B87-B100)/C100</f>
        <v>-1.349396321613838</v>
      </c>
      <c r="C115" s="101">
        <f>(B87-E100)/F100</f>
        <v>-0.3953476528903171</v>
      </c>
      <c r="D115" s="102">
        <f>(B87-H100)/I100</f>
        <v>-0.3953476528903171</v>
      </c>
      <c r="E115" s="101">
        <f>(C87-B100)/C100</f>
        <v>-1.349396321613838</v>
      </c>
      <c r="F115" s="101">
        <f>(C87-E100)/F100</f>
        <v>-0.3953476528903171</v>
      </c>
      <c r="G115" s="101">
        <f>(C87-E100)/F100</f>
        <v>-0.3953476528903171</v>
      </c>
      <c r="H115" s="101">
        <f>(C87-E100)/F100</f>
        <v>-0.3953476528903171</v>
      </c>
      <c r="I115" s="101">
        <f>(C87-H100)/I100</f>
        <v>-0.3953476528903171</v>
      </c>
      <c r="K115" s="101" t="s">
        <v>23</v>
      </c>
      <c r="L115" s="141">
        <v>0</v>
      </c>
      <c r="M115" s="136">
        <v>0</v>
      </c>
      <c r="N115" s="140">
        <v>0.12025037</v>
      </c>
      <c r="O115" s="140">
        <v>0</v>
      </c>
      <c r="P115" s="140">
        <v>-0.1423482</v>
      </c>
      <c r="Q115" s="140">
        <v>0</v>
      </c>
      <c r="S115" s="136">
        <v>0</v>
      </c>
      <c r="T115" s="136">
        <v>0</v>
      </c>
      <c r="U115" s="140">
        <v>0.11689441</v>
      </c>
      <c r="V115" s="140">
        <v>0.03644387</v>
      </c>
      <c r="W115" s="140">
        <v>0</v>
      </c>
      <c r="X115" s="140">
        <v>0.06148653</v>
      </c>
      <c r="Z115" s="136">
        <v>0</v>
      </c>
      <c r="AA115" s="136">
        <v>0</v>
      </c>
      <c r="AB115" s="140">
        <v>0.11689441</v>
      </c>
      <c r="AC115" s="140">
        <v>0.03644387</v>
      </c>
      <c r="AD115" s="140">
        <v>0</v>
      </c>
      <c r="AE115" s="140">
        <v>0.06148653</v>
      </c>
    </row>
    <row r="116" spans="1:31" ht="15" customHeight="1">
      <c r="A116" s="101" t="s">
        <v>95</v>
      </c>
      <c r="B116" s="101">
        <f aca="true" t="shared" si="8" ref="B116:I116">(B107*B110)</f>
        <v>1.579765689608451</v>
      </c>
      <c r="C116" s="101">
        <f t="shared" si="8"/>
        <v>0.517151650899611</v>
      </c>
      <c r="D116" s="102">
        <f t="shared" si="8"/>
        <v>0.517151650899611</v>
      </c>
      <c r="E116" s="101">
        <f t="shared" si="8"/>
        <v>1.579765689608451</v>
      </c>
      <c r="F116" s="101">
        <f t="shared" si="8"/>
        <v>0.517151650899611</v>
      </c>
      <c r="G116" s="101">
        <f t="shared" si="8"/>
        <v>0.517151650899611</v>
      </c>
      <c r="H116" s="101">
        <f t="shared" si="8"/>
        <v>0.517151650899611</v>
      </c>
      <c r="I116" s="101">
        <f t="shared" si="8"/>
        <v>0.517151650899611</v>
      </c>
      <c r="K116" s="101" t="s">
        <v>95</v>
      </c>
      <c r="L116" s="141">
        <v>0</v>
      </c>
      <c r="M116" s="136">
        <v>0</v>
      </c>
      <c r="N116" s="140">
        <v>0</v>
      </c>
      <c r="O116" s="140">
        <v>0</v>
      </c>
      <c r="P116" s="140">
        <v>0</v>
      </c>
      <c r="Q116" s="140">
        <v>0</v>
      </c>
      <c r="S116" s="136">
        <v>0</v>
      </c>
      <c r="T116" s="136">
        <v>0</v>
      </c>
      <c r="U116" s="140">
        <v>0</v>
      </c>
      <c r="V116" s="140">
        <v>0</v>
      </c>
      <c r="W116" s="140">
        <v>0</v>
      </c>
      <c r="X116" s="140">
        <v>0</v>
      </c>
      <c r="Z116" s="136">
        <v>0</v>
      </c>
      <c r="AA116" s="136">
        <v>0</v>
      </c>
      <c r="AB116" s="140">
        <v>0</v>
      </c>
      <c r="AC116" s="140">
        <v>0</v>
      </c>
      <c r="AD116" s="140">
        <v>0</v>
      </c>
      <c r="AE116" s="140">
        <v>0</v>
      </c>
    </row>
    <row r="117" spans="1:31" ht="15" customHeight="1">
      <c r="A117" s="101" t="s">
        <v>96</v>
      </c>
      <c r="B117" s="101">
        <f aca="true" t="shared" si="9" ref="B117:I117">(B107*B108)</f>
        <v>-0.12505679271143638</v>
      </c>
      <c r="C117" s="101">
        <f t="shared" si="9"/>
        <v>-0.6860080279998614</v>
      </c>
      <c r="D117" s="102">
        <f t="shared" si="9"/>
        <v>-0.6860080279998614</v>
      </c>
      <c r="E117" s="101">
        <f t="shared" si="9"/>
        <v>-0.12505679271143638</v>
      </c>
      <c r="F117" s="101">
        <f t="shared" si="9"/>
        <v>-0.6860080279998614</v>
      </c>
      <c r="G117" s="101">
        <f t="shared" si="9"/>
        <v>-0.6860080279998614</v>
      </c>
      <c r="H117" s="101">
        <f t="shared" si="9"/>
        <v>-0.6860080279998614</v>
      </c>
      <c r="I117" s="101">
        <f t="shared" si="9"/>
        <v>-0.6860080279998614</v>
      </c>
      <c r="K117" s="101" t="s">
        <v>96</v>
      </c>
      <c r="L117" s="141">
        <v>0</v>
      </c>
      <c r="M117" s="136">
        <v>0</v>
      </c>
      <c r="N117" s="140">
        <v>0</v>
      </c>
      <c r="O117" s="140">
        <v>0</v>
      </c>
      <c r="P117" s="140">
        <v>0</v>
      </c>
      <c r="Q117" s="140">
        <v>0</v>
      </c>
      <c r="S117" s="136">
        <v>0</v>
      </c>
      <c r="T117" s="136">
        <v>0</v>
      </c>
      <c r="U117" s="140">
        <v>0</v>
      </c>
      <c r="V117" s="140">
        <v>0</v>
      </c>
      <c r="W117" s="140">
        <v>0</v>
      </c>
      <c r="X117" s="140">
        <v>0</v>
      </c>
      <c r="Z117" s="136">
        <v>0</v>
      </c>
      <c r="AA117" s="136">
        <v>0</v>
      </c>
      <c r="AB117" s="140">
        <v>0</v>
      </c>
      <c r="AC117" s="140">
        <v>0</v>
      </c>
      <c r="AD117" s="140">
        <v>0</v>
      </c>
      <c r="AE117" s="140">
        <v>0</v>
      </c>
    </row>
    <row r="118" spans="1:31" ht="15" customHeight="1">
      <c r="A118" s="101" t="s">
        <v>97</v>
      </c>
      <c r="B118" s="101">
        <f aca="true" t="shared" si="10" ref="B118:I118">(B108*B110)</f>
        <v>-0.02853914307048734</v>
      </c>
      <c r="C118" s="101">
        <f t="shared" si="10"/>
        <v>-0.15042938215620508</v>
      </c>
      <c r="D118" s="101">
        <f t="shared" si="10"/>
        <v>-0.15042938215620508</v>
      </c>
      <c r="E118" s="101">
        <f t="shared" si="10"/>
        <v>-0.02853914307048734</v>
      </c>
      <c r="F118" s="101">
        <f t="shared" si="10"/>
        <v>-0.15042938215620508</v>
      </c>
      <c r="G118" s="101">
        <f t="shared" si="10"/>
        <v>-0.15042938215620508</v>
      </c>
      <c r="H118" s="101">
        <f t="shared" si="10"/>
        <v>-0.15042938215620508</v>
      </c>
      <c r="I118" s="101">
        <f t="shared" si="10"/>
        <v>-0.15042938215620508</v>
      </c>
      <c r="K118" s="101" t="s">
        <v>97</v>
      </c>
      <c r="L118" s="141">
        <v>0</v>
      </c>
      <c r="M118" s="136">
        <v>0</v>
      </c>
      <c r="N118" s="140">
        <v>0</v>
      </c>
      <c r="O118" s="140">
        <v>0</v>
      </c>
      <c r="P118" s="140">
        <v>0</v>
      </c>
      <c r="Q118" s="140">
        <v>0</v>
      </c>
      <c r="S118" s="136">
        <v>0</v>
      </c>
      <c r="T118" s="136">
        <v>0.01903</v>
      </c>
      <c r="U118" s="140">
        <v>0</v>
      </c>
      <c r="V118" s="140">
        <v>0</v>
      </c>
      <c r="W118" s="140">
        <v>0</v>
      </c>
      <c r="X118" s="140">
        <v>0</v>
      </c>
      <c r="Z118" s="136">
        <v>0</v>
      </c>
      <c r="AA118" s="136">
        <v>0.017207570447757586</v>
      </c>
      <c r="AB118" s="140">
        <v>0</v>
      </c>
      <c r="AC118" s="140">
        <v>0</v>
      </c>
      <c r="AD118" s="140">
        <v>0</v>
      </c>
      <c r="AE118" s="140">
        <v>0</v>
      </c>
    </row>
    <row r="119" spans="1:31" ht="15" customHeight="1">
      <c r="A119" s="101" t="s">
        <v>98</v>
      </c>
      <c r="B119" s="101">
        <f aca="true" t="shared" si="11" ref="B119:I119">(B108*B108)</f>
        <v>0.0022592044646902987</v>
      </c>
      <c r="C119" s="101">
        <f t="shared" si="11"/>
        <v>0.1995464263271743</v>
      </c>
      <c r="D119" s="102">
        <f t="shared" si="11"/>
        <v>0.1995464263271743</v>
      </c>
      <c r="E119" s="101">
        <f t="shared" si="11"/>
        <v>0.0022592044646902987</v>
      </c>
      <c r="F119" s="101">
        <f t="shared" si="11"/>
        <v>0.1995464263271743</v>
      </c>
      <c r="G119" s="101">
        <f t="shared" si="11"/>
        <v>0.1995464263271743</v>
      </c>
      <c r="H119" s="101">
        <f t="shared" si="11"/>
        <v>0.1995464263271743</v>
      </c>
      <c r="I119" s="101">
        <f t="shared" si="11"/>
        <v>0.1995464263271743</v>
      </c>
      <c r="K119" s="101" t="s">
        <v>98</v>
      </c>
      <c r="L119" s="141">
        <v>0</v>
      </c>
      <c r="M119" s="136">
        <v>0</v>
      </c>
      <c r="N119" s="140">
        <v>0</v>
      </c>
      <c r="O119" s="140">
        <v>0</v>
      </c>
      <c r="P119" s="140">
        <v>0</v>
      </c>
      <c r="Q119" s="140">
        <v>0</v>
      </c>
      <c r="S119" s="136">
        <v>0.006487</v>
      </c>
      <c r="T119" s="136">
        <v>0.01708</v>
      </c>
      <c r="U119" s="140">
        <v>0</v>
      </c>
      <c r="V119" s="140">
        <v>0</v>
      </c>
      <c r="W119" s="140">
        <v>0</v>
      </c>
      <c r="X119" s="140">
        <v>0</v>
      </c>
      <c r="Z119" s="136">
        <v>-0.01718282610296383</v>
      </c>
      <c r="AA119" s="136">
        <v>0.04325257374798322</v>
      </c>
      <c r="AB119" s="140">
        <v>0</v>
      </c>
      <c r="AC119" s="140">
        <v>0</v>
      </c>
      <c r="AD119" s="140">
        <v>0</v>
      </c>
      <c r="AE119" s="140">
        <v>0</v>
      </c>
    </row>
    <row r="120" spans="1:31" ht="15" customHeight="1">
      <c r="A120" s="101" t="s">
        <v>99</v>
      </c>
      <c r="B120" s="101">
        <f aca="true" t="shared" si="12" ref="B120:I120">(B108*B109)</f>
        <v>-0.014549830830786687</v>
      </c>
      <c r="C120" s="101">
        <f t="shared" si="12"/>
        <v>-0.1270949752156445</v>
      </c>
      <c r="D120" s="102">
        <f t="shared" si="12"/>
        <v>-0.1270949752156445</v>
      </c>
      <c r="E120" s="101">
        <f t="shared" si="12"/>
        <v>-0.014549830830786687</v>
      </c>
      <c r="F120" s="101">
        <f t="shared" si="12"/>
        <v>-0.1270949752156445</v>
      </c>
      <c r="G120" s="101">
        <f t="shared" si="12"/>
        <v>-0.1270949752156445</v>
      </c>
      <c r="H120" s="101">
        <f t="shared" si="12"/>
        <v>-0.1270949752156445</v>
      </c>
      <c r="I120" s="101">
        <f t="shared" si="12"/>
        <v>-0.1270949752156445</v>
      </c>
      <c r="K120" s="101" t="s">
        <v>99</v>
      </c>
      <c r="L120" s="141">
        <v>0</v>
      </c>
      <c r="M120" s="136">
        <v>0</v>
      </c>
      <c r="N120" s="140">
        <v>0</v>
      </c>
      <c r="O120" s="140">
        <v>0</v>
      </c>
      <c r="P120" s="140">
        <v>0</v>
      </c>
      <c r="Q120" s="140">
        <v>0</v>
      </c>
      <c r="S120" s="136">
        <v>0</v>
      </c>
      <c r="T120" s="136">
        <v>0</v>
      </c>
      <c r="U120" s="140">
        <v>0</v>
      </c>
      <c r="V120" s="140">
        <v>0</v>
      </c>
      <c r="W120" s="140">
        <v>0</v>
      </c>
      <c r="X120" s="140">
        <v>0</v>
      </c>
      <c r="Z120" s="136">
        <v>0</v>
      </c>
      <c r="AA120" s="136">
        <v>0</v>
      </c>
      <c r="AB120" s="140">
        <v>0</v>
      </c>
      <c r="AC120" s="140">
        <v>0</v>
      </c>
      <c r="AD120" s="140">
        <v>0</v>
      </c>
      <c r="AE120" s="140">
        <v>0</v>
      </c>
    </row>
    <row r="121" spans="1:31" ht="15" customHeight="1">
      <c r="A121" s="101" t="s">
        <v>100</v>
      </c>
      <c r="B121" s="101">
        <f aca="true" t="shared" si="13" ref="B121:I121">(B108*B112)</f>
        <v>0.042615331271633056</v>
      </c>
      <c r="C121" s="101">
        <f t="shared" si="13"/>
        <v>0.1659590350007564</v>
      </c>
      <c r="D121" s="102">
        <f t="shared" si="13"/>
        <v>0.1659590350007564</v>
      </c>
      <c r="E121" s="101">
        <f t="shared" si="13"/>
        <v>0.042615331271633056</v>
      </c>
      <c r="F121" s="101">
        <f t="shared" si="13"/>
        <v>0.1659590350007564</v>
      </c>
      <c r="G121" s="101">
        <f t="shared" si="13"/>
        <v>0.1659590350007564</v>
      </c>
      <c r="H121" s="101">
        <f t="shared" si="13"/>
        <v>0.1659590350007564</v>
      </c>
      <c r="I121" s="101">
        <f t="shared" si="13"/>
        <v>0.1659590350007564</v>
      </c>
      <c r="K121" s="101" t="s">
        <v>100</v>
      </c>
      <c r="L121" s="141">
        <v>0</v>
      </c>
      <c r="M121" s="136">
        <v>0</v>
      </c>
      <c r="N121" s="140">
        <v>0</v>
      </c>
      <c r="O121" s="140">
        <v>0</v>
      </c>
      <c r="P121" s="140">
        <v>0</v>
      </c>
      <c r="Q121" s="140">
        <v>0</v>
      </c>
      <c r="S121" s="136">
        <v>0</v>
      </c>
      <c r="T121" s="136">
        <v>0.01372</v>
      </c>
      <c r="U121" s="140">
        <v>0</v>
      </c>
      <c r="V121" s="140">
        <v>0</v>
      </c>
      <c r="W121" s="140">
        <v>0</v>
      </c>
      <c r="X121" s="140">
        <v>0</v>
      </c>
      <c r="Z121" s="136">
        <v>-0.015656023294272674</v>
      </c>
      <c r="AA121" s="136">
        <v>0.011593505104203847</v>
      </c>
      <c r="AB121" s="140">
        <v>0</v>
      </c>
      <c r="AC121" s="140">
        <v>0</v>
      </c>
      <c r="AD121" s="140">
        <v>0</v>
      </c>
      <c r="AE121" s="140">
        <v>0</v>
      </c>
    </row>
    <row r="122" spans="1:31" ht="15" customHeight="1">
      <c r="A122" s="101" t="s">
        <v>101</v>
      </c>
      <c r="B122" s="101">
        <f aca="true" t="shared" si="14" ref="B122:I122">(B109*B109)</f>
        <v>0.09370447894964266</v>
      </c>
      <c r="C122" s="101">
        <f t="shared" si="14"/>
        <v>0.08094924585911038</v>
      </c>
      <c r="D122" s="102">
        <f t="shared" si="14"/>
        <v>0.08094924585911038</v>
      </c>
      <c r="E122" s="101">
        <f t="shared" si="14"/>
        <v>0.09370447894964266</v>
      </c>
      <c r="F122" s="101">
        <f t="shared" si="14"/>
        <v>0.08094924585911038</v>
      </c>
      <c r="G122" s="101">
        <f t="shared" si="14"/>
        <v>0.08094924585911038</v>
      </c>
      <c r="H122" s="101">
        <f t="shared" si="14"/>
        <v>0.08094924585911038</v>
      </c>
      <c r="I122" s="101">
        <f t="shared" si="14"/>
        <v>0.08094924585911038</v>
      </c>
      <c r="K122" s="101" t="s">
        <v>101</v>
      </c>
      <c r="L122" s="141">
        <v>0</v>
      </c>
      <c r="M122" s="136">
        <v>0</v>
      </c>
      <c r="N122" s="140">
        <v>0</v>
      </c>
      <c r="O122" s="140">
        <v>0</v>
      </c>
      <c r="P122" s="140">
        <v>0</v>
      </c>
      <c r="Q122" s="140">
        <v>0</v>
      </c>
      <c r="S122" s="136">
        <v>0</v>
      </c>
      <c r="T122" s="136">
        <v>0.01392</v>
      </c>
      <c r="U122" s="140">
        <v>0</v>
      </c>
      <c r="V122" s="140">
        <v>0</v>
      </c>
      <c r="W122" s="140">
        <v>0</v>
      </c>
      <c r="X122" s="140">
        <v>0</v>
      </c>
      <c r="Z122" s="136">
        <v>0</v>
      </c>
      <c r="AA122" s="136">
        <v>0.01663912113340632</v>
      </c>
      <c r="AB122" s="140">
        <v>0</v>
      </c>
      <c r="AC122" s="140">
        <v>0</v>
      </c>
      <c r="AD122" s="140">
        <v>0</v>
      </c>
      <c r="AE122" s="140">
        <v>0</v>
      </c>
    </row>
    <row r="123" spans="1:31" ht="15" customHeight="1">
      <c r="A123" s="101" t="s">
        <v>102</v>
      </c>
      <c r="B123" s="101">
        <f aca="true" t="shared" si="15" ref="B123:I123">(B109*B112)</f>
        <v>-0.27445318495561366</v>
      </c>
      <c r="C123" s="101">
        <f t="shared" si="15"/>
        <v>-0.10570251659456065</v>
      </c>
      <c r="D123" s="102">
        <f t="shared" si="15"/>
        <v>-0.10570251659456065</v>
      </c>
      <c r="E123" s="101">
        <f t="shared" si="15"/>
        <v>-0.27445318495561366</v>
      </c>
      <c r="F123" s="101">
        <f t="shared" si="15"/>
        <v>-0.10570251659456065</v>
      </c>
      <c r="G123" s="101">
        <f t="shared" si="15"/>
        <v>-0.10570251659456065</v>
      </c>
      <c r="H123" s="101">
        <f t="shared" si="15"/>
        <v>-0.10570251659456065</v>
      </c>
      <c r="I123" s="101">
        <f t="shared" si="15"/>
        <v>-0.10570251659456065</v>
      </c>
      <c r="K123" s="101" t="s">
        <v>102</v>
      </c>
      <c r="L123" s="141">
        <v>0</v>
      </c>
      <c r="M123" s="136">
        <v>0</v>
      </c>
      <c r="N123" s="140">
        <v>0</v>
      </c>
      <c r="O123" s="140">
        <v>0</v>
      </c>
      <c r="P123" s="140">
        <v>0</v>
      </c>
      <c r="Q123" s="140">
        <v>0</v>
      </c>
      <c r="S123" s="136">
        <v>0</v>
      </c>
      <c r="T123" s="136">
        <v>0</v>
      </c>
      <c r="U123" s="140">
        <v>0</v>
      </c>
      <c r="V123" s="140">
        <v>0</v>
      </c>
      <c r="W123" s="140">
        <v>0</v>
      </c>
      <c r="X123" s="140">
        <v>0</v>
      </c>
      <c r="Z123" s="136">
        <v>0</v>
      </c>
      <c r="AA123" s="136">
        <v>0.014772676999806538</v>
      </c>
      <c r="AB123" s="140">
        <v>0</v>
      </c>
      <c r="AC123" s="140">
        <v>0</v>
      </c>
      <c r="AD123" s="140">
        <v>0</v>
      </c>
      <c r="AE123" s="140">
        <v>0</v>
      </c>
    </row>
    <row r="124" spans="1:31" ht="15" customHeight="1">
      <c r="A124" s="101" t="s">
        <v>103</v>
      </c>
      <c r="B124" s="101">
        <f aca="true" t="shared" si="16" ref="B124:I124">(B107*B109)</f>
        <v>0.8053964156987399</v>
      </c>
      <c r="C124" s="101">
        <f t="shared" si="16"/>
        <v>0.43693177032107156</v>
      </c>
      <c r="D124" s="101">
        <f t="shared" si="16"/>
        <v>0.43693177032107156</v>
      </c>
      <c r="E124" s="101">
        <f t="shared" si="16"/>
        <v>0.8053964156987399</v>
      </c>
      <c r="F124" s="101">
        <f t="shared" si="16"/>
        <v>0.43693177032107156</v>
      </c>
      <c r="G124" s="101">
        <f t="shared" si="16"/>
        <v>0.43693177032107156</v>
      </c>
      <c r="H124" s="101">
        <f t="shared" si="16"/>
        <v>0.43693177032107156</v>
      </c>
      <c r="I124" s="101">
        <f t="shared" si="16"/>
        <v>0.43693177032107156</v>
      </c>
      <c r="K124" s="101" t="s">
        <v>103</v>
      </c>
      <c r="L124" s="141">
        <v>0</v>
      </c>
      <c r="M124" s="136">
        <v>0</v>
      </c>
      <c r="N124" s="140">
        <v>0</v>
      </c>
      <c r="O124" s="140">
        <v>0</v>
      </c>
      <c r="P124" s="140">
        <v>0</v>
      </c>
      <c r="Q124" s="140">
        <v>0</v>
      </c>
      <c r="S124" s="136">
        <v>0</v>
      </c>
      <c r="T124" s="136">
        <v>0</v>
      </c>
      <c r="U124" s="140">
        <v>0</v>
      </c>
      <c r="V124" s="140">
        <v>0</v>
      </c>
      <c r="W124" s="140">
        <v>0</v>
      </c>
      <c r="X124" s="140">
        <v>0</v>
      </c>
      <c r="Z124" s="136">
        <v>0</v>
      </c>
      <c r="AA124" s="136">
        <v>0</v>
      </c>
      <c r="AB124" s="140">
        <v>0</v>
      </c>
      <c r="AC124" s="140">
        <v>0</v>
      </c>
      <c r="AD124" s="140">
        <v>0</v>
      </c>
      <c r="AE124" s="140">
        <v>0</v>
      </c>
    </row>
    <row r="125" spans="1:31" ht="15" customHeight="1">
      <c r="A125" s="101" t="s">
        <v>104</v>
      </c>
      <c r="B125" s="101">
        <f aca="true" t="shared" si="17" ref="B125:I125">(B109*B110)</f>
        <v>0.18379908070345097</v>
      </c>
      <c r="C125" s="101">
        <f t="shared" si="17"/>
        <v>0.09581138058318608</v>
      </c>
      <c r="D125" s="102">
        <f t="shared" si="17"/>
        <v>0.09581138058318608</v>
      </c>
      <c r="E125" s="101">
        <f t="shared" si="17"/>
        <v>0.18379908070345097</v>
      </c>
      <c r="F125" s="101">
        <f t="shared" si="17"/>
        <v>0.09581138058318608</v>
      </c>
      <c r="G125" s="101">
        <f t="shared" si="17"/>
        <v>0.09581138058318608</v>
      </c>
      <c r="H125" s="101">
        <f t="shared" si="17"/>
        <v>0.09581138058318608</v>
      </c>
      <c r="I125" s="101">
        <f t="shared" si="17"/>
        <v>0.09581138058318608</v>
      </c>
      <c r="K125" s="101" t="s">
        <v>104</v>
      </c>
      <c r="L125" s="141">
        <v>0</v>
      </c>
      <c r="M125" s="136">
        <v>0.0166</v>
      </c>
      <c r="N125" s="140">
        <v>0</v>
      </c>
      <c r="O125" s="140">
        <v>0</v>
      </c>
      <c r="P125" s="140">
        <v>0</v>
      </c>
      <c r="Q125" s="140">
        <v>0</v>
      </c>
      <c r="S125" s="136">
        <v>0</v>
      </c>
      <c r="T125" s="136">
        <v>0</v>
      </c>
      <c r="U125" s="140">
        <v>0</v>
      </c>
      <c r="V125" s="140">
        <v>0</v>
      </c>
      <c r="W125" s="140">
        <v>0</v>
      </c>
      <c r="X125" s="140">
        <v>0</v>
      </c>
      <c r="Z125" s="136">
        <v>0</v>
      </c>
      <c r="AA125" s="136">
        <v>0</v>
      </c>
      <c r="AB125" s="140">
        <v>0</v>
      </c>
      <c r="AC125" s="140">
        <v>0</v>
      </c>
      <c r="AD125" s="140">
        <v>0</v>
      </c>
      <c r="AE125" s="140">
        <v>0</v>
      </c>
    </row>
    <row r="126" spans="1:31" ht="15" customHeight="1">
      <c r="A126" s="101" t="s">
        <v>105</v>
      </c>
      <c r="B126" s="101">
        <f aca="true" t="shared" si="18" ref="B126:I126">(B110*B110)</f>
        <v>0.36051747414964425</v>
      </c>
      <c r="C126" s="101">
        <f t="shared" si="18"/>
        <v>0.11340217628751374</v>
      </c>
      <c r="D126" s="102">
        <f t="shared" si="18"/>
        <v>0.11340217628751374</v>
      </c>
      <c r="E126" s="101">
        <f t="shared" si="18"/>
        <v>0.36051747414964425</v>
      </c>
      <c r="F126" s="101">
        <f t="shared" si="18"/>
        <v>0.11340217628751374</v>
      </c>
      <c r="G126" s="101">
        <f t="shared" si="18"/>
        <v>0.11340217628751374</v>
      </c>
      <c r="H126" s="101">
        <f t="shared" si="18"/>
        <v>0.11340217628751374</v>
      </c>
      <c r="I126" s="101">
        <f t="shared" si="18"/>
        <v>0.11340217628751374</v>
      </c>
      <c r="K126" s="101" t="s">
        <v>105</v>
      </c>
      <c r="L126" s="141">
        <v>0</v>
      </c>
      <c r="M126" s="136">
        <v>0</v>
      </c>
      <c r="N126" s="140">
        <v>0</v>
      </c>
      <c r="O126" s="140">
        <v>0</v>
      </c>
      <c r="P126" s="140">
        <v>0</v>
      </c>
      <c r="Q126" s="140">
        <v>0</v>
      </c>
      <c r="S126" s="136">
        <v>-0.00441</v>
      </c>
      <c r="T126" s="136">
        <v>-0.011</v>
      </c>
      <c r="U126" s="140">
        <v>0</v>
      </c>
      <c r="V126" s="140">
        <v>0</v>
      </c>
      <c r="W126" s="140">
        <v>0</v>
      </c>
      <c r="X126" s="140">
        <v>0</v>
      </c>
      <c r="Z126" s="136">
        <v>-0.00554695877457701</v>
      </c>
      <c r="AA126" s="136">
        <v>-0.009899347484947031</v>
      </c>
      <c r="AB126" s="140">
        <v>0</v>
      </c>
      <c r="AC126" s="140">
        <v>0</v>
      </c>
      <c r="AD126" s="140">
        <v>0</v>
      </c>
      <c r="AE126" s="140">
        <v>0</v>
      </c>
    </row>
    <row r="127" spans="1:31" ht="15" customHeight="1">
      <c r="A127" s="101" t="s">
        <v>106</v>
      </c>
      <c r="B127" s="101">
        <f aca="true" t="shared" si="19" ref="B127:I127">(B114*B112)</f>
        <v>-0.8467031655445045</v>
      </c>
      <c r="C127" s="101">
        <f t="shared" si="19"/>
        <v>-0.36426661608741473</v>
      </c>
      <c r="D127" s="101">
        <f t="shared" si="19"/>
        <v>-0.36426661608741473</v>
      </c>
      <c r="E127" s="101">
        <f t="shared" si="19"/>
        <v>-0.8467031655445045</v>
      </c>
      <c r="F127" s="101">
        <f t="shared" si="19"/>
        <v>-0.36426661608741473</v>
      </c>
      <c r="G127" s="101">
        <f t="shared" si="19"/>
        <v>-0.36426661608741473</v>
      </c>
      <c r="H127" s="101">
        <f t="shared" si="19"/>
        <v>-0.36426661608741473</v>
      </c>
      <c r="I127" s="101">
        <f t="shared" si="19"/>
        <v>-0.36426661608741473</v>
      </c>
      <c r="K127" s="101" t="s">
        <v>106</v>
      </c>
      <c r="L127" s="141">
        <v>0</v>
      </c>
      <c r="M127" s="136">
        <v>0</v>
      </c>
      <c r="N127" s="140">
        <v>0</v>
      </c>
      <c r="O127" s="140">
        <v>0</v>
      </c>
      <c r="P127" s="140">
        <v>0</v>
      </c>
      <c r="Q127" s="140">
        <v>0</v>
      </c>
      <c r="S127" s="136">
        <v>-0.01324</v>
      </c>
      <c r="T127" s="136">
        <v>0</v>
      </c>
      <c r="U127" s="140">
        <v>0</v>
      </c>
      <c r="V127" s="140">
        <v>0</v>
      </c>
      <c r="W127" s="140">
        <v>0</v>
      </c>
      <c r="X127" s="140">
        <v>0</v>
      </c>
      <c r="Z127" s="136">
        <v>-0.00918146009065018</v>
      </c>
      <c r="AA127" s="136">
        <v>0</v>
      </c>
      <c r="AB127" s="140">
        <v>0</v>
      </c>
      <c r="AC127" s="140">
        <v>0</v>
      </c>
      <c r="AD127" s="140">
        <v>0</v>
      </c>
      <c r="AE127" s="140">
        <v>0</v>
      </c>
    </row>
    <row r="128" spans="1:31" ht="15" customHeight="1">
      <c r="A128" s="101" t="s">
        <v>107</v>
      </c>
      <c r="B128" s="101">
        <f aca="true" t="shared" si="20" ref="B128:I128">(B110*B112)</f>
        <v>-0.538333318283377</v>
      </c>
      <c r="C128" s="101">
        <f t="shared" si="20"/>
        <v>-0.12510930693126648</v>
      </c>
      <c r="D128" s="102">
        <f t="shared" si="20"/>
        <v>-0.12510930693126648</v>
      </c>
      <c r="E128" s="101">
        <f t="shared" si="20"/>
        <v>-0.538333318283377</v>
      </c>
      <c r="F128" s="101">
        <f t="shared" si="20"/>
        <v>-0.12510930693126648</v>
      </c>
      <c r="G128" s="101">
        <f t="shared" si="20"/>
        <v>-0.12510930693126648</v>
      </c>
      <c r="H128" s="101">
        <f t="shared" si="20"/>
        <v>-0.12510930693126648</v>
      </c>
      <c r="I128" s="101">
        <f t="shared" si="20"/>
        <v>-0.12510930693126648</v>
      </c>
      <c r="K128" s="101" t="s">
        <v>107</v>
      </c>
      <c r="L128" s="141">
        <v>0</v>
      </c>
      <c r="M128" s="136">
        <v>0</v>
      </c>
      <c r="N128" s="140">
        <v>0</v>
      </c>
      <c r="O128" s="140">
        <v>0</v>
      </c>
      <c r="P128" s="140">
        <v>0</v>
      </c>
      <c r="Q128" s="140">
        <v>0</v>
      </c>
      <c r="S128" s="136">
        <v>0</v>
      </c>
      <c r="T128" s="136">
        <v>0.007222</v>
      </c>
      <c r="U128" s="140">
        <v>0</v>
      </c>
      <c r="V128" s="140">
        <v>0</v>
      </c>
      <c r="W128" s="140">
        <v>0</v>
      </c>
      <c r="X128" s="140">
        <v>0</v>
      </c>
      <c r="Z128" s="136">
        <v>0</v>
      </c>
      <c r="AA128" s="136">
        <v>0.007656584492122542</v>
      </c>
      <c r="AB128" s="140">
        <v>0</v>
      </c>
      <c r="AC128" s="140">
        <v>0</v>
      </c>
      <c r="AD128" s="140">
        <v>0</v>
      </c>
      <c r="AE128" s="140">
        <v>0</v>
      </c>
    </row>
    <row r="129" spans="1:31" ht="15" customHeight="1">
      <c r="A129" s="101" t="s">
        <v>108</v>
      </c>
      <c r="B129" s="101">
        <f aca="true" t="shared" si="21" ref="B129:I129">(B110*B114)</f>
        <v>0.5670302695920625</v>
      </c>
      <c r="C129" s="101">
        <f t="shared" si="21"/>
        <v>0.3301802881531072</v>
      </c>
      <c r="D129" s="102">
        <f t="shared" si="21"/>
        <v>0.3301802881531072</v>
      </c>
      <c r="E129" s="101">
        <f t="shared" si="21"/>
        <v>0.5670302695920625</v>
      </c>
      <c r="F129" s="101">
        <f t="shared" si="21"/>
        <v>0.3301802881531072</v>
      </c>
      <c r="G129" s="101">
        <f t="shared" si="21"/>
        <v>0.3301802881531072</v>
      </c>
      <c r="H129" s="101">
        <f t="shared" si="21"/>
        <v>0.3301802881531072</v>
      </c>
      <c r="I129" s="101">
        <f t="shared" si="21"/>
        <v>0.3301802881531072</v>
      </c>
      <c r="K129" s="101" t="s">
        <v>108</v>
      </c>
      <c r="L129" s="141">
        <v>0</v>
      </c>
      <c r="M129" s="136">
        <v>-0.03017</v>
      </c>
      <c r="N129" s="140">
        <v>0</v>
      </c>
      <c r="O129" s="140">
        <v>0</v>
      </c>
      <c r="P129" s="140">
        <v>0</v>
      </c>
      <c r="Q129" s="140">
        <v>0</v>
      </c>
      <c r="S129" s="136">
        <v>0.00751</v>
      </c>
      <c r="T129" s="136">
        <v>0</v>
      </c>
      <c r="U129" s="140">
        <v>0</v>
      </c>
      <c r="V129" s="140">
        <v>0</v>
      </c>
      <c r="W129" s="140">
        <v>0</v>
      </c>
      <c r="X129" s="140">
        <v>0</v>
      </c>
      <c r="Z129" s="136">
        <v>0.005645532727345783</v>
      </c>
      <c r="AA129" s="136">
        <v>0</v>
      </c>
      <c r="AB129" s="140">
        <v>0</v>
      </c>
      <c r="AC129" s="140">
        <v>0</v>
      </c>
      <c r="AD129" s="140">
        <v>0</v>
      </c>
      <c r="AE129" s="140">
        <v>0</v>
      </c>
    </row>
    <row r="130" spans="1:31" ht="15" customHeight="1">
      <c r="A130" s="101" t="s">
        <v>109</v>
      </c>
      <c r="B130" s="101">
        <f aca="true" t="shared" si="22" ref="B130:I130">(B111*B109)</f>
        <v>0.07730538659408911</v>
      </c>
      <c r="C130" s="101">
        <f t="shared" si="22"/>
        <v>0.03315286824894442</v>
      </c>
      <c r="D130" s="102">
        <f t="shared" si="22"/>
        <v>0.03315286824894442</v>
      </c>
      <c r="E130" s="101">
        <f t="shared" si="22"/>
        <v>0.07730538659408911</v>
      </c>
      <c r="F130" s="101">
        <f t="shared" si="22"/>
        <v>0.03315286824894442</v>
      </c>
      <c r="G130" s="101">
        <f t="shared" si="22"/>
        <v>0.03315286824894442</v>
      </c>
      <c r="H130" s="101">
        <f t="shared" si="22"/>
        <v>0.03315286824894442</v>
      </c>
      <c r="I130" s="101">
        <f t="shared" si="22"/>
        <v>0.03315286824894442</v>
      </c>
      <c r="K130" s="101" t="s">
        <v>109</v>
      </c>
      <c r="L130" s="141">
        <v>0</v>
      </c>
      <c r="M130" s="136">
        <v>0</v>
      </c>
      <c r="N130" s="140">
        <v>0</v>
      </c>
      <c r="O130" s="140">
        <v>0</v>
      </c>
      <c r="P130" s="140">
        <v>0</v>
      </c>
      <c r="Q130" s="140">
        <v>0</v>
      </c>
      <c r="S130" s="136">
        <v>0</v>
      </c>
      <c r="T130" s="136">
        <v>0</v>
      </c>
      <c r="U130" s="140">
        <v>0</v>
      </c>
      <c r="V130" s="140">
        <v>0</v>
      </c>
      <c r="W130" s="140">
        <v>0</v>
      </c>
      <c r="X130" s="140">
        <v>0</v>
      </c>
      <c r="Z130" s="136">
        <v>0</v>
      </c>
      <c r="AA130" s="136">
        <v>0</v>
      </c>
      <c r="AB130" s="140">
        <v>0</v>
      </c>
      <c r="AC130" s="140">
        <v>0</v>
      </c>
      <c r="AD130" s="140">
        <v>0</v>
      </c>
      <c r="AE130" s="140">
        <v>0</v>
      </c>
    </row>
    <row r="131" spans="1:31" ht="15" customHeight="1">
      <c r="A131" s="101" t="s">
        <v>110</v>
      </c>
      <c r="B131" s="101">
        <f aca="true" t="shared" si="23" ref="B131:I131">(B112*B112)</f>
        <v>0.8038521912358121</v>
      </c>
      <c r="C131" s="101">
        <f t="shared" si="23"/>
        <v>0.13802502908883996</v>
      </c>
      <c r="D131" s="102">
        <f t="shared" si="23"/>
        <v>0.13802502908883996</v>
      </c>
      <c r="E131" s="101">
        <f t="shared" si="23"/>
        <v>0.8038521912358121</v>
      </c>
      <c r="F131" s="101">
        <f t="shared" si="23"/>
        <v>0.13802502908883996</v>
      </c>
      <c r="G131" s="101">
        <f t="shared" si="23"/>
        <v>0.13802502908883996</v>
      </c>
      <c r="H131" s="101">
        <f t="shared" si="23"/>
        <v>0.13802502908883996</v>
      </c>
      <c r="I131" s="101">
        <f t="shared" si="23"/>
        <v>0.13802502908883996</v>
      </c>
      <c r="K131" s="101" t="s">
        <v>110</v>
      </c>
      <c r="L131" s="141">
        <v>0</v>
      </c>
      <c r="M131" s="136">
        <v>0</v>
      </c>
      <c r="N131" s="140">
        <v>0</v>
      </c>
      <c r="O131" s="140">
        <v>0</v>
      </c>
      <c r="P131" s="140">
        <v>0</v>
      </c>
      <c r="Q131" s="140">
        <v>0</v>
      </c>
      <c r="S131" s="136">
        <v>0.009877</v>
      </c>
      <c r="T131" s="136">
        <v>0</v>
      </c>
      <c r="U131" s="140">
        <v>0</v>
      </c>
      <c r="V131" s="140">
        <v>0</v>
      </c>
      <c r="W131" s="140">
        <v>0</v>
      </c>
      <c r="X131" s="140">
        <v>0</v>
      </c>
      <c r="Z131" s="136">
        <v>0.01418135003128615</v>
      </c>
      <c r="AA131" s="136">
        <v>0</v>
      </c>
      <c r="AB131" s="140">
        <v>0</v>
      </c>
      <c r="AC131" s="140">
        <v>0</v>
      </c>
      <c r="AD131" s="140">
        <v>0</v>
      </c>
      <c r="AE131" s="140">
        <v>0</v>
      </c>
    </row>
    <row r="132" spans="1:31" ht="15" customHeight="1">
      <c r="A132" s="101" t="s">
        <v>111</v>
      </c>
      <c r="B132" s="101">
        <f aca="true" t="shared" si="24" ref="B132:I132">(B114*B114)</f>
        <v>0.891838398102691</v>
      </c>
      <c r="C132" s="101">
        <f t="shared" si="24"/>
        <v>0.9613485935972513</v>
      </c>
      <c r="D132" s="102">
        <f t="shared" si="24"/>
        <v>0.9613485935972513</v>
      </c>
      <c r="E132" s="101">
        <f t="shared" si="24"/>
        <v>0.891838398102691</v>
      </c>
      <c r="F132" s="101">
        <f t="shared" si="24"/>
        <v>0.9613485935972513</v>
      </c>
      <c r="G132" s="101">
        <f t="shared" si="24"/>
        <v>0.9613485935972513</v>
      </c>
      <c r="H132" s="101">
        <f t="shared" si="24"/>
        <v>0.9613485935972513</v>
      </c>
      <c r="I132" s="101">
        <f t="shared" si="24"/>
        <v>0.9613485935972513</v>
      </c>
      <c r="K132" s="101" t="s">
        <v>111</v>
      </c>
      <c r="L132" s="141">
        <v>0</v>
      </c>
      <c r="M132" s="136">
        <v>0</v>
      </c>
      <c r="N132" s="140">
        <v>0</v>
      </c>
      <c r="O132" s="140">
        <v>0</v>
      </c>
      <c r="P132" s="140">
        <v>0</v>
      </c>
      <c r="Q132" s="140">
        <v>0</v>
      </c>
      <c r="S132" s="136">
        <v>-0.00548</v>
      </c>
      <c r="T132" s="136">
        <v>-0.00746</v>
      </c>
      <c r="U132" s="140">
        <v>0</v>
      </c>
      <c r="V132" s="140">
        <v>0</v>
      </c>
      <c r="W132" s="140">
        <v>0</v>
      </c>
      <c r="X132" s="140">
        <v>0</v>
      </c>
      <c r="Z132" s="136">
        <v>-0.641360237103705</v>
      </c>
      <c r="AA132" s="136">
        <v>-0.01090923111404158</v>
      </c>
      <c r="AB132" s="140">
        <v>0</v>
      </c>
      <c r="AC132" s="140">
        <v>0</v>
      </c>
      <c r="AD132" s="140">
        <v>0</v>
      </c>
      <c r="AE132" s="140">
        <v>0</v>
      </c>
    </row>
    <row r="133" spans="1:31" ht="15" customHeight="1">
      <c r="A133" s="101" t="s">
        <v>112</v>
      </c>
      <c r="B133" s="101">
        <f aca="true" t="shared" si="25" ref="B133:I133">(B107*B111)</f>
        <v>0.6644450935002209</v>
      </c>
      <c r="C133" s="101">
        <f t="shared" si="25"/>
        <v>0.17894597116376057</v>
      </c>
      <c r="D133" s="101">
        <f t="shared" si="25"/>
        <v>0.17894597116376057</v>
      </c>
      <c r="E133" s="101">
        <f t="shared" si="25"/>
        <v>0.6644450935002209</v>
      </c>
      <c r="F133" s="101">
        <f t="shared" si="25"/>
        <v>0.17894597116376057</v>
      </c>
      <c r="G133" s="101">
        <f t="shared" si="25"/>
        <v>0.17894597116376057</v>
      </c>
      <c r="H133" s="101">
        <f t="shared" si="25"/>
        <v>0.17894597116376057</v>
      </c>
      <c r="I133" s="101">
        <f t="shared" si="25"/>
        <v>0.17894597116376057</v>
      </c>
      <c r="K133" s="101" t="s">
        <v>112</v>
      </c>
      <c r="L133" s="141">
        <v>0</v>
      </c>
      <c r="M133" s="136">
        <v>0</v>
      </c>
      <c r="N133" s="140">
        <v>0</v>
      </c>
      <c r="O133" s="140">
        <v>0</v>
      </c>
      <c r="P133" s="140">
        <v>0</v>
      </c>
      <c r="Q133" s="140">
        <v>0</v>
      </c>
      <c r="S133" s="136">
        <v>0</v>
      </c>
      <c r="T133" s="136">
        <v>0</v>
      </c>
      <c r="U133" s="140">
        <v>0</v>
      </c>
      <c r="V133" s="140">
        <v>0</v>
      </c>
      <c r="W133" s="140">
        <v>0</v>
      </c>
      <c r="X133" s="140">
        <v>0</v>
      </c>
      <c r="Z133" s="136">
        <v>0</v>
      </c>
      <c r="AA133" s="136">
        <v>0</v>
      </c>
      <c r="AB133" s="140">
        <v>0</v>
      </c>
      <c r="AC133" s="140">
        <v>0</v>
      </c>
      <c r="AD133" s="140">
        <v>0</v>
      </c>
      <c r="AE133" s="140">
        <v>0</v>
      </c>
    </row>
    <row r="134" spans="1:31" ht="15" customHeight="1">
      <c r="A134" s="101" t="s">
        <v>113</v>
      </c>
      <c r="B134" s="101">
        <f aca="true" t="shared" si="26" ref="B134:I134">(B111*B111)</f>
        <v>0.06377627690212308</v>
      </c>
      <c r="C134" s="101">
        <f t="shared" si="26"/>
        <v>0.013577800033428828</v>
      </c>
      <c r="D134" s="101">
        <f t="shared" si="26"/>
        <v>0.013577800033428828</v>
      </c>
      <c r="E134" s="101">
        <f t="shared" si="26"/>
        <v>0.06377627690212308</v>
      </c>
      <c r="F134" s="101">
        <f t="shared" si="26"/>
        <v>0.013577800033428828</v>
      </c>
      <c r="G134" s="101">
        <f t="shared" si="26"/>
        <v>0.013577800033428828</v>
      </c>
      <c r="H134" s="101">
        <f t="shared" si="26"/>
        <v>0.013577800033428828</v>
      </c>
      <c r="I134" s="101">
        <f t="shared" si="26"/>
        <v>0.013577800033428828</v>
      </c>
      <c r="K134" s="101" t="s">
        <v>113</v>
      </c>
      <c r="L134" s="141">
        <v>0</v>
      </c>
      <c r="M134" s="136">
        <v>0</v>
      </c>
      <c r="N134" s="140">
        <v>0</v>
      </c>
      <c r="O134" s="140">
        <v>0</v>
      </c>
      <c r="P134" s="140">
        <v>0</v>
      </c>
      <c r="Q134" s="140">
        <v>0</v>
      </c>
      <c r="S134" s="136">
        <v>0.0063</v>
      </c>
      <c r="T134" s="136">
        <v>0</v>
      </c>
      <c r="U134" s="140">
        <v>0</v>
      </c>
      <c r="V134" s="140">
        <v>0</v>
      </c>
      <c r="W134" s="140">
        <v>0</v>
      </c>
      <c r="X134" s="140">
        <v>0</v>
      </c>
      <c r="Z134" s="136">
        <v>0.0069270621046764475</v>
      </c>
      <c r="AA134" s="136">
        <v>0</v>
      </c>
      <c r="AB134" s="140">
        <v>0</v>
      </c>
      <c r="AC134" s="140">
        <v>0</v>
      </c>
      <c r="AD134" s="140">
        <v>0</v>
      </c>
      <c r="AE134" s="140">
        <v>0</v>
      </c>
    </row>
    <row r="135" spans="1:31" ht="15" customHeight="1">
      <c r="A135" s="101" t="s">
        <v>114</v>
      </c>
      <c r="B135" s="101">
        <f aca="true" t="shared" si="27" ref="B135:I135">(B107*B114)</f>
        <v>2.4846922246524747</v>
      </c>
      <c r="C135" s="101">
        <f t="shared" si="27"/>
        <v>1.5057319594993488</v>
      </c>
      <c r="D135" s="101">
        <f t="shared" si="27"/>
        <v>1.5057319594993488</v>
      </c>
      <c r="E135" s="101">
        <f t="shared" si="27"/>
        <v>2.4846922246524747</v>
      </c>
      <c r="F135" s="101">
        <f t="shared" si="27"/>
        <v>1.5057319594993488</v>
      </c>
      <c r="G135" s="101">
        <f t="shared" si="27"/>
        <v>1.5057319594993488</v>
      </c>
      <c r="H135" s="101">
        <f t="shared" si="27"/>
        <v>1.5057319594993488</v>
      </c>
      <c r="I135" s="101">
        <f t="shared" si="27"/>
        <v>1.5057319594993488</v>
      </c>
      <c r="K135" s="101" t="s">
        <v>114</v>
      </c>
      <c r="L135" s="141">
        <v>0</v>
      </c>
      <c r="M135" s="136">
        <v>0</v>
      </c>
      <c r="N135" s="140">
        <v>0</v>
      </c>
      <c r="O135" s="140">
        <v>0</v>
      </c>
      <c r="P135" s="140">
        <v>0</v>
      </c>
      <c r="Q135" s="140">
        <v>0</v>
      </c>
      <c r="S135" s="136">
        <v>0</v>
      </c>
      <c r="T135" s="136">
        <v>0</v>
      </c>
      <c r="U135" s="140">
        <v>0</v>
      </c>
      <c r="V135" s="140">
        <v>0</v>
      </c>
      <c r="W135" s="140">
        <v>0</v>
      </c>
      <c r="X135" s="140">
        <v>0</v>
      </c>
      <c r="Z135" s="136">
        <v>0</v>
      </c>
      <c r="AA135" s="136">
        <v>0</v>
      </c>
      <c r="AB135" s="140">
        <v>0</v>
      </c>
      <c r="AC135" s="140">
        <v>0</v>
      </c>
      <c r="AD135" s="140">
        <v>0</v>
      </c>
      <c r="AE135" s="140">
        <v>0</v>
      </c>
    </row>
    <row r="136" spans="1:31" ht="15" customHeight="1">
      <c r="A136" s="101" t="s">
        <v>115</v>
      </c>
      <c r="B136" s="101">
        <f aca="true" t="shared" si="28" ref="B136:I136">(B109*B114)</f>
        <v>0.2890834696095518</v>
      </c>
      <c r="C136" s="101">
        <f t="shared" si="28"/>
        <v>0.2789631582474895</v>
      </c>
      <c r="D136" s="101">
        <f t="shared" si="28"/>
        <v>0.2789631582474895</v>
      </c>
      <c r="E136" s="101">
        <f t="shared" si="28"/>
        <v>0.2890834696095518</v>
      </c>
      <c r="F136" s="101">
        <f t="shared" si="28"/>
        <v>0.2789631582474895</v>
      </c>
      <c r="G136" s="101">
        <f t="shared" si="28"/>
        <v>0.2789631582474895</v>
      </c>
      <c r="H136" s="101">
        <f t="shared" si="28"/>
        <v>0.2789631582474895</v>
      </c>
      <c r="I136" s="101">
        <f t="shared" si="28"/>
        <v>0.2789631582474895</v>
      </c>
      <c r="K136" s="101" t="s">
        <v>115</v>
      </c>
      <c r="L136" s="141">
        <v>0</v>
      </c>
      <c r="M136" s="136">
        <v>0</v>
      </c>
      <c r="N136" s="140">
        <v>0</v>
      </c>
      <c r="O136" s="140">
        <v>0</v>
      </c>
      <c r="P136" s="140">
        <v>0</v>
      </c>
      <c r="Q136" s="140">
        <v>0</v>
      </c>
      <c r="S136" s="136">
        <v>0</v>
      </c>
      <c r="T136" s="136">
        <v>-0.00915</v>
      </c>
      <c r="U136" s="140">
        <v>0</v>
      </c>
      <c r="V136" s="140">
        <v>0</v>
      </c>
      <c r="W136" s="140">
        <v>0</v>
      </c>
      <c r="X136" s="140">
        <v>0</v>
      </c>
      <c r="Z136" s="136">
        <v>0</v>
      </c>
      <c r="AA136" s="136">
        <v>-0.010844190871965705</v>
      </c>
      <c r="AB136" s="140">
        <v>0</v>
      </c>
      <c r="AC136" s="140">
        <v>0</v>
      </c>
      <c r="AD136" s="140">
        <v>0</v>
      </c>
      <c r="AE136" s="140">
        <v>0</v>
      </c>
    </row>
    <row r="137" spans="1:31" ht="15" customHeight="1">
      <c r="A137" s="101" t="s">
        <v>116</v>
      </c>
      <c r="B137" s="101">
        <f aca="true" t="shared" si="29" ref="B137:I137">(B109*B111)</f>
        <v>0.07730538659408911</v>
      </c>
      <c r="C137" s="101">
        <f t="shared" si="29"/>
        <v>0.03315286824894442</v>
      </c>
      <c r="D137" s="101">
        <f t="shared" si="29"/>
        <v>0.03315286824894442</v>
      </c>
      <c r="E137" s="101">
        <f t="shared" si="29"/>
        <v>0.07730538659408911</v>
      </c>
      <c r="F137" s="101">
        <f t="shared" si="29"/>
        <v>0.03315286824894442</v>
      </c>
      <c r="G137" s="101">
        <f t="shared" si="29"/>
        <v>0.03315286824894442</v>
      </c>
      <c r="H137" s="101">
        <f t="shared" si="29"/>
        <v>0.03315286824894442</v>
      </c>
      <c r="I137" s="101">
        <f t="shared" si="29"/>
        <v>0.03315286824894442</v>
      </c>
      <c r="K137" s="101" t="s">
        <v>116</v>
      </c>
      <c r="L137" s="141">
        <v>0</v>
      </c>
      <c r="M137" s="136">
        <v>-0.00803</v>
      </c>
      <c r="N137" s="140">
        <v>0</v>
      </c>
      <c r="O137" s="140">
        <v>0</v>
      </c>
      <c r="P137" s="140">
        <v>0</v>
      </c>
      <c r="Q137" s="140">
        <v>0</v>
      </c>
      <c r="S137" s="136">
        <v>0</v>
      </c>
      <c r="T137" s="136">
        <v>0</v>
      </c>
      <c r="U137" s="140">
        <v>0</v>
      </c>
      <c r="V137" s="140">
        <v>0</v>
      </c>
      <c r="W137" s="140">
        <v>0</v>
      </c>
      <c r="X137" s="140">
        <v>0</v>
      </c>
      <c r="Z137" s="136">
        <v>0</v>
      </c>
      <c r="AA137" s="136">
        <v>0</v>
      </c>
      <c r="AB137" s="140">
        <v>0</v>
      </c>
      <c r="AC137" s="140">
        <v>0</v>
      </c>
      <c r="AD137" s="140">
        <v>0</v>
      </c>
      <c r="AE137" s="140">
        <v>0</v>
      </c>
    </row>
    <row r="138" spans="1:31" ht="15" customHeight="1">
      <c r="A138" s="101" t="s">
        <v>303</v>
      </c>
      <c r="B138" s="101">
        <f aca="true" t="shared" si="30" ref="B138:I138">B107*B107</f>
        <v>6.922437365763199</v>
      </c>
      <c r="C138" s="101">
        <f t="shared" si="30"/>
        <v>2.358383575903565</v>
      </c>
      <c r="D138" s="101">
        <f t="shared" si="30"/>
        <v>2.358383575903565</v>
      </c>
      <c r="E138" s="101">
        <f t="shared" si="30"/>
        <v>6.922437365763199</v>
      </c>
      <c r="F138" s="101">
        <f t="shared" si="30"/>
        <v>2.358383575903565</v>
      </c>
      <c r="G138" s="101">
        <f t="shared" si="30"/>
        <v>2.358383575903565</v>
      </c>
      <c r="H138" s="101">
        <f t="shared" si="30"/>
        <v>2.358383575903565</v>
      </c>
      <c r="I138" s="101">
        <f t="shared" si="30"/>
        <v>2.358383575903565</v>
      </c>
      <c r="K138" s="101" t="s">
        <v>303</v>
      </c>
      <c r="L138" s="141">
        <v>0</v>
      </c>
      <c r="M138" s="136">
        <v>0</v>
      </c>
      <c r="N138" s="140">
        <v>0</v>
      </c>
      <c r="O138" s="140">
        <v>0</v>
      </c>
      <c r="P138" s="140">
        <v>0</v>
      </c>
      <c r="Q138" s="140">
        <v>0</v>
      </c>
      <c r="S138" s="136">
        <v>0</v>
      </c>
      <c r="T138" s="136">
        <v>0</v>
      </c>
      <c r="U138" s="140">
        <v>0</v>
      </c>
      <c r="V138" s="140">
        <v>0</v>
      </c>
      <c r="W138" s="140">
        <v>0</v>
      </c>
      <c r="X138" s="140">
        <v>0</v>
      </c>
      <c r="Z138" s="136">
        <v>0</v>
      </c>
      <c r="AA138" s="136">
        <v>0</v>
      </c>
      <c r="AB138" s="140">
        <v>0</v>
      </c>
      <c r="AC138" s="140">
        <v>0</v>
      </c>
      <c r="AD138" s="140">
        <v>0</v>
      </c>
      <c r="AE138" s="140">
        <v>0</v>
      </c>
    </row>
    <row r="139" spans="12:31" ht="15" customHeight="1">
      <c r="L139" s="140"/>
      <c r="M139" s="140"/>
      <c r="N139" s="140"/>
      <c r="O139" s="140"/>
      <c r="P139" s="140"/>
      <c r="Q139" s="140"/>
      <c r="S139" s="140"/>
      <c r="T139" s="140"/>
      <c r="U139" s="140"/>
      <c r="V139" s="140"/>
      <c r="W139" s="140"/>
      <c r="X139" s="140"/>
      <c r="Z139" s="140"/>
      <c r="AA139" s="140"/>
      <c r="AB139" s="140"/>
      <c r="AC139" s="140"/>
      <c r="AD139" s="140"/>
      <c r="AE139" s="140"/>
    </row>
    <row r="140" spans="12:31" ht="15" customHeight="1">
      <c r="L140" s="140"/>
      <c r="M140" s="140"/>
      <c r="N140" s="140"/>
      <c r="O140" s="140"/>
      <c r="P140" s="140"/>
      <c r="Q140" s="140"/>
      <c r="S140" s="140"/>
      <c r="T140" s="140"/>
      <c r="U140" s="140"/>
      <c r="V140" s="140"/>
      <c r="W140" s="140"/>
      <c r="X140" s="140"/>
      <c r="Z140" s="140"/>
      <c r="AA140" s="140"/>
      <c r="AB140" s="140"/>
      <c r="AC140" s="140"/>
      <c r="AD140" s="140"/>
      <c r="AE140" s="140"/>
    </row>
    <row r="142" ht="15" customHeight="1">
      <c r="K142" s="101" t="s">
        <v>117</v>
      </c>
    </row>
    <row r="143" ht="15" customHeight="1">
      <c r="L143" s="101" t="s">
        <v>118</v>
      </c>
    </row>
    <row r="144" spans="12:32" ht="15" customHeight="1">
      <c r="L144" s="101" t="s">
        <v>62</v>
      </c>
      <c r="M144" s="101" t="s">
        <v>62</v>
      </c>
      <c r="N144" s="101" t="s">
        <v>62</v>
      </c>
      <c r="O144" s="101" t="s">
        <v>62</v>
      </c>
      <c r="P144" s="101" t="s">
        <v>62</v>
      </c>
      <c r="Q144" s="101" t="s">
        <v>62</v>
      </c>
      <c r="R144" s="101" t="s">
        <v>62</v>
      </c>
      <c r="S144" s="101" t="s">
        <v>63</v>
      </c>
      <c r="T144" s="101" t="s">
        <v>63</v>
      </c>
      <c r="U144" s="101" t="s">
        <v>63</v>
      </c>
      <c r="V144" s="101" t="s">
        <v>63</v>
      </c>
      <c r="W144" s="101" t="s">
        <v>63</v>
      </c>
      <c r="X144" s="101" t="s">
        <v>63</v>
      </c>
      <c r="Y144" s="101" t="s">
        <v>63</v>
      </c>
      <c r="Z144" s="101" t="s">
        <v>64</v>
      </c>
      <c r="AA144" s="101" t="s">
        <v>64</v>
      </c>
      <c r="AB144" s="101" t="s">
        <v>64</v>
      </c>
      <c r="AC144" s="101" t="s">
        <v>64</v>
      </c>
      <c r="AD144" s="101" t="s">
        <v>64</v>
      </c>
      <c r="AE144" s="101" t="s">
        <v>64</v>
      </c>
      <c r="AF144" s="101" t="s">
        <v>64</v>
      </c>
    </row>
    <row r="145" spans="18:32" ht="15" customHeight="1">
      <c r="R145" s="101" t="s">
        <v>119</v>
      </c>
      <c r="Y145" s="101" t="s">
        <v>119</v>
      </c>
      <c r="AF145" s="101" t="s">
        <v>119</v>
      </c>
    </row>
    <row r="146" spans="12:32" ht="15" customHeight="1">
      <c r="L146" s="101" t="s">
        <v>30</v>
      </c>
      <c r="M146" s="101" t="s">
        <v>42</v>
      </c>
      <c r="N146" s="101" t="s">
        <v>23</v>
      </c>
      <c r="O146" s="101" t="s">
        <v>68</v>
      </c>
      <c r="P146" s="101" t="s">
        <v>71</v>
      </c>
      <c r="Q146" s="101" t="s">
        <v>73</v>
      </c>
      <c r="R146" s="101" t="s">
        <v>120</v>
      </c>
      <c r="S146" s="101" t="s">
        <v>30</v>
      </c>
      <c r="T146" s="101" t="s">
        <v>42</v>
      </c>
      <c r="U146" s="101" t="s">
        <v>23</v>
      </c>
      <c r="V146" s="101" t="s">
        <v>68</v>
      </c>
      <c r="W146" s="101" t="s">
        <v>71</v>
      </c>
      <c r="X146" s="101" t="s">
        <v>73</v>
      </c>
      <c r="Y146" s="101" t="s">
        <v>120</v>
      </c>
      <c r="Z146" s="101" t="s">
        <v>30</v>
      </c>
      <c r="AA146" s="101" t="s">
        <v>42</v>
      </c>
      <c r="AB146" s="101" t="s">
        <v>23</v>
      </c>
      <c r="AC146" s="101" t="s">
        <v>68</v>
      </c>
      <c r="AD146" s="101" t="s">
        <v>71</v>
      </c>
      <c r="AE146" s="101" t="s">
        <v>73</v>
      </c>
      <c r="AF146" s="101" t="s">
        <v>120</v>
      </c>
    </row>
    <row r="147" spans="10:31" ht="15" customHeight="1">
      <c r="J147" s="101" t="s">
        <v>121</v>
      </c>
      <c r="L147" s="101">
        <f>(L106+$B107*L107+$B108*L108+$B109*L109+$B110*L110+$B111*L111+$B112*L112+$B113*L113+$B114*L114+$B115*L115+$B116*L116+$B117*L117+$B118*L118+$B119*L119+$B120*L120+$B121*L121+$B122*L122+$B123*L123+$B124*L124+$B125*L125+$B126*L126+$B127*L127+$B128*L128+$B129*L129+$B130*L130+$B131*L131+$B132*L132+$B133*L133+$B134*L134+$B135*L135+$B136*L136+$B137*L137+$B138*L138)</f>
        <v>-0.16455813729202762</v>
      </c>
      <c r="M147" s="101">
        <f>(M106+$B107*M107+$B108*M108+$B109*M109+$B110*M110+$B111*M111+$B112*M112+$B113*M113+$B114*M114+$B115*M115+$B116*M116+$B117*M117+$B118*M118+$B119*M119+$B120*M120+$B121*M121+$B122*M122+$B123*M123+$B124*M124+$B125*M125+$B126*M126+$B127*M127+$B128*M128+$B129*M129+$B130*M130+$B131*M131+$B132*M132+$B133*M133+$B134*M134+$B135*M135+$B136*M136+$B137*M137+$B138*M138)</f>
        <v>-0.8172999169499598</v>
      </c>
      <c r="N147" s="101">
        <f>(N106+$B107*N107+$B108*N108+$B109*N109+$B110*N110+$B111*N111+$B112*N112+$B113*N113+$B114*N114+$B115*N115+$B116*N116+$B117*N117+$B118*N118+$B119*N119+$B120*N120+$B121*N121+$B122*N122+$B123*N123+$B124*N124+$B125*N125+$B126*N126+$B127*N127+$B128*N128+$B129*N129+$B130*N130+$B131*N131+$B132*N132+$B133*N133+$B134*N134+$B135*N135+$B136*N136+$B137*N137+$B138*N138)</f>
        <v>2.6091606956864015</v>
      </c>
      <c r="O147" s="101">
        <f>(O106+$B107*O107+$B108*O108+$B109*O109+$B110*O110+$B111*O111+$B112*O112+$B113*O113+$B114*O114+$B115*O115+$B116*O116+$B117*O117+$B118*O118+$B119*O119+$B120*O120+$B121*O121+$B122*O122+$B123*O123+$B124*O124+$B125*O125+$B126*O126+$B127*O127+$B128*O128+$B129*O129+$B130*O130+$B131*O131+$B132*O132+$B133*O133+$B134*O134+$B135*O135+$B136*O136+$B137*O137+$B138*O138)</f>
        <v>0.6306651891587762</v>
      </c>
      <c r="P147" s="101">
        <f>(P106+$B107*P107+$B108*P108+$B109*P109+$B110*P110+$B111*P111+$B112*P112+$B114*P114+$B115*P115+$B116*P116+$B117*P117+$B118*P118+$B119*P119+$B120*P120+$B121*P121+$B122*P122+$B123*P123+$B124*P124+$B125*P125+$B126*P126+$B127*P127+$B128*P128+$B129*P129+$B130*P130+$B131*P131+$B132*P132+$B133*P133+$B134*P134+$B135*P135+$B136*P136+$B137*P137+$B138*P138)</f>
        <v>2.5157904875645754</v>
      </c>
      <c r="Q147" s="101">
        <f>(Q106+$B107*Q107+$B108*Q108+$B109*Q109+$B110*Q110+$B111*Q111+$B112*Q112+$B114*Q114+$B115*Q115+$B116*Q116+$B117*Q117+$B118*Q118+$B119*Q119+$B120*Q120+$B121*Q121+$B122*Q122+$B123*Q123+$B124*Q124+$B125*Q125+$B126*Q126+$B127*Q127+$B128*Q128+$B129*Q129+$B130*Q130+$B131*Q131+$B132*Q132+$B133*Q133+$B134*Q134+$B135*Q135+$B136*Q136+$B137*Q137+$B138*Q138)</f>
        <v>1.157680267046247</v>
      </c>
      <c r="S147" s="142">
        <f>(S106+$C107*S107+$C108*S108+$C109*S109+$C110*S110+$C111*S111+$C112*S112+$C113*S113+$C114*S114+$C115*S115+$C116*S116+$C117*S117+$C118*S118+$C119*S119+$C120*S120+$C121*S121+$C122*S122+$C123*S123+$C124*S124+$C125*S125+$C126*S126+$C127*S127+$C128*S128+$C129*S129+$C130*S130+$C131*S131+$C132*S132+$C133*S133+$C134*S134+$C135*S135+$C136*S136+$C137*S137+$C138*S138)</f>
        <v>-0.693813712284046</v>
      </c>
      <c r="T147" s="142">
        <f>(T106+$C107*T107+$C108*T108+$C109*T109+$C110*T110+$C111*T111+$C112*T112+$C113*T113+$C114*T114+$C115*T115+$C116*T116+$C117*T117+$C118*T118+$C119*T119+$C120*T120+$C121*T121+$C122*T122+$C123*T123+$C124*T124+$C125*T125+$C126*T126+$C127*T127+$C128*T128+$C129*T129+$C130*T130+$C131*T131+$C132*T132+$C133*T133+$C134*T134+$C135*T135+$C136*T136+$C137*T137+$C138*T138)</f>
        <v>-1.2317962380617749</v>
      </c>
      <c r="U147" s="142">
        <f>(U106+$C107*U107+$C108*U108+$C109*U109+$C110*U110+$C111*U111+$C112*U112+$C113*U113+$C114*U114+$C115*U115+$C116*U116+$C117*U117+$C118*U118+$C119*U119+$C120*U120+$C121*U121+$C122*U122+$C123*U123+$C124*U124+$C125*U125+$C126*U126+$C127*U127+$C128*U128+$C129*U129+$C130*U130+$C131*U131+$C132*U132+$C133*U133+$C134*U134+$C135*U135+$C136*U136+$C137*U137+$C138*U138)</f>
        <v>2.1653572135970913</v>
      </c>
      <c r="V147" s="142">
        <f>(V106+$C107*V107+$C108*V108+$C109*V109+$C110*V110+$C111*V111+$C112*V112+$C113*V113+$C114*V114+$C115*V115+$C116*V116+$C117*V117+$C118*V118+$C119*V119+$C120*V120+$C121*V121+$C122*V122+$C123*V123+$C124*V124+$C125*V125+$C126*V126+$C127*V127+$C128*V128+$C129*V129+$C130*V130+$C131*V131+$C132*V132+$C133*V133+$C134*V134+$C135*V135+$C136*V136+$C137*V137+$C138*V138)</f>
        <v>0.3969031843488424</v>
      </c>
      <c r="W147" s="142">
        <f>(W106+$C107*W107+$C108*W108+$C109*W109+$C110*W110+$C111*W111+$C112*W112+$C114*W114+$C115*W115+$C116*W116+$C117*W117+$C118*W118+$C119*W119+$C120*W120+$C121*W121+$C122*W122+$C123*W123+$C124*W124+$C125*W125+$C126*W126+$C127*W127+$C128*W128+$C129*W129+$C130*W130+$C131*W131+$C132*W132+$C133*W133+$C134*W134+$C135*W135+$C136*W136+$C137*W137+$C138*W138)</f>
        <v>1.1243059701367775</v>
      </c>
      <c r="X147" s="142">
        <f>(X106+$C107*X107+$C108*X108+$C109*X109+$C110*X110+$C111*X111+$C112*X112+$C114*X114+$C115*X115+$C116*X116+$C117*X117+$C118*X118+$C119*X119+$C120*X120+$C121*X121+$C122*X122+$C123*X123+$C124*X124+$C125*X125+$C126*X126+$C127*X127+$C128*X128+$C129*X129+$C130*X130+$C131*X131+$C132*X132+$C133*X133+$C134*X134+$C135*X135+$C136*X136+$C137*X137+$C138*X138)</f>
        <v>0.14476782815413294</v>
      </c>
      <c r="Z147" s="142">
        <f>(Z106+$D107*Z107+$D108*Z108+$D109*Z109+$D110*Z110+$D111*Z111+$D112*Z112+$D113*Z113+$D114*Z114+$D115*Z115+$D116*Z116+$D117*Z117+$D118*Z118+$D119*Z119+$D120*Z120+$D121*Z121+$D122*Z122+$D123*Z123+$D124*Z124+$D125*Z125+$D126*Z126+$D127*Z127+$D128*Z128+$D129*Z129+$D130*Z130+$D131*Z131+$D132*Z132+$D133*Z133+$D134*Z134+$D135*Z135+$D136*Z136+$D137*Z137+$D138*Z138)</f>
        <v>-2.5416271242361423</v>
      </c>
      <c r="AA147" s="142">
        <f>(AA106+$D107*AA107+$D108*AA108+$D109*AA109+$D110*AA110+$D111*AA111+$D112*AA112+$D113*AA113+$D114*AA114+$D115*AA115+$D116*AA116+$D117*AA117+$D118*AA118+$D119*AA119+$D120*AA120+$D121*AA121+$D122*AA122+$D123*AA123+$D124*AA124+$D125*AA125+$D126*AA126+$D127*AA127+$D128*AA128+$D129*AA129+$D130*AA130+$D131*AA131+$D132*AA132+$D133*AA133+$D134*AA134+$D135*AA135+$D136*AA136+$D137*AA137+$D138*AA138)</f>
        <v>-2.7950186029278594</v>
      </c>
      <c r="AB147" s="142">
        <f>(AB106+$D107*AB107+$D108*AB108+$D109*AB109+$D110*AB110+$D111*AB111+$D112*AB112+$D113*AB113+$D114*AB114+$D115*AB115+$D116*AB116+$D117*AB117+$D118*AB118+$D119*AB119+$D120*AB120+$D121*AB121+$D122*AB122+$D123*AB123+$D124*AB124+$D125*AB125+$D126*AB126+$D127*AB127+$D128*AB128+$D129*AB129+$D130*AB130+$D131*AB131+$D132*AB132+$D133*AB133+$D134*AB134+$D135*AB135+$D136*AB136+$D137*AB137+$D138*AB138)</f>
        <v>2.1653572135970913</v>
      </c>
      <c r="AC147" s="142">
        <f>(AC106+$D107*AC107+$D108*AC108+$D109*AC109+$D110*AC110+$D111*AC111+$D112*AC112+$D113*AC113+$D114*AC114+$D115*AC115+$D116*AC116+$D117*AC117+$D118*AC118+$D119*AC119+$D120*AC120+$D121*AC121+$D122*AC122+$D123*AC123+$D124*AC124+$D125*AC125+$D126*AC126+$D127*AC127+$D128*AC128+$D129*AC129+$D130*AC130+$D131*AC131+$D132*AC132+$D133*AC133+$D134*AC134+$D135*AC135+$D136*AC136+$D137*AC137+$D138*AC138)</f>
        <v>0.3969031843488424</v>
      </c>
      <c r="AD147" s="142">
        <f>(AD106+$D107*AD107+$D108*AD108+$D109*AD109+$D110*AD110+$D111*AD111+$D112*AD112+$D114*AD114+$D115*AD115+$D116*AD116+$D117*AD117+$D118*AD118+$D119*AD119+$D120*AD120+$D121*AD121+$D122*AD122+$D123*AD123+$D124*AD124+$D125*AD125+$D126*AD126+$D127*AD127+$D128*AD128+$D129*AD129+$D130*AD130+$D131*AD131+$D132*AD132+$D133*AD133+$D134*AD134+$D135*AD135+$D136*AD136+$D137*AD137+$D138*AD138)</f>
        <v>1.1243059701367775</v>
      </c>
      <c r="AE147" s="142">
        <f>(AE106+$D107*AE107+$D108*AE108+$D109*AE109+$D110*AE110+$D111*AE111+$D112*AE112+$D114*AE114+$D115*AE115+$D116*AE116+$D117*AE117+$D118*AE118+$D119*AE119+$D120*AE120+$D121*AE121+$D122*AE122+$D123*AE123+$D124*AE124+$D125*AE125+$D126*AE126+$D127*AE127+$D128*AE128+$D129*AE129+$D130*AE130+$D131*AE131+$D132*AE132+$D133*AE133+$D134*AE134+$D135*AE135+$D136*AE136+$D137*AE137+$D138*AE138)</f>
        <v>0.14476782815413294</v>
      </c>
    </row>
    <row r="148" spans="10:32" ht="15" customHeight="1">
      <c r="J148" s="101" t="s">
        <v>122</v>
      </c>
      <c r="L148" s="101">
        <f aca="true" t="shared" si="31" ref="L148:Q148">EXP(L147)</f>
        <v>0.8482684394807776</v>
      </c>
      <c r="M148" s="101">
        <f t="shared" si="31"/>
        <v>0.44162246346911976</v>
      </c>
      <c r="N148" s="101">
        <f t="shared" si="31"/>
        <v>13.587641898251851</v>
      </c>
      <c r="O148" s="101">
        <f t="shared" si="31"/>
        <v>1.8788599609575836</v>
      </c>
      <c r="P148" s="101">
        <f t="shared" si="31"/>
        <v>12.376388294351395</v>
      </c>
      <c r="Q148" s="101">
        <f t="shared" si="31"/>
        <v>3.1825420589148035</v>
      </c>
      <c r="R148" s="101">
        <f>($T$81*N148+$T$82*O148+$T$83*P148+$T$84*Q148)</f>
        <v>4.672853346905335</v>
      </c>
      <c r="S148" s="101">
        <f aca="true" t="shared" si="32" ref="S148:X148">EXP(S147)</f>
        <v>0.49966684517941223</v>
      </c>
      <c r="T148" s="101">
        <f t="shared" si="32"/>
        <v>0.29176802188223894</v>
      </c>
      <c r="U148" s="101">
        <f t="shared" si="32"/>
        <v>8.717715447213761</v>
      </c>
      <c r="V148" s="101">
        <f t="shared" si="32"/>
        <v>1.4872119376889052</v>
      </c>
      <c r="W148" s="101">
        <f t="shared" si="32"/>
        <v>3.078079828103592</v>
      </c>
      <c r="X148" s="101">
        <f t="shared" si="32"/>
        <v>1.1557712015821293</v>
      </c>
      <c r="Y148" s="101">
        <f>($T$81*U148+$T$82*V148+$T$83*W148+$T$84*X148)</f>
        <v>3.095448696924185</v>
      </c>
      <c r="Z148" s="101">
        <f aca="true" t="shared" si="33" ref="Z148:AE148">EXP(Z147)</f>
        <v>0.07873817870426601</v>
      </c>
      <c r="AA148" s="101">
        <f t="shared" si="33"/>
        <v>0.06111373742756492</v>
      </c>
      <c r="AB148" s="101">
        <f t="shared" si="33"/>
        <v>8.717715447213761</v>
      </c>
      <c r="AC148" s="101">
        <f t="shared" si="33"/>
        <v>1.4872119376889052</v>
      </c>
      <c r="AD148" s="101">
        <f t="shared" si="33"/>
        <v>3.078079828103592</v>
      </c>
      <c r="AE148" s="101">
        <f t="shared" si="33"/>
        <v>1.1557712015821293</v>
      </c>
      <c r="AF148" s="101">
        <f>($T$81*AB148+$T$82*AC148+$T$83*AD148+$T$84*AE148)</f>
        <v>3.095448696924185</v>
      </c>
    </row>
    <row r="150" ht="15" customHeight="1">
      <c r="L150" s="101" t="s">
        <v>123</v>
      </c>
    </row>
    <row r="151" spans="12:32" ht="15" customHeight="1">
      <c r="L151" s="101" t="s">
        <v>62</v>
      </c>
      <c r="M151" s="101" t="s">
        <v>62</v>
      </c>
      <c r="N151" s="101" t="s">
        <v>62</v>
      </c>
      <c r="O151" s="101" t="s">
        <v>62</v>
      </c>
      <c r="P151" s="101" t="s">
        <v>62</v>
      </c>
      <c r="Q151" s="101" t="s">
        <v>62</v>
      </c>
      <c r="R151" s="101" t="s">
        <v>62</v>
      </c>
      <c r="S151" s="101" t="s">
        <v>63</v>
      </c>
      <c r="T151" s="101" t="s">
        <v>63</v>
      </c>
      <c r="U151" s="101" t="s">
        <v>63</v>
      </c>
      <c r="V151" s="101" t="s">
        <v>63</v>
      </c>
      <c r="W151" s="101" t="s">
        <v>63</v>
      </c>
      <c r="X151" s="101" t="s">
        <v>63</v>
      </c>
      <c r="Y151" s="101" t="s">
        <v>63</v>
      </c>
      <c r="Z151" s="101" t="s">
        <v>64</v>
      </c>
      <c r="AA151" s="101" t="s">
        <v>64</v>
      </c>
      <c r="AB151" s="101" t="s">
        <v>64</v>
      </c>
      <c r="AC151" s="101" t="s">
        <v>64</v>
      </c>
      <c r="AD151" s="101" t="s">
        <v>64</v>
      </c>
      <c r="AE151" s="101" t="s">
        <v>64</v>
      </c>
      <c r="AF151" s="101" t="s">
        <v>64</v>
      </c>
    </row>
    <row r="152" spans="18:32" ht="15" customHeight="1">
      <c r="R152" s="101" t="s">
        <v>119</v>
      </c>
      <c r="Y152" s="101" t="s">
        <v>119</v>
      </c>
      <c r="AF152" s="101" t="s">
        <v>119</v>
      </c>
    </row>
    <row r="153" spans="12:32" ht="15" customHeight="1">
      <c r="L153" s="101" t="s">
        <v>30</v>
      </c>
      <c r="M153" s="101" t="s">
        <v>42</v>
      </c>
      <c r="N153" s="101" t="s">
        <v>23</v>
      </c>
      <c r="O153" s="101" t="s">
        <v>68</v>
      </c>
      <c r="P153" s="101" t="s">
        <v>71</v>
      </c>
      <c r="Q153" s="101" t="s">
        <v>73</v>
      </c>
      <c r="R153" s="101" t="s">
        <v>120</v>
      </c>
      <c r="S153" s="101" t="s">
        <v>30</v>
      </c>
      <c r="T153" s="101" t="s">
        <v>42</v>
      </c>
      <c r="U153" s="101" t="s">
        <v>23</v>
      </c>
      <c r="V153" s="101" t="s">
        <v>68</v>
      </c>
      <c r="W153" s="101" t="s">
        <v>71</v>
      </c>
      <c r="X153" s="101" t="s">
        <v>73</v>
      </c>
      <c r="Y153" s="101" t="s">
        <v>120</v>
      </c>
      <c r="Z153" s="101" t="s">
        <v>30</v>
      </c>
      <c r="AA153" s="101" t="s">
        <v>42</v>
      </c>
      <c r="AB153" s="101" t="s">
        <v>23</v>
      </c>
      <c r="AC153" s="101" t="s">
        <v>68</v>
      </c>
      <c r="AD153" s="101" t="s">
        <v>71</v>
      </c>
      <c r="AE153" s="101" t="s">
        <v>73</v>
      </c>
      <c r="AF153" s="101" t="s">
        <v>120</v>
      </c>
    </row>
    <row r="154" spans="10:31" ht="15" customHeight="1">
      <c r="J154" s="101" t="s">
        <v>121</v>
      </c>
      <c r="L154" s="101">
        <f aca="true" t="shared" si="34" ref="L154:Q154">(L106+$E107*L107+$E108*L108+$E109*L109+$E110*L110+$E111*L111+$E112*L112+$E113*L113+$E114*L114+$E115*L115+$E116*L116+$E117*L117+$E118*L118+$E119*L119+$E120*L120+$E121*L121+$E122*L122+$E123*L123+$E124*L124+$E125*L125+$E126*L126+$E127*L127+$E128*L128+$E129*L129+$E130*L130+$E131*L131+$E132*L132+$E133*L133+$E134*L134+$E135*L135+$E136*L136+$E137*L137+$E138*L138)</f>
        <v>-0.16455813729202762</v>
      </c>
      <c r="M154" s="101">
        <f t="shared" si="34"/>
        <v>-0.8172999169499598</v>
      </c>
      <c r="N154" s="101">
        <f t="shared" si="34"/>
        <v>2.6091606956864015</v>
      </c>
      <c r="O154" s="101">
        <f t="shared" si="34"/>
        <v>0.6306651891587762</v>
      </c>
      <c r="P154" s="101">
        <f t="shared" si="34"/>
        <v>2.405555418945839</v>
      </c>
      <c r="Q154" s="101">
        <f t="shared" si="34"/>
        <v>1.647915648692873</v>
      </c>
      <c r="S154" s="142">
        <f>(S106+$F107*S107+$F108*S108+$F109*S109+$F110*S110+$F111*S111+$F112*S112+$F113*S113+$F114*S114+$F115*S115+$F116*S116+$F117*S117+$F118*S118+$F119*S119+$F120*S120+$F121*S121+$F122*S122+$F123*S123+$F124*S124+$F125*S125+$F126*S126+$F127*S127+$F128*S128+$F129*S129+$F130*S130+$F131*S131+$F132*S132+$F133*S133+$F134*S134+$F135*S135+$F136*S136+$F137*S137+$F138*S138)</f>
        <v>-0.693813712284046</v>
      </c>
      <c r="T154" s="142">
        <f>(T106+$G107*T107+$G108*T108+$G109*T109+$G110*T110+$G111*T111+$G112*T112+$G113*T113+$G114*T114+$G115*T115+$G116*T116+$G117*T117+$G118*T118+$G119*T119+$G120*T120+$G121*T121+$G122*T122+$G123*T123+$G124*T124+$G125*T125+$G126*T126+$G127*T127+$G128*T128+$G129*T129+$G130*T130+$G131*T131+$G132*T132+$G133*T133+$G134*T134+$G135*T135+$G136*T136+$G137*T137+$G138*T138)</f>
        <v>-1.2317962380617749</v>
      </c>
      <c r="U154" s="101">
        <f>U106+$H107*U107+$H108*U108+$H109*U109+$H110*U110+$H111*U111+$H112*U112+$H113*U113+$H114*U114+$H115*U115+$H116*U116+$H117*U117+$H118*U118+$H119*U119+$H120*U120+$H121*U121+$H122*U122+$H123*U123+$H124*U124+$H125*U125+$H126*U126+$H127*U127+$H128*U128+$H129*U129+$H130*U130+$H131*U131+$H132*U132+$H133*U133+$H134*U134+$H135*U135+$H136*U136+$H137*U137+$H138*U138</f>
        <v>2.1653572135970913</v>
      </c>
      <c r="V154" s="101">
        <f>V106+$H107*V107+$H108*V108+$H109*V109+$H110*V110+$H111*V111+$H112*V112+$H113*V113+$H114*V114+$H115*V115+$H116*V116+$H117*V117+$H118*V118+$H119*V119+$H120*V120+$H121*V121+$H122*V122+$H123*V123+$H124*V124+$H125*V125+$H126*V126+$H127*V127+$H128*V128+$H129*V129+$H130*V130+$H131*V131+$H132*V132+$H133*V133+$H134*V134+$H135*V135+$H136*V136+$H137*V137+$H138*V138</f>
        <v>0.3969031843488424</v>
      </c>
      <c r="W154" s="101">
        <f>W106+$H107*W107+$H108*W108+$H109*W109+$H110*W110+$H111*W111+$H112*W112+$H113*W113+$H114*W114+$H115*W115+$H116*W116+$H117*W117+$H118*W118+$H119*W119+$H120*W120+$H121*W121+$H122*W122+$H123*W123+$H124*W124+$H125*W125+$H126*W126+$H127*W127+$H128*W128+$H129*W129+$H130*W130+$H131*W131+$H132*W132+$H133*W133+$H134*W134+$H135*W135+$H136*W136+$H137*W137+$H138*W138</f>
        <v>1.087823672225421</v>
      </c>
      <c r="X154" s="101">
        <f>X106+$H107*X107+$H108*X108+$H109*X109+$H110*X110+$H111*X111+$H112*X112+$H113*X113+$H114*X114+$H115*X115+$H116*X116+$H117*X117+$H118*X118+$H119*X119+$H120*X120+$H121*X121+$H122*X122+$H123*X123+$H124*X124+$H125*X125+$H126*X126+$H127*X127+$H128*X128+$H129*X129+$H130*X130+$H131*X131+$H132*X132+$H133*X133+$H134*X134+$H135*X135+$H136*X136+$H137*X137+$H138*X138</f>
        <v>0.318262689457005</v>
      </c>
      <c r="Z154" s="101">
        <f>Z106+$F107*Z107+$F108*Z108+$F109*Z109+$F110*Z110+$F111*Z111+$F112*Z112+$F113*Z113+$F114*Z114+$F115*Z115+$F116*Z116+$F117*Z117+$F118*Z118+$F119*Z119+$F120*Z120+$F121*Z121+$F122*Z122+$F123*Z123+$F124*Z124+$F125*Z125+$F126*Z126+$F127*Z127+$F128*Z128+$F129*Z129+$F130*Z130+$F131*Z131+$F132*Z132+$F133*Z133+$F134*Z134+$F135*Z135+$F136*Z136+$F137*Z137+$F138*Z138</f>
        <v>-2.5416271242361423</v>
      </c>
      <c r="AA154" s="101">
        <f>AA106+$G107*AA107+$G108*AA108+$G109*AA109+$G110*AA110+$G111*AA111+$G112*AA112+$G113*AA113+$G114*AA114+$G115*AA115+$G116*AA116+$G117*AA117+$G118*AA118+$G119*AA119+$G120*AA120+$G121*AA121+$G122*AA122+$G123*AA123+$G124*AA124+$G125*AA125+$G126*AA126+$G127*AA127+$G128*AA128+$G129*AA129+$G130*AA130+$G131*AA131+$G132*AA132+$G133*AA133+$G134*AA134+$G135*AA135+$G136*AA136+$G137*AA137+$G138*AA138</f>
        <v>-2.7950186029278594</v>
      </c>
      <c r="AB154" s="101">
        <f>AB106+$H107*AB107+$H108*AB108+$H109*AB109+$H110*AB110+$H111*AB111+$H112*AB112+$H113*AB113+$H114*AB114+$H115*AB115+$H116*AB116+$H117*AB117+$H118*AB118+$H119*AB119+$H120*AB120+$H121*AB121+$H122*AB122+$H123*AB123+$H124*AB124+$H125*AB125+$H126*AB126+$H127*AB127+$H128*AB128+$H129*AB129+$H130*AB130+$H131*AB131+$H132*AB132+$H133*AB133+$H134*AB134+$H135*AB135+$H136*AB136+$H137*AB137+$H138*AB138</f>
        <v>2.1653572135970913</v>
      </c>
      <c r="AC154" s="101">
        <f>AC106+$H107*AC107+$H108*AC108+$H109*AC109+$H110*AC110+$H111*AC111+$H112*AC112+$H113*AC113+$H114*AC114+$H115*AC115+$H116*AC116+$H117*AC117+$H118*AC118+$H119*AC119+$H120*AC120+$H121*AC121+$H122*AC122+$H123*AC123+$H124*AC124+$H125*AC125+$H126*AC126+$H127*AC127+$H128*AC128+$H129*AC129+$H130*AC130+$H131*AC131+$H132*AC132+$H133*AC133+$H134*AC134+$H135*AC135+$H136*AC136+$H137*AC137+$H138*AC138</f>
        <v>0.3969031843488424</v>
      </c>
      <c r="AD154" s="101">
        <f>AD106+$H107*AD107+$H108*AD108+$H109*AD109+$H110*AD110+$H111*AD111+$H112*AD112+$H113*AD113+$H114*AD114+$H115*AD115+$H116*AD116+$H117*AD117+$H118*AD118+$H119*AD119+$H120*AD120+$H121*AD121+$H122*AD122+$H123*AD123+$H124*AD124+$H125*AD125+$H126*AD126+$H127*AD127+$H128*AD128+$H129*AD129+$H130*AD130+$H131*AD131+$H132*AD132+$H133*AD133+$H134*AD134+$H135*AD135+$H136*AD136+$H137*AD137+$H138*AD138</f>
        <v>1.087823672225421</v>
      </c>
      <c r="AE154" s="101">
        <f>AE106+$H107*AE107+$H108*AE108+$H109*AE109+$H110*AE110+$H111*AE111+$H112*AE112+$H113*AE113+$H114*AE114+$H115*AE115+$H116*AE116+$H117*AE117+$H118*AE118+$H119*AE119+$H120*AE120+$H121*AE121+$H122*AE122+$H123*AE123+$H124*AE124+$H125*AE125+$H126*AE126+$H127*AE127+$H128*AE128+$H129*AE129+$H130*AE130+$H131*AE131+$H132*AE132+$H133*AE133+$H134*AE134+$H135*AE135+$H136*AE136+$H137*AE137+$H138*AE138</f>
        <v>0.318262689457005</v>
      </c>
    </row>
    <row r="155" spans="10:32" ht="15" customHeight="1">
      <c r="J155" s="101" t="s">
        <v>122</v>
      </c>
      <c r="L155" s="101">
        <f aca="true" t="shared" si="35" ref="L155:Q155">EXP(L154)</f>
        <v>0.8482684394807776</v>
      </c>
      <c r="M155" s="101">
        <f t="shared" si="35"/>
        <v>0.44162246346911976</v>
      </c>
      <c r="N155" s="101">
        <f t="shared" si="35"/>
        <v>13.587641898251851</v>
      </c>
      <c r="O155" s="101">
        <f t="shared" si="35"/>
        <v>1.8788599609575836</v>
      </c>
      <c r="P155" s="101">
        <f t="shared" si="35"/>
        <v>11.084585161365334</v>
      </c>
      <c r="Q155" s="101">
        <f t="shared" si="35"/>
        <v>5.196137955031302</v>
      </c>
      <c r="R155" s="101">
        <f>($T$81*N155+$T$82*O155+$T$83*P155+$T$84*Q155)</f>
        <v>4.659857771588687</v>
      </c>
      <c r="S155" s="101">
        <f aca="true" t="shared" si="36" ref="S155:X155">EXP(S154)</f>
        <v>0.49966684517941223</v>
      </c>
      <c r="T155" s="101">
        <f t="shared" si="36"/>
        <v>0.29176802188223894</v>
      </c>
      <c r="U155" s="101">
        <f t="shared" si="36"/>
        <v>8.717715447213761</v>
      </c>
      <c r="V155" s="101">
        <f t="shared" si="36"/>
        <v>1.4872119376889052</v>
      </c>
      <c r="W155" s="101">
        <f t="shared" si="36"/>
        <v>2.967808115862429</v>
      </c>
      <c r="X155" s="101">
        <f t="shared" si="36"/>
        <v>1.374737342805429</v>
      </c>
      <c r="Y155" s="101">
        <f>($T$81*U155+$T$82*V155+$T$83*W155+$T$84*X155)</f>
        <v>3.0950926452553165</v>
      </c>
      <c r="Z155" s="101">
        <f aca="true" t="shared" si="37" ref="Z155:AE155">EXP(Z154)</f>
        <v>0.07873817870426601</v>
      </c>
      <c r="AA155" s="101">
        <f t="shared" si="37"/>
        <v>0.06111373742756492</v>
      </c>
      <c r="AB155" s="101">
        <f t="shared" si="37"/>
        <v>8.717715447213761</v>
      </c>
      <c r="AC155" s="101">
        <f t="shared" si="37"/>
        <v>1.4872119376889052</v>
      </c>
      <c r="AD155" s="101">
        <f t="shared" si="37"/>
        <v>2.967808115862429</v>
      </c>
      <c r="AE155" s="101">
        <f t="shared" si="37"/>
        <v>1.374737342805429</v>
      </c>
      <c r="AF155" s="101">
        <f>($T$81*AB155+$T$82*AC155+$T$83*AD155+$T$84*AE155)</f>
        <v>3.0950926452553165</v>
      </c>
    </row>
    <row r="157" ht="15" customHeight="1">
      <c r="J157" s="101" t="s">
        <v>124</v>
      </c>
    </row>
    <row r="159" spans="10:15" ht="15" customHeight="1">
      <c r="J159" s="101" t="s">
        <v>27</v>
      </c>
      <c r="L159" s="101" t="s">
        <v>62</v>
      </c>
      <c r="M159" s="101" t="s">
        <v>63</v>
      </c>
      <c r="N159" s="101" t="s">
        <v>64</v>
      </c>
      <c r="O159" s="101" t="s">
        <v>28</v>
      </c>
    </row>
    <row r="160" spans="10:15" ht="15" customHeight="1">
      <c r="J160" s="101" t="s">
        <v>125</v>
      </c>
      <c r="L160" s="101">
        <f>(L155/L148-1)*100</f>
        <v>0</v>
      </c>
      <c r="M160" s="101">
        <f>(S155/S148-1)*100</f>
        <v>0</v>
      </c>
      <c r="N160" s="101">
        <f>(Z155/Z148-1)*100</f>
        <v>0</v>
      </c>
      <c r="O160" s="101">
        <f>(N81*L160+O81*M160+P81*N160)</f>
        <v>0</v>
      </c>
    </row>
    <row r="161" spans="10:15" ht="15" customHeight="1">
      <c r="J161" s="101" t="s">
        <v>126</v>
      </c>
      <c r="L161" s="101">
        <f>(M155/M148-1)*100</f>
        <v>0</v>
      </c>
      <c r="M161" s="101">
        <f>(T155/T148-1)*100</f>
        <v>0</v>
      </c>
      <c r="N161" s="101">
        <f>(AA155/AA148-1)*100</f>
        <v>0</v>
      </c>
      <c r="O161" s="101">
        <f>(N82*L161+O82*M161+P82*N161)</f>
        <v>0</v>
      </c>
    </row>
    <row r="162" spans="10:15" ht="15" customHeight="1">
      <c r="J162" s="101" t="s">
        <v>19</v>
      </c>
      <c r="L162" s="101">
        <f>(N155/N148-1)*100</f>
        <v>0</v>
      </c>
      <c r="M162" s="101">
        <f>(U155/U148-1)*100</f>
        <v>0</v>
      </c>
      <c r="N162" s="101">
        <f>(AB155/AB148-1)*100</f>
        <v>0</v>
      </c>
      <c r="O162" s="101">
        <f>(N$83*L162+O$83*M162+P$83*N162)</f>
        <v>0</v>
      </c>
    </row>
    <row r="163" spans="10:15" ht="15" customHeight="1">
      <c r="J163" s="101" t="s">
        <v>68</v>
      </c>
      <c r="L163" s="101">
        <f>(O155/O148-1)*100</f>
        <v>0</v>
      </c>
      <c r="M163" s="101">
        <f>(V155/V148-1)*100</f>
        <v>0</v>
      </c>
      <c r="N163" s="101">
        <f>(AC155/AC148-1)*100</f>
        <v>0</v>
      </c>
      <c r="O163" s="101">
        <f>(N$83*L163+O$83*M163+P$83*N163)</f>
        <v>0</v>
      </c>
    </row>
    <row r="164" spans="10:15" ht="15" customHeight="1">
      <c r="J164" s="101" t="s">
        <v>71</v>
      </c>
      <c r="L164" s="101">
        <f>(P155/P148-1)*100</f>
        <v>-10.437642244754407</v>
      </c>
      <c r="M164" s="101">
        <f>(W155/W148-1)*100</f>
        <v>-3.582483834056427</v>
      </c>
      <c r="N164" s="101">
        <f>(AD155/AD148-1)*100</f>
        <v>-3.582483834056427</v>
      </c>
      <c r="O164" s="101">
        <f>(N$83*L164+O$83*M164+P$83*N164)</f>
        <v>-3.7127318438596886</v>
      </c>
    </row>
    <row r="165" spans="10:15" ht="15" customHeight="1">
      <c r="J165" s="101" t="s">
        <v>73</v>
      </c>
      <c r="L165" s="101">
        <f>(Q155/Q148-1)*100</f>
        <v>63.27004824574425</v>
      </c>
      <c r="M165" s="101">
        <f>(X155/X148-1)*100</f>
        <v>18.94545745070979</v>
      </c>
      <c r="N165" s="101">
        <f>(AE155/AE148-1)*100</f>
        <v>18.94545745070979</v>
      </c>
      <c r="O165" s="101">
        <f>(N$83*L165+O$83*M165+P$83*N165)</f>
        <v>19.787624675815444</v>
      </c>
    </row>
    <row r="166" spans="10:15" ht="15" customHeight="1">
      <c r="J166" s="101" t="s">
        <v>127</v>
      </c>
      <c r="L166" s="101">
        <f>(R155/R148-1)*100</f>
        <v>-0.2781079214748794</v>
      </c>
      <c r="M166" s="101">
        <f>(Y155/Y148-1)*100</f>
        <v>-0.01150242513217048</v>
      </c>
      <c r="N166" s="101">
        <f>(AF155/AF148-1)*100</f>
        <v>-0.01150242513217048</v>
      </c>
      <c r="O166" s="101">
        <f>(((N$83*R155+O$83*Y155+P$83*AF155)/(N$83*R148+O$83*Y148+P$83*AF148))-1)*100</f>
        <v>-0.01907592372996092</v>
      </c>
    </row>
    <row r="169" ht="15" customHeight="1">
      <c r="A169" s="103" t="s">
        <v>128</v>
      </c>
    </row>
    <row r="173" spans="1:12" ht="15" customHeight="1">
      <c r="A173" s="101" t="s">
        <v>1</v>
      </c>
      <c r="B173" s="101" t="s">
        <v>57</v>
      </c>
      <c r="C173" s="101" t="s">
        <v>58</v>
      </c>
      <c r="F173" s="101" t="s">
        <v>56</v>
      </c>
      <c r="G173" s="138"/>
      <c r="H173" s="138"/>
      <c r="I173" s="138"/>
      <c r="J173" s="138"/>
      <c r="K173" s="138"/>
      <c r="L173" s="138"/>
    </row>
    <row r="174" spans="1:12" ht="15" customHeight="1">
      <c r="A174" s="101" t="s">
        <v>4</v>
      </c>
      <c r="B174" s="101">
        <v>7</v>
      </c>
      <c r="C174" s="131">
        <v>7</v>
      </c>
      <c r="F174" s="101" t="s">
        <v>27</v>
      </c>
      <c r="G174" s="101" t="s">
        <v>62</v>
      </c>
      <c r="H174" s="101" t="s">
        <v>63</v>
      </c>
      <c r="I174" s="101" t="s">
        <v>64</v>
      </c>
      <c r="J174" s="101" t="s">
        <v>28</v>
      </c>
      <c r="K174" s="138"/>
      <c r="L174" s="138"/>
    </row>
    <row r="175" spans="1:12" ht="15" customHeight="1">
      <c r="A175" s="101" t="s">
        <v>6</v>
      </c>
      <c r="B175" s="101">
        <f>IF(B$28="A",203,213)</f>
        <v>213</v>
      </c>
      <c r="C175" s="132">
        <f>VALUE(B12)</f>
        <v>213</v>
      </c>
      <c r="F175" s="101" t="s">
        <v>30</v>
      </c>
      <c r="G175" s="101">
        <f aca="true" t="shared" si="38" ref="G175:J181">L253</f>
        <v>0</v>
      </c>
      <c r="H175" s="101">
        <f t="shared" si="38"/>
        <v>0</v>
      </c>
      <c r="I175" s="101">
        <f t="shared" si="38"/>
        <v>0</v>
      </c>
      <c r="J175" s="101">
        <f t="shared" si="38"/>
        <v>0</v>
      </c>
      <c r="K175" s="143"/>
      <c r="L175" s="143"/>
    </row>
    <row r="176" spans="1:12" ht="15" customHeight="1">
      <c r="A176" s="101" t="s">
        <v>8</v>
      </c>
      <c r="B176" s="101">
        <f>IF(B$29="A",295,305)</f>
        <v>305</v>
      </c>
      <c r="C176" s="132">
        <f>VALUE(B13)</f>
        <v>305</v>
      </c>
      <c r="F176" s="101" t="s">
        <v>42</v>
      </c>
      <c r="G176" s="101">
        <f t="shared" si="38"/>
        <v>0</v>
      </c>
      <c r="H176" s="101">
        <f t="shared" si="38"/>
        <v>0</v>
      </c>
      <c r="I176" s="101">
        <f t="shared" si="38"/>
        <v>0</v>
      </c>
      <c r="J176" s="101">
        <f t="shared" si="38"/>
        <v>0</v>
      </c>
      <c r="K176" s="143"/>
      <c r="L176" s="143"/>
    </row>
    <row r="177" spans="1:12" ht="15" customHeight="1">
      <c r="A177" s="101" t="s">
        <v>9</v>
      </c>
      <c r="B177" s="101">
        <f>IF(B$30="A",22,25)</f>
        <v>25</v>
      </c>
      <c r="C177" s="125">
        <f>VALUE(B14)</f>
        <v>25</v>
      </c>
      <c r="F177" s="101" t="s">
        <v>19</v>
      </c>
      <c r="G177" s="101">
        <f t="shared" si="38"/>
        <v>0</v>
      </c>
      <c r="H177" s="101">
        <f t="shared" si="38"/>
        <v>0</v>
      </c>
      <c r="I177" s="101">
        <f t="shared" si="38"/>
        <v>0</v>
      </c>
      <c r="J177" s="101">
        <f t="shared" si="38"/>
        <v>0</v>
      </c>
      <c r="K177" s="143"/>
      <c r="L177" s="143"/>
    </row>
    <row r="178" spans="1:12" ht="15" customHeight="1">
      <c r="A178" s="101" t="s">
        <v>11</v>
      </c>
      <c r="B178" s="101">
        <f>IF(B$31="A",4,6)</f>
        <v>6</v>
      </c>
      <c r="C178" s="125">
        <f>VALUE(B15)</f>
        <v>6</v>
      </c>
      <c r="F178" s="101" t="s">
        <v>68</v>
      </c>
      <c r="G178" s="101">
        <f t="shared" si="38"/>
        <v>0</v>
      </c>
      <c r="H178" s="101">
        <f t="shared" si="38"/>
        <v>0</v>
      </c>
      <c r="I178" s="101">
        <f t="shared" si="38"/>
        <v>0</v>
      </c>
      <c r="J178" s="101">
        <f t="shared" si="38"/>
        <v>0</v>
      </c>
      <c r="K178" s="143"/>
      <c r="L178" s="143"/>
    </row>
    <row r="179" spans="1:12" ht="15" customHeight="1">
      <c r="A179" s="101" t="s">
        <v>39</v>
      </c>
      <c r="B179" s="101">
        <f>VALUE(C73)</f>
        <v>2</v>
      </c>
      <c r="C179" s="125">
        <f>VALUE(E73)</f>
        <v>2</v>
      </c>
      <c r="F179" s="101" t="s">
        <v>71</v>
      </c>
      <c r="G179" s="101">
        <f t="shared" si="38"/>
        <v>-10.437642244754407</v>
      </c>
      <c r="H179" s="101">
        <f t="shared" si="38"/>
        <v>-3.582483834056427</v>
      </c>
      <c r="I179" s="101">
        <f t="shared" si="38"/>
        <v>-3.582483834056427</v>
      </c>
      <c r="J179" s="101">
        <f t="shared" si="38"/>
        <v>-3.7127318438596886</v>
      </c>
      <c r="K179" s="143"/>
      <c r="L179" s="143"/>
    </row>
    <row r="180" spans="1:12" ht="15" customHeight="1">
      <c r="A180" s="101" t="s">
        <v>17</v>
      </c>
      <c r="B180" s="101">
        <f>IF(B$32="A",15,20)</f>
        <v>20</v>
      </c>
      <c r="C180" s="132">
        <f>VALUE(B20)</f>
        <v>20</v>
      </c>
      <c r="F180" s="101" t="s">
        <v>73</v>
      </c>
      <c r="G180" s="101">
        <f t="shared" si="38"/>
        <v>63.27004824574425</v>
      </c>
      <c r="H180" s="101">
        <f t="shared" si="38"/>
        <v>18.94545745070979</v>
      </c>
      <c r="I180" s="101">
        <f t="shared" si="38"/>
        <v>18.94545745070979</v>
      </c>
      <c r="J180" s="101">
        <f t="shared" si="38"/>
        <v>19.787624675815444</v>
      </c>
      <c r="K180" s="143"/>
      <c r="L180" s="143"/>
    </row>
    <row r="181" spans="1:12" ht="15" customHeight="1">
      <c r="A181" s="101" t="s">
        <v>23</v>
      </c>
      <c r="B181" s="101">
        <f>IF(B$33="A",0.7,0.8)</f>
        <v>0.8</v>
      </c>
      <c r="C181" s="131">
        <f>VALUE(B21)</f>
        <v>0.8</v>
      </c>
      <c r="F181" s="101" t="s">
        <v>32</v>
      </c>
      <c r="G181" s="101">
        <f t="shared" si="38"/>
        <v>-0.2781079214748794</v>
      </c>
      <c r="H181" s="101">
        <f t="shared" si="38"/>
        <v>-0.01150242513217048</v>
      </c>
      <c r="I181" s="101">
        <f t="shared" si="38"/>
        <v>-0.01150242513217048</v>
      </c>
      <c r="J181" s="101">
        <f t="shared" si="38"/>
        <v>-0.01907592372996092</v>
      </c>
      <c r="K181" s="143"/>
      <c r="L181" s="143"/>
    </row>
    <row r="184" ht="15" customHeight="1">
      <c r="A184" s="101" t="s">
        <v>78</v>
      </c>
    </row>
    <row r="185" spans="2:9" ht="15" customHeight="1">
      <c r="B185" s="101" t="s">
        <v>62</v>
      </c>
      <c r="C185" s="101" t="s">
        <v>62</v>
      </c>
      <c r="E185" s="101" t="s">
        <v>63</v>
      </c>
      <c r="F185" s="101" t="s">
        <v>63</v>
      </c>
      <c r="H185" s="101" t="s">
        <v>64</v>
      </c>
      <c r="I185" s="101" t="s">
        <v>64</v>
      </c>
    </row>
    <row r="186" spans="1:11" ht="15" customHeight="1">
      <c r="A186" s="101" t="s">
        <v>1</v>
      </c>
      <c r="B186" s="101" t="s">
        <v>79</v>
      </c>
      <c r="C186" s="101" t="s">
        <v>80</v>
      </c>
      <c r="E186" s="101" t="s">
        <v>79</v>
      </c>
      <c r="F186" s="101" t="s">
        <v>80</v>
      </c>
      <c r="H186" s="101" t="s">
        <v>79</v>
      </c>
      <c r="I186" s="101" t="s">
        <v>129</v>
      </c>
      <c r="K186" s="101" t="s">
        <v>130</v>
      </c>
    </row>
    <row r="187" spans="1:13" ht="15" customHeight="1">
      <c r="A187" s="136" t="s">
        <v>4</v>
      </c>
      <c r="B187" s="136">
        <v>8.670892</v>
      </c>
      <c r="C187" s="136">
        <v>0.635066</v>
      </c>
      <c r="D187" s="136"/>
      <c r="E187" s="136">
        <v>8.365415</v>
      </c>
      <c r="F187" s="136">
        <v>0.889114</v>
      </c>
      <c r="G187" s="136"/>
      <c r="H187" s="136">
        <v>8.365415</v>
      </c>
      <c r="I187" s="136">
        <v>0.889114</v>
      </c>
      <c r="L187" s="101" t="s">
        <v>82</v>
      </c>
      <c r="M187" s="101" t="s">
        <v>83</v>
      </c>
    </row>
    <row r="188" spans="1:13" ht="15" customHeight="1">
      <c r="A188" s="136" t="s">
        <v>6</v>
      </c>
      <c r="B188" s="136">
        <v>212.245188</v>
      </c>
      <c r="C188" s="136">
        <v>15.880385</v>
      </c>
      <c r="D188" s="136"/>
      <c r="E188" s="136">
        <v>205.261051</v>
      </c>
      <c r="F188" s="136">
        <v>17.324472</v>
      </c>
      <c r="G188" s="136"/>
      <c r="H188" s="136">
        <v>205.261051</v>
      </c>
      <c r="I188" s="136">
        <v>17.324472</v>
      </c>
      <c r="K188" s="101" t="s">
        <v>6</v>
      </c>
      <c r="L188" s="101">
        <v>181.1</v>
      </c>
      <c r="M188" s="101">
        <f>IF(C175&lt;181.3,181.3,C175)</f>
        <v>213</v>
      </c>
    </row>
    <row r="189" spans="1:13" ht="15" customHeight="1">
      <c r="A189" s="136" t="s">
        <v>8</v>
      </c>
      <c r="B189" s="136">
        <v>312.121596</v>
      </c>
      <c r="C189" s="136">
        <v>23.264684</v>
      </c>
      <c r="D189" s="136"/>
      <c r="E189" s="136">
        <v>310.931422</v>
      </c>
      <c r="F189" s="136">
        <v>20.847425</v>
      </c>
      <c r="G189" s="136"/>
      <c r="H189" s="136">
        <v>310.931422</v>
      </c>
      <c r="I189" s="136">
        <v>20.847425</v>
      </c>
      <c r="K189" s="101" t="s">
        <v>8</v>
      </c>
      <c r="L189" s="101">
        <f>(316.9-5.41*C179-0.8235*C177)</f>
        <v>285.4925</v>
      </c>
      <c r="M189" s="137">
        <f>IF(C176&lt;L189,L189,C176)</f>
        <v>305</v>
      </c>
    </row>
    <row r="190" spans="1:13" ht="15" customHeight="1">
      <c r="A190" s="136" t="s">
        <v>9</v>
      </c>
      <c r="B190" s="136">
        <v>30.212969</v>
      </c>
      <c r="C190" s="136">
        <v>8.682044</v>
      </c>
      <c r="D190" s="136"/>
      <c r="E190" s="136">
        <v>27.317137</v>
      </c>
      <c r="F190" s="136">
        <v>6.880833</v>
      </c>
      <c r="G190" s="136"/>
      <c r="H190" s="136">
        <v>27.317137</v>
      </c>
      <c r="I190" s="136">
        <v>6.880833</v>
      </c>
      <c r="K190" s="101" t="s">
        <v>131</v>
      </c>
      <c r="L190" s="124">
        <f>-0.895+0.0512*C177</f>
        <v>0.385</v>
      </c>
      <c r="M190" s="124">
        <f>IF(C179&lt;L190,L190,C179)</f>
        <v>2</v>
      </c>
    </row>
    <row r="191" spans="1:9" ht="15" customHeight="1">
      <c r="A191" s="136" t="s">
        <v>11</v>
      </c>
      <c r="B191" s="136">
        <v>7.359624</v>
      </c>
      <c r="C191" s="136">
        <v>5.383804</v>
      </c>
      <c r="D191" s="136"/>
      <c r="E191" s="136">
        <v>6.54945</v>
      </c>
      <c r="F191" s="136">
        <v>4.715345</v>
      </c>
      <c r="G191" s="136"/>
      <c r="H191" s="136">
        <v>6.54945</v>
      </c>
      <c r="I191" s="136">
        <v>4.715345</v>
      </c>
    </row>
    <row r="192" spans="1:9" ht="15" customHeight="1">
      <c r="A192" s="136" t="s">
        <v>39</v>
      </c>
      <c r="B192" s="136">
        <v>0.892363</v>
      </c>
      <c r="C192" s="136">
        <v>1.235405</v>
      </c>
      <c r="D192" s="136"/>
      <c r="E192" s="136">
        <v>1.536017</v>
      </c>
      <c r="F192" s="136">
        <v>1.248887</v>
      </c>
      <c r="G192" s="136"/>
      <c r="H192" s="136">
        <v>1.536017</v>
      </c>
      <c r="I192" s="136">
        <v>1.248887</v>
      </c>
    </row>
    <row r="193" spans="1:9" ht="15" customHeight="1">
      <c r="A193" s="136" t="s">
        <v>17</v>
      </c>
      <c r="B193" s="136">
        <v>139.69108</v>
      </c>
      <c r="C193" s="136">
        <v>126.741459</v>
      </c>
      <c r="D193" s="136"/>
      <c r="E193" s="136">
        <v>154.120828</v>
      </c>
      <c r="F193" s="136">
        <v>136.79045</v>
      </c>
      <c r="G193" s="136"/>
      <c r="H193" s="136">
        <v>154.120828</v>
      </c>
      <c r="I193" s="136">
        <v>136.79045</v>
      </c>
    </row>
    <row r="194" spans="1:9" ht="15" customHeight="1">
      <c r="A194" s="101" t="s">
        <v>23</v>
      </c>
      <c r="B194" s="101">
        <v>1.389446</v>
      </c>
      <c r="C194" s="101">
        <v>0.436822</v>
      </c>
      <c r="E194" s="101">
        <v>1.009607</v>
      </c>
      <c r="F194" s="101">
        <v>0.530184</v>
      </c>
      <c r="H194" s="101">
        <v>1.009607</v>
      </c>
      <c r="I194" s="101">
        <v>0.530184</v>
      </c>
    </row>
    <row r="195" spans="1:9" ht="15" customHeight="1">
      <c r="A195" s="101" t="s">
        <v>85</v>
      </c>
      <c r="B195" s="101">
        <v>4.727458</v>
      </c>
      <c r="C195" s="101">
        <v>1.082638</v>
      </c>
      <c r="E195" s="101">
        <v>4.727458</v>
      </c>
      <c r="F195" s="101">
        <v>1.082638</v>
      </c>
      <c r="H195" s="101">
        <v>4.727458</v>
      </c>
      <c r="I195" s="101">
        <v>1.082638</v>
      </c>
    </row>
    <row r="197" spans="12:15" ht="15" customHeight="1">
      <c r="L197" s="101" t="s">
        <v>86</v>
      </c>
      <c r="O197" s="101" t="s">
        <v>87</v>
      </c>
    </row>
    <row r="198" spans="1:31" ht="15" customHeight="1">
      <c r="A198" s="101" t="s">
        <v>88</v>
      </c>
      <c r="F198" s="101" t="s">
        <v>58</v>
      </c>
      <c r="G198" s="101" t="s">
        <v>58</v>
      </c>
      <c r="H198" s="101" t="s">
        <v>58</v>
      </c>
      <c r="I198" s="101" t="s">
        <v>58</v>
      </c>
      <c r="L198" s="101" t="s">
        <v>62</v>
      </c>
      <c r="M198" s="101" t="s">
        <v>62</v>
      </c>
      <c r="N198" s="101" t="s">
        <v>62</v>
      </c>
      <c r="O198" s="101" t="s">
        <v>62</v>
      </c>
      <c r="P198" s="101" t="s">
        <v>62</v>
      </c>
      <c r="Q198" s="101" t="s">
        <v>62</v>
      </c>
      <c r="S198" s="101" t="s">
        <v>63</v>
      </c>
      <c r="T198" s="101" t="s">
        <v>63</v>
      </c>
      <c r="U198" s="101" t="s">
        <v>63</v>
      </c>
      <c r="V198" s="101" t="s">
        <v>63</v>
      </c>
      <c r="W198" s="101" t="s">
        <v>63</v>
      </c>
      <c r="X198" s="101" t="s">
        <v>63</v>
      </c>
      <c r="Z198" s="138" t="s">
        <v>64</v>
      </c>
      <c r="AA198" s="138" t="s">
        <v>64</v>
      </c>
      <c r="AB198" s="138" t="s">
        <v>64</v>
      </c>
      <c r="AC198" s="138" t="s">
        <v>64</v>
      </c>
      <c r="AD198" s="138" t="s">
        <v>64</v>
      </c>
      <c r="AE198" s="138" t="s">
        <v>64</v>
      </c>
    </row>
    <row r="199" spans="2:31" ht="15" customHeight="1">
      <c r="B199" s="101" t="s">
        <v>57</v>
      </c>
      <c r="C199" s="101" t="s">
        <v>57</v>
      </c>
      <c r="D199" s="102" t="s">
        <v>57</v>
      </c>
      <c r="E199" s="101" t="s">
        <v>58</v>
      </c>
      <c r="F199" s="101" t="s">
        <v>30</v>
      </c>
      <c r="G199" s="101" t="s">
        <v>42</v>
      </c>
      <c r="H199" s="101" t="s">
        <v>89</v>
      </c>
      <c r="I199" s="101" t="s">
        <v>90</v>
      </c>
      <c r="K199" s="101" t="s">
        <v>91</v>
      </c>
      <c r="L199" s="101" t="s">
        <v>30</v>
      </c>
      <c r="M199" s="101" t="s">
        <v>42</v>
      </c>
      <c r="N199" s="101" t="s">
        <v>23</v>
      </c>
      <c r="O199" s="101" t="s">
        <v>68</v>
      </c>
      <c r="P199" s="101" t="s">
        <v>71</v>
      </c>
      <c r="Q199" s="101" t="s">
        <v>73</v>
      </c>
      <c r="S199" s="101" t="s">
        <v>30</v>
      </c>
      <c r="T199" s="101" t="s">
        <v>42</v>
      </c>
      <c r="U199" s="101" t="s">
        <v>23</v>
      </c>
      <c r="V199" s="101" t="s">
        <v>68</v>
      </c>
      <c r="W199" s="101" t="s">
        <v>71</v>
      </c>
      <c r="X199" s="101" t="s">
        <v>73</v>
      </c>
      <c r="Z199" s="138" t="s">
        <v>30</v>
      </c>
      <c r="AA199" s="138" t="s">
        <v>42</v>
      </c>
      <c r="AB199" s="138" t="s">
        <v>23</v>
      </c>
      <c r="AC199" s="138" t="s">
        <v>68</v>
      </c>
      <c r="AD199" s="138" t="s">
        <v>71</v>
      </c>
      <c r="AE199" s="138" t="s">
        <v>73</v>
      </c>
    </row>
    <row r="200" spans="1:31" ht="15" customHeight="1">
      <c r="A200" s="101" t="s">
        <v>1</v>
      </c>
      <c r="B200" s="101" t="s">
        <v>62</v>
      </c>
      <c r="C200" s="101" t="s">
        <v>63</v>
      </c>
      <c r="D200" s="102" t="s">
        <v>64</v>
      </c>
      <c r="E200" s="101" t="s">
        <v>62</v>
      </c>
      <c r="F200" s="101" t="s">
        <v>92</v>
      </c>
      <c r="G200" s="101" t="s">
        <v>92</v>
      </c>
      <c r="H200" s="101" t="s">
        <v>92</v>
      </c>
      <c r="I200" s="101" t="s">
        <v>64</v>
      </c>
      <c r="K200" s="101" t="s">
        <v>93</v>
      </c>
      <c r="L200" s="139">
        <v>-0.1598</v>
      </c>
      <c r="M200" s="136">
        <v>-0.7791</v>
      </c>
      <c r="N200" s="140">
        <v>2.95676525</v>
      </c>
      <c r="O200" s="140">
        <v>0.67173886</v>
      </c>
      <c r="P200" s="140">
        <v>2.16836424</v>
      </c>
      <c r="Q200" s="140">
        <v>1.10122139</v>
      </c>
      <c r="S200" s="136">
        <v>-0.6357</v>
      </c>
      <c r="T200" s="136">
        <v>-1.1578</v>
      </c>
      <c r="U200" s="140">
        <v>2.3824773</v>
      </c>
      <c r="V200" s="140">
        <v>0.43090426</v>
      </c>
      <c r="W200" s="140">
        <v>1.05886661</v>
      </c>
      <c r="X200" s="140">
        <v>0.16738341</v>
      </c>
      <c r="Z200" s="136">
        <v>-2.1815775131921162</v>
      </c>
      <c r="AA200" s="136">
        <v>-2.707759550733389</v>
      </c>
      <c r="AB200" s="140">
        <v>2.3824773</v>
      </c>
      <c r="AC200" s="140">
        <v>0.43090426</v>
      </c>
      <c r="AD200" s="140">
        <v>1.05886661</v>
      </c>
      <c r="AE200" s="140">
        <v>0.16738341</v>
      </c>
    </row>
    <row r="201" spans="1:31" ht="15" customHeight="1">
      <c r="A201" s="101" t="s">
        <v>4</v>
      </c>
      <c r="B201" s="101">
        <f aca="true" t="shared" si="39" ref="B201:B206">(B174-B187)/C187</f>
        <v>-2.6310525205254263</v>
      </c>
      <c r="C201" s="101">
        <f aca="true" t="shared" si="40" ref="C201:C206">(B174-E187)/F187</f>
        <v>-1.53570295822583</v>
      </c>
      <c r="D201" s="102">
        <f aca="true" t="shared" si="41" ref="D201:D206">(B174-H187)/I187</f>
        <v>-1.53570295822583</v>
      </c>
      <c r="E201" s="101">
        <f aca="true" t="shared" si="42" ref="E201:E206">(C174-B187)/C187</f>
        <v>-2.6310525205254263</v>
      </c>
      <c r="F201" s="101">
        <f>(C174-E187)/F187</f>
        <v>-1.53570295822583</v>
      </c>
      <c r="G201" s="101">
        <f>(C174-E187)/F187</f>
        <v>-1.53570295822583</v>
      </c>
      <c r="H201" s="101">
        <f aca="true" t="shared" si="43" ref="H201:H206">(C174-E187)/F187</f>
        <v>-1.53570295822583</v>
      </c>
      <c r="I201" s="101">
        <f aca="true" t="shared" si="44" ref="I201:I206">(C174-H187)/I187</f>
        <v>-1.53570295822583</v>
      </c>
      <c r="K201" s="101" t="s">
        <v>4</v>
      </c>
      <c r="L201" s="139">
        <v>-0.01615</v>
      </c>
      <c r="M201" s="136">
        <v>-3E-05</v>
      </c>
      <c r="N201" s="140">
        <v>0</v>
      </c>
      <c r="O201" s="140">
        <v>0</v>
      </c>
      <c r="P201" s="140">
        <v>0</v>
      </c>
      <c r="Q201" s="140">
        <v>0</v>
      </c>
      <c r="R201" s="140"/>
      <c r="S201" s="136">
        <v>0.006125</v>
      </c>
      <c r="T201" s="136">
        <v>0.01258</v>
      </c>
      <c r="U201" s="140">
        <v>0.03114189</v>
      </c>
      <c r="V201" s="140">
        <v>0</v>
      </c>
      <c r="W201" s="140">
        <v>0</v>
      </c>
      <c r="X201" s="140">
        <v>0</v>
      </c>
      <c r="Z201" s="136">
        <v>0.001068810677998135</v>
      </c>
      <c r="AA201" s="136">
        <v>0.008241929544771615</v>
      </c>
      <c r="AB201" s="140">
        <v>0.03114189</v>
      </c>
      <c r="AC201" s="140">
        <v>0</v>
      </c>
      <c r="AD201" s="140">
        <v>0</v>
      </c>
      <c r="AE201" s="140">
        <v>0</v>
      </c>
    </row>
    <row r="202" spans="1:31" ht="15" customHeight="1">
      <c r="A202" s="101" t="s">
        <v>6</v>
      </c>
      <c r="B202" s="101">
        <f t="shared" si="39"/>
        <v>0.04753108945406468</v>
      </c>
      <c r="C202" s="101">
        <f t="shared" si="40"/>
        <v>0.4467061968757253</v>
      </c>
      <c r="D202" s="102">
        <f t="shared" si="41"/>
        <v>0.4467061968757253</v>
      </c>
      <c r="E202" s="101">
        <f t="shared" si="42"/>
        <v>0.04753108945406468</v>
      </c>
      <c r="F202" s="101">
        <f>(C175-E188)/F188</f>
        <v>0.4467061968757253</v>
      </c>
      <c r="G202" s="101">
        <f>(M188-E188)/F188</f>
        <v>0.4467061968757253</v>
      </c>
      <c r="H202" s="101">
        <f t="shared" si="43"/>
        <v>0.4467061968757253</v>
      </c>
      <c r="I202" s="101">
        <f t="shared" si="44"/>
        <v>0.4467061968757253</v>
      </c>
      <c r="K202" s="101" t="s">
        <v>6</v>
      </c>
      <c r="L202" s="139">
        <v>-0.00736</v>
      </c>
      <c r="M202" s="136">
        <v>0.01586</v>
      </c>
      <c r="N202" s="140">
        <v>0</v>
      </c>
      <c r="O202" s="140">
        <v>0.11391774</v>
      </c>
      <c r="P202" s="140">
        <v>0</v>
      </c>
      <c r="Q202" s="140">
        <v>0</v>
      </c>
      <c r="R202" s="140"/>
      <c r="S202" s="136">
        <v>-0.00199</v>
      </c>
      <c r="T202" s="136">
        <v>0.05293</v>
      </c>
      <c r="U202" s="140">
        <v>0.04666208</v>
      </c>
      <c r="V202" s="140">
        <v>0.03707822</v>
      </c>
      <c r="W202" s="140">
        <v>0</v>
      </c>
      <c r="X202" s="140">
        <v>0.04314573</v>
      </c>
      <c r="Z202" s="136">
        <v>0.0017133433090415408</v>
      </c>
      <c r="AA202" s="136">
        <v>0.053955812736098376</v>
      </c>
      <c r="AB202" s="140">
        <v>0.04666208</v>
      </c>
      <c r="AC202" s="140">
        <v>0.03707822</v>
      </c>
      <c r="AD202" s="140">
        <v>0</v>
      </c>
      <c r="AE202" s="140">
        <v>0.04314573</v>
      </c>
    </row>
    <row r="203" spans="1:31" ht="15" customHeight="1">
      <c r="A203" s="101" t="s">
        <v>8</v>
      </c>
      <c r="B203" s="101">
        <f t="shared" si="39"/>
        <v>-0.30611187325819733</v>
      </c>
      <c r="C203" s="101">
        <f t="shared" si="40"/>
        <v>-0.2845158095064497</v>
      </c>
      <c r="D203" s="102">
        <f t="shared" si="41"/>
        <v>-0.2845158095064497</v>
      </c>
      <c r="E203" s="101">
        <f t="shared" si="42"/>
        <v>-0.30611187325819733</v>
      </c>
      <c r="F203" s="101">
        <f>(C176-E189)/F189</f>
        <v>-0.2845158095064497</v>
      </c>
      <c r="G203" s="101">
        <f>(M189-E189)/F189</f>
        <v>-0.2845158095064497</v>
      </c>
      <c r="H203" s="101">
        <f t="shared" si="43"/>
        <v>-0.2845158095064497</v>
      </c>
      <c r="I203" s="101">
        <f t="shared" si="44"/>
        <v>-0.2845158095064497</v>
      </c>
      <c r="K203" s="101" t="s">
        <v>8</v>
      </c>
      <c r="L203" s="139">
        <v>0.000654</v>
      </c>
      <c r="M203" s="136">
        <v>0.01174</v>
      </c>
      <c r="N203" s="140">
        <v>0</v>
      </c>
      <c r="O203" s="140">
        <v>0</v>
      </c>
      <c r="P203" s="140">
        <v>0</v>
      </c>
      <c r="Q203" s="140">
        <v>0</v>
      </c>
      <c r="R203" s="140"/>
      <c r="S203" s="136">
        <v>0.002715</v>
      </c>
      <c r="T203" s="136">
        <v>0.02806</v>
      </c>
      <c r="U203" s="140">
        <v>0</v>
      </c>
      <c r="V203" s="140">
        <v>0.09454201</v>
      </c>
      <c r="W203" s="140">
        <v>0.06037698</v>
      </c>
      <c r="X203" s="140">
        <v>0.06252964</v>
      </c>
      <c r="Z203" s="136">
        <v>0.0006672940666855274</v>
      </c>
      <c r="AA203" s="136">
        <v>-0.00396550994117446</v>
      </c>
      <c r="AB203" s="140">
        <v>0</v>
      </c>
      <c r="AC203" s="140">
        <v>0.09454201</v>
      </c>
      <c r="AD203" s="140">
        <v>0.06037698</v>
      </c>
      <c r="AE203" s="140">
        <v>0.06252964</v>
      </c>
    </row>
    <row r="204" spans="1:31" ht="15" customHeight="1">
      <c r="A204" s="101" t="s">
        <v>9</v>
      </c>
      <c r="B204" s="101">
        <f t="shared" si="39"/>
        <v>-0.6004310736043266</v>
      </c>
      <c r="C204" s="101">
        <f t="shared" si="40"/>
        <v>-0.3367523961125054</v>
      </c>
      <c r="D204" s="102">
        <f t="shared" si="41"/>
        <v>-0.3367523961125054</v>
      </c>
      <c r="E204" s="101">
        <f t="shared" si="42"/>
        <v>-0.6004310736043266</v>
      </c>
      <c r="F204" s="101">
        <f>(C177-E190)/F190</f>
        <v>-0.3367523961125054</v>
      </c>
      <c r="G204" s="101">
        <f>(C177-E190)/F190</f>
        <v>-0.3367523961125054</v>
      </c>
      <c r="H204" s="101">
        <f t="shared" si="43"/>
        <v>-0.3367523961125054</v>
      </c>
      <c r="I204" s="101">
        <f t="shared" si="44"/>
        <v>-0.3367523961125054</v>
      </c>
      <c r="K204" s="101" t="s">
        <v>9</v>
      </c>
      <c r="L204" s="139">
        <v>0.04706</v>
      </c>
      <c r="M204" s="136">
        <v>-0.01676</v>
      </c>
      <c r="N204" s="140">
        <v>0.15191575</v>
      </c>
      <c r="O204" s="140">
        <v>0</v>
      </c>
      <c r="P204" s="140">
        <v>-0.07537099</v>
      </c>
      <c r="Q204" s="140">
        <v>-0.09219416</v>
      </c>
      <c r="R204" s="140"/>
      <c r="S204" s="136">
        <v>0.02029</v>
      </c>
      <c r="T204" s="136">
        <v>0.002043</v>
      </c>
      <c r="U204" s="140">
        <v>0.15517085</v>
      </c>
      <c r="V204" s="140">
        <v>-0.03604344</v>
      </c>
      <c r="W204" s="140">
        <v>-0.05466283</v>
      </c>
      <c r="X204" s="140">
        <v>-0.05552641</v>
      </c>
      <c r="Z204" s="136">
        <v>0.015367373114554087</v>
      </c>
      <c r="AA204" s="136">
        <v>0.004001087672949063</v>
      </c>
      <c r="AB204" s="140">
        <v>0.15517085</v>
      </c>
      <c r="AC204" s="140">
        <v>-0.03604344</v>
      </c>
      <c r="AD204" s="140">
        <v>-0.05466283</v>
      </c>
      <c r="AE204" s="140">
        <v>-0.05552641</v>
      </c>
    </row>
    <row r="205" spans="1:31" ht="15" customHeight="1">
      <c r="A205" s="101" t="s">
        <v>11</v>
      </c>
      <c r="B205" s="101">
        <f t="shared" si="39"/>
        <v>-0.2525396541181663</v>
      </c>
      <c r="C205" s="101">
        <f t="shared" si="40"/>
        <v>-0.1165238174513212</v>
      </c>
      <c r="D205" s="102">
        <f t="shared" si="41"/>
        <v>-0.1165238174513212</v>
      </c>
      <c r="E205" s="101">
        <f t="shared" si="42"/>
        <v>-0.2525396541181663</v>
      </c>
      <c r="F205" s="101">
        <f>(C178-E191)/F191</f>
        <v>-0.1165238174513212</v>
      </c>
      <c r="G205" s="101">
        <f>(C178-E191)/F191</f>
        <v>-0.1165238174513212</v>
      </c>
      <c r="H205" s="101">
        <f t="shared" si="43"/>
        <v>-0.1165238174513212</v>
      </c>
      <c r="I205" s="101">
        <f t="shared" si="44"/>
        <v>-0.1165238174513212</v>
      </c>
      <c r="K205" s="101" t="s">
        <v>11</v>
      </c>
      <c r="L205" s="139">
        <v>0.02111</v>
      </c>
      <c r="M205" s="136">
        <v>-0.01651</v>
      </c>
      <c r="N205" s="140">
        <v>0</v>
      </c>
      <c r="O205" s="140">
        <v>0.18408319</v>
      </c>
      <c r="P205" s="140">
        <v>0</v>
      </c>
      <c r="Q205" s="140">
        <v>0</v>
      </c>
      <c r="R205" s="140"/>
      <c r="S205" s="136">
        <v>0.007241</v>
      </c>
      <c r="T205" s="136">
        <v>-0.01072</v>
      </c>
      <c r="U205" s="140">
        <v>-0.02548759</v>
      </c>
      <c r="V205" s="140">
        <v>0.10354089</v>
      </c>
      <c r="W205" s="140">
        <v>0</v>
      </c>
      <c r="X205" s="140">
        <v>0</v>
      </c>
      <c r="Z205" s="136">
        <v>0.003814970762016133</v>
      </c>
      <c r="AA205" s="136">
        <v>-0.011045055136338992</v>
      </c>
      <c r="AB205" s="140">
        <v>-0.02548759</v>
      </c>
      <c r="AC205" s="140">
        <v>0.10354089</v>
      </c>
      <c r="AD205" s="140">
        <v>0</v>
      </c>
      <c r="AE205" s="140">
        <v>0</v>
      </c>
    </row>
    <row r="206" spans="1:31" ht="15" customHeight="1">
      <c r="A206" s="101" t="s">
        <v>39</v>
      </c>
      <c r="B206" s="101">
        <f t="shared" si="39"/>
        <v>0.8965780452564138</v>
      </c>
      <c r="C206" s="101">
        <f t="shared" si="40"/>
        <v>0.37151719891391294</v>
      </c>
      <c r="D206" s="102">
        <f t="shared" si="41"/>
        <v>0.37151719891391294</v>
      </c>
      <c r="E206" s="101">
        <f t="shared" si="42"/>
        <v>0.8965780452564138</v>
      </c>
      <c r="F206" s="101">
        <f>(M190-E192)/F192</f>
        <v>0.37151719891391294</v>
      </c>
      <c r="G206" s="101">
        <f>(C179-E192)/F192</f>
        <v>0.37151719891391294</v>
      </c>
      <c r="H206" s="101">
        <f t="shared" si="43"/>
        <v>0.37151719891391294</v>
      </c>
      <c r="I206" s="101">
        <f t="shared" si="44"/>
        <v>0.37151719891391294</v>
      </c>
      <c r="K206" s="101" t="s">
        <v>39</v>
      </c>
      <c r="L206" s="139">
        <v>0.01491</v>
      </c>
      <c r="M206" s="136">
        <v>-0.02636</v>
      </c>
      <c r="N206" s="140">
        <v>-0.03295985</v>
      </c>
      <c r="O206" s="140">
        <v>0</v>
      </c>
      <c r="P206" s="140">
        <v>0.12278577</v>
      </c>
      <c r="Q206" s="140">
        <v>0.00122983</v>
      </c>
      <c r="R206" s="140"/>
      <c r="S206" s="136">
        <v>0.01413</v>
      </c>
      <c r="T206" s="136">
        <v>-0.01989</v>
      </c>
      <c r="U206" s="140">
        <v>0</v>
      </c>
      <c r="V206" s="140">
        <v>-0.02511374</v>
      </c>
      <c r="W206" s="140">
        <v>0.06370091</v>
      </c>
      <c r="X206" s="140">
        <v>0.02382123</v>
      </c>
      <c r="Z206" s="136">
        <v>0.016424407797605203</v>
      </c>
      <c r="AA206" s="136">
        <v>-0.017146108871438102</v>
      </c>
      <c r="AB206" s="140">
        <v>0</v>
      </c>
      <c r="AC206" s="140">
        <v>-0.02511374</v>
      </c>
      <c r="AD206" s="140">
        <v>0.06370091</v>
      </c>
      <c r="AE206" s="140">
        <v>0.02382123</v>
      </c>
    </row>
    <row r="207" spans="1:31" ht="15" customHeight="1">
      <c r="A207" s="101" t="s">
        <v>39</v>
      </c>
      <c r="B207" s="101">
        <f>(B179-B192)/C192</f>
        <v>0.8965780452564138</v>
      </c>
      <c r="C207" s="101">
        <f>(B179-E192)/F192</f>
        <v>0.37151719891391294</v>
      </c>
      <c r="D207" s="102">
        <f>(B179-H192)/I192</f>
        <v>0.37151719891391294</v>
      </c>
      <c r="E207" s="101">
        <f>(C179-B192)/C192</f>
        <v>0.8965780452564138</v>
      </c>
      <c r="F207" s="101">
        <f>(M190-E192)/F192</f>
        <v>0.37151719891391294</v>
      </c>
      <c r="G207" s="101">
        <f>(C179-E192)/F192</f>
        <v>0.37151719891391294</v>
      </c>
      <c r="H207" s="101">
        <f>(C179-E192)/F192</f>
        <v>0.37151719891391294</v>
      </c>
      <c r="I207" s="101">
        <f>(C179-H192)/I192</f>
        <v>0.37151719891391294</v>
      </c>
      <c r="K207" s="101" t="s">
        <v>94</v>
      </c>
      <c r="L207" s="141">
        <v>0</v>
      </c>
      <c r="M207" s="136">
        <v>0</v>
      </c>
      <c r="N207" s="140">
        <v>0</v>
      </c>
      <c r="O207" s="140">
        <v>0</v>
      </c>
      <c r="P207" s="140">
        <f>IF($B18=0,0,-0.12295089)</f>
        <v>-0.12295089</v>
      </c>
      <c r="Q207" s="140">
        <f>IF($B18=0,0,0.54678495)</f>
        <v>0.54678495</v>
      </c>
      <c r="R207" s="140"/>
      <c r="S207" s="136">
        <v>0</v>
      </c>
      <c r="T207" s="136">
        <v>0</v>
      </c>
      <c r="U207" s="140">
        <v>0</v>
      </c>
      <c r="V207" s="140">
        <v>0</v>
      </c>
      <c r="W207" s="140">
        <f>IF($B18=0,0,-0.09819814)</f>
        <v>-0.09819814</v>
      </c>
      <c r="X207" s="140">
        <f>IF($B18=0,0,0.46699012)</f>
        <v>0.46699012</v>
      </c>
      <c r="Z207" s="136">
        <v>0</v>
      </c>
      <c r="AA207" s="136">
        <v>0</v>
      </c>
      <c r="AB207" s="140">
        <v>0</v>
      </c>
      <c r="AC207" s="140">
        <v>0</v>
      </c>
      <c r="AD207" s="140">
        <f>IF($B18=0,0,-0.09819814)</f>
        <v>-0.09819814</v>
      </c>
      <c r="AE207" s="140">
        <f>IF($B18=0,0,0.46699012)</f>
        <v>0.46699012</v>
      </c>
    </row>
    <row r="208" spans="1:31" ht="15" customHeight="1">
      <c r="A208" s="101" t="s">
        <v>17</v>
      </c>
      <c r="B208" s="101">
        <f>(B180-B193)/C193</f>
        <v>-0.9443719596126788</v>
      </c>
      <c r="C208" s="101">
        <f>(B180-E193)/F193</f>
        <v>-0.9804838568774354</v>
      </c>
      <c r="D208" s="102">
        <f>(B180-H193)/I193</f>
        <v>-0.9804838568774354</v>
      </c>
      <c r="E208" s="101">
        <f>(C180-B193)/C193</f>
        <v>-0.9443719596126788</v>
      </c>
      <c r="F208" s="101">
        <f>(C180-E193)/F193</f>
        <v>-0.9804838568774354</v>
      </c>
      <c r="G208" s="101">
        <f>(C180-E193)/F193</f>
        <v>-0.9804838568774354</v>
      </c>
      <c r="H208" s="101">
        <f>(C180-E193)/F193</f>
        <v>-0.9804838568774354</v>
      </c>
      <c r="I208" s="101">
        <f>(C180-H193)/I193</f>
        <v>-0.9804838568774354</v>
      </c>
      <c r="K208" s="101" t="s">
        <v>17</v>
      </c>
      <c r="L208" s="139">
        <v>0.02804</v>
      </c>
      <c r="M208" s="136">
        <v>0.01203</v>
      </c>
      <c r="N208" s="140">
        <v>0.0683768</v>
      </c>
      <c r="O208" s="140">
        <v>0</v>
      </c>
      <c r="P208" s="140">
        <v>0</v>
      </c>
      <c r="Q208" s="140">
        <v>0</v>
      </c>
      <c r="R208" s="140"/>
      <c r="S208" s="136">
        <v>0.04987</v>
      </c>
      <c r="T208" s="136">
        <v>0.05669</v>
      </c>
      <c r="U208" s="140">
        <v>0.09652526</v>
      </c>
      <c r="V208" s="140">
        <v>0</v>
      </c>
      <c r="W208" s="140">
        <v>-0.04135075</v>
      </c>
      <c r="X208" s="140">
        <v>0.02788263</v>
      </c>
      <c r="Z208" s="136">
        <v>-0.26160623947270745</v>
      </c>
      <c r="AA208" s="136">
        <v>0.08726376997054465</v>
      </c>
      <c r="AB208" s="140">
        <v>0.09652526</v>
      </c>
      <c r="AC208" s="140">
        <v>0</v>
      </c>
      <c r="AD208" s="140">
        <v>-0.04135075</v>
      </c>
      <c r="AE208" s="140">
        <v>0.02788263</v>
      </c>
    </row>
    <row r="209" spans="1:31" ht="15" customHeight="1">
      <c r="A209" s="101" t="s">
        <v>23</v>
      </c>
      <c r="B209" s="101">
        <f>(B181-B194)/C194</f>
        <v>-1.349396321613838</v>
      </c>
      <c r="C209" s="101">
        <f>(B181-E194)/F194</f>
        <v>-0.3953476528903171</v>
      </c>
      <c r="D209" s="102">
        <f>(B181-H194)/I194</f>
        <v>-0.3953476528903171</v>
      </c>
      <c r="E209" s="101">
        <f>(C181-B194)/C194</f>
        <v>-1.349396321613838</v>
      </c>
      <c r="F209" s="101">
        <f>(C181-E194)/F194</f>
        <v>-0.3953476528903171</v>
      </c>
      <c r="G209" s="101">
        <f>(C181-E194)/F194</f>
        <v>-0.3953476528903171</v>
      </c>
      <c r="H209" s="101">
        <f>(C181-E194)/F194</f>
        <v>-0.3953476528903171</v>
      </c>
      <c r="I209" s="101">
        <f>(C181-H194)/I194</f>
        <v>-0.3953476528903171</v>
      </c>
      <c r="K209" s="101" t="s">
        <v>23</v>
      </c>
      <c r="L209" s="141">
        <v>0</v>
      </c>
      <c r="M209" s="136">
        <v>0</v>
      </c>
      <c r="N209" s="140">
        <v>0.12025037</v>
      </c>
      <c r="O209" s="140">
        <v>0</v>
      </c>
      <c r="P209" s="140">
        <v>-0.1423482</v>
      </c>
      <c r="Q209" s="140">
        <v>0</v>
      </c>
      <c r="R209" s="140"/>
      <c r="S209" s="136">
        <v>0</v>
      </c>
      <c r="T209" s="136">
        <v>0</v>
      </c>
      <c r="U209" s="140">
        <v>0.11689441</v>
      </c>
      <c r="V209" s="140">
        <v>0.03644387</v>
      </c>
      <c r="W209" s="140">
        <v>0</v>
      </c>
      <c r="X209" s="140">
        <v>0.06148653</v>
      </c>
      <c r="Z209" s="136">
        <v>0</v>
      </c>
      <c r="AA209" s="136">
        <v>0</v>
      </c>
      <c r="AB209" s="140">
        <v>0.11689441</v>
      </c>
      <c r="AC209" s="140">
        <v>0.03644387</v>
      </c>
      <c r="AD209" s="140">
        <v>0</v>
      </c>
      <c r="AE209" s="140">
        <v>0.06148653</v>
      </c>
    </row>
    <row r="210" spans="1:31" ht="15" customHeight="1">
      <c r="A210" s="101" t="s">
        <v>95</v>
      </c>
      <c r="B210" s="101">
        <f aca="true" t="shared" si="45" ref="B210:I210">(B201*B204)</f>
        <v>1.579765689608451</v>
      </c>
      <c r="C210" s="101">
        <f t="shared" si="45"/>
        <v>0.517151650899611</v>
      </c>
      <c r="D210" s="102">
        <f t="shared" si="45"/>
        <v>0.517151650899611</v>
      </c>
      <c r="E210" s="101">
        <f t="shared" si="45"/>
        <v>1.579765689608451</v>
      </c>
      <c r="F210" s="101">
        <f t="shared" si="45"/>
        <v>0.517151650899611</v>
      </c>
      <c r="G210" s="101">
        <f t="shared" si="45"/>
        <v>0.517151650899611</v>
      </c>
      <c r="H210" s="101">
        <f t="shared" si="45"/>
        <v>0.517151650899611</v>
      </c>
      <c r="I210" s="101">
        <f t="shared" si="45"/>
        <v>0.517151650899611</v>
      </c>
      <c r="K210" s="101" t="s">
        <v>95</v>
      </c>
      <c r="L210" s="141">
        <v>0</v>
      </c>
      <c r="M210" s="136">
        <v>0</v>
      </c>
      <c r="N210" s="140">
        <v>0</v>
      </c>
      <c r="O210" s="140">
        <v>0</v>
      </c>
      <c r="P210" s="140">
        <v>0</v>
      </c>
      <c r="Q210" s="140">
        <v>0</v>
      </c>
      <c r="R210" s="140"/>
      <c r="S210" s="136">
        <v>0</v>
      </c>
      <c r="T210" s="136">
        <v>0</v>
      </c>
      <c r="U210" s="140">
        <v>0</v>
      </c>
      <c r="V210" s="140">
        <v>0</v>
      </c>
      <c r="W210" s="140">
        <v>0</v>
      </c>
      <c r="X210" s="140">
        <v>0</v>
      </c>
      <c r="Z210" s="136">
        <v>0</v>
      </c>
      <c r="AA210" s="136">
        <v>0</v>
      </c>
      <c r="AB210" s="140">
        <v>0</v>
      </c>
      <c r="AC210" s="140">
        <v>0</v>
      </c>
      <c r="AD210" s="140">
        <v>0</v>
      </c>
      <c r="AE210" s="140">
        <v>0</v>
      </c>
    </row>
    <row r="211" spans="1:31" ht="15" customHeight="1">
      <c r="A211" s="101" t="s">
        <v>96</v>
      </c>
      <c r="B211" s="101">
        <f aca="true" t="shared" si="46" ref="B211:I211">(B201*B202)</f>
        <v>-0.12505679271143638</v>
      </c>
      <c r="C211" s="101">
        <f t="shared" si="46"/>
        <v>-0.6860080279998614</v>
      </c>
      <c r="D211" s="102">
        <f t="shared" si="46"/>
        <v>-0.6860080279998614</v>
      </c>
      <c r="E211" s="101">
        <f t="shared" si="46"/>
        <v>-0.12505679271143638</v>
      </c>
      <c r="F211" s="101">
        <f t="shared" si="46"/>
        <v>-0.6860080279998614</v>
      </c>
      <c r="G211" s="101">
        <f t="shared" si="46"/>
        <v>-0.6860080279998614</v>
      </c>
      <c r="H211" s="101">
        <f t="shared" si="46"/>
        <v>-0.6860080279998614</v>
      </c>
      <c r="I211" s="101">
        <f t="shared" si="46"/>
        <v>-0.6860080279998614</v>
      </c>
      <c r="K211" s="101" t="s">
        <v>96</v>
      </c>
      <c r="L211" s="141">
        <v>0</v>
      </c>
      <c r="M211" s="136">
        <v>0</v>
      </c>
      <c r="N211" s="140">
        <v>0</v>
      </c>
      <c r="O211" s="140">
        <v>0</v>
      </c>
      <c r="P211" s="140">
        <v>0</v>
      </c>
      <c r="Q211" s="140">
        <v>0</v>
      </c>
      <c r="R211" s="140"/>
      <c r="S211" s="136">
        <v>0</v>
      </c>
      <c r="T211" s="136">
        <v>0</v>
      </c>
      <c r="U211" s="140">
        <v>0</v>
      </c>
      <c r="V211" s="140">
        <v>0</v>
      </c>
      <c r="W211" s="140">
        <v>0</v>
      </c>
      <c r="X211" s="140">
        <v>0</v>
      </c>
      <c r="Z211" s="136">
        <v>0</v>
      </c>
      <c r="AA211" s="136">
        <v>0</v>
      </c>
      <c r="AB211" s="140">
        <v>0</v>
      </c>
      <c r="AC211" s="140">
        <v>0</v>
      </c>
      <c r="AD211" s="140">
        <v>0</v>
      </c>
      <c r="AE211" s="140">
        <v>0</v>
      </c>
    </row>
    <row r="212" spans="1:31" ht="15" customHeight="1">
      <c r="A212" s="101" t="s">
        <v>97</v>
      </c>
      <c r="B212" s="101">
        <f aca="true" t="shared" si="47" ref="B212:I212">(B202*B204)</f>
        <v>-0.02853914307048734</v>
      </c>
      <c r="C212" s="101">
        <f t="shared" si="47"/>
        <v>-0.15042938215620508</v>
      </c>
      <c r="D212" s="101">
        <f t="shared" si="47"/>
        <v>-0.15042938215620508</v>
      </c>
      <c r="E212" s="101">
        <f t="shared" si="47"/>
        <v>-0.02853914307048734</v>
      </c>
      <c r="F212" s="101">
        <f t="shared" si="47"/>
        <v>-0.15042938215620508</v>
      </c>
      <c r="G212" s="101">
        <f t="shared" si="47"/>
        <v>-0.15042938215620508</v>
      </c>
      <c r="H212" s="101">
        <f t="shared" si="47"/>
        <v>-0.15042938215620508</v>
      </c>
      <c r="I212" s="101">
        <f t="shared" si="47"/>
        <v>-0.15042938215620508</v>
      </c>
      <c r="K212" s="101" t="s">
        <v>97</v>
      </c>
      <c r="L212" s="141">
        <v>0</v>
      </c>
      <c r="M212" s="136">
        <v>0</v>
      </c>
      <c r="N212" s="140">
        <v>0</v>
      </c>
      <c r="O212" s="140">
        <v>0</v>
      </c>
      <c r="P212" s="140">
        <v>0</v>
      </c>
      <c r="Q212" s="140">
        <v>0</v>
      </c>
      <c r="R212" s="140"/>
      <c r="S212" s="136">
        <v>0</v>
      </c>
      <c r="T212" s="136">
        <v>0.01903</v>
      </c>
      <c r="U212" s="140">
        <v>0</v>
      </c>
      <c r="V212" s="140">
        <v>0</v>
      </c>
      <c r="W212" s="140">
        <v>0</v>
      </c>
      <c r="X212" s="140">
        <v>0</v>
      </c>
      <c r="Z212" s="136">
        <v>0</v>
      </c>
      <c r="AA212" s="136">
        <v>0.017207570447757586</v>
      </c>
      <c r="AB212" s="140">
        <v>0</v>
      </c>
      <c r="AC212" s="140">
        <v>0</v>
      </c>
      <c r="AD212" s="140">
        <v>0</v>
      </c>
      <c r="AE212" s="140">
        <v>0</v>
      </c>
    </row>
    <row r="213" spans="1:31" ht="15" customHeight="1">
      <c r="A213" s="101" t="s">
        <v>98</v>
      </c>
      <c r="B213" s="101">
        <f aca="true" t="shared" si="48" ref="B213:I213">(B202*B202)</f>
        <v>0.0022592044646902987</v>
      </c>
      <c r="C213" s="101">
        <f t="shared" si="48"/>
        <v>0.1995464263271743</v>
      </c>
      <c r="D213" s="102">
        <f t="shared" si="48"/>
        <v>0.1995464263271743</v>
      </c>
      <c r="E213" s="101">
        <f t="shared" si="48"/>
        <v>0.0022592044646902987</v>
      </c>
      <c r="F213" s="101">
        <f t="shared" si="48"/>
        <v>0.1995464263271743</v>
      </c>
      <c r="G213" s="101">
        <f t="shared" si="48"/>
        <v>0.1995464263271743</v>
      </c>
      <c r="H213" s="101">
        <f t="shared" si="48"/>
        <v>0.1995464263271743</v>
      </c>
      <c r="I213" s="101">
        <f t="shared" si="48"/>
        <v>0.1995464263271743</v>
      </c>
      <c r="K213" s="101" t="s">
        <v>98</v>
      </c>
      <c r="L213" s="141">
        <v>0</v>
      </c>
      <c r="M213" s="136">
        <v>0</v>
      </c>
      <c r="N213" s="140">
        <v>0</v>
      </c>
      <c r="O213" s="140">
        <v>0</v>
      </c>
      <c r="P213" s="140">
        <v>0</v>
      </c>
      <c r="Q213" s="140">
        <v>0</v>
      </c>
      <c r="R213" s="140"/>
      <c r="S213" s="136">
        <v>0.006487</v>
      </c>
      <c r="T213" s="136">
        <v>0.01708</v>
      </c>
      <c r="U213" s="140">
        <v>0</v>
      </c>
      <c r="V213" s="140">
        <v>0</v>
      </c>
      <c r="W213" s="140">
        <v>0</v>
      </c>
      <c r="X213" s="140">
        <v>0</v>
      </c>
      <c r="Z213" s="136">
        <v>-0.01718282610296383</v>
      </c>
      <c r="AA213" s="136">
        <v>0.04325257374798322</v>
      </c>
      <c r="AB213" s="140">
        <v>0</v>
      </c>
      <c r="AC213" s="140">
        <v>0</v>
      </c>
      <c r="AD213" s="140">
        <v>0</v>
      </c>
      <c r="AE213" s="140">
        <v>0</v>
      </c>
    </row>
    <row r="214" spans="1:31" ht="15" customHeight="1">
      <c r="A214" s="101" t="s">
        <v>99</v>
      </c>
      <c r="B214" s="101">
        <f aca="true" t="shared" si="49" ref="B214:I214">(B202*B203)</f>
        <v>-0.014549830830786687</v>
      </c>
      <c r="C214" s="101">
        <f t="shared" si="49"/>
        <v>-0.1270949752156445</v>
      </c>
      <c r="D214" s="102">
        <f t="shared" si="49"/>
        <v>-0.1270949752156445</v>
      </c>
      <c r="E214" s="101">
        <f t="shared" si="49"/>
        <v>-0.014549830830786687</v>
      </c>
      <c r="F214" s="101">
        <f t="shared" si="49"/>
        <v>-0.1270949752156445</v>
      </c>
      <c r="G214" s="101">
        <f t="shared" si="49"/>
        <v>-0.1270949752156445</v>
      </c>
      <c r="H214" s="101">
        <f t="shared" si="49"/>
        <v>-0.1270949752156445</v>
      </c>
      <c r="I214" s="101">
        <f t="shared" si="49"/>
        <v>-0.1270949752156445</v>
      </c>
      <c r="K214" s="101" t="s">
        <v>99</v>
      </c>
      <c r="L214" s="141">
        <v>0</v>
      </c>
      <c r="M214" s="136">
        <v>0</v>
      </c>
      <c r="N214" s="140">
        <v>0</v>
      </c>
      <c r="O214" s="140">
        <v>0</v>
      </c>
      <c r="P214" s="140">
        <v>0</v>
      </c>
      <c r="Q214" s="140">
        <v>0</v>
      </c>
      <c r="R214" s="140"/>
      <c r="S214" s="136">
        <v>0</v>
      </c>
      <c r="T214" s="136">
        <v>0</v>
      </c>
      <c r="U214" s="140">
        <v>0</v>
      </c>
      <c r="V214" s="140">
        <v>0</v>
      </c>
      <c r="W214" s="140">
        <v>0</v>
      </c>
      <c r="X214" s="140">
        <v>0</v>
      </c>
      <c r="Z214" s="136">
        <v>0</v>
      </c>
      <c r="AA214" s="136">
        <v>0</v>
      </c>
      <c r="AB214" s="140">
        <v>0</v>
      </c>
      <c r="AC214" s="140">
        <v>0</v>
      </c>
      <c r="AD214" s="140">
        <v>0</v>
      </c>
      <c r="AE214" s="140">
        <v>0</v>
      </c>
    </row>
    <row r="215" spans="1:31" ht="15" customHeight="1">
      <c r="A215" s="101" t="s">
        <v>100</v>
      </c>
      <c r="B215" s="101">
        <f aca="true" t="shared" si="50" ref="B215:I215">(B202*B206)</f>
        <v>0.042615331271633056</v>
      </c>
      <c r="C215" s="101">
        <f t="shared" si="50"/>
        <v>0.1659590350007564</v>
      </c>
      <c r="D215" s="102">
        <f t="shared" si="50"/>
        <v>0.1659590350007564</v>
      </c>
      <c r="E215" s="101">
        <f t="shared" si="50"/>
        <v>0.042615331271633056</v>
      </c>
      <c r="F215" s="101">
        <f t="shared" si="50"/>
        <v>0.1659590350007564</v>
      </c>
      <c r="G215" s="101">
        <f t="shared" si="50"/>
        <v>0.1659590350007564</v>
      </c>
      <c r="H215" s="101">
        <f t="shared" si="50"/>
        <v>0.1659590350007564</v>
      </c>
      <c r="I215" s="101">
        <f t="shared" si="50"/>
        <v>0.1659590350007564</v>
      </c>
      <c r="K215" s="101" t="s">
        <v>100</v>
      </c>
      <c r="L215" s="141">
        <v>0</v>
      </c>
      <c r="M215" s="136">
        <v>0</v>
      </c>
      <c r="N215" s="140">
        <v>0</v>
      </c>
      <c r="O215" s="140">
        <v>0</v>
      </c>
      <c r="P215" s="140">
        <v>0</v>
      </c>
      <c r="Q215" s="140">
        <v>0</v>
      </c>
      <c r="R215" s="140"/>
      <c r="S215" s="136">
        <v>0</v>
      </c>
      <c r="T215" s="136">
        <v>0.01372</v>
      </c>
      <c r="U215" s="140">
        <v>0</v>
      </c>
      <c r="V215" s="140">
        <v>0</v>
      </c>
      <c r="W215" s="140">
        <v>0</v>
      </c>
      <c r="X215" s="140">
        <v>0</v>
      </c>
      <c r="Z215" s="136">
        <v>-0.015656023294272674</v>
      </c>
      <c r="AA215" s="136">
        <v>0.011593505104203847</v>
      </c>
      <c r="AB215" s="140">
        <v>0</v>
      </c>
      <c r="AC215" s="140">
        <v>0</v>
      </c>
      <c r="AD215" s="140">
        <v>0</v>
      </c>
      <c r="AE215" s="140">
        <v>0</v>
      </c>
    </row>
    <row r="216" spans="1:31" ht="15" customHeight="1">
      <c r="A216" s="101" t="s">
        <v>101</v>
      </c>
      <c r="B216" s="101">
        <f aca="true" t="shared" si="51" ref="B216:I216">(B203*B203)</f>
        <v>0.09370447894964266</v>
      </c>
      <c r="C216" s="101">
        <f t="shared" si="51"/>
        <v>0.08094924585911038</v>
      </c>
      <c r="D216" s="102">
        <f t="shared" si="51"/>
        <v>0.08094924585911038</v>
      </c>
      <c r="E216" s="101">
        <f t="shared" si="51"/>
        <v>0.09370447894964266</v>
      </c>
      <c r="F216" s="101">
        <f t="shared" si="51"/>
        <v>0.08094924585911038</v>
      </c>
      <c r="G216" s="101">
        <f t="shared" si="51"/>
        <v>0.08094924585911038</v>
      </c>
      <c r="H216" s="101">
        <f t="shared" si="51"/>
        <v>0.08094924585911038</v>
      </c>
      <c r="I216" s="101">
        <f t="shared" si="51"/>
        <v>0.08094924585911038</v>
      </c>
      <c r="K216" s="101" t="s">
        <v>101</v>
      </c>
      <c r="L216" s="141">
        <v>0</v>
      </c>
      <c r="M216" s="136">
        <v>0</v>
      </c>
      <c r="N216" s="140">
        <v>0</v>
      </c>
      <c r="O216" s="140">
        <v>0</v>
      </c>
      <c r="P216" s="140">
        <v>0</v>
      </c>
      <c r="Q216" s="140">
        <v>0</v>
      </c>
      <c r="R216" s="140"/>
      <c r="S216" s="136">
        <v>0</v>
      </c>
      <c r="T216" s="136">
        <v>0.01392</v>
      </c>
      <c r="U216" s="140">
        <v>0</v>
      </c>
      <c r="V216" s="140">
        <v>0</v>
      </c>
      <c r="W216" s="140">
        <v>0</v>
      </c>
      <c r="X216" s="140">
        <v>0</v>
      </c>
      <c r="Z216" s="136">
        <v>0</v>
      </c>
      <c r="AA216" s="136">
        <v>0.01663912113340632</v>
      </c>
      <c r="AB216" s="140">
        <v>0</v>
      </c>
      <c r="AC216" s="140">
        <v>0</v>
      </c>
      <c r="AD216" s="140">
        <v>0</v>
      </c>
      <c r="AE216" s="140">
        <v>0</v>
      </c>
    </row>
    <row r="217" spans="1:31" ht="15" customHeight="1">
      <c r="A217" s="101" t="s">
        <v>102</v>
      </c>
      <c r="B217" s="101">
        <f aca="true" t="shared" si="52" ref="B217:I217">(B203*B206)</f>
        <v>-0.27445318495561366</v>
      </c>
      <c r="C217" s="101">
        <f t="shared" si="52"/>
        <v>-0.10570251659456065</v>
      </c>
      <c r="D217" s="102">
        <f t="shared" si="52"/>
        <v>-0.10570251659456065</v>
      </c>
      <c r="E217" s="101">
        <f t="shared" si="52"/>
        <v>-0.27445318495561366</v>
      </c>
      <c r="F217" s="101">
        <f t="shared" si="52"/>
        <v>-0.10570251659456065</v>
      </c>
      <c r="G217" s="101">
        <f t="shared" si="52"/>
        <v>-0.10570251659456065</v>
      </c>
      <c r="H217" s="101">
        <f t="shared" si="52"/>
        <v>-0.10570251659456065</v>
      </c>
      <c r="I217" s="101">
        <f t="shared" si="52"/>
        <v>-0.10570251659456065</v>
      </c>
      <c r="K217" s="101" t="s">
        <v>102</v>
      </c>
      <c r="L217" s="141">
        <v>0</v>
      </c>
      <c r="M217" s="136">
        <v>0</v>
      </c>
      <c r="N217" s="140">
        <v>0</v>
      </c>
      <c r="O217" s="140">
        <v>0</v>
      </c>
      <c r="P217" s="140">
        <v>0</v>
      </c>
      <c r="Q217" s="140">
        <v>0</v>
      </c>
      <c r="R217" s="140"/>
      <c r="S217" s="136">
        <v>0</v>
      </c>
      <c r="T217" s="136">
        <v>0</v>
      </c>
      <c r="U217" s="140">
        <v>0</v>
      </c>
      <c r="V217" s="140">
        <v>0</v>
      </c>
      <c r="W217" s="140">
        <v>0</v>
      </c>
      <c r="X217" s="140">
        <v>0</v>
      </c>
      <c r="Z217" s="136">
        <v>0</v>
      </c>
      <c r="AA217" s="136">
        <v>0.014772676999806538</v>
      </c>
      <c r="AB217" s="140">
        <v>0</v>
      </c>
      <c r="AC217" s="140">
        <v>0</v>
      </c>
      <c r="AD217" s="140">
        <v>0</v>
      </c>
      <c r="AE217" s="140">
        <v>0</v>
      </c>
    </row>
    <row r="218" spans="1:31" ht="15" customHeight="1">
      <c r="A218" s="101" t="s">
        <v>103</v>
      </c>
      <c r="B218" s="101">
        <f aca="true" t="shared" si="53" ref="B218:I218">(B201*B203)</f>
        <v>0.8053964156987399</v>
      </c>
      <c r="C218" s="101">
        <f t="shared" si="53"/>
        <v>0.43693177032107156</v>
      </c>
      <c r="D218" s="101">
        <f t="shared" si="53"/>
        <v>0.43693177032107156</v>
      </c>
      <c r="E218" s="101">
        <f t="shared" si="53"/>
        <v>0.8053964156987399</v>
      </c>
      <c r="F218" s="101">
        <f t="shared" si="53"/>
        <v>0.43693177032107156</v>
      </c>
      <c r="G218" s="101">
        <f t="shared" si="53"/>
        <v>0.43693177032107156</v>
      </c>
      <c r="H218" s="101">
        <f t="shared" si="53"/>
        <v>0.43693177032107156</v>
      </c>
      <c r="I218" s="101">
        <f t="shared" si="53"/>
        <v>0.43693177032107156</v>
      </c>
      <c r="K218" s="101" t="s">
        <v>103</v>
      </c>
      <c r="L218" s="141">
        <v>0</v>
      </c>
      <c r="M218" s="136">
        <v>0</v>
      </c>
      <c r="N218" s="140">
        <v>0</v>
      </c>
      <c r="O218" s="140">
        <v>0</v>
      </c>
      <c r="P218" s="140">
        <v>0</v>
      </c>
      <c r="Q218" s="140">
        <v>0</v>
      </c>
      <c r="R218" s="140"/>
      <c r="S218" s="136">
        <v>0</v>
      </c>
      <c r="T218" s="136">
        <v>0</v>
      </c>
      <c r="U218" s="140">
        <v>0</v>
      </c>
      <c r="V218" s="140">
        <v>0</v>
      </c>
      <c r="W218" s="140">
        <v>0</v>
      </c>
      <c r="X218" s="140">
        <v>0</v>
      </c>
      <c r="Z218" s="136">
        <v>0</v>
      </c>
      <c r="AA218" s="136">
        <v>0</v>
      </c>
      <c r="AB218" s="140">
        <v>0</v>
      </c>
      <c r="AC218" s="140">
        <v>0</v>
      </c>
      <c r="AD218" s="140">
        <v>0</v>
      </c>
      <c r="AE218" s="140">
        <v>0</v>
      </c>
    </row>
    <row r="219" spans="1:31" ht="15" customHeight="1">
      <c r="A219" s="101" t="s">
        <v>104</v>
      </c>
      <c r="B219" s="101">
        <f aca="true" t="shared" si="54" ref="B219:I219">(B203*B204)</f>
        <v>0.18379908070345097</v>
      </c>
      <c r="C219" s="101">
        <f t="shared" si="54"/>
        <v>0.09581138058318608</v>
      </c>
      <c r="D219" s="102">
        <f t="shared" si="54"/>
        <v>0.09581138058318608</v>
      </c>
      <c r="E219" s="101">
        <f t="shared" si="54"/>
        <v>0.18379908070345097</v>
      </c>
      <c r="F219" s="101">
        <f t="shared" si="54"/>
        <v>0.09581138058318608</v>
      </c>
      <c r="G219" s="101">
        <f t="shared" si="54"/>
        <v>0.09581138058318608</v>
      </c>
      <c r="H219" s="101">
        <f t="shared" si="54"/>
        <v>0.09581138058318608</v>
      </c>
      <c r="I219" s="101">
        <f t="shared" si="54"/>
        <v>0.09581138058318608</v>
      </c>
      <c r="K219" s="101" t="s">
        <v>104</v>
      </c>
      <c r="L219" s="141">
        <v>0</v>
      </c>
      <c r="M219" s="136">
        <v>0.0166</v>
      </c>
      <c r="N219" s="140">
        <v>0</v>
      </c>
      <c r="O219" s="140">
        <v>0</v>
      </c>
      <c r="P219" s="140">
        <v>0</v>
      </c>
      <c r="Q219" s="140">
        <v>0</v>
      </c>
      <c r="R219" s="140"/>
      <c r="S219" s="136">
        <v>0</v>
      </c>
      <c r="T219" s="136">
        <v>0</v>
      </c>
      <c r="U219" s="140">
        <v>0</v>
      </c>
      <c r="V219" s="140">
        <v>0</v>
      </c>
      <c r="W219" s="140">
        <v>0</v>
      </c>
      <c r="X219" s="140">
        <v>0</v>
      </c>
      <c r="Z219" s="136">
        <v>0</v>
      </c>
      <c r="AA219" s="136">
        <v>0</v>
      </c>
      <c r="AB219" s="140">
        <v>0</v>
      </c>
      <c r="AC219" s="140">
        <v>0</v>
      </c>
      <c r="AD219" s="140">
        <v>0</v>
      </c>
      <c r="AE219" s="140">
        <v>0</v>
      </c>
    </row>
    <row r="220" spans="1:31" ht="15" customHeight="1">
      <c r="A220" s="101" t="s">
        <v>105</v>
      </c>
      <c r="B220" s="101">
        <f aca="true" t="shared" si="55" ref="B220:I220">(B204*B204)</f>
        <v>0.36051747414964425</v>
      </c>
      <c r="C220" s="101">
        <f t="shared" si="55"/>
        <v>0.11340217628751374</v>
      </c>
      <c r="D220" s="102">
        <f t="shared" si="55"/>
        <v>0.11340217628751374</v>
      </c>
      <c r="E220" s="101">
        <f t="shared" si="55"/>
        <v>0.36051747414964425</v>
      </c>
      <c r="F220" s="101">
        <f t="shared" si="55"/>
        <v>0.11340217628751374</v>
      </c>
      <c r="G220" s="101">
        <f t="shared" si="55"/>
        <v>0.11340217628751374</v>
      </c>
      <c r="H220" s="101">
        <f t="shared" si="55"/>
        <v>0.11340217628751374</v>
      </c>
      <c r="I220" s="101">
        <f t="shared" si="55"/>
        <v>0.11340217628751374</v>
      </c>
      <c r="K220" s="101" t="s">
        <v>105</v>
      </c>
      <c r="L220" s="141">
        <v>0</v>
      </c>
      <c r="M220" s="136">
        <v>0</v>
      </c>
      <c r="N220" s="140">
        <v>0</v>
      </c>
      <c r="O220" s="140">
        <v>0</v>
      </c>
      <c r="P220" s="140">
        <v>0</v>
      </c>
      <c r="Q220" s="140">
        <v>0</v>
      </c>
      <c r="R220" s="140"/>
      <c r="S220" s="136">
        <v>-0.00441</v>
      </c>
      <c r="T220" s="136">
        <v>-0.011</v>
      </c>
      <c r="U220" s="140">
        <v>0</v>
      </c>
      <c r="V220" s="140">
        <v>0</v>
      </c>
      <c r="W220" s="140">
        <v>0</v>
      </c>
      <c r="X220" s="140">
        <v>0</v>
      </c>
      <c r="Z220" s="136">
        <v>-0.00554695877457701</v>
      </c>
      <c r="AA220" s="136">
        <v>-0.009899347484947031</v>
      </c>
      <c r="AB220" s="140">
        <v>0</v>
      </c>
      <c r="AC220" s="140">
        <v>0</v>
      </c>
      <c r="AD220" s="140">
        <v>0</v>
      </c>
      <c r="AE220" s="140">
        <v>0</v>
      </c>
    </row>
    <row r="221" spans="1:31" ht="15" customHeight="1">
      <c r="A221" s="101" t="s">
        <v>106</v>
      </c>
      <c r="B221" s="101">
        <f aca="true" t="shared" si="56" ref="B221:I221">(B208*B206)</f>
        <v>-0.8467031655445045</v>
      </c>
      <c r="C221" s="101">
        <f t="shared" si="56"/>
        <v>-0.36426661608741473</v>
      </c>
      <c r="D221" s="101">
        <f t="shared" si="56"/>
        <v>-0.36426661608741473</v>
      </c>
      <c r="E221" s="101">
        <f t="shared" si="56"/>
        <v>-0.8467031655445045</v>
      </c>
      <c r="F221" s="101">
        <f t="shared" si="56"/>
        <v>-0.36426661608741473</v>
      </c>
      <c r="G221" s="101">
        <f t="shared" si="56"/>
        <v>-0.36426661608741473</v>
      </c>
      <c r="H221" s="101">
        <f t="shared" si="56"/>
        <v>-0.36426661608741473</v>
      </c>
      <c r="I221" s="101">
        <f t="shared" si="56"/>
        <v>-0.36426661608741473</v>
      </c>
      <c r="K221" s="101" t="s">
        <v>106</v>
      </c>
      <c r="L221" s="141">
        <v>0</v>
      </c>
      <c r="M221" s="136">
        <v>0</v>
      </c>
      <c r="N221" s="140">
        <v>0</v>
      </c>
      <c r="O221" s="140">
        <v>0</v>
      </c>
      <c r="P221" s="140">
        <v>0</v>
      </c>
      <c r="Q221" s="140">
        <v>0</v>
      </c>
      <c r="R221" s="140"/>
      <c r="S221" s="136">
        <v>-0.01324</v>
      </c>
      <c r="T221" s="136">
        <v>0</v>
      </c>
      <c r="U221" s="140">
        <v>0</v>
      </c>
      <c r="V221" s="140">
        <v>0</v>
      </c>
      <c r="W221" s="140">
        <v>0</v>
      </c>
      <c r="X221" s="140">
        <v>0</v>
      </c>
      <c r="Z221" s="136">
        <v>-0.00918146009065018</v>
      </c>
      <c r="AA221" s="136">
        <v>0</v>
      </c>
      <c r="AB221" s="140">
        <v>0</v>
      </c>
      <c r="AC221" s="140">
        <v>0</v>
      </c>
      <c r="AD221" s="140">
        <v>0</v>
      </c>
      <c r="AE221" s="140">
        <v>0</v>
      </c>
    </row>
    <row r="222" spans="1:31" ht="15" customHeight="1">
      <c r="A222" s="101" t="s">
        <v>107</v>
      </c>
      <c r="B222" s="101">
        <f aca="true" t="shared" si="57" ref="B222:I222">(B204*B206)</f>
        <v>-0.538333318283377</v>
      </c>
      <c r="C222" s="101">
        <f t="shared" si="57"/>
        <v>-0.12510930693126648</v>
      </c>
      <c r="D222" s="102">
        <f t="shared" si="57"/>
        <v>-0.12510930693126648</v>
      </c>
      <c r="E222" s="101">
        <f t="shared" si="57"/>
        <v>-0.538333318283377</v>
      </c>
      <c r="F222" s="101">
        <f t="shared" si="57"/>
        <v>-0.12510930693126648</v>
      </c>
      <c r="G222" s="101">
        <f t="shared" si="57"/>
        <v>-0.12510930693126648</v>
      </c>
      <c r="H222" s="101">
        <f t="shared" si="57"/>
        <v>-0.12510930693126648</v>
      </c>
      <c r="I222" s="101">
        <f t="shared" si="57"/>
        <v>-0.12510930693126648</v>
      </c>
      <c r="K222" s="101" t="s">
        <v>107</v>
      </c>
      <c r="L222" s="141">
        <v>0</v>
      </c>
      <c r="M222" s="136">
        <v>0</v>
      </c>
      <c r="N222" s="140">
        <v>0</v>
      </c>
      <c r="O222" s="140">
        <v>0</v>
      </c>
      <c r="P222" s="140">
        <v>0</v>
      </c>
      <c r="Q222" s="140">
        <v>0</v>
      </c>
      <c r="R222" s="140"/>
      <c r="S222" s="136">
        <v>0</v>
      </c>
      <c r="T222" s="136">
        <v>0.007222</v>
      </c>
      <c r="U222" s="140">
        <v>0</v>
      </c>
      <c r="V222" s="140">
        <v>0</v>
      </c>
      <c r="W222" s="140">
        <v>0</v>
      </c>
      <c r="X222" s="140">
        <v>0</v>
      </c>
      <c r="Z222" s="136">
        <v>0</v>
      </c>
      <c r="AA222" s="136">
        <v>0.007656584492122542</v>
      </c>
      <c r="AB222" s="140">
        <v>0</v>
      </c>
      <c r="AC222" s="140">
        <v>0</v>
      </c>
      <c r="AD222" s="140">
        <v>0</v>
      </c>
      <c r="AE222" s="140">
        <v>0</v>
      </c>
    </row>
    <row r="223" spans="1:31" ht="15" customHeight="1">
      <c r="A223" s="101" t="s">
        <v>108</v>
      </c>
      <c r="B223" s="101">
        <f aca="true" t="shared" si="58" ref="B223:I223">(B204*B208)</f>
        <v>0.5670302695920625</v>
      </c>
      <c r="C223" s="101">
        <f t="shared" si="58"/>
        <v>0.3301802881531072</v>
      </c>
      <c r="D223" s="102">
        <f t="shared" si="58"/>
        <v>0.3301802881531072</v>
      </c>
      <c r="E223" s="101">
        <f t="shared" si="58"/>
        <v>0.5670302695920625</v>
      </c>
      <c r="F223" s="101">
        <f t="shared" si="58"/>
        <v>0.3301802881531072</v>
      </c>
      <c r="G223" s="101">
        <f t="shared" si="58"/>
        <v>0.3301802881531072</v>
      </c>
      <c r="H223" s="101">
        <f t="shared" si="58"/>
        <v>0.3301802881531072</v>
      </c>
      <c r="I223" s="101">
        <f t="shared" si="58"/>
        <v>0.3301802881531072</v>
      </c>
      <c r="K223" s="101" t="s">
        <v>108</v>
      </c>
      <c r="L223" s="141">
        <v>0</v>
      </c>
      <c r="M223" s="136">
        <v>-0.03017</v>
      </c>
      <c r="N223" s="140">
        <v>0</v>
      </c>
      <c r="O223" s="140">
        <v>0</v>
      </c>
      <c r="P223" s="140">
        <v>0</v>
      </c>
      <c r="Q223" s="140">
        <v>0</v>
      </c>
      <c r="R223" s="140"/>
      <c r="S223" s="136">
        <v>0.00751</v>
      </c>
      <c r="T223" s="136">
        <v>0</v>
      </c>
      <c r="U223" s="140">
        <v>0</v>
      </c>
      <c r="V223" s="140">
        <v>0</v>
      </c>
      <c r="W223" s="140">
        <v>0</v>
      </c>
      <c r="X223" s="140">
        <v>0</v>
      </c>
      <c r="Z223" s="136">
        <v>0.005645532727345783</v>
      </c>
      <c r="AA223" s="136">
        <v>0</v>
      </c>
      <c r="AB223" s="140">
        <v>0</v>
      </c>
      <c r="AC223" s="140">
        <v>0</v>
      </c>
      <c r="AD223" s="140">
        <v>0</v>
      </c>
      <c r="AE223" s="140">
        <v>0</v>
      </c>
    </row>
    <row r="224" spans="1:31" ht="15" customHeight="1">
      <c r="A224" s="101" t="s">
        <v>109</v>
      </c>
      <c r="B224" s="101">
        <f aca="true" t="shared" si="59" ref="B224:I224">(B205*B203)</f>
        <v>0.07730538659408911</v>
      </c>
      <c r="C224" s="101">
        <f t="shared" si="59"/>
        <v>0.03315286824894442</v>
      </c>
      <c r="D224" s="102">
        <f t="shared" si="59"/>
        <v>0.03315286824894442</v>
      </c>
      <c r="E224" s="101">
        <f t="shared" si="59"/>
        <v>0.07730538659408911</v>
      </c>
      <c r="F224" s="101">
        <f t="shared" si="59"/>
        <v>0.03315286824894442</v>
      </c>
      <c r="G224" s="101">
        <f t="shared" si="59"/>
        <v>0.03315286824894442</v>
      </c>
      <c r="H224" s="101">
        <f t="shared" si="59"/>
        <v>0.03315286824894442</v>
      </c>
      <c r="I224" s="101">
        <f t="shared" si="59"/>
        <v>0.03315286824894442</v>
      </c>
      <c r="K224" s="101" t="s">
        <v>109</v>
      </c>
      <c r="L224" s="141">
        <v>0</v>
      </c>
      <c r="M224" s="136">
        <v>0</v>
      </c>
      <c r="N224" s="140">
        <v>0</v>
      </c>
      <c r="O224" s="140">
        <v>0</v>
      </c>
      <c r="P224" s="140">
        <v>0</v>
      </c>
      <c r="Q224" s="140">
        <v>0</v>
      </c>
      <c r="R224" s="140"/>
      <c r="S224" s="136">
        <v>0</v>
      </c>
      <c r="T224" s="136">
        <v>0</v>
      </c>
      <c r="U224" s="140">
        <v>0</v>
      </c>
      <c r="V224" s="140">
        <v>0</v>
      </c>
      <c r="W224" s="140">
        <v>0</v>
      </c>
      <c r="X224" s="140">
        <v>0</v>
      </c>
      <c r="Z224" s="136">
        <v>0</v>
      </c>
      <c r="AA224" s="136">
        <v>0</v>
      </c>
      <c r="AB224" s="140">
        <v>0</v>
      </c>
      <c r="AC224" s="140">
        <v>0</v>
      </c>
      <c r="AD224" s="140">
        <v>0</v>
      </c>
      <c r="AE224" s="140">
        <v>0</v>
      </c>
    </row>
    <row r="225" spans="1:31" ht="15" customHeight="1">
      <c r="A225" s="101" t="s">
        <v>110</v>
      </c>
      <c r="B225" s="101">
        <f aca="true" t="shared" si="60" ref="B225:I225">(B206*B206)</f>
        <v>0.8038521912358121</v>
      </c>
      <c r="C225" s="101">
        <f t="shared" si="60"/>
        <v>0.13802502908883996</v>
      </c>
      <c r="D225" s="102">
        <f t="shared" si="60"/>
        <v>0.13802502908883996</v>
      </c>
      <c r="E225" s="101">
        <f t="shared" si="60"/>
        <v>0.8038521912358121</v>
      </c>
      <c r="F225" s="101">
        <f t="shared" si="60"/>
        <v>0.13802502908883996</v>
      </c>
      <c r="G225" s="101">
        <f t="shared" si="60"/>
        <v>0.13802502908883996</v>
      </c>
      <c r="H225" s="101">
        <f t="shared" si="60"/>
        <v>0.13802502908883996</v>
      </c>
      <c r="I225" s="101">
        <f t="shared" si="60"/>
        <v>0.13802502908883996</v>
      </c>
      <c r="K225" s="101" t="s">
        <v>110</v>
      </c>
      <c r="L225" s="141">
        <v>0</v>
      </c>
      <c r="M225" s="136">
        <v>0</v>
      </c>
      <c r="N225" s="140">
        <v>0</v>
      </c>
      <c r="O225" s="140">
        <v>0</v>
      </c>
      <c r="P225" s="140">
        <v>0</v>
      </c>
      <c r="Q225" s="140">
        <v>0</v>
      </c>
      <c r="R225" s="140"/>
      <c r="S225" s="136">
        <v>0.009877</v>
      </c>
      <c r="T225" s="136">
        <v>0</v>
      </c>
      <c r="U225" s="140">
        <v>0</v>
      </c>
      <c r="V225" s="140">
        <v>0</v>
      </c>
      <c r="W225" s="140">
        <v>0</v>
      </c>
      <c r="X225" s="140">
        <v>0</v>
      </c>
      <c r="Z225" s="136">
        <v>0.01418135003128615</v>
      </c>
      <c r="AA225" s="136">
        <v>0</v>
      </c>
      <c r="AB225" s="140">
        <v>0</v>
      </c>
      <c r="AC225" s="140">
        <v>0</v>
      </c>
      <c r="AD225" s="140">
        <v>0</v>
      </c>
      <c r="AE225" s="140">
        <v>0</v>
      </c>
    </row>
    <row r="226" spans="1:31" ht="15" customHeight="1">
      <c r="A226" s="101" t="s">
        <v>111</v>
      </c>
      <c r="B226" s="101">
        <f aca="true" t="shared" si="61" ref="B226:I226">(B208*B208)</f>
        <v>0.891838398102691</v>
      </c>
      <c r="C226" s="101">
        <f t="shared" si="61"/>
        <v>0.9613485935972513</v>
      </c>
      <c r="D226" s="102">
        <f t="shared" si="61"/>
        <v>0.9613485935972513</v>
      </c>
      <c r="E226" s="101">
        <f t="shared" si="61"/>
        <v>0.891838398102691</v>
      </c>
      <c r="F226" s="101">
        <f t="shared" si="61"/>
        <v>0.9613485935972513</v>
      </c>
      <c r="G226" s="101">
        <f t="shared" si="61"/>
        <v>0.9613485935972513</v>
      </c>
      <c r="H226" s="101">
        <f t="shared" si="61"/>
        <v>0.9613485935972513</v>
      </c>
      <c r="I226" s="101">
        <f t="shared" si="61"/>
        <v>0.9613485935972513</v>
      </c>
      <c r="K226" s="101" t="s">
        <v>111</v>
      </c>
      <c r="L226" s="141">
        <v>0</v>
      </c>
      <c r="M226" s="136">
        <v>0</v>
      </c>
      <c r="N226" s="140">
        <v>0</v>
      </c>
      <c r="O226" s="140">
        <v>0</v>
      </c>
      <c r="P226" s="140">
        <v>0</v>
      </c>
      <c r="Q226" s="140">
        <v>0</v>
      </c>
      <c r="R226" s="140"/>
      <c r="S226" s="136">
        <v>-0.00548</v>
      </c>
      <c r="T226" s="136">
        <v>-0.00746</v>
      </c>
      <c r="U226" s="140">
        <v>0</v>
      </c>
      <c r="V226" s="140">
        <v>0</v>
      </c>
      <c r="W226" s="140">
        <v>0</v>
      </c>
      <c r="X226" s="140">
        <v>0</v>
      </c>
      <c r="Z226" s="136">
        <v>-0.641360237103705</v>
      </c>
      <c r="AA226" s="136">
        <v>-0.01090923111404158</v>
      </c>
      <c r="AB226" s="140">
        <v>0</v>
      </c>
      <c r="AC226" s="140">
        <v>0</v>
      </c>
      <c r="AD226" s="140">
        <v>0</v>
      </c>
      <c r="AE226" s="140">
        <v>0</v>
      </c>
    </row>
    <row r="227" spans="1:31" ht="15" customHeight="1">
      <c r="A227" s="101" t="s">
        <v>112</v>
      </c>
      <c r="B227" s="101">
        <f aca="true" t="shared" si="62" ref="B227:I227">(B201*B205)</f>
        <v>0.6644450935002209</v>
      </c>
      <c r="C227" s="101">
        <f t="shared" si="62"/>
        <v>0.17894597116376057</v>
      </c>
      <c r="D227" s="101">
        <f t="shared" si="62"/>
        <v>0.17894597116376057</v>
      </c>
      <c r="E227" s="101">
        <f t="shared" si="62"/>
        <v>0.6644450935002209</v>
      </c>
      <c r="F227" s="101">
        <f t="shared" si="62"/>
        <v>0.17894597116376057</v>
      </c>
      <c r="G227" s="101">
        <f t="shared" si="62"/>
        <v>0.17894597116376057</v>
      </c>
      <c r="H227" s="101">
        <f t="shared" si="62"/>
        <v>0.17894597116376057</v>
      </c>
      <c r="I227" s="101">
        <f t="shared" si="62"/>
        <v>0.17894597116376057</v>
      </c>
      <c r="K227" s="101" t="s">
        <v>112</v>
      </c>
      <c r="L227" s="141">
        <v>0</v>
      </c>
      <c r="M227" s="136">
        <v>0</v>
      </c>
      <c r="N227" s="140">
        <v>0</v>
      </c>
      <c r="O227" s="140">
        <v>0</v>
      </c>
      <c r="P227" s="140">
        <v>0</v>
      </c>
      <c r="Q227" s="140">
        <v>0</v>
      </c>
      <c r="R227" s="140"/>
      <c r="S227" s="136">
        <v>0</v>
      </c>
      <c r="T227" s="136">
        <v>0</v>
      </c>
      <c r="U227" s="140">
        <v>0</v>
      </c>
      <c r="V227" s="140">
        <v>0</v>
      </c>
      <c r="W227" s="140">
        <v>0</v>
      </c>
      <c r="X227" s="140">
        <v>0</v>
      </c>
      <c r="Z227" s="136">
        <v>0</v>
      </c>
      <c r="AA227" s="136">
        <v>0</v>
      </c>
      <c r="AB227" s="140">
        <v>0</v>
      </c>
      <c r="AC227" s="140">
        <v>0</v>
      </c>
      <c r="AD227" s="140">
        <v>0</v>
      </c>
      <c r="AE227" s="140">
        <v>0</v>
      </c>
    </row>
    <row r="228" spans="1:31" ht="15" customHeight="1">
      <c r="A228" s="101" t="s">
        <v>113</v>
      </c>
      <c r="B228" s="101">
        <f aca="true" t="shared" si="63" ref="B228:I228">(B205*B205)</f>
        <v>0.06377627690212308</v>
      </c>
      <c r="C228" s="101">
        <f t="shared" si="63"/>
        <v>0.013577800033428828</v>
      </c>
      <c r="D228" s="101">
        <f t="shared" si="63"/>
        <v>0.013577800033428828</v>
      </c>
      <c r="E228" s="101">
        <f t="shared" si="63"/>
        <v>0.06377627690212308</v>
      </c>
      <c r="F228" s="101">
        <f t="shared" si="63"/>
        <v>0.013577800033428828</v>
      </c>
      <c r="G228" s="101">
        <f t="shared" si="63"/>
        <v>0.013577800033428828</v>
      </c>
      <c r="H228" s="101">
        <f t="shared" si="63"/>
        <v>0.013577800033428828</v>
      </c>
      <c r="I228" s="101">
        <f t="shared" si="63"/>
        <v>0.013577800033428828</v>
      </c>
      <c r="K228" s="101" t="s">
        <v>113</v>
      </c>
      <c r="L228" s="141">
        <v>0</v>
      </c>
      <c r="M228" s="136">
        <v>0</v>
      </c>
      <c r="N228" s="140">
        <v>0</v>
      </c>
      <c r="O228" s="140">
        <v>0</v>
      </c>
      <c r="P228" s="140">
        <v>0</v>
      </c>
      <c r="Q228" s="140">
        <v>0</v>
      </c>
      <c r="R228" s="140"/>
      <c r="S228" s="136">
        <v>0.0063</v>
      </c>
      <c r="T228" s="136">
        <v>0</v>
      </c>
      <c r="U228" s="140">
        <v>0</v>
      </c>
      <c r="V228" s="140">
        <v>0</v>
      </c>
      <c r="W228" s="140">
        <v>0</v>
      </c>
      <c r="X228" s="140">
        <v>0</v>
      </c>
      <c r="Z228" s="136">
        <v>0.0069270621046764475</v>
      </c>
      <c r="AA228" s="136">
        <v>0</v>
      </c>
      <c r="AB228" s="140">
        <v>0</v>
      </c>
      <c r="AC228" s="140">
        <v>0</v>
      </c>
      <c r="AD228" s="140">
        <v>0</v>
      </c>
      <c r="AE228" s="140">
        <v>0</v>
      </c>
    </row>
    <row r="229" spans="1:31" ht="15" customHeight="1">
      <c r="A229" s="101" t="s">
        <v>114</v>
      </c>
      <c r="B229" s="101">
        <f aca="true" t="shared" si="64" ref="B229:I229">(B201*B208)</f>
        <v>2.4846922246524747</v>
      </c>
      <c r="C229" s="101">
        <f t="shared" si="64"/>
        <v>1.5057319594993488</v>
      </c>
      <c r="D229" s="101">
        <f t="shared" si="64"/>
        <v>1.5057319594993488</v>
      </c>
      <c r="E229" s="101">
        <f t="shared" si="64"/>
        <v>2.4846922246524747</v>
      </c>
      <c r="F229" s="101">
        <f t="shared" si="64"/>
        <v>1.5057319594993488</v>
      </c>
      <c r="G229" s="101">
        <f t="shared" si="64"/>
        <v>1.5057319594993488</v>
      </c>
      <c r="H229" s="101">
        <f t="shared" si="64"/>
        <v>1.5057319594993488</v>
      </c>
      <c r="I229" s="101">
        <f t="shared" si="64"/>
        <v>1.5057319594993488</v>
      </c>
      <c r="K229" s="101" t="s">
        <v>114</v>
      </c>
      <c r="L229" s="141">
        <v>0</v>
      </c>
      <c r="M229" s="136">
        <v>0</v>
      </c>
      <c r="N229" s="140">
        <v>0</v>
      </c>
      <c r="O229" s="140">
        <v>0</v>
      </c>
      <c r="P229" s="140">
        <v>0</v>
      </c>
      <c r="Q229" s="140">
        <v>0</v>
      </c>
      <c r="R229" s="140"/>
      <c r="S229" s="136">
        <v>0</v>
      </c>
      <c r="T229" s="136">
        <v>0</v>
      </c>
      <c r="U229" s="140">
        <v>0</v>
      </c>
      <c r="V229" s="140">
        <v>0</v>
      </c>
      <c r="W229" s="140">
        <v>0</v>
      </c>
      <c r="X229" s="140">
        <v>0</v>
      </c>
      <c r="Z229" s="136">
        <v>0</v>
      </c>
      <c r="AA229" s="136">
        <v>0</v>
      </c>
      <c r="AB229" s="140">
        <v>0</v>
      </c>
      <c r="AC229" s="140">
        <v>0</v>
      </c>
      <c r="AD229" s="140">
        <v>0</v>
      </c>
      <c r="AE229" s="140">
        <v>0</v>
      </c>
    </row>
    <row r="230" spans="1:31" ht="15" customHeight="1">
      <c r="A230" s="101" t="s">
        <v>115</v>
      </c>
      <c r="B230" s="101">
        <f aca="true" t="shared" si="65" ref="B230:I230">(B203*B208)</f>
        <v>0.2890834696095518</v>
      </c>
      <c r="C230" s="101">
        <f t="shared" si="65"/>
        <v>0.2789631582474895</v>
      </c>
      <c r="D230" s="101">
        <f t="shared" si="65"/>
        <v>0.2789631582474895</v>
      </c>
      <c r="E230" s="101">
        <f t="shared" si="65"/>
        <v>0.2890834696095518</v>
      </c>
      <c r="F230" s="101">
        <f t="shared" si="65"/>
        <v>0.2789631582474895</v>
      </c>
      <c r="G230" s="101">
        <f t="shared" si="65"/>
        <v>0.2789631582474895</v>
      </c>
      <c r="H230" s="101">
        <f t="shared" si="65"/>
        <v>0.2789631582474895</v>
      </c>
      <c r="I230" s="101">
        <f t="shared" si="65"/>
        <v>0.2789631582474895</v>
      </c>
      <c r="K230" s="101" t="s">
        <v>115</v>
      </c>
      <c r="L230" s="141">
        <v>0</v>
      </c>
      <c r="M230" s="136">
        <v>0</v>
      </c>
      <c r="N230" s="140">
        <v>0</v>
      </c>
      <c r="O230" s="140">
        <v>0</v>
      </c>
      <c r="P230" s="140">
        <v>0</v>
      </c>
      <c r="Q230" s="140">
        <v>0</v>
      </c>
      <c r="R230" s="140"/>
      <c r="S230" s="136">
        <v>0</v>
      </c>
      <c r="T230" s="136">
        <v>-0.00915</v>
      </c>
      <c r="U230" s="140">
        <v>0</v>
      </c>
      <c r="V230" s="140">
        <v>0</v>
      </c>
      <c r="W230" s="140">
        <v>0</v>
      </c>
      <c r="X230" s="140">
        <v>0</v>
      </c>
      <c r="Z230" s="136">
        <v>0</v>
      </c>
      <c r="AA230" s="136">
        <v>-0.010844190871965705</v>
      </c>
      <c r="AB230" s="140">
        <v>0</v>
      </c>
      <c r="AC230" s="140">
        <v>0</v>
      </c>
      <c r="AD230" s="140">
        <v>0</v>
      </c>
      <c r="AE230" s="140">
        <v>0</v>
      </c>
    </row>
    <row r="231" spans="1:31" ht="15" customHeight="1">
      <c r="A231" s="101" t="s">
        <v>116</v>
      </c>
      <c r="B231" s="101">
        <f aca="true" t="shared" si="66" ref="B231:I231">(B203*B205)</f>
        <v>0.07730538659408911</v>
      </c>
      <c r="C231" s="101">
        <f t="shared" si="66"/>
        <v>0.03315286824894442</v>
      </c>
      <c r="D231" s="101">
        <f t="shared" si="66"/>
        <v>0.03315286824894442</v>
      </c>
      <c r="E231" s="101">
        <f t="shared" si="66"/>
        <v>0.07730538659408911</v>
      </c>
      <c r="F231" s="101">
        <f t="shared" si="66"/>
        <v>0.03315286824894442</v>
      </c>
      <c r="G231" s="101">
        <f t="shared" si="66"/>
        <v>0.03315286824894442</v>
      </c>
      <c r="H231" s="101">
        <f t="shared" si="66"/>
        <v>0.03315286824894442</v>
      </c>
      <c r="I231" s="101">
        <f t="shared" si="66"/>
        <v>0.03315286824894442</v>
      </c>
      <c r="K231" s="101" t="s">
        <v>116</v>
      </c>
      <c r="L231" s="141">
        <v>0</v>
      </c>
      <c r="M231" s="136">
        <v>-0.00803</v>
      </c>
      <c r="N231" s="140">
        <v>0</v>
      </c>
      <c r="O231" s="140">
        <v>0</v>
      </c>
      <c r="P231" s="140">
        <v>0</v>
      </c>
      <c r="Q231" s="140">
        <v>0</v>
      </c>
      <c r="R231" s="140"/>
      <c r="S231" s="136">
        <v>0</v>
      </c>
      <c r="T231" s="136">
        <v>0</v>
      </c>
      <c r="U231" s="140">
        <v>0</v>
      </c>
      <c r="V231" s="140">
        <v>0</v>
      </c>
      <c r="W231" s="140">
        <v>0</v>
      </c>
      <c r="X231" s="140">
        <v>0</v>
      </c>
      <c r="Z231" s="136">
        <v>0</v>
      </c>
      <c r="AA231" s="136">
        <v>0</v>
      </c>
      <c r="AB231" s="140">
        <v>0</v>
      </c>
      <c r="AC231" s="140">
        <v>0</v>
      </c>
      <c r="AD231" s="140">
        <v>0</v>
      </c>
      <c r="AE231" s="140">
        <v>0</v>
      </c>
    </row>
    <row r="232" spans="1:31" ht="15" customHeight="1">
      <c r="A232" s="101" t="s">
        <v>303</v>
      </c>
      <c r="B232" s="101">
        <f aca="true" t="shared" si="67" ref="B232:I232">B201*B201</f>
        <v>6.922437365763199</v>
      </c>
      <c r="C232" s="101">
        <f t="shared" si="67"/>
        <v>2.358383575903565</v>
      </c>
      <c r="D232" s="101">
        <f t="shared" si="67"/>
        <v>2.358383575903565</v>
      </c>
      <c r="E232" s="101">
        <f t="shared" si="67"/>
        <v>6.922437365763199</v>
      </c>
      <c r="F232" s="101">
        <f t="shared" si="67"/>
        <v>2.358383575903565</v>
      </c>
      <c r="G232" s="101">
        <f t="shared" si="67"/>
        <v>2.358383575903565</v>
      </c>
      <c r="H232" s="101">
        <f t="shared" si="67"/>
        <v>2.358383575903565</v>
      </c>
      <c r="I232" s="101">
        <f t="shared" si="67"/>
        <v>2.358383575903565</v>
      </c>
      <c r="K232" s="101" t="s">
        <v>303</v>
      </c>
      <c r="L232" s="141">
        <v>0</v>
      </c>
      <c r="M232" s="136">
        <v>0</v>
      </c>
      <c r="N232" s="140">
        <v>0</v>
      </c>
      <c r="O232" s="140">
        <v>0</v>
      </c>
      <c r="P232" s="140">
        <v>0</v>
      </c>
      <c r="Q232" s="140">
        <v>0</v>
      </c>
      <c r="R232" s="140"/>
      <c r="S232" s="136">
        <v>0</v>
      </c>
      <c r="T232" s="136">
        <v>0</v>
      </c>
      <c r="U232" s="140">
        <v>0</v>
      </c>
      <c r="V232" s="140">
        <v>0</v>
      </c>
      <c r="W232" s="140">
        <v>0</v>
      </c>
      <c r="X232" s="140">
        <v>0</v>
      </c>
      <c r="Z232" s="136">
        <v>0</v>
      </c>
      <c r="AA232" s="136">
        <v>0</v>
      </c>
      <c r="AB232" s="140">
        <v>0</v>
      </c>
      <c r="AC232" s="140">
        <v>0</v>
      </c>
      <c r="AD232" s="140">
        <v>0</v>
      </c>
      <c r="AE232" s="140">
        <v>0</v>
      </c>
    </row>
    <row r="233" spans="26:31" ht="15" customHeight="1">
      <c r="Z233" s="140"/>
      <c r="AA233" s="140"/>
      <c r="AB233" s="140"/>
      <c r="AC233" s="140"/>
      <c r="AD233" s="140"/>
      <c r="AE233" s="140"/>
    </row>
    <row r="236" ht="15" customHeight="1">
      <c r="K236" s="101" t="s">
        <v>117</v>
      </c>
    </row>
    <row r="237" ht="15" customHeight="1">
      <c r="L237" s="101" t="s">
        <v>118</v>
      </c>
    </row>
    <row r="238" spans="12:32" ht="15" customHeight="1">
      <c r="L238" s="101" t="s">
        <v>62</v>
      </c>
      <c r="M238" s="101" t="s">
        <v>62</v>
      </c>
      <c r="N238" s="101" t="s">
        <v>62</v>
      </c>
      <c r="O238" s="101" t="s">
        <v>62</v>
      </c>
      <c r="P238" s="101" t="s">
        <v>62</v>
      </c>
      <c r="Q238" s="101" t="s">
        <v>62</v>
      </c>
      <c r="R238" s="101" t="s">
        <v>62</v>
      </c>
      <c r="S238" s="101" t="s">
        <v>63</v>
      </c>
      <c r="T238" s="101" t="s">
        <v>63</v>
      </c>
      <c r="U238" s="101" t="s">
        <v>63</v>
      </c>
      <c r="V238" s="101" t="s">
        <v>63</v>
      </c>
      <c r="W238" s="101" t="s">
        <v>63</v>
      </c>
      <c r="X238" s="101" t="s">
        <v>63</v>
      </c>
      <c r="Y238" s="101" t="s">
        <v>63</v>
      </c>
      <c r="Z238" s="101" t="s">
        <v>64</v>
      </c>
      <c r="AA238" s="101" t="s">
        <v>64</v>
      </c>
      <c r="AB238" s="101" t="s">
        <v>64</v>
      </c>
      <c r="AC238" s="101" t="s">
        <v>64</v>
      </c>
      <c r="AD238" s="101" t="s">
        <v>64</v>
      </c>
      <c r="AE238" s="101" t="s">
        <v>64</v>
      </c>
      <c r="AF238" s="101" t="s">
        <v>64</v>
      </c>
    </row>
    <row r="239" spans="18:32" ht="15" customHeight="1">
      <c r="R239" s="101" t="s">
        <v>119</v>
      </c>
      <c r="Y239" s="101" t="s">
        <v>119</v>
      </c>
      <c r="AF239" s="101" t="s">
        <v>119</v>
      </c>
    </row>
    <row r="240" spans="12:32" ht="15" customHeight="1">
      <c r="L240" s="101" t="s">
        <v>30</v>
      </c>
      <c r="M240" s="101" t="s">
        <v>42</v>
      </c>
      <c r="N240" s="101" t="s">
        <v>23</v>
      </c>
      <c r="O240" s="101" t="s">
        <v>68</v>
      </c>
      <c r="P240" s="101" t="s">
        <v>71</v>
      </c>
      <c r="Q240" s="101" t="s">
        <v>73</v>
      </c>
      <c r="R240" s="101" t="s">
        <v>120</v>
      </c>
      <c r="S240" s="101" t="s">
        <v>30</v>
      </c>
      <c r="T240" s="101" t="s">
        <v>42</v>
      </c>
      <c r="U240" s="101" t="s">
        <v>23</v>
      </c>
      <c r="V240" s="101" t="s">
        <v>68</v>
      </c>
      <c r="W240" s="101" t="s">
        <v>71</v>
      </c>
      <c r="X240" s="101" t="s">
        <v>73</v>
      </c>
      <c r="Y240" s="101" t="s">
        <v>120</v>
      </c>
      <c r="Z240" s="101" t="s">
        <v>30</v>
      </c>
      <c r="AA240" s="101" t="s">
        <v>42</v>
      </c>
      <c r="AB240" s="101" t="s">
        <v>23</v>
      </c>
      <c r="AC240" s="101" t="s">
        <v>68</v>
      </c>
      <c r="AD240" s="101" t="s">
        <v>71</v>
      </c>
      <c r="AE240" s="101" t="s">
        <v>73</v>
      </c>
      <c r="AF240" s="101" t="s">
        <v>120</v>
      </c>
    </row>
    <row r="241" spans="10:31" ht="15" customHeight="1">
      <c r="J241" s="101" t="s">
        <v>121</v>
      </c>
      <c r="L241" s="101">
        <f>(L200+$B201*L201+$B202*L202+$B203*L203+$B204*L204+$B205*L205+$B206*L206+$B207*M207+$B208*L208+$B209*L209+$B210*L210+$B211*L211+$B212*L212+$B213*L213+$B214*L214+$B215*L215+$B216*L216+$B217*L217+$B218*L218+$B219*L219+$B220*L220+$B221*L221+$B222*L222+$B223*L223+$B224*L224+$B225*L225+$B226*L226+$B227*L227+$B228*L228+$B229*L229+$B230*L230+$B231*L231+$B232*L232)</f>
        <v>-0.16455813729202762</v>
      </c>
      <c r="M241" s="101">
        <f>(M200+$B201*M201+$B202*M202+$B203*M203+$B204*M204+$B205*M205+$B206*M206+$B207*M207+$B208*M208+$B209*M209+$B210*M210+$B211*M211+$B212*M212+$B213*M213+$B214*M214+$B215*M215+$B216*M216+$B217*M217+$B218*M218+$B219*M219+$B220*M220+$B221*M221+$B222*M222+$B223*M223+$B224*M224+$B225*M225+$B226*M226+$B227*M227+$B228*M228+$B229*M229+$B230*M230+$B231*M231+$B232*M232)</f>
        <v>-0.8172999169499598</v>
      </c>
      <c r="N241" s="101">
        <f>(N200+$B201*N201+$B202*N202+$B203*N203+$B204*N204+$B205*N205+$B206*N206+$B207*N207+$B208*N208+$B209*N209+$B210*N210+$B211*N211+$B212*N212+$B213*N213+$B214*N214+$B215*N215+$B216*N216+$B217*N217+$B218*N218+$B219*N219+$B220*N220+$B221*N221+$B222*N222+$B223*N223+$B224*N224+$B225*N225+$B226*N226+$B227*N227+$B228*N228+$B229*N229+$B230*N230+$B231*N231+$B232*N232)</f>
        <v>2.6091606956864015</v>
      </c>
      <c r="O241" s="101">
        <f>(O200+$B201*O201+$B202*O202+$B203*O203+$B204*O204+$B205*O205+$B206*O206+$B207*O207+$B208*O208+$B209*O209+$B210*O210+$B211*O211+$B212*O212+$B213*O213+$B214*O214+$B215*O215+$B216*O216+$B217*O217+$B218*O218+$B219*O219+$B220*O220+$B221*O221+$B222*O222+$B223*O223+$B224*O224+$B225*O225+$B226*O226+$B227*O227+$B228*O228+$B229*O229+$B230*O230+$B231*O231+$B232*O232)</f>
        <v>0.6306651891587762</v>
      </c>
      <c r="P241" s="101">
        <f>(P200+$B201*P201+$B202*P202+$B203*P203+$B204*P204+$B205*P205+$B206*P206+$B208*P208+$B209*P209+$B210*P210+$B211*P211+$B212*P212+$B213*P213+$B214*P214+$B215*P215+$B216*P216+$B217*P217+$B218*P218+$B219*P219+$B220*P220+$B221*P221+$B222*P222+$B223*P223+$B224*P224+$B225*P225+$B226*P226+$B227*P227+$B228*P228+$B229*P229+$B230*P230+$B231*P231+$B232*P232)</f>
        <v>2.5157904875645754</v>
      </c>
      <c r="Q241" s="101">
        <f>(Q200+$B201*Q201+$B202*Q202+$B203*Q203+$B204*Q204+$B205*Q205+$B206*Q206+$B208*Q208+$B209*Q209+$B210*Q210+$B211*Q211+$B212*Q212+$B213*Q213+$B214*Q214+$B215*Q215+$B216*Q216+$B217*Q217+$B218*Q218+$B219*Q219+$B220*Q220+$B221*Q221+$B222*Q222+$B223*Q223+$B224*Q224+$B225*Q225+$B226*Q226+$B227*Q227+$B228*Q228+$B229*Q229+$B230*Q230+$B231*Q231+$B232*Q232)</f>
        <v>1.157680267046247</v>
      </c>
      <c r="S241" s="101">
        <f>(S200+$C201*S201+$C202*S202+$C203*S203+$C204*S204+$C205*S205+$C206*S206+$C207*S207+$C208*S208+$C209*S209+$C210*S210+$C211*S211+$C212*S212+$C213*S213+$C214*S214+$C215*S215+$C216*S216+$C217*S217+$C218*S218+$C219*S219+$C220*S220+$C221*S221+$C222*S222+$C223*S223+$C224*S224+$C225*S225+$C226*S226+$C227*S227+$C228*S228+$C229*S229+$C230*S230+$C231*S231+$C232*S232)</f>
        <v>-0.693813712284046</v>
      </c>
      <c r="T241" s="101">
        <f>(T200+$C201*T201+$C202*T202+$C203*T203+$C204*T204+$C205*T205+$C206*T206+$C207*T207+$C208*T208+$C209*T209+$C210*T210+$C211*T211+$C212*T212+$C213*T213+$C214*T214+$C215*T215+$C216*T216+$C217*T217+$C218*T218+$C219*T219+$C220*T220+$C221*T221+$C222*T222+$C223*T223+$C224*T224+$C225*T225+$C226*T226+$C227*T227+$C228*T228+$C229*T229+$C230*T230+$C231*T231+$C232*T232)</f>
        <v>-1.2317962380617749</v>
      </c>
      <c r="U241" s="101">
        <f>(U200+$C201*U201+$C202*U202+$C203*U203+$C204*U204+$C205*U205+$C206*U206+$C207*U207+$C208*U208+$C209*U209+$C210*U210+$C211*U211+$C212*U212+$C213*U213+$C214*U214+$C215*U215+$C216*U216+$C217*U217+$C218*U218+$C219*U219+$C220*U220+$C221*U221+$C222*U222+$C223*U223+$C224*U224+$C225*U225+$C226*U226+$C227*U227+$C228*U228+$C229*U229+$C230*U230+$C231*U231+$C232*U232)</f>
        <v>2.1653572135970913</v>
      </c>
      <c r="V241" s="101">
        <f>(V200+$C201*V201+$C202*V202+$C203*V203+$C204*V204+$C205*V205+$C206*V206+$C207*V207+$C208*V208+$C209*V209+$C210*V210+$C211*V211+$C212*V212+$C213*V213+$C214*V214+$C215*V215+$C216*V216+$C217*V217+$C218*V218+$C219*V219+$C220*V220+$C221*V221+$C222*V222+$C223*V223+$C224*V224+$C225*V225+$C226*V226+$C227*V227+$C228*V228+$C229*V229+$C230*V230+$C231*V231+$C232*V232)</f>
        <v>0.3969031843488424</v>
      </c>
      <c r="W241" s="101">
        <f>(W200+$C201*W201+$C202*W202+$C203*W203+$C204*W204+$C205*W205+$C206*W206+$C208*W208+$C209*W209+$C210*W210+$C211*W211+$C212*W212+$C213*W213+$C214*W214+$C215*W215+$C216*W216+$C217*W217+$C218*W218+$C219*W219+$C220*W220+$C221*W221+$C222*W222+$C223*W223+$C224*W224+$C225*W225+$C226*W226+$C227*W227+$C228*W228+$C229*W229+$C230*W230+$C231*W231+$C232*W232)</f>
        <v>1.1243059701367775</v>
      </c>
      <c r="X241" s="101">
        <f>(X200+$C201*X201+$C202*X202+$C203*X203+$C204*X204+$C205*X205+$C206*X206+$C208*X208+$C209*X209+$C210*X210+$C211*X211+$C212*X212+$C213*X213+$C214*X214+$C215*X215+$C216*X216+$C217*X217+$C218*X218+$C219*X219+$C220*X220+$C221*X221+$C222*X222+$C223*X223+$C224*X224+$C225*X225+$C226*X226+$C227*X227+$C228*X228+$C229*X229+$C230*X230+$C231*X231+$C232*X232)</f>
        <v>0.14476782815413294</v>
      </c>
      <c r="Z241" s="101">
        <f>(Z200+$D201*Z201+$D202*Z202+$D203*Z203+$D204*Z204+$D205*Z205+$D206*Z206+$D207*Z207+$D208*Z208+$D209*Z209+$D210*Z210+$D211*Z211+$D212*Z212+$D213*Z213+$D214*Z214+$D215*Z215+$D216*Z216+$D217*Z217+$D218*Z218+$D219*Z219+$D220*Z220+$D221*Z221+$D222*Z222+$D223*Z223+$D224*Z224+$D225*Z225+$D226*Z226+$D227*Z227+$D228*Z228+$D229*Z229+$D230*Z230+$D231*Z231+$D232*Z232)</f>
        <v>-2.5416271242361423</v>
      </c>
      <c r="AA241" s="101">
        <f>(AA200+$D201*AA201+$D202*AA202+$D203*AA203+$D204*AA204+$D205*AA205+$D206*AA206+$D207*AA207+$D208*AA208+$D209*AA209+$D210*AA210+$D211*AA211+$D212*AA212+$D213*AA213+$D214*AA214+$D215*AA215+$D216*AA216+$D217*AA217+$D218*AA218+$D219*AA219+$D220*AA220+$D221*AA221+$D222*AA222+$D223*AA223+$D224*AA224+$D225*AA225+$D226*AA226+$D227*AA227+$D228*AA228+$D229*AA229+$D230*AA230+$D231*AA231+$D232*AA232)</f>
        <v>-2.7950186029278594</v>
      </c>
      <c r="AB241" s="101">
        <f>(AB200+$D201*AB201+$D202*AB202+$D203*AB203+$D204*AB204+$D205*AB205+$D206*AB206+$D207*AB207+$D208*AB208+$D209*AB209+$D210*AB210+$D211*AB211+$D212*AB212+$D213*AB213+$D214*AB214+$D215*AB215+$D216*AB216+$D217*AB217+$D218*AB218+$D219*AB219+$D220*AB220+$D221*AB221+$D222*AB222+$D223*AB223+$D224*AB224+$D225*AB225+$D226*AB226+$D227*AB227+$D228*AB228+$D229*AB229+$D230*AB230+$D231*AB231+$D232*AB232)</f>
        <v>2.1653572135970913</v>
      </c>
      <c r="AC241" s="101">
        <f>(AC200+$D201*AC201+$D202*AC202+$D203*AC203+$D204*AC204+$D205*AC205+$D206*AC206+$D207*AC207+$D208*AC208+$D209*AC209+$D210*AC210+$D211*AC211+$D212*AC212+$D213*AC213+$D214*AC214+$D215*AC215+$D216*AC216+$D217*AC217+$D218*AC218+$D219*AC219+$D220*AC220+$D221*AC221+$D222*AC222+$D223*AC223+$D224*AC224+$D225*AC225+$D226*AC226+$D227*AC227+$D228*AC228+$D229*AC229+$D230*AC230+$D231*AC231+$D232*AC232)</f>
        <v>0.3969031843488424</v>
      </c>
      <c r="AD241" s="101">
        <f>(AD200+$D201*AD201+$D202*AD202+$D203*AD203+$D204*AD204+$D205*AD205+$D206*AD206+$D208*AD208+$D209*AD209+$D210*AD210+$D211*AD211+$D212*AD212+$D213*AD213+$D214*AD214+$D215*AD215+$D216*AD216+$D217*AD217+$D218*AD218+$D219*AD219+$D220*AD220+$D221*AD221+$D222*AD222+$D223*AD223+$D224*AD224+$D225*AD225+$D226*AD226+$D227*AD227+$D228*AD228+$D229*AD229+$D230*AD230+$D231*AD231+$D232*AD232)</f>
        <v>1.1243059701367775</v>
      </c>
      <c r="AE241" s="101">
        <f>(AE200+$D201*AE201+$D202*AE202+$D203*AE203+$D204*AE204+$D205*AE205+$D206*AE206+$D208*AE208+$D209*AE209+$D210*AE210+$D211*AE211+$D212*AE212+$D213*AE213+$D214*AE214+$D215*AE215+$D216*AE216+$D217*AE217+$D218*AE218+$D219*AE219+$D220*AE220+$D221*AE221+$D222*AE222+$D223*AE223+$D224*AE224+$D225*AE225+$D226*AE226+$D227*AE227+$D228*AE228+$D229*AE229+$D230*AE230+$D231*AE231+$D232*AE232)</f>
        <v>0.14476782815413294</v>
      </c>
    </row>
    <row r="242" spans="10:32" ht="15" customHeight="1">
      <c r="J242" s="101" t="s">
        <v>122</v>
      </c>
      <c r="L242" s="101">
        <f aca="true" t="shared" si="68" ref="L242:Q242">EXP(L241)</f>
        <v>0.8482684394807776</v>
      </c>
      <c r="M242" s="101">
        <f t="shared" si="68"/>
        <v>0.44162246346911976</v>
      </c>
      <c r="N242" s="101">
        <f t="shared" si="68"/>
        <v>13.587641898251851</v>
      </c>
      <c r="O242" s="101">
        <f t="shared" si="68"/>
        <v>1.8788599609575836</v>
      </c>
      <c r="P242" s="101">
        <f t="shared" si="68"/>
        <v>12.376388294351395</v>
      </c>
      <c r="Q242" s="101">
        <f t="shared" si="68"/>
        <v>3.1825420589148035</v>
      </c>
      <c r="R242" s="101">
        <f>($T$81*N242+$T$82*O242+$T$83*P242+$T$84*Q242)</f>
        <v>4.672853346905335</v>
      </c>
      <c r="S242" s="101">
        <f aca="true" t="shared" si="69" ref="S242:X242">EXP(S241)</f>
        <v>0.49966684517941223</v>
      </c>
      <c r="T242" s="101">
        <f t="shared" si="69"/>
        <v>0.29176802188223894</v>
      </c>
      <c r="U242" s="101">
        <f t="shared" si="69"/>
        <v>8.717715447213761</v>
      </c>
      <c r="V242" s="101">
        <f t="shared" si="69"/>
        <v>1.4872119376889052</v>
      </c>
      <c r="W242" s="101">
        <f t="shared" si="69"/>
        <v>3.078079828103592</v>
      </c>
      <c r="X242" s="101">
        <f t="shared" si="69"/>
        <v>1.1557712015821293</v>
      </c>
      <c r="Y242" s="101">
        <f>($T$81*U242+$T$82*V242+$T$83*W242+$T$84*X242)</f>
        <v>3.095448696924185</v>
      </c>
      <c r="Z242" s="101">
        <f aca="true" t="shared" si="70" ref="Z242:AE242">EXP(Z241)</f>
        <v>0.07873817870426601</v>
      </c>
      <c r="AA242" s="101">
        <f t="shared" si="70"/>
        <v>0.06111373742756492</v>
      </c>
      <c r="AB242" s="101">
        <f t="shared" si="70"/>
        <v>8.717715447213761</v>
      </c>
      <c r="AC242" s="101">
        <f t="shared" si="70"/>
        <v>1.4872119376889052</v>
      </c>
      <c r="AD242" s="101">
        <f t="shared" si="70"/>
        <v>3.078079828103592</v>
      </c>
      <c r="AE242" s="101">
        <f t="shared" si="70"/>
        <v>1.1557712015821293</v>
      </c>
      <c r="AF242" s="101">
        <f>($T$81*AB242+$T$82*AC242+$T$83*AD242+$T$84*AE242)</f>
        <v>3.095448696924185</v>
      </c>
    </row>
    <row r="244" ht="15" customHeight="1">
      <c r="L244" s="101" t="s">
        <v>123</v>
      </c>
    </row>
    <row r="245" spans="12:32" ht="15" customHeight="1">
      <c r="L245" s="101" t="s">
        <v>62</v>
      </c>
      <c r="M245" s="101" t="s">
        <v>62</v>
      </c>
      <c r="N245" s="101" t="s">
        <v>62</v>
      </c>
      <c r="O245" s="101" t="s">
        <v>62</v>
      </c>
      <c r="P245" s="101" t="s">
        <v>62</v>
      </c>
      <c r="Q245" s="101" t="s">
        <v>62</v>
      </c>
      <c r="R245" s="101" t="s">
        <v>62</v>
      </c>
      <c r="S245" s="101" t="s">
        <v>63</v>
      </c>
      <c r="T245" s="101" t="s">
        <v>63</v>
      </c>
      <c r="U245" s="101" t="s">
        <v>63</v>
      </c>
      <c r="V245" s="101" t="s">
        <v>63</v>
      </c>
      <c r="W245" s="101" t="s">
        <v>63</v>
      </c>
      <c r="X245" s="101" t="s">
        <v>63</v>
      </c>
      <c r="Y245" s="101" t="s">
        <v>63</v>
      </c>
      <c r="Z245" s="101" t="s">
        <v>64</v>
      </c>
      <c r="AA245" s="101" t="s">
        <v>64</v>
      </c>
      <c r="AB245" s="101" t="s">
        <v>64</v>
      </c>
      <c r="AC245" s="101" t="s">
        <v>64</v>
      </c>
      <c r="AD245" s="101" t="s">
        <v>64</v>
      </c>
      <c r="AE245" s="101" t="s">
        <v>64</v>
      </c>
      <c r="AF245" s="101" t="s">
        <v>64</v>
      </c>
    </row>
    <row r="246" spans="18:32" ht="15" customHeight="1">
      <c r="R246" s="101" t="s">
        <v>119</v>
      </c>
      <c r="Y246" s="101" t="s">
        <v>119</v>
      </c>
      <c r="AF246" s="101" t="s">
        <v>119</v>
      </c>
    </row>
    <row r="247" spans="1:32" ht="15" customHeight="1">
      <c r="A247" s="137"/>
      <c r="C247" s="137"/>
      <c r="L247" s="101" t="s">
        <v>30</v>
      </c>
      <c r="M247" s="101" t="s">
        <v>42</v>
      </c>
      <c r="N247" s="101" t="s">
        <v>23</v>
      </c>
      <c r="O247" s="101" t="s">
        <v>68</v>
      </c>
      <c r="P247" s="101" t="s">
        <v>71</v>
      </c>
      <c r="Q247" s="101" t="s">
        <v>73</v>
      </c>
      <c r="R247" s="101" t="s">
        <v>120</v>
      </c>
      <c r="S247" s="101" t="s">
        <v>30</v>
      </c>
      <c r="T247" s="101" t="s">
        <v>42</v>
      </c>
      <c r="U247" s="101" t="s">
        <v>23</v>
      </c>
      <c r="V247" s="101" t="s">
        <v>68</v>
      </c>
      <c r="W247" s="101" t="s">
        <v>71</v>
      </c>
      <c r="X247" s="101" t="s">
        <v>73</v>
      </c>
      <c r="Y247" s="101" t="s">
        <v>120</v>
      </c>
      <c r="Z247" s="101" t="s">
        <v>30</v>
      </c>
      <c r="AA247" s="101" t="s">
        <v>42</v>
      </c>
      <c r="AB247" s="101" t="s">
        <v>23</v>
      </c>
      <c r="AC247" s="101" t="s">
        <v>68</v>
      </c>
      <c r="AD247" s="101" t="s">
        <v>71</v>
      </c>
      <c r="AE247" s="101" t="s">
        <v>73</v>
      </c>
      <c r="AF247" s="101" t="s">
        <v>120</v>
      </c>
    </row>
    <row r="248" spans="10:31" ht="15" customHeight="1">
      <c r="J248" s="101" t="s">
        <v>121</v>
      </c>
      <c r="L248" s="101">
        <f aca="true" t="shared" si="71" ref="L248:Q248">(L200+$E201*L201+$E202*L202+$E203*L203+$E204*L204+$E205*L205+$E206*L206+$E207*L207+$E208*L208+$E209*L209+$E210*L210+$E211*L211+$E212*L212+$E213*L213+$E214*L214+$E215*L215+$E216*L216+$E217*L217+$E218*L218+$E219*L219+$E220*L220+$E221*L221+$E222*L222+$E223*L223+$E224*L224+$E225*L225+$E226*L226+$E227*L227+$E228*L228+$E229*L229+$E230*L230+$E231*L231+$E232*L232)</f>
        <v>-0.16455813729202762</v>
      </c>
      <c r="M248" s="101">
        <f t="shared" si="71"/>
        <v>-0.8172999169499598</v>
      </c>
      <c r="N248" s="101">
        <f t="shared" si="71"/>
        <v>2.6091606956864015</v>
      </c>
      <c r="O248" s="101">
        <f t="shared" si="71"/>
        <v>0.6306651891587762</v>
      </c>
      <c r="P248" s="101">
        <f t="shared" si="71"/>
        <v>2.405555418945839</v>
      </c>
      <c r="Q248" s="101">
        <f t="shared" si="71"/>
        <v>1.647915648692873</v>
      </c>
      <c r="S248" s="101">
        <f>(S200+$F201*S201+$F202*S202+$F203*S203+$F204*S204+$F205*S205+$F206*S206+$F207*S207+$F208*S208+$F209*S209+$F210*S210+$F211*S211+$F212*S212+$F213*S213+$F214*S214+$F215*S215+$F216*S216+$F217*S217+$F218*S218+$F219*S219+$F220*S220+$F221*S221+$F222*S222+$F223*S223+$F224*S224+$F225*S225+$F226*S226+$F227*S227+$F228*S228+$F229*S229+$F230*S230+$F231*S231+$F232*S232)</f>
        <v>-0.693813712284046</v>
      </c>
      <c r="T248" s="101">
        <f>(T200+$G201*T201+$G202*T202+$G203*T203+$G204*T204+$G205*T205+$G206*T206+$G207*T207+$G208*T208+$G209*T209+$G210*T210+$G211*T211+$G212*T212+$G213*T213+$G214*T214+$G215*T215+$G216*T216+$G217*T217+$G218*T218+$G219*T219+$G220*T220+$G221*T221+$G222*T222+$G223*T223+$G224*T224+$G225*T225+$G226*T226+$G227*T227+$G228*T228+$G229*T229+$G230*T230+$G231*T231+$G232*T232)</f>
        <v>-1.2317962380617749</v>
      </c>
      <c r="U248" s="101">
        <f>U200+$H201*U201+$H202*U202+$H203*U203+$H204*U204+$H205*U205+$H206*U206+$H207*U207+$H208*U208+$H209*U209+$H210*U210+$H211*U211+$H212*U212+$H213*U213+$H214*U214+$H215*U215+$H216*U216+$H217*U217+$H218*U218+$H219*U219+$H220*U220+$H221*U221+$H222*U222+$H223*U223+$H224*U224+$H225*U225+$H226*U226+$H227*U227+$H228*U228+$H229*U229+$H230*U230+$H231*U231+$H232*U232</f>
        <v>2.1653572135970913</v>
      </c>
      <c r="V248" s="101">
        <f>V200+$H201*V201+$H202*V202+$H203*V203+$H204*V204+$H205*V205+$H206*V206+$H207*V207+$H208*V208+$H209*V209+$H210*V210+$H211*V211+$H212*V212+$H213*V213+$H214*V214+$H215*V215+$H216*V216+$H217*V217+$H218*V218+$H219*V219+$H220*V220+$H221*V221+$H222*V222+$H223*V223+$H224*V224+$H225*V225+$H226*V226+$H227*V227+$H228*V228+$H229*V229+$H230*V230+$H231*V231+$H232*V232</f>
        <v>0.3969031843488424</v>
      </c>
      <c r="W248" s="101">
        <f>W200+$H201*W201+$H202*W202+$H203*W203+$H204*W204+$H205*W205+$H206*W206+$H207*W207+$H208*W208+$H209*W209+$H210*W210+$H211*W211+$H212*W212+$H213*W213+$H214*W214+$H215*W215+$H216*W216+$H217*W217+$H218*W218+$H219*W219+$H220*W220+$H221*W221+$H222*W222+$H223*W223+$H224*W224+$H225*W225+$H226*W226+$H227*W227+$H228*W228+$H229*W229+$H230*W230+$H231*W231+$H232*W232</f>
        <v>1.087823672225421</v>
      </c>
      <c r="X248" s="101">
        <f>X200+$H201*X201+$H202*X202+$H203*X203+$H204*X204+$H205*X205+$H206*X206+$H207*X207+$H208*X208+$H209*X209+$H210*X210+$H211*X211+$H212*X212+$H213*X213+$H214*X214+$H215*X215+$H216*X216+$H217*X217+$H218*X218+$H219*X219+$H220*X220+$H221*X221+$H222*X222+$H223*X223+$H224*X224+$H225*X225+$H226*X226+$H227*X227+$H228*X228+$H229*X229+$H230*X230+$H231*X231+$H232*X232</f>
        <v>0.318262689457005</v>
      </c>
      <c r="Z248" s="101">
        <f>(Z200+$F201*Z201+$F202*Z202+$F203*Z203+$F204*Z204+$F205*Z205+$F206*Z206+$F207*Z207+$F208*Z208+$F209*Z209+$F210*Z210+$F211*Z211+$F212*Z212+$F213*Z213+$F214*Z214+$F215*Z215+$F216*Z216+$F217*Z217+$F218*Z218+$F219*Z219+$F220*Z220+$F221*Z221+$F222*Z222+$F223*Z223+$F224*Z224+$F225*Z225+$F226*Z226+$F227*Z227+$F228*Z228+$F229*Z229+$F230*Z230+$F231*Z231+$F232*Z232)</f>
        <v>-2.5416271242361423</v>
      </c>
      <c r="AA248" s="101">
        <f>(AA200+$G201*AA201+$G202*AA202+$G203*AA203+$G204*AA204+$G205*AA205+$G206*AA206+$G207*AA207+$G208*AA208+$G209*AA209+$G210*AA210+$G211*AA211+$G212*AA212+$G213*AA213+$G214*AA214+$G215*AA215+$G216*AA216+$G217*AA217+$G218*AA218+$G219*AA219+$G220*AA220+$G221*AA221+$G222*AA222+$G223*AA223+$G224*AA224+$G225*AA225+$G226*AA226+$G227*AA227+$G228*AA228+$G229*AA229+$G230*AA230+$G231*AA231+$G232*AA232)</f>
        <v>-2.7950186029278594</v>
      </c>
      <c r="AB248" s="101">
        <f>(AB200+$H201*AB201+$H202*AB202+$H203*AB203+$H204*AB204+$H205*AB205+$H206*AB206+$H207*AB207+$H208*AB208+$H209*AB209+$H210*AB210+$H211*AB211+$H212*AB212+$H213*AB213+$H214*AB214+$H215*AB215+$H216*AB216+$H217*AB217+$H218*AB218+$H219*AB219+$H220*AB220+$H221*AB221+$H222*AB222+$H223*AB223+$H224*AB224+$H225*AB225+$H226*AB226+$H227*AB227+$H228*AB228+$H229*AB229+$H230*AB230+$H231*AB231+$H232*AB232)</f>
        <v>2.1653572135970913</v>
      </c>
      <c r="AC248" s="101">
        <f>(AC200+$H201*AC201+$H202*AC202+$H203*AC203+$H204*AC204+$H205*AC205+$H206*AC206+$H207*AC207+$H208*AC208+$H209*AC209+$H210*AC210+$H211*AC211+$H212*AC212+$H213*AC213+$H214*AC214+$H215*AC215+$H216*AC216+$H217*AC217+$H218*AC218+$H219*AC219+$H220*AC220+$H221*AC221+$H222*AC222+$H223*AC223+$H224*AC224+$H225*AC225+$H226*AC226+$H227*AC227+$H228*AC228+$H229*AC229+$H230*AC230+$H231*AC231+$H232*AC232)</f>
        <v>0.3969031843488424</v>
      </c>
      <c r="AD248" s="101">
        <f>(AD200+$H201*AD201+$H202*AD202+$H203*AD203+$H204*AD204+$H205*AD205+$H206*AD206+$H207*AD207+$H208*AD208+$H209*AD209+$H210*AD210+$H211*AD211+$H212*AD212+$H213*AD213+$H214*AD214+$H215*AD215+$H216*AD216+$H217*AD217+$H218*AD218+$H219*AD219+$H220*AD220+$H221*AD221+$H222*AD222+$H223*AD223+$H224*AD224+$H225*AD225+$H226*AD226+$H227*AD227+$H228*AD228+$H229*AD229+$H230*AD230+$H231*AD231+$H232*AD232)</f>
        <v>1.087823672225421</v>
      </c>
      <c r="AE248" s="101">
        <f>(AE200+$H201*AE201+$H202*AE202+$H203*AE203+$H204*AE204+$H205*AE205+$H206*AE206+$H207*AE207+$H208*AE208+$H209*AE209+$H210*AE210+$H211*AE211+$H212*AE212+$H213*AE213+$H214*AE214+$H215*AE215+$H216*AE216+$H217*AE217+$H218*AE218+$H219*AE219+$H220*AE220+$H221*AE221+$H222*AE222+$H223*AE223+$H224*AE224+$H225*AE225+$H226*AE226+$H227*AE227+$H228*AE228+$H229*AE229+$H230*AE230+$H231*AE231+$H232*AE232)</f>
        <v>0.318262689457005</v>
      </c>
    </row>
    <row r="249" spans="10:32" ht="15" customHeight="1">
      <c r="J249" s="101" t="s">
        <v>122</v>
      </c>
      <c r="L249" s="101">
        <f aca="true" t="shared" si="72" ref="L249:Q249">EXP(L248)</f>
        <v>0.8482684394807776</v>
      </c>
      <c r="M249" s="101">
        <f t="shared" si="72"/>
        <v>0.44162246346911976</v>
      </c>
      <c r="N249" s="101">
        <f t="shared" si="72"/>
        <v>13.587641898251851</v>
      </c>
      <c r="O249" s="101">
        <f t="shared" si="72"/>
        <v>1.8788599609575836</v>
      </c>
      <c r="P249" s="101">
        <f t="shared" si="72"/>
        <v>11.084585161365334</v>
      </c>
      <c r="Q249" s="101">
        <f t="shared" si="72"/>
        <v>5.196137955031302</v>
      </c>
      <c r="R249" s="101">
        <f>($T$81*N249+$T$82*O249+$T$83*P249+$T$84*Q249)</f>
        <v>4.659857771588687</v>
      </c>
      <c r="S249" s="101">
        <f aca="true" t="shared" si="73" ref="S249:X249">EXP(S248)</f>
        <v>0.49966684517941223</v>
      </c>
      <c r="T249" s="101">
        <f t="shared" si="73"/>
        <v>0.29176802188223894</v>
      </c>
      <c r="U249" s="101">
        <f t="shared" si="73"/>
        <v>8.717715447213761</v>
      </c>
      <c r="V249" s="101">
        <f t="shared" si="73"/>
        <v>1.4872119376889052</v>
      </c>
      <c r="W249" s="101">
        <f t="shared" si="73"/>
        <v>2.967808115862429</v>
      </c>
      <c r="X249" s="101">
        <f t="shared" si="73"/>
        <v>1.374737342805429</v>
      </c>
      <c r="Y249" s="101">
        <f>($T$81*U249+$T$82*V249+$T$83*W249+$T$84*X249)</f>
        <v>3.0950926452553165</v>
      </c>
      <c r="Z249" s="101">
        <f aca="true" t="shared" si="74" ref="Z249:AE249">EXP(Z248)</f>
        <v>0.07873817870426601</v>
      </c>
      <c r="AA249" s="101">
        <f t="shared" si="74"/>
        <v>0.06111373742756492</v>
      </c>
      <c r="AB249" s="101">
        <f t="shared" si="74"/>
        <v>8.717715447213761</v>
      </c>
      <c r="AC249" s="101">
        <f t="shared" si="74"/>
        <v>1.4872119376889052</v>
      </c>
      <c r="AD249" s="101">
        <f t="shared" si="74"/>
        <v>2.967808115862429</v>
      </c>
      <c r="AE249" s="101">
        <f t="shared" si="74"/>
        <v>1.374737342805429</v>
      </c>
      <c r="AF249" s="101">
        <f>($T$81*AB249+$T$82*AC249+$T$83*AD249+$T$84*AE249)</f>
        <v>3.0950926452553165</v>
      </c>
    </row>
    <row r="250" spans="1:3" ht="15" customHeight="1">
      <c r="A250" s="124"/>
      <c r="C250" s="124"/>
    </row>
    <row r="251" ht="15" customHeight="1">
      <c r="J251" s="101" t="s">
        <v>132</v>
      </c>
    </row>
    <row r="252" spans="10:15" ht="15" customHeight="1">
      <c r="J252" s="101" t="s">
        <v>27</v>
      </c>
      <c r="L252" s="101" t="s">
        <v>62</v>
      </c>
      <c r="M252" s="101" t="s">
        <v>63</v>
      </c>
      <c r="N252" s="101" t="s">
        <v>64</v>
      </c>
      <c r="O252" s="101" t="s">
        <v>28</v>
      </c>
    </row>
    <row r="253" spans="10:15" ht="15" customHeight="1">
      <c r="J253" s="101" t="s">
        <v>125</v>
      </c>
      <c r="L253" s="101">
        <f>(L249/L242-1)*100</f>
        <v>0</v>
      </c>
      <c r="M253" s="101">
        <f>(S249/S242-1)*100</f>
        <v>0</v>
      </c>
      <c r="N253" s="101">
        <f>(Z249/Z242-1)*100</f>
        <v>0</v>
      </c>
      <c r="O253" s="101">
        <f>(N$81*L253+O$81*M253+P$81*N253)</f>
        <v>0</v>
      </c>
    </row>
    <row r="254" spans="10:15" ht="15" customHeight="1">
      <c r="J254" s="101" t="s">
        <v>126</v>
      </c>
      <c r="L254" s="101">
        <f>(M249/M242-1)*100</f>
        <v>0</v>
      </c>
      <c r="M254" s="101">
        <f>(T249/T242-1)*100</f>
        <v>0</v>
      </c>
      <c r="N254" s="101">
        <f>(AA249/AA242-1)*100</f>
        <v>0</v>
      </c>
      <c r="O254" s="101">
        <f>(N$82*L254+O$82*M254+P$82*N254)</f>
        <v>0</v>
      </c>
    </row>
    <row r="255" spans="10:15" ht="15" customHeight="1">
      <c r="J255" s="101" t="s">
        <v>19</v>
      </c>
      <c r="L255" s="101">
        <f>(N249/N242-1)*100</f>
        <v>0</v>
      </c>
      <c r="M255" s="101">
        <f>(U249/U242-1)*100</f>
        <v>0</v>
      </c>
      <c r="N255" s="101">
        <f>(AB249/AB242-1)*100</f>
        <v>0</v>
      </c>
      <c r="O255" s="101">
        <f>(N$83*L255+O$83*M255+P$83*N255)</f>
        <v>0</v>
      </c>
    </row>
    <row r="256" spans="10:15" ht="15" customHeight="1">
      <c r="J256" s="101" t="s">
        <v>68</v>
      </c>
      <c r="L256" s="101">
        <f>(O249/O242-1)*100</f>
        <v>0</v>
      </c>
      <c r="M256" s="101">
        <f>(V249/V242-1)*100</f>
        <v>0</v>
      </c>
      <c r="N256" s="101">
        <f>(AC249/AC242-1)*100</f>
        <v>0</v>
      </c>
      <c r="O256" s="101">
        <f>(N$83*L256+O$83*M256+P$83*N256)</f>
        <v>0</v>
      </c>
    </row>
    <row r="257" spans="10:15" ht="15" customHeight="1">
      <c r="J257" s="101" t="s">
        <v>71</v>
      </c>
      <c r="L257" s="101">
        <f>(P249/P242-1)*100</f>
        <v>-10.437642244754407</v>
      </c>
      <c r="M257" s="101">
        <f>(W249/W242-1)*100</f>
        <v>-3.582483834056427</v>
      </c>
      <c r="N257" s="101">
        <f>(AD249/AD242-1)*100</f>
        <v>-3.582483834056427</v>
      </c>
      <c r="O257" s="101">
        <f>(N$83*L257+O$83*M257+P$83*N257)</f>
        <v>-3.7127318438596886</v>
      </c>
    </row>
    <row r="258" spans="10:15" ht="15" customHeight="1">
      <c r="J258" s="101" t="s">
        <v>73</v>
      </c>
      <c r="L258" s="101">
        <f>(Q249/Q242-1)*100</f>
        <v>63.27004824574425</v>
      </c>
      <c r="M258" s="101">
        <f>(X249/X242-1)*100</f>
        <v>18.94545745070979</v>
      </c>
      <c r="N258" s="101">
        <f>(AE249/AE242-1)*100</f>
        <v>18.94545745070979</v>
      </c>
      <c r="O258" s="101">
        <f>(N$83*L258+O$83*M258+P$83*N258)</f>
        <v>19.787624675815444</v>
      </c>
    </row>
    <row r="259" spans="10:15" ht="15" customHeight="1">
      <c r="J259" s="101" t="s">
        <v>127</v>
      </c>
      <c r="L259" s="101">
        <f>(R249/R242-1)*100</f>
        <v>-0.2781079214748794</v>
      </c>
      <c r="M259" s="101">
        <f>(Y249/Y242-1)*100</f>
        <v>-0.01150242513217048</v>
      </c>
      <c r="N259" s="101">
        <f>(AF249/AF242-1)*100</f>
        <v>-0.01150242513217048</v>
      </c>
      <c r="O259" s="101">
        <f>(((N$83*R249+O$83*Y249+P$83*AF249)/(N$83*R242+O$83*Y242+P$83*AF242))-1)*100</f>
        <v>-0.01907592372996092</v>
      </c>
    </row>
  </sheetData>
  <mergeCells count="1">
    <mergeCell ref="A5:D5"/>
  </mergeCells>
  <printOptions/>
  <pageMargins left="0.5" right="0.5" top="0.2" bottom="0.2" header="0.5" footer="0.5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66"/>
  <sheetViews>
    <sheetView showOutlineSymbols="0" zoomScale="75" zoomScaleNormal="75" workbookViewId="0" topLeftCell="A1">
      <selection activeCell="G27" sqref="G27"/>
    </sheetView>
  </sheetViews>
  <sheetFormatPr defaultColWidth="9.140625" defaultRowHeight="15" customHeight="1"/>
  <cols>
    <col min="1" max="1" width="16.140625" style="101" customWidth="1"/>
    <col min="2" max="2" width="29.8515625" style="101" customWidth="1"/>
    <col min="3" max="3" width="21.7109375" style="101" customWidth="1"/>
    <col min="4" max="4" width="20.28125" style="101" bestFit="1" customWidth="1"/>
    <col min="5" max="5" width="17.140625" style="101" customWidth="1"/>
    <col min="6" max="6" width="21.00390625" style="101" customWidth="1"/>
    <col min="7" max="7" width="16.7109375" style="101" customWidth="1"/>
    <col min="8" max="8" width="16.00390625" style="101" customWidth="1"/>
    <col min="9" max="9" width="22.28125" style="101" customWidth="1"/>
    <col min="10" max="10" width="16.8515625" style="101" customWidth="1"/>
    <col min="11" max="11" width="17.140625" style="101" customWidth="1"/>
    <col min="12" max="12" width="21.28125" style="101" customWidth="1"/>
    <col min="13" max="13" width="18.421875" style="101" customWidth="1"/>
    <col min="14" max="14" width="24.7109375" style="101" customWidth="1"/>
    <col min="15" max="15" width="22.00390625" style="101" customWidth="1"/>
    <col min="16" max="16" width="18.00390625" style="101" customWidth="1"/>
    <col min="17" max="17" width="16.7109375" style="101" customWidth="1"/>
    <col min="18" max="19" width="17.140625" style="101" customWidth="1"/>
    <col min="20" max="16384" width="9.140625" style="101" customWidth="1"/>
  </cols>
  <sheetData>
    <row r="1" ht="15" customHeight="1">
      <c r="A1" s="101" t="s">
        <v>133</v>
      </c>
    </row>
    <row r="2" ht="15" customHeight="1">
      <c r="A2" s="101" t="s">
        <v>134</v>
      </c>
    </row>
    <row r="3" ht="15" customHeight="1">
      <c r="A3" s="101" t="s">
        <v>38</v>
      </c>
    </row>
    <row r="6" spans="3:5" ht="15" customHeight="1">
      <c r="C6" s="101" t="s">
        <v>135</v>
      </c>
      <c r="E6" s="101" t="s">
        <v>136</v>
      </c>
    </row>
    <row r="7" spans="2:5" ht="15" customHeight="1">
      <c r="B7" s="101" t="s">
        <v>137</v>
      </c>
      <c r="C7" s="101">
        <v>7</v>
      </c>
      <c r="E7" s="131">
        <f>ROUND('Phase 3 PM for PM Flat'!B36,2)</f>
        <v>7</v>
      </c>
    </row>
    <row r="8" spans="3:6" ht="15" customHeight="1">
      <c r="C8" s="153" t="s">
        <v>12</v>
      </c>
      <c r="D8" s="153" t="s">
        <v>13</v>
      </c>
      <c r="E8" s="153" t="s">
        <v>12</v>
      </c>
      <c r="F8" s="153" t="s">
        <v>13</v>
      </c>
    </row>
    <row r="9" spans="2:6" ht="15" customHeight="1">
      <c r="B9" s="101" t="s">
        <v>138</v>
      </c>
      <c r="C9" s="101">
        <f>(C30)</f>
        <v>2</v>
      </c>
      <c r="D9" s="101">
        <f>(D30)</f>
        <v>2</v>
      </c>
      <c r="E9" s="101">
        <v>0</v>
      </c>
      <c r="F9" s="101">
        <v>0</v>
      </c>
    </row>
    <row r="11" spans="2:5" ht="15" customHeight="1">
      <c r="B11" s="101" t="s">
        <v>139</v>
      </c>
      <c r="C11" s="101">
        <f>IF('Phase 3 PM for PM Flat'!B24="A",0.7,0.8)</f>
        <v>0.8</v>
      </c>
      <c r="E11" s="131">
        <f>A!B21</f>
        <v>0.8</v>
      </c>
    </row>
    <row r="12" spans="7:8" ht="15" customHeight="1">
      <c r="G12" s="101" t="s">
        <v>300</v>
      </c>
      <c r="H12" s="101" t="s">
        <v>301</v>
      </c>
    </row>
    <row r="13" spans="3:8" ht="15" customHeight="1">
      <c r="C13" s="101" t="s">
        <v>140</v>
      </c>
      <c r="E13" s="101" t="s">
        <v>141</v>
      </c>
      <c r="F13" s="101" t="s">
        <v>142</v>
      </c>
      <c r="G13" s="101" t="s">
        <v>143</v>
      </c>
      <c r="H13" s="101" t="s">
        <v>147</v>
      </c>
    </row>
    <row r="14" spans="2:8" ht="15" customHeight="1">
      <c r="B14" s="101" t="s">
        <v>144</v>
      </c>
      <c r="C14" s="101" t="s">
        <v>145</v>
      </c>
      <c r="D14" s="101" t="s">
        <v>146</v>
      </c>
      <c r="E14" s="101" t="s">
        <v>147</v>
      </c>
      <c r="F14" s="101" t="s">
        <v>148</v>
      </c>
      <c r="G14" s="101" t="s">
        <v>147</v>
      </c>
      <c r="H14" s="101" t="s">
        <v>302</v>
      </c>
    </row>
    <row r="15" spans="2:8" ht="15" customHeight="1">
      <c r="B15" s="101" t="s">
        <v>149</v>
      </c>
      <c r="C15" s="154">
        <f>(100*(-0.35030408+0.19570526*E7)/(-0.35030408+0.19570526*C7)-100)</f>
        <v>0</v>
      </c>
      <c r="D15" s="135">
        <v>0.591</v>
      </c>
      <c r="E15" s="101">
        <f>(A!X81)</f>
        <v>0.0236201740076128</v>
      </c>
      <c r="F15" s="102">
        <f>(C15*D15)</f>
        <v>0</v>
      </c>
      <c r="G15" s="102">
        <f>(E15*F15)</f>
        <v>0</v>
      </c>
      <c r="H15" s="102">
        <f>C15*E15/$E$18</f>
        <v>0</v>
      </c>
    </row>
    <row r="16" spans="2:8" ht="15" customHeight="1">
      <c r="B16" s="101" t="s">
        <v>150</v>
      </c>
      <c r="C16" s="154">
        <f>(100*(-0.2126072+0.17620929*E7)/(-0.2126072+0.17620929*C7)-100)</f>
        <v>0</v>
      </c>
      <c r="D16" s="135">
        <v>0.782</v>
      </c>
      <c r="E16" s="101">
        <f>(A!X82)</f>
        <v>0.012762690720660207</v>
      </c>
      <c r="F16" s="102">
        <f>(C16*D16)</f>
        <v>0</v>
      </c>
      <c r="G16" s="102">
        <f>(E16*F16)</f>
        <v>0</v>
      </c>
      <c r="H16" s="102">
        <f>C16*E16/$E$18</f>
        <v>0</v>
      </c>
    </row>
    <row r="17" spans="2:8" ht="15" customHeight="1">
      <c r="B17" s="155" t="s">
        <v>151</v>
      </c>
      <c r="C17" s="156">
        <f>100*(0.39019212+0.08838416*E7)/(0.39019212+0.08838416*C7)-100</f>
        <v>0</v>
      </c>
      <c r="D17" s="165">
        <v>0.692</v>
      </c>
      <c r="E17" s="155">
        <f>A!X83</f>
        <v>0.03404583693183636</v>
      </c>
      <c r="F17" s="157">
        <f>(C17*D17)</f>
        <v>0</v>
      </c>
      <c r="G17" s="157">
        <f>(E17*F17)</f>
        <v>0</v>
      </c>
      <c r="H17" s="157">
        <f>C17*E17/$E$18</f>
        <v>0</v>
      </c>
    </row>
    <row r="18" spans="2:8" ht="15" customHeight="1">
      <c r="B18" s="101" t="s">
        <v>298</v>
      </c>
      <c r="C18" s="154">
        <f>SUM(C15:C17)</f>
        <v>0</v>
      </c>
      <c r="E18" s="101">
        <f>SUM(E15:E17)</f>
        <v>0.07042870166010937</v>
      </c>
      <c r="G18" s="102">
        <f>SUM(G15:G17)/E18</f>
        <v>0</v>
      </c>
      <c r="H18" s="102">
        <f>SUM(H15:H17)</f>
        <v>0</v>
      </c>
    </row>
    <row r="20" ht="15" customHeight="1">
      <c r="B20" s="101" t="s">
        <v>152</v>
      </c>
    </row>
    <row r="21" spans="3:6" ht="15" customHeight="1">
      <c r="C21" s="101" t="s">
        <v>44</v>
      </c>
      <c r="D21" s="101" t="s">
        <v>45</v>
      </c>
      <c r="E21" s="101" t="s">
        <v>46</v>
      </c>
      <c r="F21" s="101" t="s">
        <v>47</v>
      </c>
    </row>
    <row r="22" spans="2:6" ht="15" customHeight="1">
      <c r="B22" s="101" t="s">
        <v>48</v>
      </c>
      <c r="C22" s="125">
        <f>IF(AND(F9&gt;=1.8,E9&lt;=2.2),2,100)</f>
        <v>100</v>
      </c>
      <c r="D22" s="125">
        <f>IF(AND(F9&gt;=1.8,E9&lt;=2.2),2,100)</f>
        <v>100</v>
      </c>
      <c r="E22" s="125">
        <f>IF(AND(F9&gt;=1.8,E9&lt;=2.2),2,100)</f>
        <v>100</v>
      </c>
      <c r="F22" s="125">
        <f>IF(AND(F9&gt;=1.8,E9&lt;=2.2),2,100)</f>
        <v>100</v>
      </c>
    </row>
    <row r="23" spans="2:6" ht="15" customHeight="1">
      <c r="B23" s="101" t="s">
        <v>49</v>
      </c>
      <c r="C23" s="125">
        <f>IF(AND(AND(F9&gt;=1.8,F9&lt;=2.2),E9&gt;2.2),2,100)</f>
        <v>100</v>
      </c>
      <c r="D23" s="125">
        <f>IF(AND(AND(F9&gt;=1.8,F9&lt;=2.2),E9&gt;2.2),1.8,100)</f>
        <v>100</v>
      </c>
      <c r="E23" s="125">
        <f>IF(AND(AND(F9&gt;=1.8,F9&lt;=2.2),E9&gt;2.2),E9,100)</f>
        <v>100</v>
      </c>
      <c r="F23" s="125">
        <f>IF(AND(AND(F9&gt;=1.8,F9&lt;=2.2),E9&gt;2.2),F9,100)</f>
        <v>100</v>
      </c>
    </row>
    <row r="24" spans="2:6" ht="15" customHeight="1">
      <c r="B24" s="101" t="s">
        <v>50</v>
      </c>
      <c r="C24" s="125">
        <f>IF(AND(AND(F9&lt;1.8,E9&gt;=1.8),E9&lt;=2.2),2.2,100)</f>
        <v>100</v>
      </c>
      <c r="D24" s="125">
        <f>IF(AND(AND(F9&lt;1.8,E9&gt;=1.8),E9&lt;=2.2),2,100)</f>
        <v>100</v>
      </c>
      <c r="E24" s="125">
        <f>IF(AND(AND(F9&lt;1.8,E9&gt;=1.8),E9&lt;=2.2),E9,100)</f>
        <v>100</v>
      </c>
      <c r="F24" s="125">
        <f>IF(AND(AND(F9&lt;1.8,E9&gt;=1.8),E9&lt;=2.2),F9,100)</f>
        <v>100</v>
      </c>
    </row>
    <row r="25" spans="2:6" ht="15" customHeight="1">
      <c r="B25" s="101" t="s">
        <v>51</v>
      </c>
      <c r="C25" s="125">
        <f>IF(AND($F$9&lt;1.8,$E$9&gt;2.2),2,100)</f>
        <v>100</v>
      </c>
      <c r="D25" s="125">
        <f>IF(AND($F$9&lt;1.8,$E$9&gt;2.2),2,100)</f>
        <v>100</v>
      </c>
      <c r="E25" s="125">
        <f>IF(AND($F$9&lt;1.8,$E$9&gt;2.2),E9,100)</f>
        <v>100</v>
      </c>
      <c r="F25" s="125">
        <f>IF(AND($F$9&lt;1.8,$E$9&gt;2.2),F9,100)</f>
        <v>100</v>
      </c>
    </row>
    <row r="26" spans="2:6" ht="15" customHeight="1">
      <c r="B26" s="101" t="s">
        <v>52</v>
      </c>
      <c r="C26" s="125">
        <f>IF(AND(F9&lt;1.8,E9&lt;1.8),2,100)</f>
        <v>2</v>
      </c>
      <c r="D26" s="125">
        <f>IF(AND(F9&lt;1.8,E9&lt;1.8),2,100)</f>
        <v>2</v>
      </c>
      <c r="E26" s="125">
        <f>IF(AND(F9&lt;1.8,E9&lt;1.8),E9,100)</f>
        <v>0</v>
      </c>
      <c r="F26" s="125">
        <f>IF(AND(F9&lt;1.8,E9&lt;1.8),F9,100)</f>
        <v>0</v>
      </c>
    </row>
    <row r="27" spans="2:6" ht="15" customHeight="1">
      <c r="B27" s="101" t="s">
        <v>53</v>
      </c>
      <c r="C27" s="125">
        <f>IF(AND($F9&gt;=2.5,$E9&lt;=2.9),2,100)</f>
        <v>100</v>
      </c>
      <c r="D27" s="125">
        <f>IF(AND($F9&gt;=2.5,$E9&lt;=2.9),2,100)</f>
        <v>100</v>
      </c>
      <c r="E27" s="125">
        <f>IF(AND($F9&gt;=2.5,$E9&lt;=2.9),2.7,100)</f>
        <v>100</v>
      </c>
      <c r="F27" s="125">
        <f>IF(AND($F9&gt;=2.5,$E9&lt;=2.9),2.7,100)</f>
        <v>100</v>
      </c>
    </row>
    <row r="28" spans="2:6" ht="15" customHeight="1">
      <c r="B28" s="101" t="s">
        <v>203</v>
      </c>
      <c r="C28" s="125">
        <f>IF(AND(AND($F9&gt;2.2,$F9&lt;2.5),$E9&gt;2.2),2,100)</f>
        <v>100</v>
      </c>
      <c r="D28" s="125">
        <f>IF(AND(AND($F9&gt;2.2,$F9&lt;2.5),$E9&gt;2.2),2,100)</f>
        <v>100</v>
      </c>
      <c r="E28" s="125">
        <f>IF(AND(AND($F9&gt;2.2,$F9&lt;2.5),$E9&gt;2.2),E9,100)</f>
        <v>100</v>
      </c>
      <c r="F28" s="125">
        <f>IF(AND(AND($F9&gt;2.2,$F9&lt;2.5),$E9&gt;2.2),F9,100)</f>
        <v>100</v>
      </c>
    </row>
    <row r="29" spans="2:6" ht="15" customHeight="1">
      <c r="B29" s="101" t="s">
        <v>204</v>
      </c>
      <c r="C29" s="125">
        <f>IF(AND($F9&gt;=2.5,$E9&gt;2.9),2,100)</f>
        <v>100</v>
      </c>
      <c r="D29" s="125">
        <f>IF(AND($F9&gt;=2.5,$E9&gt;2.9),2,100)</f>
        <v>100</v>
      </c>
      <c r="E29" s="125">
        <f>IF(AND($F9&gt;=2.5,$E9&gt;2.9),E9,100)</f>
        <v>100</v>
      </c>
      <c r="F29" s="125">
        <f>IF(AND($F9&gt;=2.5,$E9&gt;2.9),F9,100)</f>
        <v>100</v>
      </c>
    </row>
    <row r="30" spans="2:6" ht="15" customHeight="1">
      <c r="B30" s="158" t="s">
        <v>54</v>
      </c>
      <c r="C30" s="159">
        <f>SUM(C22:C29)-700</f>
        <v>2</v>
      </c>
      <c r="D30" s="159">
        <f>SUM(D22:D29)-700</f>
        <v>2</v>
      </c>
      <c r="E30" s="159">
        <f>SUM(E22:E29)-700</f>
        <v>0</v>
      </c>
      <c r="F30" s="159">
        <f>SUM(F22:F29)-700</f>
        <v>0</v>
      </c>
    </row>
    <row r="33" ht="15" customHeight="1">
      <c r="B33" s="101" t="s">
        <v>153</v>
      </c>
    </row>
    <row r="34" spans="2:12" ht="15" customHeight="1">
      <c r="B34" s="101" t="s">
        <v>154</v>
      </c>
      <c r="F34" s="101" t="s">
        <v>155</v>
      </c>
      <c r="L34" s="101" t="s">
        <v>156</v>
      </c>
    </row>
    <row r="35" spans="2:16" ht="15" customHeight="1">
      <c r="B35" s="101" t="s">
        <v>157</v>
      </c>
      <c r="G35" s="101" t="s">
        <v>135</v>
      </c>
      <c r="H35" s="101" t="s">
        <v>135</v>
      </c>
      <c r="I35" s="101" t="s">
        <v>136</v>
      </c>
      <c r="J35" s="101" t="s">
        <v>136</v>
      </c>
      <c r="M35" s="101" t="s">
        <v>135</v>
      </c>
      <c r="N35" s="101" t="s">
        <v>135</v>
      </c>
      <c r="O35" s="101" t="s">
        <v>136</v>
      </c>
      <c r="P35" s="101" t="s">
        <v>136</v>
      </c>
    </row>
    <row r="36" spans="3:16" ht="15" customHeight="1">
      <c r="C36" s="101" t="s">
        <v>135</v>
      </c>
      <c r="D36" s="101" t="s">
        <v>136</v>
      </c>
      <c r="F36" s="101" t="s">
        <v>158</v>
      </c>
      <c r="G36" s="101" t="s">
        <v>159</v>
      </c>
      <c r="H36" s="101" t="s">
        <v>160</v>
      </c>
      <c r="I36" s="101" t="s">
        <v>159</v>
      </c>
      <c r="J36" s="101" t="s">
        <v>160</v>
      </c>
      <c r="L36" s="101" t="s">
        <v>158</v>
      </c>
      <c r="M36" s="101" t="s">
        <v>159</v>
      </c>
      <c r="N36" s="101" t="s">
        <v>160</v>
      </c>
      <c r="O36" s="101" t="s">
        <v>159</v>
      </c>
      <c r="P36" s="101" t="s">
        <v>160</v>
      </c>
    </row>
    <row r="37" spans="2:16" ht="15" customHeight="1">
      <c r="B37" s="101" t="s">
        <v>161</v>
      </c>
      <c r="C37" s="101">
        <f>EXP(-4.304062385+(0.234434005*C7))</f>
        <v>0.06973699341542405</v>
      </c>
      <c r="D37" s="101">
        <f>EXP(-4.304062385+(0.234434005*E7))</f>
        <v>0.06973699341542405</v>
      </c>
      <c r="F37" s="101" t="s">
        <v>161</v>
      </c>
      <c r="G37" s="101">
        <f>((2.94917804*C11)-(0.17567009*C11*C7))/100</f>
        <v>0.013755899279999999</v>
      </c>
      <c r="H37" s="101">
        <f>((2.94917804*C11)-(0.17567009*C11*C7))/100</f>
        <v>0.013755899279999999</v>
      </c>
      <c r="I37" s="101">
        <f>((2.94917804*E11)-(0.17567009*E11*E7))/100</f>
        <v>0.013755899279999999</v>
      </c>
      <c r="J37" s="101">
        <f>((2.94917804*E11)-(0.17567009*E11*E7))/100</f>
        <v>0.013755899279999999</v>
      </c>
      <c r="L37" s="101" t="s">
        <v>161</v>
      </c>
      <c r="M37" s="101">
        <f>(C37*G37)</f>
        <v>0.0009592950575125964</v>
      </c>
      <c r="N37" s="101">
        <f aca="true" t="shared" si="0" ref="N37:O39">(C37*H37)</f>
        <v>0.0009592950575125964</v>
      </c>
      <c r="O37" s="101">
        <f t="shared" si="0"/>
        <v>0.0009592950575125964</v>
      </c>
      <c r="P37" s="101">
        <f>(D37*J37)</f>
        <v>0.0009592950575125964</v>
      </c>
    </row>
    <row r="38" spans="2:16" ht="15" customHeight="1">
      <c r="B38" s="101" t="s">
        <v>150</v>
      </c>
      <c r="C38" s="101">
        <f>EXP(-8.498652909+(1.142251184*C7)-(0.048390975*C7*C7))</f>
        <v>0.056469625000768804</v>
      </c>
      <c r="D38" s="101">
        <f>EXP(-8.498652909+(1.142251184*E7)-(0.048390975*E7*E7))</f>
        <v>0.056469625000768804</v>
      </c>
      <c r="F38" s="101" t="s">
        <v>150</v>
      </c>
      <c r="G38" s="101">
        <f>((4.63141591*C11)-(0.27179513*C11*C7)-(0.08184128*C11*C30))/100</f>
        <v>0.02052133952</v>
      </c>
      <c r="H38" s="101">
        <f>((4.63141591*C11)-(0.27179513*C11*C7)-(0.08184128*C11*D30))/100</f>
        <v>0.02052133952</v>
      </c>
      <c r="I38" s="101">
        <f>((4.63141591*E11)-(0.27179513*E11*E7)-(0.08184128*E11*E30))/100</f>
        <v>0.021830800000000004</v>
      </c>
      <c r="J38" s="101">
        <f>((4.63141591*E11)-(0.27179513*E11*E7)-(0.08184128*E11*F30))/100</f>
        <v>0.021830800000000004</v>
      </c>
      <c r="L38" s="101" t="s">
        <v>150</v>
      </c>
      <c r="M38" s="101">
        <f>(C38*G38)</f>
        <v>0.001158832347207857</v>
      </c>
      <c r="N38" s="101">
        <f t="shared" si="0"/>
        <v>0.001158832347207857</v>
      </c>
      <c r="O38" s="101">
        <f t="shared" si="0"/>
        <v>0.0012327770894667838</v>
      </c>
      <c r="P38" s="101">
        <f>(D38*J38)</f>
        <v>0.0012327770894667838</v>
      </c>
    </row>
    <row r="39" spans="2:16" ht="15" customHeight="1">
      <c r="B39" s="101" t="s">
        <v>162</v>
      </c>
      <c r="C39" s="101">
        <f>0.3925594957-(0.1197399622*C7)+(0.011349611*C7*C7)</f>
        <v>0.11051069930000007</v>
      </c>
      <c r="D39" s="101">
        <f>0.3925594957-(0.1197399622*E7)+(0.011349611*E7*E7)</f>
        <v>0.11051069930000007</v>
      </c>
      <c r="F39" s="101" t="s">
        <v>162</v>
      </c>
      <c r="G39" s="101">
        <f>((6.48391842*C11)-(0.5622979*C11*C7))/100</f>
        <v>0.02038266496000001</v>
      </c>
      <c r="H39" s="101">
        <f>((6.48391842*C11)-(0.5622979*C11*C7))/100</f>
        <v>0.02038266496000001</v>
      </c>
      <c r="I39" s="101">
        <f>((6.48391842*E11)-(0.5622979*E11*E7))/100</f>
        <v>0.02038266496000001</v>
      </c>
      <c r="J39" s="101">
        <f>((6.48391842*E11)-(0.5622979*E11*E7))/100</f>
        <v>0.02038266496000001</v>
      </c>
      <c r="L39" s="101" t="s">
        <v>162</v>
      </c>
      <c r="M39" s="101">
        <f>(C39*G39)</f>
        <v>0.002252502558327209</v>
      </c>
      <c r="N39" s="101">
        <f t="shared" si="0"/>
        <v>0.002252502558327209</v>
      </c>
      <c r="O39" s="101">
        <f t="shared" si="0"/>
        <v>0.002252502558327209</v>
      </c>
      <c r="P39" s="101">
        <f>(D39*J39)</f>
        <v>0.002252502558327209</v>
      </c>
    </row>
    <row r="40" spans="2:16" ht="15" customHeight="1">
      <c r="B40" s="101" t="s">
        <v>163</v>
      </c>
      <c r="C40" s="101">
        <f>SUM(C37:C39)</f>
        <v>0.23671731771619292</v>
      </c>
      <c r="D40" s="101">
        <f>SUM(D37:D39)</f>
        <v>0.23671731771619292</v>
      </c>
      <c r="L40" s="101" t="s">
        <v>163</v>
      </c>
      <c r="M40" s="101">
        <f>SUM(M37:M39)</f>
        <v>0.0043706299630476625</v>
      </c>
      <c r="N40" s="101">
        <f>SUM(N37:N39)</f>
        <v>0.0043706299630476625</v>
      </c>
      <c r="O40" s="101">
        <f>SUM(O37:O39)</f>
        <v>0.004444574705306589</v>
      </c>
      <c r="P40" s="101">
        <f>SUM(P37:P39)</f>
        <v>0.004444574705306589</v>
      </c>
    </row>
    <row r="42" spans="2:13" ht="15" customHeight="1">
      <c r="B42" s="101" t="s">
        <v>164</v>
      </c>
      <c r="C42" s="101">
        <f>((D40-C40)/C40)*100</f>
        <v>0</v>
      </c>
      <c r="M42" s="101" t="s">
        <v>165</v>
      </c>
    </row>
    <row r="43" spans="2:15" ht="15" customHeight="1">
      <c r="B43" s="101" t="s">
        <v>166</v>
      </c>
      <c r="M43" s="101" t="s">
        <v>205</v>
      </c>
      <c r="O43" s="101">
        <v>0.572</v>
      </c>
    </row>
    <row r="44" ht="15" customHeight="1">
      <c r="M44" s="101" t="s">
        <v>167</v>
      </c>
    </row>
    <row r="46" spans="1:13" ht="15" customHeight="1">
      <c r="A46" s="101" t="s">
        <v>168</v>
      </c>
      <c r="M46" s="101" t="s">
        <v>169</v>
      </c>
    </row>
    <row r="47" spans="13:16" ht="15" customHeight="1">
      <c r="M47" s="101" t="s">
        <v>135</v>
      </c>
      <c r="N47" s="101" t="s">
        <v>135</v>
      </c>
      <c r="O47" s="101" t="s">
        <v>136</v>
      </c>
      <c r="P47" s="101" t="s">
        <v>136</v>
      </c>
    </row>
    <row r="48" spans="2:16" ht="15" customHeight="1">
      <c r="B48" s="101" t="s">
        <v>135</v>
      </c>
      <c r="C48" s="101" t="s">
        <v>136</v>
      </c>
      <c r="D48" s="101" t="s">
        <v>135</v>
      </c>
      <c r="E48" s="101" t="s">
        <v>136</v>
      </c>
      <c r="M48" s="101" t="s">
        <v>159</v>
      </c>
      <c r="N48" s="101" t="s">
        <v>160</v>
      </c>
      <c r="O48" s="101" t="s">
        <v>159</v>
      </c>
      <c r="P48" s="101" t="s">
        <v>160</v>
      </c>
    </row>
    <row r="49" spans="2:16" ht="15" customHeight="1">
      <c r="B49" s="101" t="s">
        <v>159</v>
      </c>
      <c r="C49" s="101" t="s">
        <v>159</v>
      </c>
      <c r="D49" s="101" t="s">
        <v>160</v>
      </c>
      <c r="E49" s="101" t="s">
        <v>160</v>
      </c>
      <c r="M49" s="101">
        <f>(M40)*(O43)*1000</f>
        <v>2.500000338863263</v>
      </c>
      <c r="N49" s="101">
        <f>(N40)*(O43)*1000</f>
        <v>2.500000338863263</v>
      </c>
      <c r="O49" s="101">
        <f>(O40)*(O43)*1000</f>
        <v>2.5422967314353686</v>
      </c>
      <c r="P49" s="101">
        <f>(P40)*(O43)*1000</f>
        <v>2.5422967314353686</v>
      </c>
    </row>
    <row r="50" ht="15" customHeight="1">
      <c r="A50" s="101" t="s">
        <v>170</v>
      </c>
    </row>
    <row r="51" spans="1:13" ht="15" customHeight="1">
      <c r="A51" s="101" t="s">
        <v>171</v>
      </c>
      <c r="M51" s="101" t="s">
        <v>172</v>
      </c>
    </row>
    <row r="52" spans="1:5" ht="15" customHeight="1">
      <c r="A52" s="101" t="s">
        <v>173</v>
      </c>
      <c r="B52" s="101">
        <f>(M56)</f>
        <v>0.4250000576067547</v>
      </c>
      <c r="C52" s="101">
        <f>(O56)</f>
        <v>0.4321904443440127</v>
      </c>
      <c r="D52" s="101">
        <f>(N56)</f>
        <v>0.4250000576067547</v>
      </c>
      <c r="E52" s="101">
        <f>(P56)</f>
        <v>0.4321904443440127</v>
      </c>
    </row>
    <row r="53" ht="15" customHeight="1">
      <c r="M53" s="101" t="s">
        <v>174</v>
      </c>
    </row>
    <row r="54" spans="1:16" ht="15" customHeight="1">
      <c r="A54" s="101" t="s">
        <v>175</v>
      </c>
      <c r="M54" s="101" t="s">
        <v>135</v>
      </c>
      <c r="N54" s="101" t="s">
        <v>135</v>
      </c>
      <c r="O54" s="101" t="s">
        <v>136</v>
      </c>
      <c r="P54" s="101" t="s">
        <v>136</v>
      </c>
    </row>
    <row r="55" spans="1:16" ht="15" customHeight="1">
      <c r="A55" s="101" t="s">
        <v>176</v>
      </c>
      <c r="M55" s="101" t="s">
        <v>159</v>
      </c>
      <c r="N55" s="101" t="s">
        <v>160</v>
      </c>
      <c r="O55" s="101" t="s">
        <v>159</v>
      </c>
      <c r="P55" s="101" t="s">
        <v>160</v>
      </c>
    </row>
    <row r="56" spans="1:16" ht="15" customHeight="1">
      <c r="A56" s="101" t="s">
        <v>177</v>
      </c>
      <c r="B56" s="101">
        <f>(A!R148)</f>
        <v>4.672853346905335</v>
      </c>
      <c r="C56" s="101">
        <f>(A!R155)</f>
        <v>4.659857771588687</v>
      </c>
      <c r="D56" s="101">
        <f>(A!R242)</f>
        <v>4.672853346905335</v>
      </c>
      <c r="E56" s="101">
        <f>(A!R249)</f>
        <v>4.659857771588687</v>
      </c>
      <c r="M56" s="101">
        <f>(A!T81*M49)</f>
        <v>0.4250000576067547</v>
      </c>
      <c r="N56" s="101">
        <f>(A!T81*N49)</f>
        <v>0.4250000576067547</v>
      </c>
      <c r="O56" s="101">
        <f>(A!T81*O49)</f>
        <v>0.4321904443440127</v>
      </c>
      <c r="P56" s="101">
        <f>(A!T81*P49)</f>
        <v>0.4321904443440127</v>
      </c>
    </row>
    <row r="57" spans="1:5" ht="15" customHeight="1">
      <c r="A57" s="101" t="s">
        <v>178</v>
      </c>
      <c r="B57" s="101">
        <f>(A!Y148)</f>
        <v>3.095448696924185</v>
      </c>
      <c r="C57" s="101">
        <f>(A!Y155)</f>
        <v>3.0950926452553165</v>
      </c>
      <c r="D57" s="101">
        <f>(A!Y242)</f>
        <v>3.095448696924185</v>
      </c>
      <c r="E57" s="101">
        <f>(A!Y249)</f>
        <v>3.0950926452553165</v>
      </c>
    </row>
    <row r="58" spans="1:5" ht="15" customHeight="1">
      <c r="A58" s="101" t="s">
        <v>179</v>
      </c>
      <c r="B58" s="101">
        <f>(A!AF148)</f>
        <v>3.095448696924185</v>
      </c>
      <c r="C58" s="101">
        <f>(A!AF155)</f>
        <v>3.0950926452553165</v>
      </c>
      <c r="D58" s="101">
        <f>(A!AF242)</f>
        <v>3.095448696924185</v>
      </c>
      <c r="E58" s="101">
        <f>(A!AF249)</f>
        <v>3.0950926452553165</v>
      </c>
    </row>
    <row r="59" spans="1:5" ht="15" customHeight="1">
      <c r="A59" s="101" t="s">
        <v>180</v>
      </c>
      <c r="B59" s="101">
        <f>A!N83*B56+A!O83*B57+A!P83*B58</f>
        <v>3.1254193852738266</v>
      </c>
      <c r="C59" s="101">
        <f>A!N83*C56+A!O83*C57+A!P83*C58</f>
        <v>3.1248231826556503</v>
      </c>
      <c r="D59" s="101">
        <f>A!N83*D56+A!O83*D57+A!P83*D58</f>
        <v>3.1254193852738266</v>
      </c>
      <c r="E59" s="101">
        <f>A!N83*E56+A!O83*E57+A!P83*E58</f>
        <v>3.1248231826556503</v>
      </c>
    </row>
    <row r="61" spans="1:5" ht="15" customHeight="1">
      <c r="A61" s="101" t="s">
        <v>181</v>
      </c>
      <c r="B61" s="101">
        <f>(B52+B59)</f>
        <v>3.5504194428805813</v>
      </c>
      <c r="C61" s="101">
        <f>(C52+C59)</f>
        <v>3.557013626999663</v>
      </c>
      <c r="D61" s="101">
        <f>(D52+D59)</f>
        <v>3.5504194428805813</v>
      </c>
      <c r="E61" s="101">
        <f>(E52+E59)</f>
        <v>3.557013626999663</v>
      </c>
    </row>
    <row r="62" ht="15" customHeight="1">
      <c r="A62" s="101" t="s">
        <v>182</v>
      </c>
    </row>
    <row r="63" spans="2:3" ht="15" customHeight="1">
      <c r="B63" s="101" t="s">
        <v>183</v>
      </c>
      <c r="C63" s="101" t="s">
        <v>160</v>
      </c>
    </row>
    <row r="64" spans="1:3" ht="15" customHeight="1">
      <c r="A64" s="101" t="s">
        <v>184</v>
      </c>
      <c r="B64" s="101">
        <f>((C61-B61)/B61)*100</f>
        <v>0.185729720816632</v>
      </c>
      <c r="C64" s="101">
        <f>((E61-D61)/D61)*100</f>
        <v>0.185729720816632</v>
      </c>
    </row>
    <row r="65" ht="15" customHeight="1">
      <c r="A65" s="101" t="s">
        <v>181</v>
      </c>
    </row>
    <row r="66" ht="15" customHeight="1">
      <c r="A66" s="101" t="s">
        <v>182</v>
      </c>
    </row>
  </sheetData>
  <printOptions/>
  <pageMargins left="0.5" right="0.5" top="1.1666666666666667" bottom="1.1666666666666667" header="0.5" footer="0.5"/>
  <pageSetup horizontalDpi="600" verticalDpi="600" orientation="landscape" scal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0"/>
  <sheetViews>
    <sheetView zoomScale="75" zoomScaleNormal="75" workbookViewId="0" topLeftCell="A1">
      <selection activeCell="E28" sqref="E28"/>
    </sheetView>
  </sheetViews>
  <sheetFormatPr defaultColWidth="9.140625" defaultRowHeight="12.75"/>
  <cols>
    <col min="1" max="1" width="18.140625" style="136" customWidth="1"/>
    <col min="2" max="2" width="18.421875" style="136" customWidth="1"/>
    <col min="3" max="3" width="14.8515625" style="136" customWidth="1"/>
    <col min="4" max="4" width="15.28125" style="136" customWidth="1"/>
    <col min="5" max="5" width="12.57421875" style="136" customWidth="1"/>
    <col min="6" max="6" width="21.28125" style="136" customWidth="1"/>
    <col min="7" max="7" width="14.140625" style="136" customWidth="1"/>
    <col min="8" max="16384" width="9.140625" style="136" customWidth="1"/>
  </cols>
  <sheetData>
    <row r="1" spans="1:6" ht="12.75">
      <c r="A1" s="144" t="s">
        <v>185</v>
      </c>
      <c r="B1" s="144"/>
      <c r="C1" s="144"/>
      <c r="D1" s="144"/>
      <c r="E1" s="144"/>
      <c r="F1" s="144"/>
    </row>
    <row r="2" spans="1:6" ht="12.75">
      <c r="A2" s="144" t="s">
        <v>186</v>
      </c>
      <c r="B2" s="144"/>
      <c r="C2" s="144"/>
      <c r="D2" s="144"/>
      <c r="E2" s="144"/>
      <c r="F2" s="144"/>
    </row>
    <row r="3" spans="1:6" ht="12.75">
      <c r="A3" s="144" t="s">
        <v>187</v>
      </c>
      <c r="B3" s="144"/>
      <c r="C3" s="144"/>
      <c r="D3" s="144"/>
      <c r="E3" s="144"/>
      <c r="F3" s="144"/>
    </row>
    <row r="4" spans="1:6" ht="12.75">
      <c r="A4" s="144" t="s">
        <v>188</v>
      </c>
      <c r="B4" s="144"/>
      <c r="C4" s="144"/>
      <c r="D4" s="144"/>
      <c r="E4" s="144"/>
      <c r="F4" s="144"/>
    </row>
    <row r="5" spans="1:6" ht="12.75">
      <c r="A5" s="144"/>
      <c r="B5" s="144"/>
      <c r="C5" s="144"/>
      <c r="D5" s="144"/>
      <c r="E5" s="144"/>
      <c r="F5" s="144"/>
    </row>
    <row r="6" spans="1:6" ht="12.75">
      <c r="A6" s="144" t="s">
        <v>189</v>
      </c>
      <c r="B6" s="144"/>
      <c r="C6" s="144"/>
      <c r="D6" s="144"/>
      <c r="E6" s="144"/>
      <c r="F6" s="144"/>
    </row>
    <row r="7" spans="1:6" ht="12.75">
      <c r="A7" s="144" t="s">
        <v>190</v>
      </c>
      <c r="B7" s="144"/>
      <c r="C7" s="144"/>
      <c r="D7" s="144"/>
      <c r="E7" s="144"/>
      <c r="F7" s="144"/>
    </row>
    <row r="8" spans="1:6" ht="12.75">
      <c r="A8" s="144" t="s">
        <v>191</v>
      </c>
      <c r="B8" s="144"/>
      <c r="C8" s="144"/>
      <c r="D8" s="144"/>
      <c r="E8" s="144"/>
      <c r="F8" s="144"/>
    </row>
    <row r="9" spans="1:6" ht="12.75">
      <c r="A9" s="144" t="s">
        <v>192</v>
      </c>
      <c r="B9" s="144"/>
      <c r="C9" s="144"/>
      <c r="D9" s="144"/>
      <c r="E9" s="144"/>
      <c r="F9" s="144"/>
    </row>
    <row r="10" spans="1:6" ht="12.75">
      <c r="A10" s="144"/>
      <c r="B10" s="144"/>
      <c r="C10" s="144"/>
      <c r="D10" s="144"/>
      <c r="E10" s="144"/>
      <c r="F10" s="144"/>
    </row>
    <row r="11" spans="1:6" ht="15.75">
      <c r="A11" s="145" t="s">
        <v>55</v>
      </c>
      <c r="B11" s="146"/>
      <c r="C11" s="146"/>
      <c r="D11" s="144"/>
      <c r="E11" s="144"/>
      <c r="F11" s="144"/>
    </row>
    <row r="12" spans="1:6" ht="12.75">
      <c r="A12" s="144"/>
      <c r="B12" s="144"/>
      <c r="C12" s="144"/>
      <c r="D12" s="144"/>
      <c r="E12" s="144"/>
      <c r="F12" s="144"/>
    </row>
    <row r="13" spans="1:6" ht="12.75">
      <c r="A13" s="144" t="s">
        <v>193</v>
      </c>
      <c r="B13" s="144" t="s">
        <v>194</v>
      </c>
      <c r="C13" s="144" t="s">
        <v>195</v>
      </c>
      <c r="D13" s="144" t="s">
        <v>196</v>
      </c>
      <c r="E13" s="144" t="s">
        <v>197</v>
      </c>
      <c r="F13" s="144" t="s">
        <v>198</v>
      </c>
    </row>
    <row r="14" spans="1:6" ht="12.75">
      <c r="A14" s="144" t="s">
        <v>199</v>
      </c>
      <c r="B14" s="144" t="s">
        <v>199</v>
      </c>
      <c r="C14" s="144" t="s">
        <v>39</v>
      </c>
      <c r="D14" s="144" t="s">
        <v>200</v>
      </c>
      <c r="E14" s="144" t="s">
        <v>201</v>
      </c>
      <c r="F14" s="144" t="s">
        <v>202</v>
      </c>
    </row>
    <row r="15" spans="1:6" ht="12.75">
      <c r="A15" s="147">
        <f>(A!B73)</f>
        <v>2</v>
      </c>
      <c r="B15" s="147">
        <f>(A!D73)</f>
        <v>2</v>
      </c>
      <c r="C15" s="147">
        <f>(B15-A15)</f>
        <v>0</v>
      </c>
      <c r="D15" s="144">
        <f>T70</f>
        <v>0</v>
      </c>
      <c r="E15" s="144">
        <v>0.015</v>
      </c>
      <c r="F15" s="144">
        <f>(D15*E15)</f>
        <v>0</v>
      </c>
    </row>
    <row r="16" spans="1:6" ht="12.75">
      <c r="A16" s="144"/>
      <c r="B16" s="144"/>
      <c r="C16" s="144"/>
      <c r="D16" s="144"/>
      <c r="E16" s="144"/>
      <c r="F16" s="144"/>
    </row>
    <row r="17" spans="1:6" ht="15.75">
      <c r="A17" s="145" t="s">
        <v>128</v>
      </c>
      <c r="B17" s="146"/>
      <c r="C17" s="146"/>
      <c r="D17" s="144"/>
      <c r="E17" s="144"/>
      <c r="F17" s="144"/>
    </row>
    <row r="18" spans="1:6" ht="12.75">
      <c r="A18" s="144"/>
      <c r="B18" s="144"/>
      <c r="C18" s="144"/>
      <c r="D18" s="144"/>
      <c r="E18" s="144"/>
      <c r="F18" s="144"/>
    </row>
    <row r="19" spans="1:6" ht="12.75">
      <c r="A19" s="144" t="s">
        <v>193</v>
      </c>
      <c r="B19" s="144" t="s">
        <v>194</v>
      </c>
      <c r="C19" s="144" t="s">
        <v>195</v>
      </c>
      <c r="D19" s="144" t="s">
        <v>196</v>
      </c>
      <c r="E19" s="144" t="s">
        <v>197</v>
      </c>
      <c r="F19" s="144" t="s">
        <v>198</v>
      </c>
    </row>
    <row r="20" spans="1:6" ht="12.75">
      <c r="A20" s="144" t="s">
        <v>199</v>
      </c>
      <c r="B20" s="144" t="s">
        <v>199</v>
      </c>
      <c r="C20" s="144" t="s">
        <v>39</v>
      </c>
      <c r="D20" s="144" t="s">
        <v>200</v>
      </c>
      <c r="E20" s="144" t="s">
        <v>201</v>
      </c>
      <c r="F20" s="144" t="s">
        <v>202</v>
      </c>
    </row>
    <row r="21" spans="1:6" ht="12.75">
      <c r="A21" s="147">
        <f>(A!C73)</f>
        <v>2</v>
      </c>
      <c r="B21" s="147">
        <f>(A!E73)</f>
        <v>2</v>
      </c>
      <c r="C21" s="147">
        <f>(B21-A21)</f>
        <v>0</v>
      </c>
      <c r="D21" s="144">
        <f>T70</f>
        <v>0</v>
      </c>
      <c r="E21" s="144">
        <v>0.015</v>
      </c>
      <c r="F21" s="144">
        <f>(D21*E21)</f>
        <v>0</v>
      </c>
    </row>
    <row r="23" spans="1:7" ht="15">
      <c r="A23" s="136" t="s">
        <v>1</v>
      </c>
      <c r="B23" s="136" t="s">
        <v>57</v>
      </c>
      <c r="C23" s="136" t="s">
        <v>58</v>
      </c>
      <c r="E23" s="161"/>
      <c r="F23" s="149"/>
      <c r="G23" s="161"/>
    </row>
    <row r="24" spans="1:7" ht="15">
      <c r="A24" s="136" t="s">
        <v>4</v>
      </c>
      <c r="B24" s="148">
        <f>C24</f>
        <v>7</v>
      </c>
      <c r="C24" s="148">
        <f>'Phase 3 PM for PM Flat'!B36</f>
        <v>7</v>
      </c>
      <c r="E24" s="161"/>
      <c r="F24" s="162"/>
      <c r="G24" s="161"/>
    </row>
    <row r="25" spans="1:7" ht="15">
      <c r="A25" s="136" t="s">
        <v>6</v>
      </c>
      <c r="B25" s="136">
        <v>213</v>
      </c>
      <c r="C25" s="148">
        <f>'Phase 3 PM for PM Flat'!B37</f>
        <v>213</v>
      </c>
      <c r="E25" s="161"/>
      <c r="F25" s="163"/>
      <c r="G25" s="161"/>
    </row>
    <row r="26" spans="1:7" ht="15">
      <c r="A26" s="136" t="s">
        <v>8</v>
      </c>
      <c r="B26" s="136">
        <v>305</v>
      </c>
      <c r="C26" s="148">
        <f>'Phase 3 PM for PM Flat'!B38</f>
        <v>305</v>
      </c>
      <c r="E26" s="161"/>
      <c r="F26" s="164"/>
      <c r="G26" s="161"/>
    </row>
    <row r="27" spans="1:7" ht="12.75">
      <c r="A27" s="136" t="s">
        <v>9</v>
      </c>
      <c r="B27" s="136">
        <v>25</v>
      </c>
      <c r="C27" s="148">
        <f>'Phase 3 PM for PM Flat'!B39</f>
        <v>25</v>
      </c>
      <c r="E27" s="161"/>
      <c r="F27" s="161"/>
      <c r="G27" s="161"/>
    </row>
    <row r="28" spans="1:3" ht="12.75">
      <c r="A28" s="136" t="s">
        <v>11</v>
      </c>
      <c r="B28" s="136">
        <v>6</v>
      </c>
      <c r="C28" s="148">
        <f>'Phase 3 PM for PM Flat'!B40</f>
        <v>6</v>
      </c>
    </row>
    <row r="29" spans="1:3" ht="12.75">
      <c r="A29" s="136" t="s">
        <v>39</v>
      </c>
      <c r="B29" s="136">
        <v>2</v>
      </c>
      <c r="C29" s="148">
        <f>'Phase 3 PM for PM Flat'!B42</f>
        <v>2</v>
      </c>
    </row>
    <row r="30" spans="1:3" ht="12.75">
      <c r="A30" s="136" t="s">
        <v>17</v>
      </c>
      <c r="B30" s="136">
        <v>20</v>
      </c>
      <c r="C30" s="150">
        <f>'Phase 3 PM for PM Flat'!B43</f>
        <v>20</v>
      </c>
    </row>
    <row r="34" spans="1:9" ht="15">
      <c r="A34" s="101" t="s">
        <v>78</v>
      </c>
      <c r="B34" s="101"/>
      <c r="C34" s="101"/>
      <c r="D34" s="102"/>
      <c r="E34" s="101"/>
      <c r="F34" s="101"/>
      <c r="G34" s="101"/>
      <c r="H34" s="101"/>
      <c r="I34" s="101"/>
    </row>
    <row r="35" spans="1:9" ht="15">
      <c r="A35" s="101"/>
      <c r="B35" s="101" t="s">
        <v>62</v>
      </c>
      <c r="C35" s="101" t="s">
        <v>62</v>
      </c>
      <c r="D35" s="102"/>
      <c r="E35" s="101" t="s">
        <v>63</v>
      </c>
      <c r="F35" s="101" t="s">
        <v>63</v>
      </c>
      <c r="G35" s="101"/>
      <c r="H35" s="101" t="s">
        <v>64</v>
      </c>
      <c r="I35" s="101" t="s">
        <v>64</v>
      </c>
    </row>
    <row r="36" spans="1:9" ht="15">
      <c r="A36" s="101" t="s">
        <v>1</v>
      </c>
      <c r="B36" s="101" t="s">
        <v>79</v>
      </c>
      <c r="C36" s="101" t="s">
        <v>80</v>
      </c>
      <c r="D36" s="102"/>
      <c r="E36" s="101" t="s">
        <v>79</v>
      </c>
      <c r="F36" s="101" t="s">
        <v>80</v>
      </c>
      <c r="G36" s="101"/>
      <c r="H36" s="101" t="s">
        <v>79</v>
      </c>
      <c r="I36" s="101" t="s">
        <v>80</v>
      </c>
    </row>
    <row r="37" spans="1:9" ht="12.75">
      <c r="A37" s="136" t="s">
        <v>4</v>
      </c>
      <c r="B37" s="136">
        <v>8.670892</v>
      </c>
      <c r="C37" s="136">
        <v>0.635066</v>
      </c>
      <c r="E37" s="136">
        <v>8.365415</v>
      </c>
      <c r="F37" s="136">
        <v>0.889114</v>
      </c>
      <c r="H37" s="136">
        <v>8.365415</v>
      </c>
      <c r="I37" s="136">
        <v>0.889114</v>
      </c>
    </row>
    <row r="38" spans="1:9" ht="12.75">
      <c r="A38" s="136" t="s">
        <v>6</v>
      </c>
      <c r="B38" s="136">
        <v>212.245188</v>
      </c>
      <c r="C38" s="136">
        <v>15.880385</v>
      </c>
      <c r="E38" s="136">
        <v>205.261051</v>
      </c>
      <c r="F38" s="136">
        <v>17.324472</v>
      </c>
      <c r="H38" s="136">
        <v>205.261051</v>
      </c>
      <c r="I38" s="136">
        <v>17.324472</v>
      </c>
    </row>
    <row r="39" spans="1:9" ht="12.75">
      <c r="A39" s="136" t="s">
        <v>8</v>
      </c>
      <c r="B39" s="136">
        <v>312.121596</v>
      </c>
      <c r="C39" s="136">
        <v>23.264684</v>
      </c>
      <c r="E39" s="136">
        <v>310.931422</v>
      </c>
      <c r="F39" s="136">
        <v>20.847425</v>
      </c>
      <c r="H39" s="136">
        <v>310.931422</v>
      </c>
      <c r="I39" s="136">
        <v>20.847425</v>
      </c>
    </row>
    <row r="40" spans="1:9" ht="12.75">
      <c r="A40" s="136" t="s">
        <v>9</v>
      </c>
      <c r="B40" s="136">
        <v>30.212969</v>
      </c>
      <c r="C40" s="136">
        <v>8.682044</v>
      </c>
      <c r="E40" s="136">
        <v>27.317137</v>
      </c>
      <c r="F40" s="136">
        <v>6.880833</v>
      </c>
      <c r="H40" s="136">
        <v>27.317137</v>
      </c>
      <c r="I40" s="136">
        <v>6.880833</v>
      </c>
    </row>
    <row r="41" spans="1:9" ht="12.75">
      <c r="A41" s="136" t="s">
        <v>11</v>
      </c>
      <c r="B41" s="136">
        <v>7.359624</v>
      </c>
      <c r="C41" s="136">
        <v>5.383804</v>
      </c>
      <c r="E41" s="136">
        <v>6.54945</v>
      </c>
      <c r="F41" s="136">
        <v>4.715345</v>
      </c>
      <c r="H41" s="136">
        <v>6.54945</v>
      </c>
      <c r="I41" s="136">
        <v>4.715345</v>
      </c>
    </row>
    <row r="42" spans="1:9" ht="12.75">
      <c r="A42" s="136" t="s">
        <v>39</v>
      </c>
      <c r="B42" s="136">
        <v>0.892363</v>
      </c>
      <c r="C42" s="136">
        <v>1.235405</v>
      </c>
      <c r="E42" s="136">
        <v>1.536017</v>
      </c>
      <c r="F42" s="136">
        <v>1.248887</v>
      </c>
      <c r="H42" s="136">
        <v>1.536017</v>
      </c>
      <c r="I42" s="136">
        <v>1.248887</v>
      </c>
    </row>
    <row r="43" spans="1:9" ht="12.75">
      <c r="A43" s="136" t="s">
        <v>17</v>
      </c>
      <c r="B43" s="136">
        <v>139.69108</v>
      </c>
      <c r="C43" s="136">
        <v>126.741459</v>
      </c>
      <c r="E43" s="136">
        <v>154.120828</v>
      </c>
      <c r="F43" s="136">
        <v>136.79045</v>
      </c>
      <c r="H43" s="136">
        <v>154.120828</v>
      </c>
      <c r="I43" s="136">
        <v>136.79045</v>
      </c>
    </row>
    <row r="48" spans="1:17" ht="15">
      <c r="A48" s="101" t="s">
        <v>88</v>
      </c>
      <c r="B48" s="101"/>
      <c r="C48" s="101"/>
      <c r="D48" s="102"/>
      <c r="E48" s="101"/>
      <c r="H48" s="101" t="s">
        <v>309</v>
      </c>
      <c r="I48" s="101"/>
      <c r="K48" s="136" t="s">
        <v>310</v>
      </c>
      <c r="N48" s="101" t="s">
        <v>309</v>
      </c>
      <c r="O48" s="101"/>
      <c r="Q48" s="136" t="s">
        <v>310</v>
      </c>
    </row>
    <row r="49" spans="1:18" ht="15">
      <c r="A49" s="101"/>
      <c r="B49" s="101" t="s">
        <v>57</v>
      </c>
      <c r="C49" s="101" t="s">
        <v>57</v>
      </c>
      <c r="D49" s="102" t="s">
        <v>57</v>
      </c>
      <c r="E49" s="101" t="s">
        <v>58</v>
      </c>
      <c r="F49" s="101" t="s">
        <v>58</v>
      </c>
      <c r="G49" s="101" t="s">
        <v>58</v>
      </c>
      <c r="H49" s="101" t="s">
        <v>307</v>
      </c>
      <c r="I49" s="101"/>
      <c r="K49" s="101" t="s">
        <v>307</v>
      </c>
      <c r="L49" s="101"/>
      <c r="N49" s="101" t="s">
        <v>308</v>
      </c>
      <c r="O49" s="101"/>
      <c r="Q49" s="101" t="s">
        <v>308</v>
      </c>
      <c r="R49" s="101"/>
    </row>
    <row r="50" spans="1:19" ht="15">
      <c r="A50" s="101" t="s">
        <v>1</v>
      </c>
      <c r="B50" s="101" t="s">
        <v>62</v>
      </c>
      <c r="C50" s="101" t="s">
        <v>63</v>
      </c>
      <c r="D50" s="101" t="s">
        <v>92</v>
      </c>
      <c r="E50" s="101" t="s">
        <v>62</v>
      </c>
      <c r="F50" s="101" t="s">
        <v>319</v>
      </c>
      <c r="G50" s="101" t="s">
        <v>92</v>
      </c>
      <c r="H50" s="101" t="s">
        <v>177</v>
      </c>
      <c r="I50" s="101" t="s">
        <v>178</v>
      </c>
      <c r="J50" s="101" t="s">
        <v>179</v>
      </c>
      <c r="K50" s="101" t="s">
        <v>177</v>
      </c>
      <c r="L50" s="101" t="s">
        <v>178</v>
      </c>
      <c r="M50" s="101" t="s">
        <v>179</v>
      </c>
      <c r="N50" s="101" t="s">
        <v>177</v>
      </c>
      <c r="O50" s="101" t="s">
        <v>178</v>
      </c>
      <c r="P50" s="101" t="s">
        <v>179</v>
      </c>
      <c r="Q50" s="101" t="s">
        <v>177</v>
      </c>
      <c r="R50" s="101" t="s">
        <v>178</v>
      </c>
      <c r="S50" s="101" t="s">
        <v>179</v>
      </c>
    </row>
    <row r="51" spans="1:19" ht="15">
      <c r="A51" s="136" t="s">
        <v>311</v>
      </c>
      <c r="B51" s="101">
        <v>1</v>
      </c>
      <c r="C51" s="101">
        <v>1</v>
      </c>
      <c r="D51" s="102">
        <v>1</v>
      </c>
      <c r="E51" s="101">
        <v>1</v>
      </c>
      <c r="F51" s="101">
        <v>1</v>
      </c>
      <c r="G51" s="101">
        <v>1</v>
      </c>
      <c r="H51" s="136">
        <v>1.5887</v>
      </c>
      <c r="I51" s="136">
        <v>1.1873</v>
      </c>
      <c r="J51" s="136">
        <v>-0.2551900079148659</v>
      </c>
      <c r="K51" s="136">
        <v>1.5887</v>
      </c>
      <c r="L51" s="136">
        <v>1.1873</v>
      </c>
      <c r="M51" s="136">
        <v>-0.2551900079148659</v>
      </c>
      <c r="N51" s="136">
        <f aca="true" t="shared" si="0" ref="N51:S51">B51*H51</f>
        <v>1.5887</v>
      </c>
      <c r="O51" s="101">
        <f t="shared" si="0"/>
        <v>1.1873</v>
      </c>
      <c r="P51" s="101">
        <f t="shared" si="0"/>
        <v>-0.2551900079148659</v>
      </c>
      <c r="Q51" s="101">
        <f t="shared" si="0"/>
        <v>1.5887</v>
      </c>
      <c r="R51" s="101">
        <f t="shared" si="0"/>
        <v>1.1873</v>
      </c>
      <c r="S51" s="101">
        <f t="shared" si="0"/>
        <v>-0.2551900079148659</v>
      </c>
    </row>
    <row r="52" spans="1:19" ht="15">
      <c r="A52" s="136" t="s">
        <v>312</v>
      </c>
      <c r="B52" s="101">
        <f aca="true" t="shared" si="1" ref="B52:B57">(B24-B37)/C37</f>
        <v>-2.6310525205254263</v>
      </c>
      <c r="C52" s="101">
        <f aca="true" t="shared" si="2" ref="C52:C57">(B24-E37)/F37</f>
        <v>-1.53570295822583</v>
      </c>
      <c r="D52" s="102">
        <f aca="true" t="shared" si="3" ref="D52:D57">(B24-H37)/I37</f>
        <v>-1.53570295822583</v>
      </c>
      <c r="E52" s="101">
        <f aca="true" t="shared" si="4" ref="E52:E57">(C24-B37)/C37</f>
        <v>-2.6310525205254263</v>
      </c>
      <c r="F52" s="101">
        <f aca="true" t="shared" si="5" ref="F52:F58">(C24-E37)/F37</f>
        <v>-1.53570295822583</v>
      </c>
      <c r="G52" s="101">
        <f>(C24-E37)/F37</f>
        <v>-1.53570295822583</v>
      </c>
      <c r="H52" s="136">
        <v>-0.00462</v>
      </c>
      <c r="I52" s="136">
        <v>0.01698</v>
      </c>
      <c r="J52" s="136">
        <v>0.009887106064805584</v>
      </c>
      <c r="K52" s="136">
        <v>-0.00462</v>
      </c>
      <c r="L52" s="136">
        <v>0.01698</v>
      </c>
      <c r="M52" s="136">
        <v>0.009887106064805584</v>
      </c>
      <c r="N52" s="136">
        <f aca="true" t="shared" si="6" ref="N52:O66">B52*H52</f>
        <v>0.01215546264482747</v>
      </c>
      <c r="O52" s="101">
        <f t="shared" si="6"/>
        <v>-0.02607623623067459</v>
      </c>
      <c r="P52" s="101">
        <f aca="true" t="shared" si="7" ref="P52:P66">D52*J52</f>
        <v>-0.01518365803201448</v>
      </c>
      <c r="Q52" s="101">
        <f aca="true" t="shared" si="8" ref="Q52:Q66">E52*K52</f>
        <v>0.01215546264482747</v>
      </c>
      <c r="R52" s="101">
        <f aca="true" t="shared" si="9" ref="R52:R66">F52*L52</f>
        <v>-0.02607623623067459</v>
      </c>
      <c r="S52" s="101">
        <f aca="true" t="shared" si="10" ref="S52:S66">G52*M52</f>
        <v>-0.01518365803201448</v>
      </c>
    </row>
    <row r="53" spans="1:19" ht="15">
      <c r="A53" s="136" t="s">
        <v>313</v>
      </c>
      <c r="B53" s="101">
        <f t="shared" si="1"/>
        <v>0.04753108945406468</v>
      </c>
      <c r="C53" s="101">
        <f t="shared" si="2"/>
        <v>0.4467061968757253</v>
      </c>
      <c r="D53" s="102">
        <f t="shared" si="3"/>
        <v>0.4467061968757253</v>
      </c>
      <c r="E53" s="101">
        <f t="shared" si="4"/>
        <v>0.04753108945406468</v>
      </c>
      <c r="F53" s="101">
        <f t="shared" si="5"/>
        <v>0.4467061968757253</v>
      </c>
      <c r="G53" s="101">
        <f aca="true" t="shared" si="11" ref="G53:G58">(C25-E38)/F38</f>
        <v>0.4467061968757253</v>
      </c>
      <c r="H53" s="136">
        <v>0.009907</v>
      </c>
      <c r="I53" s="136">
        <v>0.02116</v>
      </c>
      <c r="J53" s="136">
        <v>0.017978518203288975</v>
      </c>
      <c r="K53" s="136">
        <v>0.009907</v>
      </c>
      <c r="L53" s="136">
        <v>0.02116</v>
      </c>
      <c r="M53" s="136">
        <v>0.017978518203288975</v>
      </c>
      <c r="N53" s="136">
        <f t="shared" si="6"/>
        <v>0.00047089050322141876</v>
      </c>
      <c r="O53" s="101">
        <f t="shared" si="6"/>
        <v>0.009452303125890349</v>
      </c>
      <c r="P53" s="101">
        <f t="shared" si="7"/>
        <v>0.008031115492052217</v>
      </c>
      <c r="Q53" s="101">
        <f t="shared" si="8"/>
        <v>0.00047089050322141876</v>
      </c>
      <c r="R53" s="101">
        <f t="shared" si="9"/>
        <v>0.009452303125890349</v>
      </c>
      <c r="S53" s="101">
        <f t="shared" si="10"/>
        <v>0.008031115492052217</v>
      </c>
    </row>
    <row r="54" spans="1:19" ht="15">
      <c r="A54" s="136" t="s">
        <v>314</v>
      </c>
      <c r="B54" s="101">
        <f t="shared" si="1"/>
        <v>-0.30611187325819733</v>
      </c>
      <c r="C54" s="101">
        <f t="shared" si="2"/>
        <v>-0.2845158095064497</v>
      </c>
      <c r="D54" s="102">
        <f t="shared" si="3"/>
        <v>-0.2845158095064497</v>
      </c>
      <c r="E54" s="101">
        <f t="shared" si="4"/>
        <v>-0.30611187325819733</v>
      </c>
      <c r="F54" s="101">
        <f t="shared" si="5"/>
        <v>-0.2845158095064497</v>
      </c>
      <c r="G54" s="101">
        <f t="shared" si="11"/>
        <v>-0.2845158095064497</v>
      </c>
      <c r="H54" s="136">
        <v>-0.02546</v>
      </c>
      <c r="I54" s="136">
        <v>-0.00789</v>
      </c>
      <c r="J54" s="136">
        <v>-0.12181396474487524</v>
      </c>
      <c r="K54" s="136">
        <v>-0.02546</v>
      </c>
      <c r="L54" s="136">
        <v>-0.00789</v>
      </c>
      <c r="M54" s="136">
        <v>-0.12181396474487524</v>
      </c>
      <c r="N54" s="136">
        <f t="shared" si="6"/>
        <v>0.007793608293153704</v>
      </c>
      <c r="O54" s="101">
        <f t="shared" si="6"/>
        <v>0.002244829737005888</v>
      </c>
      <c r="P54" s="101">
        <f t="shared" si="7"/>
        <v>0.03465799878857831</v>
      </c>
      <c r="Q54" s="101">
        <f t="shared" si="8"/>
        <v>0.007793608293153704</v>
      </c>
      <c r="R54" s="101">
        <f t="shared" si="9"/>
        <v>0.002244829737005888</v>
      </c>
      <c r="S54" s="101">
        <f t="shared" si="10"/>
        <v>0.03465799878857831</v>
      </c>
    </row>
    <row r="55" spans="1:19" ht="15">
      <c r="A55" s="136" t="s">
        <v>315</v>
      </c>
      <c r="B55" s="101">
        <f t="shared" si="1"/>
        <v>-0.6004310736043266</v>
      </c>
      <c r="C55" s="101">
        <f t="shared" si="2"/>
        <v>-0.3367523961125054</v>
      </c>
      <c r="D55" s="102">
        <f t="shared" si="3"/>
        <v>-0.3367523961125054</v>
      </c>
      <c r="E55" s="101">
        <f t="shared" si="4"/>
        <v>-0.6004310736043266</v>
      </c>
      <c r="F55" s="101">
        <f t="shared" si="5"/>
        <v>-0.3367523961125054</v>
      </c>
      <c r="G55" s="101">
        <f t="shared" si="11"/>
        <v>-0.3367523961125054</v>
      </c>
      <c r="H55" s="136">
        <v>0.05457</v>
      </c>
      <c r="I55" s="136">
        <v>0.02676</v>
      </c>
      <c r="J55" s="136">
        <v>0.027162985909046374</v>
      </c>
      <c r="K55" s="136">
        <v>0.05457</v>
      </c>
      <c r="L55" s="136">
        <v>0.02676</v>
      </c>
      <c r="M55" s="136">
        <v>0.027162985909046374</v>
      </c>
      <c r="N55" s="136">
        <f t="shared" si="6"/>
        <v>-0.032765523686588104</v>
      </c>
      <c r="O55" s="101">
        <f t="shared" si="6"/>
        <v>-0.009011494119970645</v>
      </c>
      <c r="P55" s="101">
        <f t="shared" si="7"/>
        <v>-0.009147200590441587</v>
      </c>
      <c r="Q55" s="101">
        <f t="shared" si="8"/>
        <v>-0.032765523686588104</v>
      </c>
      <c r="R55" s="101">
        <f t="shared" si="9"/>
        <v>-0.009011494119970645</v>
      </c>
      <c r="S55" s="101">
        <f t="shared" si="10"/>
        <v>-0.009147200590441587</v>
      </c>
    </row>
    <row r="56" spans="1:19" ht="15">
      <c r="A56" s="136" t="s">
        <v>316</v>
      </c>
      <c r="B56" s="101">
        <f t="shared" si="1"/>
        <v>-0.2525396541181663</v>
      </c>
      <c r="C56" s="101">
        <f t="shared" si="2"/>
        <v>-0.1165238174513212</v>
      </c>
      <c r="D56" s="102">
        <f t="shared" si="3"/>
        <v>-0.1165238174513212</v>
      </c>
      <c r="E56" s="101">
        <f t="shared" si="4"/>
        <v>-0.2525396541181663</v>
      </c>
      <c r="F56" s="101">
        <f t="shared" si="5"/>
        <v>-0.1165238174513212</v>
      </c>
      <c r="G56" s="101">
        <f t="shared" si="11"/>
        <v>-0.1165238174513212</v>
      </c>
      <c r="H56" s="136">
        <v>0.002466</v>
      </c>
      <c r="I56" s="136">
        <v>0.001162</v>
      </c>
      <c r="J56" s="136">
        <v>-0.00044257813504883535</v>
      </c>
      <c r="K56" s="136">
        <v>0.002466</v>
      </c>
      <c r="L56" s="136">
        <v>0.001162</v>
      </c>
      <c r="M56" s="136">
        <v>-0.00044257813504883535</v>
      </c>
      <c r="N56" s="136">
        <f t="shared" si="6"/>
        <v>-0.0006227627870553981</v>
      </c>
      <c r="O56" s="101">
        <f t="shared" si="6"/>
        <v>-0.00013540067587843523</v>
      </c>
      <c r="P56" s="101">
        <f t="shared" si="7"/>
        <v>5.1570893816376675E-05</v>
      </c>
      <c r="Q56" s="101">
        <f t="shared" si="8"/>
        <v>-0.0006227627870553981</v>
      </c>
      <c r="R56" s="101">
        <f t="shared" si="9"/>
        <v>-0.00013540067587843523</v>
      </c>
      <c r="S56" s="101">
        <f t="shared" si="10"/>
        <v>5.1570893816376675E-05</v>
      </c>
    </row>
    <row r="57" spans="1:19" ht="15">
      <c r="A57" s="136" t="s">
        <v>317</v>
      </c>
      <c r="B57" s="101">
        <f t="shared" si="1"/>
        <v>0.8965780452564138</v>
      </c>
      <c r="C57" s="101">
        <f t="shared" si="2"/>
        <v>0.37151719891391294</v>
      </c>
      <c r="D57" s="102">
        <f t="shared" si="3"/>
        <v>0.37151719891391294</v>
      </c>
      <c r="E57" s="101">
        <f t="shared" si="4"/>
        <v>0.8965780452564138</v>
      </c>
      <c r="F57" s="101">
        <f t="shared" si="5"/>
        <v>0.37151719891391294</v>
      </c>
      <c r="G57" s="101">
        <f t="shared" si="11"/>
        <v>0.37151719891391294</v>
      </c>
      <c r="H57" s="136">
        <v>-0.06898</v>
      </c>
      <c r="I57" s="136">
        <v>-0.05306</v>
      </c>
      <c r="J57" s="136">
        <v>-0.05470699706562168</v>
      </c>
      <c r="K57" s="136">
        <v>-0.06898</v>
      </c>
      <c r="L57" s="136">
        <v>-0.05306</v>
      </c>
      <c r="M57" s="136">
        <v>-0.05470699706562168</v>
      </c>
      <c r="N57" s="136">
        <f t="shared" si="6"/>
        <v>-0.061845953561787424</v>
      </c>
      <c r="O57" s="101">
        <f t="shared" si="6"/>
        <v>-0.019712702574372222</v>
      </c>
      <c r="P57" s="101">
        <f t="shared" si="7"/>
        <v>-0.020324590310811422</v>
      </c>
      <c r="Q57" s="101">
        <f t="shared" si="8"/>
        <v>-0.061845953561787424</v>
      </c>
      <c r="R57" s="101">
        <f t="shared" si="9"/>
        <v>-0.019712702574372222</v>
      </c>
      <c r="S57" s="101">
        <f t="shared" si="10"/>
        <v>-0.020324590310811422</v>
      </c>
    </row>
    <row r="58" spans="1:19" ht="15">
      <c r="A58" s="136" t="s">
        <v>318</v>
      </c>
      <c r="B58" s="101">
        <f>(B30-B43)/C43</f>
        <v>-0.9443719596126788</v>
      </c>
      <c r="C58" s="101">
        <f>(B30-E43)/F43</f>
        <v>-0.9804838568774354</v>
      </c>
      <c r="D58" s="102">
        <f>(B30-H43)/I43</f>
        <v>-0.9804838568774354</v>
      </c>
      <c r="E58" s="101">
        <f>(C30-B43)/C43</f>
        <v>-0.9443719596126788</v>
      </c>
      <c r="F58" s="101">
        <f t="shared" si="5"/>
        <v>-0.9804838568774354</v>
      </c>
      <c r="G58" s="101">
        <f t="shared" si="11"/>
        <v>-0.9804838568774354</v>
      </c>
      <c r="H58" s="136">
        <v>0.005579</v>
      </c>
      <c r="I58" s="136">
        <v>0.0564</v>
      </c>
      <c r="J58" s="136">
        <v>0.09599323475910014</v>
      </c>
      <c r="K58" s="136">
        <v>0.005579</v>
      </c>
      <c r="L58" s="136">
        <v>0.0564</v>
      </c>
      <c r="M58" s="136">
        <v>0.09599323475910014</v>
      </c>
      <c r="N58" s="136">
        <f t="shared" si="6"/>
        <v>-0.005268651162679135</v>
      </c>
      <c r="O58" s="101">
        <f t="shared" si="6"/>
        <v>-0.05529928952788736</v>
      </c>
      <c r="P58" s="101">
        <f t="shared" si="7"/>
        <v>-0.0941198170507436</v>
      </c>
      <c r="Q58" s="101">
        <f t="shared" si="8"/>
        <v>-0.005268651162679135</v>
      </c>
      <c r="R58" s="101">
        <f t="shared" si="9"/>
        <v>-0.05529928952788736</v>
      </c>
      <c r="S58" s="101">
        <f t="shared" si="10"/>
        <v>-0.0941198170507436</v>
      </c>
    </row>
    <row r="59" spans="1:19" ht="15">
      <c r="A59" s="136" t="s">
        <v>99</v>
      </c>
      <c r="B59" s="101">
        <f aca="true" t="shared" si="12" ref="B59:G59">B53*B54</f>
        <v>-0.014549830830786687</v>
      </c>
      <c r="C59" s="101">
        <f t="shared" si="12"/>
        <v>-0.1270949752156445</v>
      </c>
      <c r="D59" s="101">
        <f t="shared" si="12"/>
        <v>-0.1270949752156445</v>
      </c>
      <c r="E59" s="101">
        <f t="shared" si="12"/>
        <v>-0.014549830830786687</v>
      </c>
      <c r="F59" s="101">
        <f t="shared" si="12"/>
        <v>-0.1270949752156445</v>
      </c>
      <c r="G59" s="101">
        <f t="shared" si="12"/>
        <v>-0.1270949752156445</v>
      </c>
      <c r="H59" s="136">
        <v>0.01746</v>
      </c>
      <c r="I59" s="136">
        <v>0.004372</v>
      </c>
      <c r="J59" s="136">
        <v>0.007498252658630488</v>
      </c>
      <c r="K59" s="136">
        <v>0.01746</v>
      </c>
      <c r="L59" s="136">
        <v>0.004372</v>
      </c>
      <c r="M59" s="136">
        <v>0.007498252658630488</v>
      </c>
      <c r="N59" s="101">
        <f t="shared" si="6"/>
        <v>-0.00025404004630553555</v>
      </c>
      <c r="O59" s="101">
        <f t="shared" si="6"/>
        <v>-0.0005556592316427977</v>
      </c>
      <c r="P59" s="101">
        <f t="shared" si="7"/>
        <v>-0.0009529902358092824</v>
      </c>
      <c r="Q59" s="101">
        <f t="shared" si="8"/>
        <v>-0.00025404004630553555</v>
      </c>
      <c r="R59" s="101">
        <f t="shared" si="9"/>
        <v>-0.0005556592316427977</v>
      </c>
      <c r="S59" s="101">
        <f t="shared" si="10"/>
        <v>-0.0009529902358092824</v>
      </c>
    </row>
    <row r="60" spans="1:19" ht="15">
      <c r="A60" s="136" t="s">
        <v>111</v>
      </c>
      <c r="B60" s="101">
        <f aca="true" t="shared" si="13" ref="B60:G60">B58*B58</f>
        <v>0.891838398102691</v>
      </c>
      <c r="C60" s="101">
        <f t="shared" si="13"/>
        <v>0.9613485935972513</v>
      </c>
      <c r="D60" s="101">
        <f t="shared" si="13"/>
        <v>0.9613485935972513</v>
      </c>
      <c r="E60" s="101">
        <f t="shared" si="13"/>
        <v>0.891838398102691</v>
      </c>
      <c r="F60" s="101">
        <f t="shared" si="13"/>
        <v>0.9613485935972513</v>
      </c>
      <c r="G60" s="101">
        <f t="shared" si="13"/>
        <v>0.9613485935972513</v>
      </c>
      <c r="H60" s="136">
        <v>0</v>
      </c>
      <c r="I60" s="136">
        <v>-0.00794</v>
      </c>
      <c r="J60" s="136">
        <v>-0.012319694636971688</v>
      </c>
      <c r="K60" s="136">
        <v>0</v>
      </c>
      <c r="L60" s="136">
        <v>-0.00794</v>
      </c>
      <c r="M60" s="136">
        <v>-0.012319694636971688</v>
      </c>
      <c r="N60" s="101">
        <f t="shared" si="6"/>
        <v>0</v>
      </c>
      <c r="O60" s="101">
        <f t="shared" si="6"/>
        <v>-0.007633107833162175</v>
      </c>
      <c r="P60" s="101">
        <f t="shared" si="7"/>
        <v>-0.011843521112800333</v>
      </c>
      <c r="Q60" s="101">
        <f t="shared" si="8"/>
        <v>0</v>
      </c>
      <c r="R60" s="101">
        <f t="shared" si="9"/>
        <v>-0.007633107833162175</v>
      </c>
      <c r="S60" s="101">
        <f t="shared" si="10"/>
        <v>-0.011843521112800333</v>
      </c>
    </row>
    <row r="61" spans="1:19" ht="15">
      <c r="A61" s="136" t="s">
        <v>110</v>
      </c>
      <c r="B61" s="136">
        <f aca="true" t="shared" si="14" ref="B61:G61">B57*B57</f>
        <v>0.8038521912358121</v>
      </c>
      <c r="C61" s="136">
        <f t="shared" si="14"/>
        <v>0.13802502908883996</v>
      </c>
      <c r="D61" s="136">
        <f t="shared" si="14"/>
        <v>0.13802502908883996</v>
      </c>
      <c r="E61" s="136">
        <f t="shared" si="14"/>
        <v>0.8038521912358121</v>
      </c>
      <c r="F61" s="136">
        <f t="shared" si="14"/>
        <v>0.13802502908883996</v>
      </c>
      <c r="G61" s="136">
        <f t="shared" si="14"/>
        <v>0.13802502908883996</v>
      </c>
      <c r="H61" s="136">
        <v>0</v>
      </c>
      <c r="I61" s="136">
        <v>-0.01666</v>
      </c>
      <c r="J61" s="136">
        <v>0.02257531060603369</v>
      </c>
      <c r="K61" s="136">
        <v>0</v>
      </c>
      <c r="L61" s="136">
        <v>-0.01666</v>
      </c>
      <c r="M61" s="136">
        <v>0.02257531060603369</v>
      </c>
      <c r="N61" s="101">
        <f aca="true" t="shared" si="15" ref="N61:S62">B61*H61</f>
        <v>0</v>
      </c>
      <c r="O61" s="101">
        <f t="shared" si="15"/>
        <v>-0.0022994969846200737</v>
      </c>
      <c r="P61" s="101">
        <f t="shared" si="15"/>
        <v>0.0031159579030873973</v>
      </c>
      <c r="Q61" s="101">
        <f t="shared" si="15"/>
        <v>0</v>
      </c>
      <c r="R61" s="101">
        <f t="shared" si="15"/>
        <v>-0.0022994969846200737</v>
      </c>
      <c r="S61" s="101">
        <f t="shared" si="15"/>
        <v>0.0031159579030873973</v>
      </c>
    </row>
    <row r="62" spans="1:19" ht="15">
      <c r="A62" s="136" t="s">
        <v>97</v>
      </c>
      <c r="B62" s="136">
        <f aca="true" t="shared" si="16" ref="B62:G63">B53*B55</f>
        <v>-0.02853914307048734</v>
      </c>
      <c r="C62" s="136">
        <f t="shared" si="16"/>
        <v>-0.15042938215620508</v>
      </c>
      <c r="D62" s="136">
        <f t="shared" si="16"/>
        <v>-0.15042938215620508</v>
      </c>
      <c r="E62" s="136">
        <f t="shared" si="16"/>
        <v>-0.02853914307048734</v>
      </c>
      <c r="F62" s="136">
        <f t="shared" si="16"/>
        <v>-0.15042938215620508</v>
      </c>
      <c r="G62" s="136">
        <f t="shared" si="16"/>
        <v>-0.15042938215620508</v>
      </c>
      <c r="H62" s="136">
        <v>0</v>
      </c>
      <c r="I62" s="136">
        <v>0.00803</v>
      </c>
      <c r="J62" s="136">
        <v>0.0068476832178312255</v>
      </c>
      <c r="K62" s="136">
        <v>0</v>
      </c>
      <c r="L62" s="136">
        <v>0.00803</v>
      </c>
      <c r="M62" s="136">
        <v>0.0068476832178312255</v>
      </c>
      <c r="N62" s="101">
        <f t="shared" si="15"/>
        <v>0</v>
      </c>
      <c r="O62" s="101">
        <f t="shared" si="15"/>
        <v>-0.0012079479387143268</v>
      </c>
      <c r="P62" s="101">
        <f t="shared" si="15"/>
        <v>-0.0010300927556597655</v>
      </c>
      <c r="Q62" s="101">
        <f t="shared" si="15"/>
        <v>0</v>
      </c>
      <c r="R62" s="101">
        <f t="shared" si="15"/>
        <v>-0.0012079479387143268</v>
      </c>
      <c r="S62" s="101">
        <f t="shared" si="15"/>
        <v>-0.0010300927556597655</v>
      </c>
    </row>
    <row r="63" spans="1:19" ht="15">
      <c r="A63" s="136" t="s">
        <v>116</v>
      </c>
      <c r="B63" s="101">
        <f t="shared" si="16"/>
        <v>0.07730538659408911</v>
      </c>
      <c r="C63" s="101">
        <f t="shared" si="16"/>
        <v>0.03315286824894442</v>
      </c>
      <c r="D63" s="101">
        <f t="shared" si="16"/>
        <v>0.03315286824894442</v>
      </c>
      <c r="E63" s="101">
        <f t="shared" si="16"/>
        <v>0.07730538659408911</v>
      </c>
      <c r="F63" s="101">
        <f t="shared" si="16"/>
        <v>0.03315286824894442</v>
      </c>
      <c r="G63" s="101">
        <f t="shared" si="16"/>
        <v>0.03315286824894442</v>
      </c>
      <c r="H63" s="136">
        <v>0</v>
      </c>
      <c r="I63" s="136">
        <v>-0.00638</v>
      </c>
      <c r="J63" s="136">
        <v>-0.006174047413171104</v>
      </c>
      <c r="K63" s="136">
        <v>0</v>
      </c>
      <c r="L63" s="136">
        <v>-0.00638</v>
      </c>
      <c r="M63" s="136">
        <v>-0.006174047413171104</v>
      </c>
      <c r="N63" s="101">
        <f t="shared" si="6"/>
        <v>0</v>
      </c>
      <c r="O63" s="101">
        <f t="shared" si="6"/>
        <v>-0.00021151529942826542</v>
      </c>
      <c r="P63" s="101">
        <f t="shared" si="7"/>
        <v>-0.00020468738045159774</v>
      </c>
      <c r="Q63" s="101">
        <f t="shared" si="8"/>
        <v>0</v>
      </c>
      <c r="R63" s="101">
        <f t="shared" si="9"/>
        <v>-0.00021151529942826542</v>
      </c>
      <c r="S63" s="101">
        <f t="shared" si="10"/>
        <v>-0.00020468738045159774</v>
      </c>
    </row>
    <row r="64" spans="1:19" ht="15">
      <c r="A64" s="136" t="s">
        <v>101</v>
      </c>
      <c r="B64" s="136">
        <f aca="true" t="shared" si="17" ref="B64:G64">B54*B54</f>
        <v>0.09370447894964266</v>
      </c>
      <c r="C64" s="136">
        <f t="shared" si="17"/>
        <v>0.08094924585911038</v>
      </c>
      <c r="D64" s="136">
        <f t="shared" si="17"/>
        <v>0.08094924585911038</v>
      </c>
      <c r="E64" s="136">
        <f t="shared" si="17"/>
        <v>0.09370447894964266</v>
      </c>
      <c r="F64" s="136">
        <f t="shared" si="17"/>
        <v>0.08094924585911038</v>
      </c>
      <c r="G64" s="136">
        <f t="shared" si="17"/>
        <v>0.08094924585911038</v>
      </c>
      <c r="H64" s="136">
        <v>0</v>
      </c>
      <c r="I64" s="136">
        <v>0.006455</v>
      </c>
      <c r="J64" s="136">
        <v>0.005953465367205136</v>
      </c>
      <c r="K64" s="136">
        <v>0</v>
      </c>
      <c r="L64" s="136">
        <v>0.006455</v>
      </c>
      <c r="M64" s="136">
        <v>0.005953465367205136</v>
      </c>
      <c r="N64" s="101">
        <f t="shared" si="6"/>
        <v>0</v>
      </c>
      <c r="O64" s="101">
        <f t="shared" si="6"/>
        <v>0.0005225273820205575</v>
      </c>
      <c r="P64" s="101">
        <f t="shared" si="7"/>
        <v>0.0004819285317235874</v>
      </c>
      <c r="Q64" s="101">
        <f t="shared" si="8"/>
        <v>0</v>
      </c>
      <c r="R64" s="101">
        <f t="shared" si="9"/>
        <v>0.0005225273820205575</v>
      </c>
      <c r="S64" s="101">
        <f t="shared" si="10"/>
        <v>0.0004819285317235874</v>
      </c>
    </row>
    <row r="65" spans="1:19" ht="15">
      <c r="A65" s="136" t="s">
        <v>100</v>
      </c>
      <c r="B65" s="136">
        <f aca="true" t="shared" si="18" ref="B65:G65">B53*B57</f>
        <v>0.042615331271633056</v>
      </c>
      <c r="C65" s="136">
        <f t="shared" si="18"/>
        <v>0.1659590350007564</v>
      </c>
      <c r="D65" s="136">
        <f t="shared" si="18"/>
        <v>0.1659590350007564</v>
      </c>
      <c r="E65" s="136">
        <f t="shared" si="18"/>
        <v>0.042615331271633056</v>
      </c>
      <c r="F65" s="136">
        <f t="shared" si="18"/>
        <v>0.1659590350007564</v>
      </c>
      <c r="G65" s="136">
        <f t="shared" si="18"/>
        <v>0.1659590350007564</v>
      </c>
      <c r="H65" s="136">
        <v>0</v>
      </c>
      <c r="I65" s="136">
        <v>0</v>
      </c>
      <c r="J65" s="136">
        <v>0</v>
      </c>
      <c r="K65" s="136">
        <v>0</v>
      </c>
      <c r="L65" s="136">
        <v>0</v>
      </c>
      <c r="M65" s="136">
        <v>0</v>
      </c>
      <c r="N65" s="101">
        <f t="shared" si="6"/>
        <v>0</v>
      </c>
      <c r="O65" s="101">
        <f t="shared" si="6"/>
        <v>0</v>
      </c>
      <c r="P65" s="101">
        <f t="shared" si="7"/>
        <v>0</v>
      </c>
      <c r="Q65" s="101">
        <f t="shared" si="8"/>
        <v>0</v>
      </c>
      <c r="R65" s="101">
        <f t="shared" si="9"/>
        <v>0</v>
      </c>
      <c r="S65" s="101">
        <f t="shared" si="10"/>
        <v>0</v>
      </c>
    </row>
    <row r="66" spans="1:19" ht="15">
      <c r="A66" s="136" t="s">
        <v>108</v>
      </c>
      <c r="B66" s="136">
        <f aca="true" t="shared" si="19" ref="B66:G66">B55*B58</f>
        <v>0.5670302695920625</v>
      </c>
      <c r="C66" s="136">
        <f t="shared" si="19"/>
        <v>0.3301802881531072</v>
      </c>
      <c r="D66" s="136">
        <f t="shared" si="19"/>
        <v>0.3301802881531072</v>
      </c>
      <c r="E66" s="136">
        <f t="shared" si="19"/>
        <v>0.5670302695920625</v>
      </c>
      <c r="F66" s="136">
        <f t="shared" si="19"/>
        <v>0.3301802881531072</v>
      </c>
      <c r="G66" s="136">
        <f t="shared" si="19"/>
        <v>0.3301802881531072</v>
      </c>
      <c r="H66" s="136">
        <v>-0.03028</v>
      </c>
      <c r="I66" s="136">
        <v>0</v>
      </c>
      <c r="J66" s="136">
        <v>0</v>
      </c>
      <c r="K66" s="136">
        <v>-0.03028</v>
      </c>
      <c r="L66" s="136">
        <v>0</v>
      </c>
      <c r="M66" s="136">
        <v>0</v>
      </c>
      <c r="N66" s="101">
        <f t="shared" si="6"/>
        <v>-0.01716967656324765</v>
      </c>
      <c r="O66" s="101">
        <f t="shared" si="6"/>
        <v>0</v>
      </c>
      <c r="P66" s="101">
        <f t="shared" si="7"/>
        <v>0</v>
      </c>
      <c r="Q66" s="101">
        <f t="shared" si="8"/>
        <v>-0.01716967656324765</v>
      </c>
      <c r="R66" s="101">
        <f t="shared" si="9"/>
        <v>0</v>
      </c>
      <c r="S66" s="101">
        <f t="shared" si="10"/>
        <v>0</v>
      </c>
    </row>
    <row r="67" spans="14:19" ht="15">
      <c r="N67" s="101">
        <f aca="true" t="shared" si="20" ref="N67:S67">SUM(N51:N66)</f>
        <v>1.4911933536335393</v>
      </c>
      <c r="O67" s="101">
        <f t="shared" si="20"/>
        <v>1.077376809828566</v>
      </c>
      <c r="P67" s="101">
        <f t="shared" si="20"/>
        <v>-0.3616579937743401</v>
      </c>
      <c r="Q67" s="101">
        <f t="shared" si="20"/>
        <v>1.4911933536335393</v>
      </c>
      <c r="R67" s="101">
        <f t="shared" si="20"/>
        <v>1.077376809828566</v>
      </c>
      <c r="S67" s="101">
        <f t="shared" si="20"/>
        <v>-0.3616579937743401</v>
      </c>
    </row>
    <row r="68" spans="17:20" ht="15">
      <c r="Q68" s="101">
        <f>((EXP(Q67)/EXP(N67))-1)*100</f>
        <v>0</v>
      </c>
      <c r="R68" s="101">
        <f>((EXP(R67)/EXP(O67))-1)*100</f>
        <v>0</v>
      </c>
      <c r="S68" s="101">
        <f>((EXP(S67)/EXP(P67))-1)*100</f>
        <v>0</v>
      </c>
      <c r="T68" s="136">
        <f>SUM(Q70:S70)</f>
        <v>0</v>
      </c>
    </row>
    <row r="69" spans="17:19" ht="12.75">
      <c r="Q69" s="136">
        <v>0.10722365730584846</v>
      </c>
      <c r="R69" s="136">
        <v>0.43520931537919627</v>
      </c>
      <c r="S69" s="136">
        <v>0.4575670273149554</v>
      </c>
    </row>
    <row r="70" spans="17:20" ht="12.75">
      <c r="Q70" s="136">
        <f>Q69*Q68</f>
        <v>0</v>
      </c>
      <c r="R70" s="136">
        <f>R69*R68</f>
        <v>0</v>
      </c>
      <c r="S70" s="136">
        <f>S69*S68</f>
        <v>0</v>
      </c>
      <c r="T70" s="136">
        <f>SUM(Q70:S70)</f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zoomScale="75" zoomScaleNormal="75" workbookViewId="0" topLeftCell="A1">
      <selection activeCell="J27" sqref="J27"/>
    </sheetView>
  </sheetViews>
  <sheetFormatPr defaultColWidth="9.140625" defaultRowHeight="12.75"/>
  <cols>
    <col min="1" max="1" width="23.421875" style="0" customWidth="1"/>
    <col min="2" max="2" width="15.00390625" style="0" customWidth="1"/>
    <col min="3" max="3" width="6.140625" style="0" customWidth="1"/>
    <col min="4" max="4" width="9.421875" style="0" customWidth="1"/>
    <col min="5" max="8" width="15.00390625" style="0" customWidth="1"/>
    <col min="9" max="9" width="7.57421875" style="0" customWidth="1"/>
  </cols>
  <sheetData>
    <row r="1" spans="1:8" ht="15" customHeight="1">
      <c r="A1" s="247" t="s">
        <v>256</v>
      </c>
      <c r="B1" s="248"/>
      <c r="C1" s="248"/>
      <c r="D1" s="248"/>
      <c r="E1" s="248"/>
      <c r="F1" s="248"/>
      <c r="G1" s="248"/>
      <c r="H1" s="81"/>
    </row>
    <row r="2" spans="1:8" ht="15" customHeight="1">
      <c r="A2" s="249" t="s">
        <v>234</v>
      </c>
      <c r="B2" s="248"/>
      <c r="C2" s="248"/>
      <c r="D2" s="248"/>
      <c r="E2" s="248"/>
      <c r="F2" s="248"/>
      <c r="G2" s="248"/>
      <c r="H2" s="81"/>
    </row>
    <row r="3" spans="1:8" ht="15" customHeight="1">
      <c r="A3" s="249" t="s">
        <v>233</v>
      </c>
      <c r="B3" s="248"/>
      <c r="C3" s="248"/>
      <c r="D3" s="248"/>
      <c r="E3" s="248"/>
      <c r="F3" s="248"/>
      <c r="G3" s="248"/>
      <c r="H3" s="81"/>
    </row>
    <row r="4" spans="1:8" ht="15" customHeight="1">
      <c r="A4" s="237"/>
      <c r="B4" s="205"/>
      <c r="C4" s="205"/>
      <c r="D4" s="205"/>
      <c r="E4" s="205"/>
      <c r="F4" s="205"/>
      <c r="G4" s="205"/>
      <c r="H4" s="76"/>
    </row>
    <row r="5" spans="1:8" ht="15" customHeight="1">
      <c r="A5" s="252" t="s">
        <v>249</v>
      </c>
      <c r="B5" s="252"/>
      <c r="C5" s="252"/>
      <c r="D5" s="252"/>
      <c r="E5" s="252"/>
      <c r="F5" s="252"/>
      <c r="G5" s="252"/>
      <c r="H5" s="82"/>
    </row>
    <row r="6" spans="1:8" ht="15" customHeight="1">
      <c r="A6" s="236"/>
      <c r="B6" s="236"/>
      <c r="C6" s="236"/>
      <c r="D6" s="236"/>
      <c r="E6" s="236"/>
      <c r="F6" s="236"/>
      <c r="G6" s="236"/>
      <c r="H6" s="77"/>
    </row>
    <row r="7" spans="1:8" ht="15" customHeight="1">
      <c r="A7" s="8" t="s">
        <v>227</v>
      </c>
      <c r="B7" s="203">
        <v>3</v>
      </c>
      <c r="C7" s="203"/>
      <c r="D7" s="8" t="s">
        <v>230</v>
      </c>
      <c r="E7" s="204" t="s">
        <v>206</v>
      </c>
      <c r="F7" s="204"/>
      <c r="G7" s="205"/>
      <c r="H7" s="76"/>
    </row>
    <row r="8" spans="1:8" ht="15" customHeight="1">
      <c r="A8" s="239"/>
      <c r="B8" s="205"/>
      <c r="C8" s="205"/>
      <c r="D8" s="205"/>
      <c r="E8" s="205"/>
      <c r="F8" s="205"/>
      <c r="G8" s="205"/>
      <c r="H8" s="87"/>
    </row>
    <row r="9" spans="1:8" ht="15" customHeight="1">
      <c r="A9" s="2" t="s">
        <v>232</v>
      </c>
      <c r="B9" s="253"/>
      <c r="C9" s="253"/>
      <c r="D9" s="254" t="s">
        <v>246</v>
      </c>
      <c r="E9" s="254"/>
      <c r="F9" s="240"/>
      <c r="G9" s="241"/>
      <c r="H9" s="88"/>
    </row>
    <row r="10" spans="1:8" ht="15" customHeight="1">
      <c r="A10" s="2" t="s">
        <v>221</v>
      </c>
      <c r="B10" s="250"/>
      <c r="C10" s="250"/>
      <c r="D10" s="251"/>
      <c r="E10" s="251"/>
      <c r="F10" s="251"/>
      <c r="G10" s="251"/>
      <c r="H10" s="89"/>
    </row>
    <row r="11" spans="1:8" ht="15" customHeight="1">
      <c r="A11" s="205"/>
      <c r="B11" s="205"/>
      <c r="C11" s="205"/>
      <c r="D11" s="205"/>
      <c r="E11" s="205"/>
      <c r="F11" s="205"/>
      <c r="G11" s="205"/>
      <c r="H11" s="87"/>
    </row>
    <row r="12" spans="1:8" ht="15" customHeight="1">
      <c r="A12" s="9" t="s">
        <v>231</v>
      </c>
      <c r="B12" s="16"/>
      <c r="C12" s="237" t="s">
        <v>247</v>
      </c>
      <c r="D12" s="237"/>
      <c r="E12" s="237"/>
      <c r="F12" s="235"/>
      <c r="G12" s="235"/>
      <c r="H12" s="89"/>
    </row>
    <row r="13" spans="1:8" ht="15" customHeight="1">
      <c r="A13" s="9" t="s">
        <v>242</v>
      </c>
      <c r="B13" s="17"/>
      <c r="C13" s="238" t="s">
        <v>248</v>
      </c>
      <c r="D13" s="205"/>
      <c r="E13" s="205"/>
      <c r="F13" s="235"/>
      <c r="G13" s="235"/>
      <c r="H13" s="89"/>
    </row>
    <row r="14" spans="1:8" ht="15" customHeight="1">
      <c r="A14" s="9" t="s">
        <v>243</v>
      </c>
      <c r="B14" s="18"/>
      <c r="C14" s="238" t="s">
        <v>207</v>
      </c>
      <c r="D14" s="205"/>
      <c r="E14" s="205"/>
      <c r="F14" s="235"/>
      <c r="G14" s="235"/>
      <c r="H14" s="89"/>
    </row>
    <row r="15" spans="1:8" ht="15" customHeight="1">
      <c r="A15" s="9" t="s">
        <v>244</v>
      </c>
      <c r="B15" s="19"/>
      <c r="C15" s="238" t="s">
        <v>208</v>
      </c>
      <c r="D15" s="205"/>
      <c r="E15" s="205"/>
      <c r="F15" s="235"/>
      <c r="G15" s="235"/>
      <c r="H15" s="89"/>
    </row>
    <row r="16" spans="1:15" ht="15" customHeight="1" thickBot="1">
      <c r="A16" s="9" t="s">
        <v>245</v>
      </c>
      <c r="B16" s="20"/>
      <c r="C16" s="255"/>
      <c r="D16" s="205"/>
      <c r="E16" s="205"/>
      <c r="F16" s="205"/>
      <c r="G16" s="205"/>
      <c r="H16" s="87"/>
      <c r="K16" s="15"/>
      <c r="L16" s="15"/>
      <c r="M16" s="15"/>
      <c r="N16" s="15"/>
      <c r="O16" s="15"/>
    </row>
    <row r="17" spans="1:15" ht="15" customHeight="1" thickTop="1">
      <c r="A17" s="236" t="s">
        <v>258</v>
      </c>
      <c r="B17" s="236"/>
      <c r="C17" s="236"/>
      <c r="D17" s="236"/>
      <c r="E17" s="170"/>
      <c r="F17" s="175"/>
      <c r="G17" s="91" t="str">
        <f>'Phase 3 PM for PM Flat'!E32</f>
        <v>Y</v>
      </c>
      <c r="H17" s="83"/>
      <c r="K17" s="15"/>
      <c r="L17" s="15"/>
      <c r="M17" s="15"/>
      <c r="N17" s="15"/>
      <c r="O17" s="15"/>
    </row>
    <row r="18" spans="1:8" ht="15" customHeight="1">
      <c r="A18" s="259" t="s">
        <v>250</v>
      </c>
      <c r="B18" s="236"/>
      <c r="C18" s="236"/>
      <c r="D18" s="236"/>
      <c r="E18" s="170"/>
      <c r="F18" s="175"/>
      <c r="G18" s="86" t="e">
        <f>'Phase 3 PM for PM Flat'!#REF!</f>
        <v>#REF!</v>
      </c>
      <c r="H18" s="83"/>
    </row>
    <row r="19" spans="1:8" ht="15" customHeight="1">
      <c r="A19" s="170" t="s">
        <v>273</v>
      </c>
      <c r="B19" s="170"/>
      <c r="C19" s="170"/>
      <c r="D19" s="170"/>
      <c r="E19" s="170"/>
      <c r="F19" s="175"/>
      <c r="G19" s="86" t="e">
        <f>'Phase 3 PM for PM Flat'!#REF!</f>
        <v>#REF!</v>
      </c>
      <c r="H19" s="83"/>
    </row>
    <row r="20" spans="1:8" ht="15" customHeight="1">
      <c r="A20" s="236" t="s">
        <v>276</v>
      </c>
      <c r="B20" s="236"/>
      <c r="C20" s="236"/>
      <c r="D20" s="236"/>
      <c r="E20" s="236"/>
      <c r="F20" s="175"/>
      <c r="G20" s="86" t="e">
        <f>IF('Phase 3 PM for PM Flat'!#REF!="N"," ",'Phase 3 PM for PM Flat'!#REF!)</f>
        <v>#REF!</v>
      </c>
      <c r="H20" s="83"/>
    </row>
    <row r="21" spans="1:8" ht="15" customHeight="1">
      <c r="A21" s="236" t="s">
        <v>274</v>
      </c>
      <c r="B21" s="236"/>
      <c r="C21" s="236"/>
      <c r="D21" s="236"/>
      <c r="E21" s="236"/>
      <c r="F21" s="175"/>
      <c r="G21" s="86" t="e">
        <f>IF('Phase 3 PM for PM Flat'!#REF!="N"," ",'Phase 3 PM for PM Flat'!#REF!)</f>
        <v>#REF!</v>
      </c>
      <c r="H21" s="83"/>
    </row>
    <row r="22" spans="1:8" ht="15" customHeight="1" thickBot="1">
      <c r="A22" s="242" t="s">
        <v>275</v>
      </c>
      <c r="B22" s="242"/>
      <c r="C22" s="242"/>
      <c r="D22" s="242"/>
      <c r="E22" s="242"/>
      <c r="F22" s="176"/>
      <c r="G22" s="92" t="e">
        <f>IF('Phase 3 PM for PM Flat'!#REF!="N"," ",'Phase 3 PM for PM Flat'!#REF!)</f>
        <v>#REF!</v>
      </c>
      <c r="H22" s="83"/>
    </row>
    <row r="23" spans="1:8" ht="15" customHeight="1" thickTop="1">
      <c r="A23" s="49" t="s">
        <v>209</v>
      </c>
      <c r="B23" s="57" t="s">
        <v>210</v>
      </c>
      <c r="C23" s="243" t="e">
        <f>IF(AND(G19="Y",G22="Y"),"Default(ETOH)"," ")</f>
        <v>#REF!</v>
      </c>
      <c r="D23" s="244"/>
      <c r="E23" s="57" t="e">
        <f>IF(AND(G19="Y",G22="N"),"Oxygenate"," ")</f>
        <v>#REF!</v>
      </c>
      <c r="F23" s="256" t="s">
        <v>271</v>
      </c>
      <c r="G23" s="257"/>
      <c r="H23" s="83"/>
    </row>
    <row r="24" spans="1:8" ht="15" customHeight="1">
      <c r="A24" s="60" t="s">
        <v>212</v>
      </c>
      <c r="B24" s="58" t="s">
        <v>213</v>
      </c>
      <c r="C24" s="245" t="e">
        <f>IF(AND(G19="Y",G22="Y"),"Prop. Values"," ")</f>
        <v>#REF!</v>
      </c>
      <c r="D24" s="246"/>
      <c r="E24" s="58" t="e">
        <f>IF(AND(G19="Y",G22="N"),"Prop. Values"," ")</f>
        <v>#REF!</v>
      </c>
      <c r="F24" s="258" t="s">
        <v>272</v>
      </c>
      <c r="G24" s="228"/>
      <c r="H24" s="83"/>
    </row>
    <row r="25" spans="1:8" ht="15" customHeight="1">
      <c r="A25" s="64" t="str">
        <f>'Phase 3 PM for PM Flat'!A36</f>
        <v>RVP, psi</v>
      </c>
      <c r="B25" s="61" t="s">
        <v>222</v>
      </c>
      <c r="C25" s="260" t="e">
        <f>IF(AND(G19="Y",G22="Y"),"n/a"," ")</f>
        <v>#REF!</v>
      </c>
      <c r="D25" s="261"/>
      <c r="E25" s="71" t="e">
        <f>IF(AND(G19="Y",G22="N"),"n/a"," ")</f>
        <v>#REF!</v>
      </c>
      <c r="F25" s="209" t="e">
        <f>IF(G18="Y",IF(G17="Y",'Phase 3 PM for PM Flat'!B36,"Error"),IF(G17="Y",'Phase 3 PM for PM Flat'!B36,"n/a"))</f>
        <v>#REF!</v>
      </c>
      <c r="G25" s="175"/>
      <c r="H25" s="83"/>
    </row>
    <row r="26" spans="1:8" ht="15" customHeight="1">
      <c r="A26" s="48" t="s">
        <v>236</v>
      </c>
      <c r="B26" s="59" t="str">
        <f>'Phase 3 PM for PM Flat'!B21</f>
        <v>F</v>
      </c>
      <c r="C26" s="219" t="e">
        <f>IF(AND(G19="Y",G22="Y"),"1.7"," ")</f>
        <v>#REF!</v>
      </c>
      <c r="D26" s="224"/>
      <c r="E26" s="67" t="e">
        <f>IF(AND(G19="Y",G22="N"),'Phase 3 PM for PM Flat'!#REF!," ")</f>
        <v>#REF!</v>
      </c>
      <c r="F26" s="219">
        <f>'Phase 3 PM for PM Flat'!B39</f>
        <v>25</v>
      </c>
      <c r="G26" s="175"/>
      <c r="H26" s="83"/>
    </row>
    <row r="27" spans="1:8" ht="15" customHeight="1">
      <c r="A27" s="48" t="s">
        <v>237</v>
      </c>
      <c r="B27" s="59" t="str">
        <f>'Phase 3 PM for PM Flat'!B24</f>
        <v>F</v>
      </c>
      <c r="C27" s="209" t="e">
        <f>IF(AND(G19="Y",G22="Y"),"0.06"," ")</f>
        <v>#REF!</v>
      </c>
      <c r="D27" s="211"/>
      <c r="E27" s="68" t="e">
        <f>IF(AND(G19="Y",G22="N"),'Phase 3 PM for PM Flat'!#REF!," ")</f>
        <v>#REF!</v>
      </c>
      <c r="F27" s="209">
        <f>'Phase 3 PM for PM Flat'!B44</f>
        <v>0.8</v>
      </c>
      <c r="G27" s="175"/>
      <c r="H27" s="83"/>
    </row>
    <row r="28" spans="1:8" ht="15" customHeight="1">
      <c r="A28" s="48" t="s">
        <v>238</v>
      </c>
      <c r="B28" s="59" t="str">
        <f>'Phase 3 PM for PM Flat'!B22</f>
        <v>F</v>
      </c>
      <c r="C28" s="219" t="e">
        <f>IF(AND(G19="Y",G22="Y"),"0.5"," ")</f>
        <v>#REF!</v>
      </c>
      <c r="D28" s="224"/>
      <c r="E28" s="67" t="e">
        <f>IF(AND(G19="Y",G22="N"),'Phase 3 PM for PM Flat'!#REF!," ")</f>
        <v>#REF!</v>
      </c>
      <c r="F28" s="219">
        <f>'Phase 3 PM for PM Flat'!B40</f>
        <v>6</v>
      </c>
      <c r="G28" s="175"/>
      <c r="H28" s="83"/>
    </row>
    <row r="29" spans="1:8" ht="15" customHeight="1">
      <c r="A29" s="48" t="s">
        <v>239</v>
      </c>
      <c r="B29" s="59" t="str">
        <f>'Phase 3 PM for PM Flat'!B23</f>
        <v>F</v>
      </c>
      <c r="C29" s="220" t="e">
        <f>IF(AND(G19="Y",G22="Y"),"10"," ")</f>
        <v>#REF!</v>
      </c>
      <c r="D29" s="232"/>
      <c r="E29" s="69" t="e">
        <f>IF(AND(G19="Y",G22="N"),'Phase 3 PM for PM Flat'!#REF!," ")</f>
        <v>#REF!</v>
      </c>
      <c r="F29" s="220">
        <f>'Phase 3 PM for PM Flat'!B43</f>
        <v>20</v>
      </c>
      <c r="G29" s="175"/>
      <c r="H29" s="83"/>
    </row>
    <row r="30" spans="1:11" ht="15" customHeight="1">
      <c r="A30" s="48" t="s">
        <v>240</v>
      </c>
      <c r="B30" s="59" t="str">
        <f>'Phase 3 PM for PM Flat'!B19</f>
        <v>F</v>
      </c>
      <c r="C30" s="233" t="e">
        <f>IF(AND(G19="Y",G22="Y"),"n/a"," ")</f>
        <v>#REF!</v>
      </c>
      <c r="D30" s="234"/>
      <c r="E30" s="72" t="e">
        <f>IF(AND(G19="Y",G22="N"),"n/a"," ")</f>
        <v>#REF!</v>
      </c>
      <c r="F30" s="220">
        <f>'Phase 3 PM for PM Flat'!B37</f>
        <v>213</v>
      </c>
      <c r="G30" s="175"/>
      <c r="H30" s="83"/>
      <c r="K30" s="5"/>
    </row>
    <row r="31" spans="1:8" ht="15" customHeight="1">
      <c r="A31" s="48" t="s">
        <v>241</v>
      </c>
      <c r="B31" s="59" t="str">
        <f>'Phase 3 PM for PM Flat'!B20</f>
        <v>F</v>
      </c>
      <c r="C31" s="233" t="e">
        <f>IF(AND(G19="Y",G22="Y"),"n/a"," ")</f>
        <v>#REF!</v>
      </c>
      <c r="D31" s="234"/>
      <c r="E31" s="72" t="e">
        <f>IF(AND(G19="Y",G22="N"),"n/a"," ")</f>
        <v>#REF!</v>
      </c>
      <c r="F31" s="227">
        <f>'Phase 3 PM for PM Flat'!B38</f>
        <v>305</v>
      </c>
      <c r="G31" s="228"/>
      <c r="H31" s="83"/>
    </row>
    <row r="32" spans="1:8" ht="15" customHeight="1">
      <c r="A32" s="48"/>
      <c r="B32" s="58"/>
      <c r="C32" s="229"/>
      <c r="D32" s="230"/>
      <c r="E32" s="58"/>
      <c r="F32" s="70" t="s">
        <v>264</v>
      </c>
      <c r="G32" s="62" t="s">
        <v>265</v>
      </c>
      <c r="H32" s="84"/>
    </row>
    <row r="33" spans="1:8" ht="15" customHeight="1" thickBot="1">
      <c r="A33" s="48" t="s">
        <v>235</v>
      </c>
      <c r="B33" s="58" t="s">
        <v>222</v>
      </c>
      <c r="C33" s="233" t="e">
        <f>IF(AND(G19="Y",G22="Y"),"n/a"," ")</f>
        <v>#REF!</v>
      </c>
      <c r="D33" s="234"/>
      <c r="E33" s="72" t="e">
        <f>IF(AND(G19="Y",G22="N"),"n/a"," ")</f>
        <v>#REF!</v>
      </c>
      <c r="F33" s="67">
        <f>'Phase 3 PM for PM Flat'!B42</f>
        <v>2</v>
      </c>
      <c r="G33" s="63">
        <f>'Phase 3 PM for PM Flat'!C42</f>
        <v>2</v>
      </c>
      <c r="H33" s="85"/>
    </row>
    <row r="34" spans="1:8" ht="15" customHeight="1" thickBot="1" thickTop="1">
      <c r="A34" s="231"/>
      <c r="B34" s="231"/>
      <c r="C34" s="231"/>
      <c r="D34" s="231"/>
      <c r="E34" s="231"/>
      <c r="F34" s="231"/>
      <c r="G34" s="231"/>
      <c r="H34" s="80"/>
    </row>
    <row r="35" spans="1:8" ht="15" customHeight="1" thickTop="1">
      <c r="A35" s="221" t="s">
        <v>211</v>
      </c>
      <c r="B35" s="222"/>
      <c r="C35" s="178" t="s">
        <v>214</v>
      </c>
      <c r="D35" s="179"/>
      <c r="E35" s="179"/>
      <c r="F35" s="179"/>
      <c r="G35" s="180"/>
      <c r="H35" s="84"/>
    </row>
    <row r="36" spans="1:13" ht="15" customHeight="1">
      <c r="A36" s="177" t="s">
        <v>215</v>
      </c>
      <c r="B36" s="170"/>
      <c r="C36" s="171" t="s">
        <v>280</v>
      </c>
      <c r="D36" s="171"/>
      <c r="E36" s="171"/>
      <c r="F36" s="225" t="s">
        <v>266</v>
      </c>
      <c r="G36" s="226"/>
      <c r="H36" s="83"/>
      <c r="M36" s="3"/>
    </row>
    <row r="37" spans="1:8" ht="15" customHeight="1">
      <c r="A37" s="216" t="s">
        <v>216</v>
      </c>
      <c r="B37" s="217"/>
      <c r="C37" s="172">
        <f>'Phase 3 PM for PM Flat'!C60</f>
        <v>0</v>
      </c>
      <c r="D37" s="173"/>
      <c r="E37" s="218"/>
      <c r="F37" s="209">
        <f>'Phase 3 PM for PM Flat'!C73</f>
        <v>0</v>
      </c>
      <c r="G37" s="175"/>
      <c r="H37" s="83"/>
    </row>
    <row r="38" spans="1:8" ht="15" customHeight="1">
      <c r="A38" s="212" t="s">
        <v>217</v>
      </c>
      <c r="B38" s="213"/>
      <c r="C38" s="209">
        <f>'Phase 3 PM for PM Flat'!C61</f>
        <v>0</v>
      </c>
      <c r="D38" s="210"/>
      <c r="E38" s="211"/>
      <c r="F38" s="209">
        <f>'Phase 3 PM for PM Flat'!C74</f>
        <v>0</v>
      </c>
      <c r="G38" s="175"/>
      <c r="H38" s="83"/>
    </row>
    <row r="39" spans="1:8" ht="15" customHeight="1">
      <c r="A39" s="212" t="s">
        <v>218</v>
      </c>
      <c r="B39" s="213"/>
      <c r="C39" s="209">
        <f>'Phase 3 PM for PM Flat'!C62</f>
        <v>0</v>
      </c>
      <c r="D39" s="210"/>
      <c r="E39" s="211"/>
      <c r="F39" s="209">
        <f>'Phase 3 PM for PM Flat'!C75</f>
        <v>0</v>
      </c>
      <c r="G39" s="175"/>
      <c r="H39" s="83"/>
    </row>
    <row r="40" spans="1:8" ht="15" customHeight="1">
      <c r="A40" s="212" t="s">
        <v>31</v>
      </c>
      <c r="B40" s="213"/>
      <c r="C40" s="209">
        <f>'Phase 3 PM for PM Flat'!C63</f>
        <v>0</v>
      </c>
      <c r="D40" s="210"/>
      <c r="E40" s="211"/>
      <c r="F40" s="209">
        <f>'Phase 3 PM for PM Flat'!C76</f>
        <v>0</v>
      </c>
      <c r="G40" s="175"/>
      <c r="H40" s="83"/>
    </row>
    <row r="41" spans="1:8" ht="15" customHeight="1">
      <c r="A41" s="212" t="s">
        <v>219</v>
      </c>
      <c r="B41" s="213"/>
      <c r="C41" s="209">
        <f>'Phase 3 PM for PM Flat'!C64</f>
        <v>3.318095877520747</v>
      </c>
      <c r="D41" s="210"/>
      <c r="E41" s="211"/>
      <c r="F41" s="209">
        <f>'Phase 3 PM for PM Flat'!C77</f>
        <v>3.318095877520747</v>
      </c>
      <c r="G41" s="175"/>
      <c r="H41" s="83"/>
    </row>
    <row r="42" spans="1:8" ht="15" customHeight="1" thickBot="1">
      <c r="A42" s="214" t="s">
        <v>220</v>
      </c>
      <c r="B42" s="215"/>
      <c r="C42" s="206">
        <f>'Phase 3 PM for PM Flat'!C65</f>
        <v>0.185729720816632</v>
      </c>
      <c r="D42" s="207"/>
      <c r="E42" s="208"/>
      <c r="F42" s="206">
        <f>'Phase 3 PM for PM Flat'!C78</f>
        <v>0.185729720816632</v>
      </c>
      <c r="G42" s="176"/>
      <c r="H42" s="83"/>
    </row>
    <row r="43" spans="1:11" ht="15" customHeight="1" thickTop="1">
      <c r="A43" s="25" t="s">
        <v>251</v>
      </c>
      <c r="B43" s="56" t="str">
        <f>'Phase 3 PM for PM Flat'!C48</f>
        <v>FAILS</v>
      </c>
      <c r="C43" s="6" t="s">
        <v>281</v>
      </c>
      <c r="D43" s="24"/>
      <c r="E43" s="6"/>
      <c r="F43" s="6"/>
      <c r="G43" s="6"/>
      <c r="H43" s="6"/>
      <c r="I43" s="7"/>
      <c r="J43" s="7"/>
      <c r="K43" s="7"/>
    </row>
    <row r="44" spans="1:11" ht="15" customHeight="1">
      <c r="A44" s="184" t="s">
        <v>252</v>
      </c>
      <c r="B44" s="185"/>
      <c r="C44" s="185"/>
      <c r="D44" s="185"/>
      <c r="E44" s="183" t="str">
        <f>IF(B43="passes","less than or equal to 0.04%","greater than or equal to 0.05%")</f>
        <v>greater than or equal to 0.05%</v>
      </c>
      <c r="F44" s="183"/>
      <c r="G44" s="183"/>
      <c r="H44" s="79"/>
      <c r="I44" s="7"/>
      <c r="J44" s="7"/>
      <c r="K44" s="4"/>
    </row>
    <row r="45" spans="1:11" ht="15" customHeight="1">
      <c r="A45" s="186"/>
      <c r="B45" s="205"/>
      <c r="C45" s="205"/>
      <c r="D45" s="205"/>
      <c r="E45" s="205"/>
      <c r="F45" s="205"/>
      <c r="G45" s="205"/>
      <c r="H45" s="76"/>
      <c r="I45" s="4"/>
      <c r="J45" s="4"/>
      <c r="K45" s="4"/>
    </row>
    <row r="46" spans="1:8" ht="15" customHeight="1">
      <c r="A46" s="23" t="str">
        <f>A1</f>
        <v>REFINERY NAME</v>
      </c>
      <c r="B46" s="174" t="s">
        <v>253</v>
      </c>
      <c r="C46" s="205"/>
      <c r="D46" s="205"/>
      <c r="E46" s="205"/>
      <c r="F46" s="205"/>
      <c r="G46" s="205"/>
      <c r="H46" s="76"/>
    </row>
    <row r="47" spans="1:8" ht="15" customHeight="1">
      <c r="A47" s="181" t="s">
        <v>254</v>
      </c>
      <c r="B47" s="182"/>
      <c r="C47" s="182"/>
      <c r="D47" s="182"/>
      <c r="E47" s="182"/>
      <c r="F47" s="182"/>
      <c r="G47" s="182"/>
      <c r="H47" s="78"/>
    </row>
    <row r="48" spans="1:8" ht="15" customHeight="1">
      <c r="A48" s="223" t="s">
        <v>283</v>
      </c>
      <c r="B48" s="205"/>
      <c r="C48" s="205"/>
      <c r="D48" s="205"/>
      <c r="E48" s="205"/>
      <c r="F48" s="205"/>
      <c r="G48" s="205"/>
      <c r="H48" s="76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mergeCells count="79">
    <mergeCell ref="C16:G16"/>
    <mergeCell ref="F37:G37"/>
    <mergeCell ref="F38:G38"/>
    <mergeCell ref="F39:G39"/>
    <mergeCell ref="C33:D33"/>
    <mergeCell ref="F23:G23"/>
    <mergeCell ref="F24:G24"/>
    <mergeCell ref="A18:F18"/>
    <mergeCell ref="A19:F19"/>
    <mergeCell ref="C25:D25"/>
    <mergeCell ref="C23:D23"/>
    <mergeCell ref="C24:D24"/>
    <mergeCell ref="A1:G1"/>
    <mergeCell ref="A2:G2"/>
    <mergeCell ref="A3:G3"/>
    <mergeCell ref="B10:G10"/>
    <mergeCell ref="A5:G5"/>
    <mergeCell ref="B9:C9"/>
    <mergeCell ref="D9:E9"/>
    <mergeCell ref="A4:G4"/>
    <mergeCell ref="A6:G6"/>
    <mergeCell ref="A8:G8"/>
    <mergeCell ref="F9:G9"/>
    <mergeCell ref="F27:G27"/>
    <mergeCell ref="A11:G11"/>
    <mergeCell ref="C14:E14"/>
    <mergeCell ref="A20:F20"/>
    <mergeCell ref="A21:F21"/>
    <mergeCell ref="A22:F22"/>
    <mergeCell ref="C27:D27"/>
    <mergeCell ref="F14:G14"/>
    <mergeCell ref="A17:F17"/>
    <mergeCell ref="F28:G28"/>
    <mergeCell ref="F12:G12"/>
    <mergeCell ref="F13:G13"/>
    <mergeCell ref="C12:E12"/>
    <mergeCell ref="C13:E13"/>
    <mergeCell ref="C26:D26"/>
    <mergeCell ref="C15:E15"/>
    <mergeCell ref="F15:G15"/>
    <mergeCell ref="A48:G48"/>
    <mergeCell ref="C28:D28"/>
    <mergeCell ref="F36:G36"/>
    <mergeCell ref="F30:G30"/>
    <mergeCell ref="F31:G31"/>
    <mergeCell ref="C32:D32"/>
    <mergeCell ref="A34:G34"/>
    <mergeCell ref="C29:D29"/>
    <mergeCell ref="C30:D30"/>
    <mergeCell ref="C31:D31"/>
    <mergeCell ref="F25:G25"/>
    <mergeCell ref="F26:G26"/>
    <mergeCell ref="F29:G29"/>
    <mergeCell ref="A35:B35"/>
    <mergeCell ref="A36:B36"/>
    <mergeCell ref="C40:E40"/>
    <mergeCell ref="C36:E36"/>
    <mergeCell ref="C37:E37"/>
    <mergeCell ref="C39:E39"/>
    <mergeCell ref="C38:E38"/>
    <mergeCell ref="F41:G41"/>
    <mergeCell ref="F42:G42"/>
    <mergeCell ref="F40:G40"/>
    <mergeCell ref="A39:B39"/>
    <mergeCell ref="A47:G47"/>
    <mergeCell ref="E44:G44"/>
    <mergeCell ref="A44:D44"/>
    <mergeCell ref="A45:G45"/>
    <mergeCell ref="B46:G46"/>
    <mergeCell ref="B7:C7"/>
    <mergeCell ref="E7:G7"/>
    <mergeCell ref="C42:E42"/>
    <mergeCell ref="C41:E41"/>
    <mergeCell ref="A41:B41"/>
    <mergeCell ref="A42:B42"/>
    <mergeCell ref="A40:B40"/>
    <mergeCell ref="A37:B37"/>
    <mergeCell ref="C35:G35"/>
    <mergeCell ref="A38:B38"/>
  </mergeCells>
  <printOptions/>
  <pageMargins left="0.56" right="0.3" top="0.72" bottom="0.38" header="0.43" footer="0.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="75" zoomScaleNormal="75" workbookViewId="0" topLeftCell="A1">
      <selection activeCell="C47" sqref="C47"/>
    </sheetView>
  </sheetViews>
  <sheetFormatPr defaultColWidth="9.140625" defaultRowHeight="12.75"/>
  <cols>
    <col min="1" max="1" width="11.28125" style="0" customWidth="1"/>
    <col min="2" max="2" width="7.28125" style="0" customWidth="1"/>
    <col min="3" max="3" width="9.28125" style="0" customWidth="1"/>
    <col min="4" max="4" width="14.57421875" style="0" customWidth="1"/>
    <col min="5" max="5" width="15.00390625" style="0" bestFit="1" customWidth="1"/>
    <col min="6" max="6" width="11.28125" style="0" customWidth="1"/>
    <col min="7" max="7" width="8.140625" style="0" customWidth="1"/>
    <col min="8" max="8" width="15.00390625" style="0" bestFit="1" customWidth="1"/>
    <col min="9" max="9" width="7.8515625" style="0" customWidth="1"/>
  </cols>
  <sheetData>
    <row r="1" spans="1:9" ht="12.75">
      <c r="A1" s="4" t="s">
        <v>255</v>
      </c>
      <c r="B1" s="4"/>
      <c r="C1" s="4"/>
      <c r="D1" s="4"/>
      <c r="E1" s="4"/>
      <c r="F1" s="4"/>
      <c r="G1" s="4"/>
      <c r="H1" s="4"/>
      <c r="I1" s="4"/>
    </row>
    <row r="2" spans="1:12" ht="12.75">
      <c r="A2" s="13">
        <f>+'PM Flat Batch (Report)'!B12</f>
        <v>0</v>
      </c>
      <c r="B2" s="13">
        <f>+'PM Flat Batch (Report)'!B7</f>
        <v>3</v>
      </c>
      <c r="C2" s="4" t="s">
        <v>230</v>
      </c>
      <c r="D2" s="13">
        <f>+'PM Flat Batch (Report)'!F12</f>
        <v>0</v>
      </c>
      <c r="E2" s="14" t="str">
        <f>TEXT('PM Flat Batch (Report)'!B13,"mmddyyyy")&amp;TEXT('PM Flat Batch (Report)'!B14,"hhmmss")</f>
        <v>01001900000000</v>
      </c>
      <c r="F2" s="13">
        <f>+'PM Flat Batch (Report)'!F13</f>
        <v>0</v>
      </c>
      <c r="G2">
        <f>+'PM Flat Batch (Report)'!F15</f>
        <v>0</v>
      </c>
      <c r="H2" s="13" t="str">
        <f>IF('PM Flat Batch (Report)'!B15=0,'PM Flat Batch (Data)'!E2,TEXT('PM Flat Batch (Report)'!B15,"mmddyyyy")&amp;TEXT('PM Flat Batch (Report)'!B16,"hhmmss"))</f>
        <v>01001900000000</v>
      </c>
      <c r="I2" s="13">
        <f>+'PM Flat Batch (Report)'!F14</f>
        <v>0</v>
      </c>
      <c r="J2" s="4"/>
      <c r="K2" s="4"/>
      <c r="L2" s="4"/>
    </row>
    <row r="3" spans="1:9" ht="12.75">
      <c r="A3" s="4" t="s">
        <v>4</v>
      </c>
      <c r="B3" s="11" t="e">
        <f>IF('PM Flat Batch (Report)'!F25="n/a",7,'PM Flat Batch (Report)'!F25)</f>
        <v>#REF!</v>
      </c>
      <c r="C3" t="str">
        <f>+'PM Flat Batch (Report)'!G17</f>
        <v>Y</v>
      </c>
      <c r="D3" s="13" t="e">
        <f>+'PM Flat Batch (Report)'!G18</f>
        <v>#REF!</v>
      </c>
      <c r="E3" s="4"/>
      <c r="F3" s="4"/>
      <c r="G3" s="4"/>
      <c r="H3" s="4"/>
      <c r="I3" s="4"/>
    </row>
    <row r="4" spans="1:9" ht="12.75">
      <c r="A4" s="4" t="s">
        <v>223</v>
      </c>
      <c r="B4" s="10">
        <f>'PM Flat Batch (Report)'!F26</f>
        <v>25</v>
      </c>
      <c r="C4" s="13" t="str">
        <f>+'PM Flat Batch (Report)'!B26</f>
        <v>F</v>
      </c>
      <c r="D4" s="4"/>
      <c r="E4" s="4"/>
      <c r="F4" s="4"/>
      <c r="G4" s="4"/>
      <c r="H4" s="4"/>
      <c r="I4" s="4"/>
    </row>
    <row r="5" spans="1:9" ht="12.75">
      <c r="A5" s="4" t="s">
        <v>224</v>
      </c>
      <c r="B5" s="11">
        <f>'PM Flat Batch (Report)'!F27</f>
        <v>0.8</v>
      </c>
      <c r="C5" s="13" t="str">
        <f>+'PM Flat Batch (Report)'!B27</f>
        <v>F</v>
      </c>
      <c r="D5" s="4"/>
      <c r="E5" s="4"/>
      <c r="F5" s="4"/>
      <c r="G5" s="4"/>
      <c r="H5" s="4"/>
      <c r="I5" s="4"/>
    </row>
    <row r="6" spans="1:9" ht="12.75">
      <c r="A6" s="4" t="s">
        <v>225</v>
      </c>
      <c r="B6" s="10">
        <f>'PM Flat Batch (Report)'!F28</f>
        <v>6</v>
      </c>
      <c r="C6" s="13" t="str">
        <f>+'PM Flat Batch (Report)'!B28</f>
        <v>F</v>
      </c>
      <c r="D6" s="4"/>
      <c r="E6" s="4"/>
      <c r="F6" s="4"/>
      <c r="G6" s="4"/>
      <c r="H6" s="4"/>
      <c r="I6" s="4"/>
    </row>
    <row r="7" spans="1:9" ht="12.75">
      <c r="A7" s="4" t="s">
        <v>226</v>
      </c>
      <c r="B7" s="12">
        <f>'PM Flat Batch (Report)'!F29</f>
        <v>20</v>
      </c>
      <c r="C7" s="13" t="str">
        <f>+'PM Flat Batch (Report)'!B29</f>
        <v>F</v>
      </c>
      <c r="D7" s="4"/>
      <c r="E7" s="4"/>
      <c r="F7" s="4"/>
      <c r="G7" s="4"/>
      <c r="H7" s="4"/>
      <c r="I7" s="4"/>
    </row>
    <row r="8" spans="1:9" ht="12.75">
      <c r="A8" s="4" t="s">
        <v>6</v>
      </c>
      <c r="B8" s="12">
        <f>'PM Flat Batch (Report)'!F30</f>
        <v>213</v>
      </c>
      <c r="C8" s="13" t="str">
        <f>+'PM Flat Batch (Report)'!B30</f>
        <v>F</v>
      </c>
      <c r="D8" s="4"/>
      <c r="E8" s="4"/>
      <c r="F8" s="4"/>
      <c r="G8" s="4"/>
      <c r="H8" s="4"/>
      <c r="I8" s="4"/>
    </row>
    <row r="9" spans="1:9" ht="12.75">
      <c r="A9" s="4" t="s">
        <v>8</v>
      </c>
      <c r="B9" s="12">
        <f>'PM Flat Batch (Report)'!F31</f>
        <v>305</v>
      </c>
      <c r="C9" s="13" t="str">
        <f>+'PM Flat Batch (Report)'!B31</f>
        <v>F</v>
      </c>
      <c r="D9" s="4"/>
      <c r="E9" s="4"/>
      <c r="F9" s="4"/>
      <c r="G9" s="4"/>
      <c r="H9" s="4"/>
      <c r="I9" s="4"/>
    </row>
    <row r="10" spans="1:9" ht="12.75">
      <c r="A10" s="4" t="s">
        <v>228</v>
      </c>
      <c r="B10" s="10">
        <f>'PM Flat Batch (Report)'!F33</f>
        <v>2</v>
      </c>
      <c r="C10" s="4"/>
      <c r="D10" s="4"/>
      <c r="E10" s="4"/>
      <c r="F10" s="4"/>
      <c r="G10" s="4"/>
      <c r="H10" s="4"/>
      <c r="I10" s="4"/>
    </row>
    <row r="11" spans="1:9" ht="12.75">
      <c r="A11" s="4" t="s">
        <v>229</v>
      </c>
      <c r="B11" s="10">
        <f>'PM Flat Batch (Report)'!G33</f>
        <v>2</v>
      </c>
      <c r="C11" s="4"/>
      <c r="D11" s="4"/>
      <c r="E11" s="4"/>
      <c r="F11" s="4"/>
      <c r="G11" s="4"/>
      <c r="H11" s="4"/>
      <c r="I11" s="4"/>
    </row>
    <row r="12" spans="1:9" ht="12.75">
      <c r="A12" s="4" t="s">
        <v>267</v>
      </c>
      <c r="B12">
        <v>0</v>
      </c>
      <c r="C12" s="4"/>
      <c r="D12" s="4"/>
      <c r="E12" s="4"/>
      <c r="F12" s="4"/>
      <c r="G12" s="4"/>
      <c r="H12" s="4"/>
      <c r="I12" s="4"/>
    </row>
    <row r="13" spans="1:2" ht="12.75">
      <c r="A13" s="4" t="s">
        <v>268</v>
      </c>
      <c r="B13">
        <v>0</v>
      </c>
    </row>
    <row r="14" spans="1:2" ht="12.75">
      <c r="A14" s="4" t="s">
        <v>269</v>
      </c>
      <c r="B14">
        <f>+'PM Flat Batch (Report)'!F33</f>
        <v>2</v>
      </c>
    </row>
    <row r="15" spans="1:2" ht="12.75">
      <c r="A15" s="4" t="s">
        <v>270</v>
      </c>
      <c r="B15">
        <f>+'PM Flat Batch (Report)'!G33</f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2006 Predictive Model _Beta Version</dc:title>
  <dc:subject>CaRFG Predictive Model Flat Limits for Producers</dc:subject>
  <dc:creator>Win Setiawan</dc:creator>
  <cp:keywords>CaRFG3, Flat Limits, Producers</cp:keywords>
  <dc:description/>
  <cp:lastModifiedBy>Adrian S. Cayabyab</cp:lastModifiedBy>
  <cp:lastPrinted>2006-07-05T20:32:07Z</cp:lastPrinted>
  <dcterms:created xsi:type="dcterms:W3CDTF">1999-10-21T17:19:54Z</dcterms:created>
  <dcterms:modified xsi:type="dcterms:W3CDTF">2006-09-14T23:40:03Z</dcterms:modified>
  <cp:category/>
  <cp:version/>
  <cp:contentType/>
  <cp:contentStatus/>
</cp:coreProperties>
</file>