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autoCompressPictures="0"/>
  <bookViews>
    <workbookView xWindow="0" yWindow="0" windowWidth="24000" windowHeight="9735" tabRatio="867" firstSheet="1" activeTab="1"/>
  </bookViews>
  <sheets>
    <sheet name="Intermediate Calculations" sheetId="72" state="hidden" r:id="rId1"/>
    <sheet name="Summary" sheetId="70" r:id="rId2"/>
    <sheet name="Reduction Targets" sheetId="74" r:id="rId3"/>
    <sheet name="Demand Reduction Scenarios" sheetId="71" r:id="rId4"/>
    <sheet name="Supply Scenarios" sheetId="73" r:id="rId5"/>
    <sheet name="Calculations" sheetId="68" r:id="rId6"/>
    <sheet name="GHG Calculations" sheetId="77" r:id="rId7"/>
    <sheet name="Figures I" sheetId="76" r:id="rId8"/>
    <sheet name="Figures II" sheetId="75" r:id="rId9"/>
    <sheet name="Maximum Cost Pass-Through" sheetId="78" r:id="rId10"/>
  </sheets>
  <externalReferences>
    <externalReference r:id="rId11"/>
    <externalReference r:id="rId12"/>
    <externalReference r:id="rId13"/>
  </externalReferences>
  <definedNames>
    <definedName name="\p" localSheetId="5">'[1]Tables 14 15 16 data'!#REF!</definedName>
    <definedName name="\p">'[1]Tables 14 15 16 data'!#REF!</definedName>
    <definedName name="\s" localSheetId="5">'[1]Tables 14 15 16 data'!#REF!</definedName>
    <definedName name="\s">'[1]Tables 14 15 16 data'!#REF!</definedName>
    <definedName name="_P" localSheetId="5">'[1]Tables 14 15 16 data'!#REF!</definedName>
    <definedName name="_P">'[1]Tables 14 15 16 data'!#REF!</definedName>
    <definedName name="_Regression_Out" localSheetId="5" hidden="1">#REF!</definedName>
    <definedName name="_Regression_Out" hidden="1">#REF!</definedName>
    <definedName name="_Regression_X" localSheetId="5" hidden="1">#REF!</definedName>
    <definedName name="_Regression_X" hidden="1">#REF!</definedName>
    <definedName name="_Regression_Y" localSheetId="5" hidden="1">#REF!</definedName>
    <definedName name="_Regression_Y" hidden="1">#REF!</definedName>
    <definedName name="_S" localSheetId="5">'[1]Tables 14 15 16 data'!#REF!</definedName>
    <definedName name="_S">'[1]Tables 14 15 16 data'!#REF!</definedName>
    <definedName name="Domestic_chart6" localSheetId="5">#REF!</definedName>
    <definedName name="Domestic_chart6">#REF!</definedName>
    <definedName name="Forecast_Model_Output" localSheetId="5">#REF!</definedName>
    <definedName name="Forecast_Model_Output">#REF!</definedName>
    <definedName name="LATECON">[2]LATGDP!$B$5</definedName>
    <definedName name="model_output" localSheetId="5">#REF!</definedName>
    <definedName name="model_output">#REF!</definedName>
    <definedName name="Print_Area_MI">'[3]F41 data'!$CD$76:$CQ$117</definedName>
    <definedName name="Print_Titles_MI">'[3]F41 data'!$A$1:$A$65536</definedName>
    <definedName name="ss" localSheetId="5">'[1]Tables 14 15 16 data'!#REF!</definedName>
    <definedName name="ss">'[1]Tables 14 15 16 data'!#REF!</definedName>
    <definedName name="sss" hidden="1">{#N/A,#N/A,FALSE,"Form 41 Commuter Domestic";#N/A,#N/A,FALSE,"FORM41--COMMUTER % CHG";#N/A,#N/A,FALSE,"Total Domestic Traffic Stats";#N/A,#N/A,FALSE,"TOTAL DOM TRAFFIC--% CHG";#N/A,#N/A,FALSE,"TotDomTraf-Large Carriers Only";#N/A,#N/A,FALSE,"TOTDOMTRAF-LARGECAR% CHG"}</definedName>
    <definedName name="wrn.DOM._.TRAF._.STATS." hidden="1">{#N/A,#N/A,FALSE,"Form 41 Commuter Domestic";#N/A,#N/A,FALSE,"FORM41--COMMUTER % CHG";#N/A,#N/A,FALSE,"Total Domestic Traffic Stats";#N/A,#N/A,FALSE,"TOTAL DOM TRAFFIC--% CHG";#N/A,#N/A,FALSE,"TotDomTraf-Large Carriers Only";#N/A,#N/A,FALSE,"TOTDOMTRAF-LARGECAR% CHG"}</definedName>
    <definedName name="wrn.econtab." hidden="1">{#N/A,#N/A,FALSE,"TABLE1";#N/A,#N/A,FALSE,"TABLE2";#N/A,#N/A,FALSE,"TABLE3";#N/A,#N/A,FALSE,"TABLE4";#N/A,#N/A,FALSE,"TABLE5"}</definedName>
    <definedName name="wrn.FORECAST." hidden="1">{"TOT",#N/A,FALSE,"ASFCST99";"TOTINT",#N/A,FALSE,"ASFCST99";"DOM",#N/A,FALSE,"ASFCST99";"NORTHATL",#N/A,FALSE,"ASFCST99";"PACIFIC",#N/A,FALSE,"ASFCST99";"LATAM",#N/A,FALSE,"ASFCST99"}</definedName>
  </definedNames>
  <calcPr calcId="162913"/>
</workbook>
</file>

<file path=xl/calcChain.xml><?xml version="1.0" encoding="utf-8"?>
<calcChain xmlns="http://schemas.openxmlformats.org/spreadsheetml/2006/main">
  <c r="P216" i="73" l="1"/>
  <c r="Q10" i="78" l="1"/>
  <c r="R10" i="78"/>
  <c r="S10" i="78"/>
  <c r="T10" i="78"/>
  <c r="U10" i="78"/>
  <c r="V10" i="78"/>
  <c r="W10" i="78"/>
  <c r="X10" i="78"/>
  <c r="Y10" i="78"/>
  <c r="Z10" i="78"/>
  <c r="AA10" i="78"/>
  <c r="P10" i="78"/>
  <c r="C10" i="78"/>
  <c r="D10" i="78"/>
  <c r="E10" i="78"/>
  <c r="F10" i="78"/>
  <c r="G10" i="78"/>
  <c r="H10" i="78"/>
  <c r="I10" i="78"/>
  <c r="J10" i="78"/>
  <c r="K10" i="78"/>
  <c r="L10" i="78"/>
  <c r="M10" i="78"/>
  <c r="B10" i="78"/>
  <c r="C29" i="78"/>
  <c r="D29" i="78"/>
  <c r="E29" i="78"/>
  <c r="F29" i="78"/>
  <c r="G29" i="78"/>
  <c r="H29" i="78"/>
  <c r="I29" i="78"/>
  <c r="J29" i="78"/>
  <c r="K29" i="78"/>
  <c r="L29" i="78"/>
  <c r="M29" i="78"/>
  <c r="B29" i="78"/>
  <c r="C28" i="78"/>
  <c r="D28" i="78"/>
  <c r="E28" i="78"/>
  <c r="F28" i="78"/>
  <c r="G28" i="78"/>
  <c r="H28" i="78"/>
  <c r="I28" i="78"/>
  <c r="J28" i="78"/>
  <c r="K28" i="78"/>
  <c r="L28" i="78"/>
  <c r="M28" i="78"/>
  <c r="B28" i="78"/>
  <c r="C25" i="78"/>
  <c r="D25" i="78"/>
  <c r="E25" i="78"/>
  <c r="F25" i="78"/>
  <c r="G25" i="78"/>
  <c r="H25" i="78"/>
  <c r="I25" i="78"/>
  <c r="J25" i="78"/>
  <c r="K25" i="78"/>
  <c r="L25" i="78"/>
  <c r="M25" i="78"/>
  <c r="B25" i="78"/>
  <c r="C24" i="78"/>
  <c r="D24" i="78"/>
  <c r="E24" i="78"/>
  <c r="F24" i="78"/>
  <c r="G24" i="78"/>
  <c r="H24" i="78"/>
  <c r="I24" i="78"/>
  <c r="J24" i="78"/>
  <c r="K24" i="78"/>
  <c r="L24" i="78"/>
  <c r="M24" i="78"/>
  <c r="B24" i="78"/>
  <c r="C23" i="78"/>
  <c r="D23" i="78"/>
  <c r="E23" i="78"/>
  <c r="F23" i="78"/>
  <c r="G23" i="78"/>
  <c r="H23" i="78"/>
  <c r="I23" i="78"/>
  <c r="J23" i="78"/>
  <c r="K23" i="78"/>
  <c r="L23" i="78"/>
  <c r="M23" i="78"/>
  <c r="B23" i="78"/>
  <c r="C22" i="78"/>
  <c r="D22" i="78"/>
  <c r="E22" i="78"/>
  <c r="F22" i="78"/>
  <c r="G22" i="78"/>
  <c r="H22" i="78"/>
  <c r="I22" i="78"/>
  <c r="J22" i="78"/>
  <c r="K22" i="78"/>
  <c r="L22" i="78"/>
  <c r="M22" i="78"/>
  <c r="B22" i="78"/>
  <c r="C21" i="78"/>
  <c r="D21" i="78"/>
  <c r="E21" i="78"/>
  <c r="F21" i="78"/>
  <c r="G21" i="78"/>
  <c r="H21" i="78"/>
  <c r="I21" i="78"/>
  <c r="J21" i="78"/>
  <c r="K21" i="78"/>
  <c r="L21" i="78"/>
  <c r="M21" i="78"/>
  <c r="B21" i="78"/>
  <c r="C20" i="78"/>
  <c r="D20" i="78"/>
  <c r="E20" i="78"/>
  <c r="F20" i="78"/>
  <c r="G20" i="78"/>
  <c r="H20" i="78"/>
  <c r="I20" i="78"/>
  <c r="J20" i="78"/>
  <c r="K20" i="78"/>
  <c r="L20" i="78"/>
  <c r="M20" i="78"/>
  <c r="B20" i="78"/>
  <c r="C19" i="78"/>
  <c r="D19" i="78"/>
  <c r="E19" i="78"/>
  <c r="F19" i="78"/>
  <c r="G19" i="78"/>
  <c r="H19" i="78"/>
  <c r="I19" i="78"/>
  <c r="J19" i="78"/>
  <c r="K19" i="78"/>
  <c r="L19" i="78"/>
  <c r="M19" i="78"/>
  <c r="B19" i="78"/>
  <c r="C18" i="78"/>
  <c r="D18" i="78"/>
  <c r="E18" i="78"/>
  <c r="F18" i="78"/>
  <c r="G18" i="78"/>
  <c r="H18" i="78"/>
  <c r="I18" i="78"/>
  <c r="J18" i="78"/>
  <c r="K18" i="78"/>
  <c r="L18" i="78"/>
  <c r="M18" i="78"/>
  <c r="B18" i="78"/>
  <c r="C17" i="78"/>
  <c r="D17" i="78"/>
  <c r="E17" i="78"/>
  <c r="F17" i="78"/>
  <c r="G17" i="78"/>
  <c r="H17" i="78"/>
  <c r="I17" i="78"/>
  <c r="J17" i="78"/>
  <c r="K17" i="78"/>
  <c r="L17" i="78"/>
  <c r="M17" i="78"/>
  <c r="B17" i="78"/>
  <c r="C16" i="78"/>
  <c r="D16" i="78"/>
  <c r="E16" i="78"/>
  <c r="F16" i="78"/>
  <c r="G16" i="78"/>
  <c r="H16" i="78"/>
  <c r="I16" i="78"/>
  <c r="J16" i="78"/>
  <c r="K16" i="78"/>
  <c r="L16" i="78"/>
  <c r="M16" i="78"/>
  <c r="B16" i="78"/>
  <c r="C8" i="75"/>
  <c r="D8" i="75"/>
  <c r="E8" i="75"/>
  <c r="F8" i="75"/>
  <c r="G8" i="75"/>
  <c r="H8" i="75"/>
  <c r="I8" i="75"/>
  <c r="J8" i="75"/>
  <c r="K8" i="75"/>
  <c r="L8" i="75"/>
  <c r="M8" i="75"/>
  <c r="B8" i="75"/>
  <c r="C7" i="75"/>
  <c r="D7" i="75"/>
  <c r="E7" i="75"/>
  <c r="F7" i="75"/>
  <c r="G7" i="75"/>
  <c r="H7" i="75"/>
  <c r="I7" i="75"/>
  <c r="J7" i="75"/>
  <c r="K7" i="75"/>
  <c r="L7" i="75"/>
  <c r="M7" i="75"/>
  <c r="B7" i="75"/>
  <c r="C6" i="75"/>
  <c r="D6" i="75"/>
  <c r="E6" i="75"/>
  <c r="F6" i="75"/>
  <c r="G6" i="75"/>
  <c r="H6" i="75"/>
  <c r="I6" i="75"/>
  <c r="J6" i="75"/>
  <c r="K6" i="75"/>
  <c r="L6" i="75"/>
  <c r="M6" i="75"/>
  <c r="B6" i="75"/>
  <c r="C5" i="75"/>
  <c r="D5" i="75"/>
  <c r="E5" i="75"/>
  <c r="F5" i="75"/>
  <c r="G5" i="75"/>
  <c r="H5" i="75"/>
  <c r="I5" i="75"/>
  <c r="J5" i="75"/>
  <c r="K5" i="75"/>
  <c r="L5" i="75"/>
  <c r="M5" i="75"/>
  <c r="B5" i="75"/>
  <c r="C4" i="75"/>
  <c r="D4" i="75"/>
  <c r="E4" i="75"/>
  <c r="F4" i="75"/>
  <c r="G4" i="75"/>
  <c r="H4" i="75"/>
  <c r="I4" i="75"/>
  <c r="J4" i="75"/>
  <c r="K4" i="75"/>
  <c r="L4" i="75"/>
  <c r="M4" i="75"/>
  <c r="B4" i="75"/>
  <c r="C3" i="75"/>
  <c r="D3" i="75"/>
  <c r="E3" i="75"/>
  <c r="F3" i="75"/>
  <c r="G3" i="75"/>
  <c r="H3" i="75"/>
  <c r="I3" i="75"/>
  <c r="J3" i="75"/>
  <c r="K3" i="75"/>
  <c r="L3" i="75"/>
  <c r="M3" i="75"/>
  <c r="B3" i="75"/>
  <c r="K36" i="78" l="1"/>
  <c r="X36" i="78"/>
  <c r="Y36" i="78"/>
  <c r="W36" i="78"/>
  <c r="J36" i="78"/>
  <c r="P32" i="78"/>
  <c r="Z40" i="78"/>
  <c r="R40" i="78"/>
  <c r="I36" i="78"/>
  <c r="T38" i="78"/>
  <c r="S40" i="78"/>
  <c r="Y38" i="78"/>
  <c r="Q38" i="78"/>
  <c r="C36" i="78"/>
  <c r="Q36" i="78"/>
  <c r="X38" i="78"/>
  <c r="K40" i="78"/>
  <c r="Y40" i="78"/>
  <c r="W38" i="78"/>
  <c r="J40" i="78"/>
  <c r="X40" i="78"/>
  <c r="AA40" i="78"/>
  <c r="V38" i="78"/>
  <c r="I40" i="78"/>
  <c r="W40" i="78"/>
  <c r="U38" i="78"/>
  <c r="C40" i="78"/>
  <c r="Q40" i="78"/>
  <c r="B32" i="78"/>
  <c r="B38" i="78"/>
  <c r="M32" i="78"/>
  <c r="E32" i="78"/>
  <c r="M38" i="78"/>
  <c r="E38" i="78"/>
  <c r="S38" i="78"/>
  <c r="L32" i="78"/>
  <c r="D32" i="78"/>
  <c r="H36" i="78"/>
  <c r="L38" i="78"/>
  <c r="D38" i="78"/>
  <c r="H40" i="78"/>
  <c r="Z32" i="78"/>
  <c r="R32" i="78"/>
  <c r="V36" i="78"/>
  <c r="Z38" i="78"/>
  <c r="R38" i="78"/>
  <c r="V40" i="78"/>
  <c r="K32" i="78"/>
  <c r="C32" i="78"/>
  <c r="G36" i="78"/>
  <c r="K38" i="78"/>
  <c r="C38" i="78"/>
  <c r="G40" i="78"/>
  <c r="Y32" i="78"/>
  <c r="Q32" i="78"/>
  <c r="U36" i="78"/>
  <c r="U40" i="78"/>
  <c r="F32" i="78"/>
  <c r="P38" i="78"/>
  <c r="AA32" i="78"/>
  <c r="S32" i="78"/>
  <c r="AA38" i="78"/>
  <c r="J32" i="78"/>
  <c r="B36" i="78"/>
  <c r="F36" i="78"/>
  <c r="J38" i="78"/>
  <c r="B40" i="78"/>
  <c r="F40" i="78"/>
  <c r="X32" i="78"/>
  <c r="P36" i="78"/>
  <c r="T36" i="78"/>
  <c r="P40" i="78"/>
  <c r="T40" i="78"/>
  <c r="F38" i="78"/>
  <c r="T32" i="78"/>
  <c r="I32" i="78"/>
  <c r="M36" i="78"/>
  <c r="E36" i="78"/>
  <c r="I38" i="78"/>
  <c r="M40" i="78"/>
  <c r="E40" i="78"/>
  <c r="W32" i="78"/>
  <c r="AA36" i="78"/>
  <c r="S36" i="78"/>
  <c r="H32" i="78"/>
  <c r="L36" i="78"/>
  <c r="D36" i="78"/>
  <c r="H38" i="78"/>
  <c r="L40" i="78"/>
  <c r="D40" i="78"/>
  <c r="V32" i="78"/>
  <c r="Z36" i="78"/>
  <c r="R36" i="78"/>
  <c r="G32" i="78"/>
  <c r="G38" i="78"/>
  <c r="U32" i="78"/>
  <c r="C25" i="76"/>
  <c r="B25" i="76"/>
  <c r="AB22" i="77"/>
  <c r="C54" i="77"/>
  <c r="D54" i="77"/>
  <c r="E54" i="77"/>
  <c r="F54" i="77"/>
  <c r="G54" i="77"/>
  <c r="H54" i="77"/>
  <c r="I54" i="77"/>
  <c r="J54" i="77"/>
  <c r="K54" i="77"/>
  <c r="L54" i="77"/>
  <c r="M54" i="77"/>
  <c r="N54" i="77"/>
  <c r="B54" i="77"/>
  <c r="C53" i="77"/>
  <c r="D53" i="77"/>
  <c r="E53" i="77"/>
  <c r="F53" i="77"/>
  <c r="G53" i="77"/>
  <c r="H53" i="77"/>
  <c r="I53" i="77"/>
  <c r="J53" i="77"/>
  <c r="K53" i="77"/>
  <c r="L53" i="77"/>
  <c r="M53" i="77"/>
  <c r="N53" i="77"/>
  <c r="B53" i="77"/>
  <c r="O7" i="77"/>
  <c r="P297" i="73" l="1"/>
  <c r="O297" i="73"/>
  <c r="N297" i="73"/>
  <c r="M297" i="73"/>
  <c r="L297" i="73"/>
  <c r="K297" i="73"/>
  <c r="J297" i="73"/>
  <c r="I297" i="73"/>
  <c r="H297" i="73"/>
  <c r="G297" i="73"/>
  <c r="F297" i="73"/>
  <c r="E297" i="73"/>
  <c r="D297" i="73"/>
  <c r="E243" i="73" l="1"/>
  <c r="F243" i="73"/>
  <c r="G243" i="73"/>
  <c r="H243" i="73"/>
  <c r="I243" i="73"/>
  <c r="J243" i="73"/>
  <c r="K243" i="73"/>
  <c r="L243" i="73"/>
  <c r="M243" i="73"/>
  <c r="N243" i="73"/>
  <c r="O243" i="73"/>
  <c r="P243" i="73"/>
  <c r="F216" i="73"/>
  <c r="G216" i="73"/>
  <c r="H216" i="73"/>
  <c r="I216" i="73"/>
  <c r="J216" i="73"/>
  <c r="K216" i="73"/>
  <c r="L216" i="73"/>
  <c r="M216" i="73"/>
  <c r="N216" i="73"/>
  <c r="O216" i="73"/>
  <c r="H57" i="68" l="1"/>
  <c r="E216" i="73" l="1"/>
  <c r="D216" i="73"/>
  <c r="D243" i="73"/>
  <c r="I59" i="68" l="1"/>
  <c r="J59" i="68"/>
  <c r="K59" i="68"/>
  <c r="L59" i="68"/>
  <c r="M59" i="68"/>
  <c r="N59" i="68"/>
  <c r="O59" i="68"/>
  <c r="P59" i="68"/>
  <c r="Q59" i="68"/>
  <c r="R59" i="68"/>
  <c r="S59" i="68"/>
  <c r="T59" i="68"/>
  <c r="H59" i="68"/>
  <c r="G56" i="68" l="1"/>
  <c r="E141" i="68" l="1"/>
  <c r="B1" i="73"/>
  <c r="F54" i="73"/>
  <c r="E54" i="73"/>
  <c r="D54" i="73"/>
  <c r="F81" i="73"/>
  <c r="E81" i="73"/>
  <c r="D81" i="73"/>
  <c r="F108" i="73"/>
  <c r="E108" i="73"/>
  <c r="D108" i="73"/>
  <c r="F135" i="73"/>
  <c r="E135" i="73"/>
  <c r="D135" i="73"/>
  <c r="G66" i="68"/>
  <c r="B3" i="68" l="1"/>
  <c r="F128" i="68"/>
  <c r="F127" i="68"/>
  <c r="F126" i="68"/>
  <c r="F125" i="68"/>
  <c r="F124" i="68"/>
  <c r="C157" i="68" l="1"/>
  <c r="K67" i="68"/>
  <c r="C7" i="68"/>
  <c r="L67" i="68"/>
  <c r="P67" i="68"/>
  <c r="T67" i="68"/>
  <c r="N67" i="68"/>
  <c r="R67" i="68"/>
  <c r="S67" i="68"/>
  <c r="C6" i="68"/>
  <c r="M67" i="68"/>
  <c r="Q67" i="68"/>
  <c r="I67" i="68"/>
  <c r="J67" i="68"/>
  <c r="O67" i="68"/>
  <c r="I55" i="68"/>
  <c r="Q55" i="68"/>
  <c r="J55" i="68"/>
  <c r="R55" i="68"/>
  <c r="K55" i="68"/>
  <c r="S55" i="68"/>
  <c r="H36" i="68"/>
  <c r="L55" i="68"/>
  <c r="T55" i="68"/>
  <c r="O55" i="68"/>
  <c r="P55" i="68"/>
  <c r="M55" i="68"/>
  <c r="H51" i="68"/>
  <c r="N55" i="68"/>
  <c r="H55" i="68"/>
  <c r="K51" i="68"/>
  <c r="L51" i="68"/>
  <c r="T51" i="68"/>
  <c r="N51" i="68"/>
  <c r="S51" i="68"/>
  <c r="M51" i="68"/>
  <c r="O51" i="68"/>
  <c r="P51" i="68"/>
  <c r="J51" i="68"/>
  <c r="I51" i="68"/>
  <c r="Q51" i="68"/>
  <c r="R51" i="68"/>
  <c r="Q12" i="78" l="1"/>
  <c r="U12" i="78"/>
  <c r="Y12" i="78"/>
  <c r="Q11" i="78"/>
  <c r="S12" i="78"/>
  <c r="AA12" i="78"/>
  <c r="P12" i="78"/>
  <c r="P11" i="78"/>
  <c r="R12" i="78"/>
  <c r="V12" i="78"/>
  <c r="Z12" i="78"/>
  <c r="R11" i="78"/>
  <c r="W12" i="78"/>
  <c r="S11" i="78"/>
  <c r="T12" i="78"/>
  <c r="X12" i="78"/>
  <c r="C12" i="78"/>
  <c r="G12" i="78"/>
  <c r="K12" i="78"/>
  <c r="C11" i="78"/>
  <c r="E12" i="78"/>
  <c r="M12" i="78"/>
  <c r="J12" i="78"/>
  <c r="B11" i="78"/>
  <c r="D12" i="78"/>
  <c r="H12" i="78"/>
  <c r="L12" i="78"/>
  <c r="D11" i="78"/>
  <c r="I12" i="78"/>
  <c r="E11" i="78"/>
  <c r="F12" i="78"/>
  <c r="B12" i="78"/>
  <c r="G10" i="68"/>
  <c r="G11" i="68"/>
  <c r="G137" i="68" l="1"/>
  <c r="G61" i="68"/>
  <c r="G53" i="68"/>
  <c r="G54" i="68"/>
  <c r="G52" i="68"/>
  <c r="R53" i="68" l="1"/>
  <c r="T53" i="68"/>
  <c r="Q53" i="68"/>
  <c r="P53" i="68"/>
  <c r="J53" i="68"/>
  <c r="I53" i="68"/>
  <c r="K53" i="68"/>
  <c r="H53" i="68"/>
  <c r="N53" i="68"/>
  <c r="O53" i="68"/>
  <c r="S53" i="68"/>
  <c r="L53" i="68"/>
  <c r="M53" i="68"/>
  <c r="F10" i="68"/>
  <c r="O82" i="77" l="1"/>
  <c r="O77" i="77" l="1"/>
  <c r="P41" i="78"/>
  <c r="P39" i="78"/>
  <c r="P46" i="78" s="1"/>
  <c r="P37" i="78"/>
  <c r="P45" i="78" s="1"/>
  <c r="P35" i="78"/>
  <c r="P33" i="78"/>
  <c r="B41" i="78"/>
  <c r="B39" i="78"/>
  <c r="B37" i="78"/>
  <c r="B45" i="78" s="1"/>
  <c r="B35" i="78"/>
  <c r="B33" i="78"/>
  <c r="B44" i="78" s="1"/>
  <c r="Q41" i="78"/>
  <c r="R41" i="78"/>
  <c r="S41" i="78"/>
  <c r="T41" i="78"/>
  <c r="U41" i="78"/>
  <c r="V41" i="78"/>
  <c r="W41" i="78"/>
  <c r="W47" i="78" s="1"/>
  <c r="X41" i="78"/>
  <c r="Y41" i="78"/>
  <c r="Z41" i="78"/>
  <c r="AA41" i="78"/>
  <c r="AA47" i="78" s="1"/>
  <c r="Q39" i="78"/>
  <c r="R39" i="78"/>
  <c r="S39" i="78"/>
  <c r="T39" i="78"/>
  <c r="U39" i="78"/>
  <c r="V39" i="78"/>
  <c r="W39" i="78"/>
  <c r="X39" i="78"/>
  <c r="Y39" i="78"/>
  <c r="Z39" i="78"/>
  <c r="AA39" i="78"/>
  <c r="Q37" i="78"/>
  <c r="R37" i="78"/>
  <c r="S37" i="78"/>
  <c r="S45" i="78" s="1"/>
  <c r="T37" i="78"/>
  <c r="U37" i="78"/>
  <c r="V37" i="78"/>
  <c r="W37" i="78"/>
  <c r="W45" i="78" s="1"/>
  <c r="X37" i="78"/>
  <c r="Y37" i="78"/>
  <c r="Z37" i="78"/>
  <c r="AA37" i="78"/>
  <c r="AA45" i="78" s="1"/>
  <c r="Q35" i="78"/>
  <c r="R35" i="78"/>
  <c r="S35" i="78"/>
  <c r="Q33" i="78"/>
  <c r="R33" i="78"/>
  <c r="S33" i="78"/>
  <c r="T33" i="78"/>
  <c r="U33" i="78"/>
  <c r="V33" i="78"/>
  <c r="W33" i="78"/>
  <c r="X33" i="78"/>
  <c r="Y33" i="78"/>
  <c r="Z33" i="78"/>
  <c r="AA33" i="78"/>
  <c r="C41" i="78"/>
  <c r="D41" i="78"/>
  <c r="E41" i="78"/>
  <c r="F41" i="78"/>
  <c r="G41" i="78"/>
  <c r="H41" i="78"/>
  <c r="I41" i="78"/>
  <c r="J41" i="78"/>
  <c r="K41" i="78"/>
  <c r="L41" i="78"/>
  <c r="M41" i="78"/>
  <c r="C39" i="78"/>
  <c r="D39" i="78"/>
  <c r="E39" i="78"/>
  <c r="F39" i="78"/>
  <c r="G39" i="78"/>
  <c r="H39" i="78"/>
  <c r="I39" i="78"/>
  <c r="J39" i="78"/>
  <c r="K39" i="78"/>
  <c r="L39" i="78"/>
  <c r="M39" i="78"/>
  <c r="B46" i="78"/>
  <c r="C35" i="78"/>
  <c r="D35" i="78"/>
  <c r="E35" i="78"/>
  <c r="C37" i="78"/>
  <c r="D37" i="78"/>
  <c r="D45" i="78" s="1"/>
  <c r="E37" i="78"/>
  <c r="F37" i="78"/>
  <c r="G37" i="78"/>
  <c r="H37" i="78"/>
  <c r="H45" i="78" s="1"/>
  <c r="I37" i="78"/>
  <c r="J37" i="78"/>
  <c r="K37" i="78"/>
  <c r="L37" i="78"/>
  <c r="L45" i="78" s="1"/>
  <c r="M37" i="78"/>
  <c r="C33" i="78"/>
  <c r="D33" i="78"/>
  <c r="E33" i="78"/>
  <c r="F33" i="78"/>
  <c r="G33" i="78"/>
  <c r="H33" i="78"/>
  <c r="I33" i="78"/>
  <c r="J33" i="78"/>
  <c r="K33" i="78"/>
  <c r="L33" i="78"/>
  <c r="M33" i="78"/>
  <c r="Y45" i="78" l="1"/>
  <c r="U45" i="78"/>
  <c r="Q45" i="78"/>
  <c r="S47" i="78"/>
  <c r="B47" i="78"/>
  <c r="Z47" i="78"/>
  <c r="V47" i="78"/>
  <c r="AA46" i="78"/>
  <c r="W46" i="78"/>
  <c r="S46" i="78"/>
  <c r="K45" i="78"/>
  <c r="G45" i="78"/>
  <c r="C45" i="78"/>
  <c r="R47" i="78"/>
  <c r="M45" i="78"/>
  <c r="I45" i="78"/>
  <c r="E45" i="78"/>
  <c r="P47" i="78"/>
  <c r="Y47" i="78"/>
  <c r="U47" i="78"/>
  <c r="Q47" i="78"/>
  <c r="X47" i="78"/>
  <c r="T47" i="78"/>
  <c r="Z46" i="78"/>
  <c r="V46" i="78"/>
  <c r="R46" i="78"/>
  <c r="Y46" i="78"/>
  <c r="U46" i="78"/>
  <c r="Q46" i="78"/>
  <c r="X46" i="78"/>
  <c r="T46" i="78"/>
  <c r="J45" i="78"/>
  <c r="F45" i="78"/>
  <c r="Z45" i="78"/>
  <c r="V45" i="78"/>
  <c r="R45" i="78"/>
  <c r="P44" i="78"/>
  <c r="P50" i="78" s="1"/>
  <c r="X44" i="78"/>
  <c r="T44" i="78"/>
  <c r="AA44" i="78"/>
  <c r="AA50" i="78" s="1"/>
  <c r="W44" i="78"/>
  <c r="W49" i="78" s="1"/>
  <c r="S44" i="78"/>
  <c r="S50" i="78" s="1"/>
  <c r="Z44" i="78"/>
  <c r="V44" i="78"/>
  <c r="R44" i="78"/>
  <c r="Y44" i="78"/>
  <c r="U44" i="78"/>
  <c r="Q44" i="78"/>
  <c r="Q49" i="78" s="1"/>
  <c r="B50" i="78"/>
  <c r="B49" i="78"/>
  <c r="J44" i="78"/>
  <c r="F44" i="78"/>
  <c r="J46" i="78"/>
  <c r="F46" i="78"/>
  <c r="M47" i="78"/>
  <c r="I47" i="78"/>
  <c r="E47" i="78"/>
  <c r="M44" i="78"/>
  <c r="I44" i="78"/>
  <c r="E44" i="78"/>
  <c r="M46" i="78"/>
  <c r="I46" i="78"/>
  <c r="E46" i="78"/>
  <c r="L47" i="78"/>
  <c r="H47" i="78"/>
  <c r="D47" i="78"/>
  <c r="L44" i="78"/>
  <c r="H44" i="78"/>
  <c r="D44" i="78"/>
  <c r="L46" i="78"/>
  <c r="H46" i="78"/>
  <c r="D46" i="78"/>
  <c r="K47" i="78"/>
  <c r="G47" i="78"/>
  <c r="C47" i="78"/>
  <c r="X45" i="78"/>
  <c r="T45" i="78"/>
  <c r="K44" i="78"/>
  <c r="G44" i="78"/>
  <c r="C44" i="78"/>
  <c r="K46" i="78"/>
  <c r="G46" i="78"/>
  <c r="C46" i="78"/>
  <c r="J47" i="78"/>
  <c r="F47" i="78"/>
  <c r="O13" i="77"/>
  <c r="O12" i="77"/>
  <c r="Y49" i="78" l="1"/>
  <c r="AA49" i="78"/>
  <c r="U50" i="78"/>
  <c r="U49" i="78"/>
  <c r="Q50" i="78"/>
  <c r="V50" i="78"/>
  <c r="R50" i="78"/>
  <c r="Z50" i="78"/>
  <c r="X50" i="78"/>
  <c r="W50" i="78"/>
  <c r="V49" i="78"/>
  <c r="R49" i="78"/>
  <c r="S49" i="78"/>
  <c r="Z49" i="78"/>
  <c r="Y50" i="78"/>
  <c r="P49" i="78"/>
  <c r="T49" i="78"/>
  <c r="C50" i="78"/>
  <c r="C49" i="78"/>
  <c r="M50" i="78"/>
  <c r="M49" i="78"/>
  <c r="X49" i="78"/>
  <c r="G50" i="78"/>
  <c r="G49" i="78"/>
  <c r="D50" i="78"/>
  <c r="D49" i="78"/>
  <c r="K50" i="78"/>
  <c r="K49" i="78"/>
  <c r="H50" i="78"/>
  <c r="H49" i="78"/>
  <c r="E50" i="78"/>
  <c r="E49" i="78"/>
  <c r="F50" i="78"/>
  <c r="F49" i="78"/>
  <c r="T50" i="78"/>
  <c r="L50" i="78"/>
  <c r="L49" i="78"/>
  <c r="I50" i="78"/>
  <c r="I49" i="78"/>
  <c r="J50" i="78"/>
  <c r="J49" i="78"/>
  <c r="AC45" i="77"/>
  <c r="AC46" i="77"/>
  <c r="AC47" i="77"/>
  <c r="AC44" i="77"/>
  <c r="AE45" i="77" l="1"/>
  <c r="AD44" i="77"/>
  <c r="AD45" i="77"/>
  <c r="AE44" i="77"/>
  <c r="C30" i="75" l="1"/>
  <c r="D30" i="75"/>
  <c r="E30" i="75"/>
  <c r="B30" i="75"/>
  <c r="C28" i="75"/>
  <c r="D28" i="75"/>
  <c r="E28" i="75"/>
  <c r="F28" i="75"/>
  <c r="G28" i="75"/>
  <c r="H28" i="75"/>
  <c r="I28" i="75"/>
  <c r="J28" i="75"/>
  <c r="K28" i="75"/>
  <c r="L28" i="75"/>
  <c r="M28" i="75"/>
  <c r="B28" i="75"/>
  <c r="Q22" i="77" l="1"/>
  <c r="R22" i="77"/>
  <c r="S22" i="77"/>
  <c r="T22" i="77"/>
  <c r="U22" i="77"/>
  <c r="V22" i="77"/>
  <c r="W22" i="77"/>
  <c r="X22" i="77"/>
  <c r="Y22" i="77"/>
  <c r="Z22" i="77"/>
  <c r="AA22" i="77"/>
  <c r="AC21" i="77"/>
  <c r="AC20" i="77"/>
  <c r="C31" i="77"/>
  <c r="D31" i="77"/>
  <c r="E31" i="77"/>
  <c r="F31" i="77"/>
  <c r="G31" i="77"/>
  <c r="H31" i="77"/>
  <c r="I31" i="77"/>
  <c r="J31" i="77"/>
  <c r="K31" i="77"/>
  <c r="L31" i="77"/>
  <c r="M31" i="77"/>
  <c r="N31" i="77"/>
  <c r="B31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B30" i="77"/>
  <c r="C32" i="77"/>
  <c r="D32" i="77"/>
  <c r="E32" i="77"/>
  <c r="F32" i="77"/>
  <c r="G32" i="77"/>
  <c r="H32" i="77"/>
  <c r="I32" i="77"/>
  <c r="J32" i="77"/>
  <c r="K32" i="77"/>
  <c r="L32" i="77"/>
  <c r="M32" i="77"/>
  <c r="N32" i="77"/>
  <c r="B32" i="77"/>
  <c r="L68" i="68"/>
  <c r="I68" i="68"/>
  <c r="J68" i="68"/>
  <c r="K68" i="68"/>
  <c r="M68" i="68"/>
  <c r="N68" i="68"/>
  <c r="O68" i="68"/>
  <c r="P68" i="68"/>
  <c r="Q68" i="68"/>
  <c r="R68" i="68"/>
  <c r="S68" i="68"/>
  <c r="T68" i="68"/>
  <c r="F64" i="68"/>
  <c r="G64" i="68" s="1"/>
  <c r="H64" i="68" s="1"/>
  <c r="I64" i="68" s="1"/>
  <c r="J64" i="68" s="1"/>
  <c r="K64" i="68" s="1"/>
  <c r="L64" i="68" s="1"/>
  <c r="M64" i="68" s="1"/>
  <c r="N64" i="68" s="1"/>
  <c r="O64" i="68" s="1"/>
  <c r="P64" i="68" s="1"/>
  <c r="Q64" i="68" s="1"/>
  <c r="R64" i="68" s="1"/>
  <c r="S64" i="68" s="1"/>
  <c r="T64" i="68" s="1"/>
  <c r="I61" i="68"/>
  <c r="I69" i="68"/>
  <c r="C19" i="71"/>
  <c r="B23" i="71" s="1"/>
  <c r="H21" i="71" s="1"/>
  <c r="I10" i="68" s="1"/>
  <c r="I57" i="68"/>
  <c r="J57" i="68" s="1"/>
  <c r="K57" i="68" s="1"/>
  <c r="L57" i="68" s="1"/>
  <c r="M57" i="68" s="1"/>
  <c r="N57" i="68" s="1"/>
  <c r="O57" i="68" s="1"/>
  <c r="P57" i="68" s="1"/>
  <c r="Q57" i="68" s="1"/>
  <c r="R57" i="68" s="1"/>
  <c r="S57" i="68" s="1"/>
  <c r="T57" i="68" s="1"/>
  <c r="H58" i="68"/>
  <c r="I58" i="68" s="1"/>
  <c r="F11" i="68"/>
  <c r="E90" i="68"/>
  <c r="F55" i="68"/>
  <c r="G55" i="68" s="1"/>
  <c r="G67" i="68"/>
  <c r="F117" i="68"/>
  <c r="F106" i="68"/>
  <c r="F143" i="68"/>
  <c r="F140" i="68" s="1"/>
  <c r="H61" i="68"/>
  <c r="H54" i="68"/>
  <c r="I54" i="68" s="1"/>
  <c r="J54" i="68" s="1"/>
  <c r="K54" i="68" s="1"/>
  <c r="L54" i="68" s="1"/>
  <c r="M54" i="68" s="1"/>
  <c r="N54" i="68" s="1"/>
  <c r="O54" i="68" s="1"/>
  <c r="P54" i="68" s="1"/>
  <c r="Q54" i="68" s="1"/>
  <c r="R54" i="68" s="1"/>
  <c r="S54" i="68" s="1"/>
  <c r="T54" i="68" s="1"/>
  <c r="H67" i="68"/>
  <c r="J61" i="68"/>
  <c r="J69" i="68"/>
  <c r="K61" i="68"/>
  <c r="K69" i="68"/>
  <c r="L61" i="68"/>
  <c r="L69" i="68"/>
  <c r="M61" i="68"/>
  <c r="M69" i="68"/>
  <c r="N61" i="68"/>
  <c r="N69" i="68"/>
  <c r="O61" i="68"/>
  <c r="O69" i="68"/>
  <c r="P61" i="68"/>
  <c r="P69" i="68"/>
  <c r="Q61" i="68"/>
  <c r="Q69" i="68"/>
  <c r="R61" i="68"/>
  <c r="R69" i="68"/>
  <c r="S61" i="68"/>
  <c r="S69" i="68"/>
  <c r="T61" i="68"/>
  <c r="T69" i="68"/>
  <c r="B5" i="74"/>
  <c r="C5" i="74"/>
  <c r="K70" i="68"/>
  <c r="L70" i="68"/>
  <c r="M70" i="68"/>
  <c r="N70" i="68"/>
  <c r="O70" i="68"/>
  <c r="P70" i="68"/>
  <c r="Q70" i="68"/>
  <c r="R70" i="68"/>
  <c r="S70" i="68"/>
  <c r="T70" i="68"/>
  <c r="J70" i="68"/>
  <c r="F66" i="68"/>
  <c r="O4" i="77" s="1"/>
  <c r="B24" i="76"/>
  <c r="B20" i="76"/>
  <c r="B21" i="76"/>
  <c r="C23" i="76"/>
  <c r="D23" i="76"/>
  <c r="B23" i="76"/>
  <c r="B17" i="76"/>
  <c r="B22" i="76"/>
  <c r="B19" i="76"/>
  <c r="B18" i="76"/>
  <c r="B16" i="76"/>
  <c r="B15" i="76"/>
  <c r="F3" i="74"/>
  <c r="G3" i="74"/>
  <c r="H3" i="74"/>
  <c r="E143" i="68"/>
  <c r="E12" i="68" s="1"/>
  <c r="C10" i="72" s="1"/>
  <c r="D117" i="68"/>
  <c r="D106" i="68"/>
  <c r="D141" i="68"/>
  <c r="E117" i="68"/>
  <c r="E106" i="68"/>
  <c r="D127" i="68"/>
  <c r="D126" i="68"/>
  <c r="F80" i="68"/>
  <c r="E95" i="68"/>
  <c r="H94" i="68"/>
  <c r="G94" i="68"/>
  <c r="F94" i="68"/>
  <c r="E94" i="68"/>
  <c r="D94" i="68"/>
  <c r="D95" i="68"/>
  <c r="D128" i="68"/>
  <c r="E128" i="68"/>
  <c r="E126" i="68"/>
  <c r="E127" i="68"/>
  <c r="E125" i="68"/>
  <c r="D124" i="68"/>
  <c r="E124" i="68"/>
  <c r="D125" i="68"/>
  <c r="B2" i="68"/>
  <c r="C9" i="72"/>
  <c r="D9" i="72"/>
  <c r="E9" i="72"/>
  <c r="F9" i="72"/>
  <c r="B9" i="72"/>
  <c r="C5" i="72"/>
  <c r="D5" i="72"/>
  <c r="C6" i="72"/>
  <c r="D6" i="72"/>
  <c r="B6" i="72"/>
  <c r="B5" i="72"/>
  <c r="B3" i="72"/>
  <c r="C3" i="72"/>
  <c r="D3" i="72"/>
  <c r="C4" i="72"/>
  <c r="D4" i="72"/>
  <c r="B4" i="72"/>
  <c r="C2" i="72"/>
  <c r="D2" i="72"/>
  <c r="E2" i="72"/>
  <c r="F2" i="72"/>
  <c r="G2" i="72"/>
  <c r="H2" i="72"/>
  <c r="I2" i="72"/>
  <c r="J2" i="72"/>
  <c r="K2" i="72"/>
  <c r="L2" i="72"/>
  <c r="M2" i="72"/>
  <c r="N2" i="72"/>
  <c r="O2" i="72"/>
  <c r="P2" i="72"/>
  <c r="Q2" i="72"/>
  <c r="R2" i="72"/>
  <c r="B2" i="72"/>
  <c r="F47" i="68"/>
  <c r="F75" i="68"/>
  <c r="B9" i="76" s="1"/>
  <c r="E21" i="68"/>
  <c r="E75" i="68" s="1"/>
  <c r="D21" i="68"/>
  <c r="D75" i="68" s="1"/>
  <c r="E76" i="68"/>
  <c r="F76" i="68"/>
  <c r="B8" i="76" s="1"/>
  <c r="D76" i="68"/>
  <c r="D77" i="68"/>
  <c r="E77" i="68"/>
  <c r="F77" i="68"/>
  <c r="B7" i="76" s="1"/>
  <c r="E13" i="68"/>
  <c r="C11" i="72" s="1"/>
  <c r="B11" i="72"/>
  <c r="H96" i="68"/>
  <c r="D11" i="76" s="1"/>
  <c r="G96" i="68"/>
  <c r="C11" i="76"/>
  <c r="F96" i="68"/>
  <c r="B11" i="76" s="1"/>
  <c r="E96" i="68"/>
  <c r="D96" i="68"/>
  <c r="F90" i="68"/>
  <c r="D90" i="68"/>
  <c r="F88" i="68"/>
  <c r="E88" i="68"/>
  <c r="D88" i="68"/>
  <c r="F86" i="68"/>
  <c r="F85" i="68"/>
  <c r="O10" i="77" s="1"/>
  <c r="F84" i="68"/>
  <c r="O9" i="77" s="1"/>
  <c r="F79" i="68"/>
  <c r="E79" i="68"/>
  <c r="D79" i="68"/>
  <c r="F78" i="68"/>
  <c r="E78" i="68"/>
  <c r="D78" i="68"/>
  <c r="E91" i="68"/>
  <c r="D91" i="68"/>
  <c r="F87" i="68"/>
  <c r="B10" i="76" s="1"/>
  <c r="E87" i="68"/>
  <c r="E129" i="68"/>
  <c r="D87" i="68"/>
  <c r="D129" i="68" s="1"/>
  <c r="E86" i="68"/>
  <c r="D86" i="68"/>
  <c r="D85" i="68"/>
  <c r="E84" i="68"/>
  <c r="D84" i="68"/>
  <c r="E81" i="68"/>
  <c r="D81" i="68"/>
  <c r="E80" i="68"/>
  <c r="D80" i="68"/>
  <c r="F81" i="68"/>
  <c r="F91" i="68"/>
  <c r="F40" i="68"/>
  <c r="F39" i="68"/>
  <c r="E85" i="68"/>
  <c r="E40" i="68"/>
  <c r="D39" i="68"/>
  <c r="E39" i="68"/>
  <c r="D40" i="68"/>
  <c r="B10" i="72"/>
  <c r="F95" i="68"/>
  <c r="G95" i="68"/>
  <c r="B4" i="76"/>
  <c r="H30" i="75" l="1"/>
  <c r="V11" i="78"/>
  <c r="V35" i="78" s="1"/>
  <c r="H11" i="78"/>
  <c r="H35" i="78" s="1"/>
  <c r="G30" i="75"/>
  <c r="U11" i="78"/>
  <c r="U35" i="78" s="1"/>
  <c r="G11" i="78"/>
  <c r="G35" i="78" s="1"/>
  <c r="B29" i="75"/>
  <c r="P13" i="78"/>
  <c r="P34" i="78" s="1"/>
  <c r="B13" i="78"/>
  <c r="B34" i="78" s="1"/>
  <c r="C29" i="75"/>
  <c r="Q13" i="78"/>
  <c r="Q34" i="78" s="1"/>
  <c r="C13" i="78"/>
  <c r="C34" i="78" s="1"/>
  <c r="F30" i="75"/>
  <c r="T11" i="78"/>
  <c r="T35" i="78" s="1"/>
  <c r="F11" i="78"/>
  <c r="F35" i="78" s="1"/>
  <c r="D5" i="74"/>
  <c r="K9" i="68"/>
  <c r="I9" i="72" s="1"/>
  <c r="J9" i="68"/>
  <c r="J6" i="68" s="1"/>
  <c r="I9" i="68"/>
  <c r="I6" i="68" s="1"/>
  <c r="O6" i="77"/>
  <c r="F129" i="68"/>
  <c r="I3" i="74"/>
  <c r="C32" i="71"/>
  <c r="Q22" i="71" s="1"/>
  <c r="R11" i="68" s="1"/>
  <c r="B27" i="71"/>
  <c r="L21" i="71" s="1"/>
  <c r="M10" i="68" s="1"/>
  <c r="B21" i="71"/>
  <c r="F21" i="71" s="1"/>
  <c r="F138" i="68"/>
  <c r="F141" i="68" s="1"/>
  <c r="F142" i="68" s="1"/>
  <c r="B6" i="76"/>
  <c r="B5" i="76"/>
  <c r="O8" i="77"/>
  <c r="B3" i="76"/>
  <c r="J58" i="68"/>
  <c r="J71" i="68" s="1"/>
  <c r="I71" i="68"/>
  <c r="I20" i="68"/>
  <c r="I76" i="68" s="1"/>
  <c r="E8" i="76" s="1"/>
  <c r="C34" i="71"/>
  <c r="S22" i="71" s="1"/>
  <c r="T11" i="68" s="1"/>
  <c r="B34" i="71"/>
  <c r="S21" i="71" s="1"/>
  <c r="T10" i="68" s="1"/>
  <c r="B31" i="71"/>
  <c r="P21" i="71" s="1"/>
  <c r="Q10" i="68" s="1"/>
  <c r="C31" i="71"/>
  <c r="P22" i="71" s="1"/>
  <c r="Q11" i="68" s="1"/>
  <c r="C29" i="71"/>
  <c r="N22" i="71" s="1"/>
  <c r="O11" i="68" s="1"/>
  <c r="B33" i="71"/>
  <c r="R21" i="71" s="1"/>
  <c r="S10" i="68" s="1"/>
  <c r="C30" i="71"/>
  <c r="O22" i="71" s="1"/>
  <c r="P11" i="68" s="1"/>
  <c r="B30" i="71"/>
  <c r="O21" i="71" s="1"/>
  <c r="P10" i="68" s="1"/>
  <c r="C28" i="71"/>
  <c r="M22" i="71" s="1"/>
  <c r="N11" i="68" s="1"/>
  <c r="B26" i="71"/>
  <c r="K21" i="71" s="1"/>
  <c r="L10" i="68" s="1"/>
  <c r="C24" i="71"/>
  <c r="I22" i="71" s="1"/>
  <c r="J11" i="68" s="1"/>
  <c r="C33" i="71"/>
  <c r="R22" i="71" s="1"/>
  <c r="S11" i="68" s="1"/>
  <c r="B32" i="71"/>
  <c r="Q21" i="71" s="1"/>
  <c r="R10" i="68" s="1"/>
  <c r="B29" i="71"/>
  <c r="N21" i="71" s="1"/>
  <c r="O10" i="68" s="1"/>
  <c r="C26" i="71"/>
  <c r="K22" i="71" s="1"/>
  <c r="L11" i="68" s="1"/>
  <c r="B28" i="71"/>
  <c r="M21" i="71" s="1"/>
  <c r="N10" i="68" s="1"/>
  <c r="C27" i="71"/>
  <c r="L22" i="71" s="1"/>
  <c r="M11" i="68" s="1"/>
  <c r="C25" i="71"/>
  <c r="J22" i="71" s="1"/>
  <c r="K11" i="68" s="1"/>
  <c r="B25" i="71"/>
  <c r="J21" i="71" s="1"/>
  <c r="K10" i="68" s="1"/>
  <c r="C22" i="71"/>
  <c r="G22" i="71" s="1"/>
  <c r="H11" i="68" s="1"/>
  <c r="B22" i="71"/>
  <c r="G21" i="71" s="1"/>
  <c r="H10" i="68" s="1"/>
  <c r="C23" i="71"/>
  <c r="H22" i="71" s="1"/>
  <c r="I11" i="68" s="1"/>
  <c r="B24" i="71"/>
  <c r="I21" i="71" s="1"/>
  <c r="J10" i="68" s="1"/>
  <c r="C21" i="71"/>
  <c r="F22" i="71" s="1"/>
  <c r="AC22" i="77"/>
  <c r="N45" i="68"/>
  <c r="T20" i="68"/>
  <c r="T76" i="68" s="1"/>
  <c r="P8" i="76" s="1"/>
  <c r="T31" i="68"/>
  <c r="R134" i="68"/>
  <c r="R31" i="68"/>
  <c r="Q34" i="68"/>
  <c r="O6" i="72" s="1"/>
  <c r="P46" i="68"/>
  <c r="P96" i="68" s="1"/>
  <c r="P31" i="68"/>
  <c r="O24" i="68"/>
  <c r="O80" i="68" s="1"/>
  <c r="J45" i="68"/>
  <c r="P45" i="68"/>
  <c r="T35" i="68"/>
  <c r="T89" i="68" s="1"/>
  <c r="R17" i="68"/>
  <c r="Q20" i="68"/>
  <c r="Q76" i="68" s="1"/>
  <c r="M8" i="76" s="1"/>
  <c r="P136" i="68"/>
  <c r="I13" i="77" s="1"/>
  <c r="P17" i="68"/>
  <c r="P23" i="68"/>
  <c r="N4" i="72" s="1"/>
  <c r="N17" i="68"/>
  <c r="I36" i="68"/>
  <c r="I90" i="68" s="1"/>
  <c r="T45" i="68"/>
  <c r="T137" i="68"/>
  <c r="T136" i="68"/>
  <c r="M13" i="77" s="1"/>
  <c r="S62" i="68"/>
  <c r="S63" i="68" s="1"/>
  <c r="R24" i="68"/>
  <c r="Q19" i="68"/>
  <c r="Q77" i="68" s="1"/>
  <c r="M7" i="76" s="1"/>
  <c r="O137" i="68"/>
  <c r="O29" i="68"/>
  <c r="O84" i="68" s="1"/>
  <c r="H9" i="77" s="1"/>
  <c r="L136" i="68"/>
  <c r="E13" i="77" s="1"/>
  <c r="R45" i="68"/>
  <c r="T46" i="68"/>
  <c r="T96" i="68" s="1"/>
  <c r="T32" i="68"/>
  <c r="T86" i="68" s="1"/>
  <c r="S46" i="68"/>
  <c r="S96" i="68" s="1"/>
  <c r="R136" i="68"/>
  <c r="K13" i="77" s="1"/>
  <c r="R32" i="68"/>
  <c r="R86" i="68" s="1"/>
  <c r="Q134" i="68"/>
  <c r="P134" i="68"/>
  <c r="N34" i="68"/>
  <c r="H136" i="68"/>
  <c r="N56" i="68"/>
  <c r="M22" i="68"/>
  <c r="M78" i="68" s="1"/>
  <c r="O34" i="68"/>
  <c r="M20" i="68"/>
  <c r="M76" i="68" s="1"/>
  <c r="I8" i="76" s="1"/>
  <c r="J46" i="68"/>
  <c r="J96" i="68" s="1"/>
  <c r="M32" i="68"/>
  <c r="M86" i="68" s="1"/>
  <c r="M36" i="68"/>
  <c r="M90" i="68" s="1"/>
  <c r="L34" i="68"/>
  <c r="L24" i="68"/>
  <c r="I134" i="68"/>
  <c r="I45" i="68"/>
  <c r="O45" i="68"/>
  <c r="S137" i="68"/>
  <c r="T23" i="68"/>
  <c r="S22" i="68"/>
  <c r="S78" i="68" s="1"/>
  <c r="S29" i="68"/>
  <c r="S84" i="68" s="1"/>
  <c r="L9" i="77" s="1"/>
  <c r="S23" i="68"/>
  <c r="Q137" i="68"/>
  <c r="R46" i="68"/>
  <c r="R96" i="68" s="1"/>
  <c r="R23" i="68"/>
  <c r="R79" i="68" s="1"/>
  <c r="Q136" i="68"/>
  <c r="J13" i="77" s="1"/>
  <c r="Q46" i="68"/>
  <c r="Q96" i="68" s="1"/>
  <c r="Q30" i="68"/>
  <c r="Q36" i="68"/>
  <c r="Q90" i="68" s="1"/>
  <c r="P29" i="68"/>
  <c r="P84" i="68" s="1"/>
  <c r="I9" i="77" s="1"/>
  <c r="O136" i="68"/>
  <c r="H13" i="77" s="1"/>
  <c r="O30" i="68"/>
  <c r="O85" i="68" s="1"/>
  <c r="O36" i="68"/>
  <c r="O90" i="68" s="1"/>
  <c r="M137" i="68"/>
  <c r="N29" i="68"/>
  <c r="N84" i="68" s="1"/>
  <c r="G9" i="77" s="1"/>
  <c r="N30" i="68"/>
  <c r="N85" i="68" s="1"/>
  <c r="N36" i="68"/>
  <c r="N90" i="68" s="1"/>
  <c r="M46" i="68"/>
  <c r="M96" i="68" s="1"/>
  <c r="M31" i="68"/>
  <c r="L22" i="68"/>
  <c r="L78" i="68" s="1"/>
  <c r="L20" i="68"/>
  <c r="L76" i="68" s="1"/>
  <c r="H8" i="76" s="1"/>
  <c r="L36" i="68"/>
  <c r="L90" i="68" s="1"/>
  <c r="K136" i="68"/>
  <c r="D13" i="77" s="1"/>
  <c r="J31" i="68"/>
  <c r="H20" i="68"/>
  <c r="H76" i="68" s="1"/>
  <c r="I24" i="68"/>
  <c r="I62" i="68"/>
  <c r="I63" i="68" s="1"/>
  <c r="H31" i="68"/>
  <c r="H22" i="68"/>
  <c r="H78" i="68" s="1"/>
  <c r="H103" i="68" s="1"/>
  <c r="J35" i="68"/>
  <c r="J89" i="68" s="1"/>
  <c r="K36" i="68"/>
  <c r="K90" i="68" s="1"/>
  <c r="K29" i="68"/>
  <c r="K84" i="68" s="1"/>
  <c r="D9" i="77" s="1"/>
  <c r="L35" i="68"/>
  <c r="L62" i="68"/>
  <c r="L30" i="68"/>
  <c r="L17" i="68"/>
  <c r="L29" i="68"/>
  <c r="L46" i="68"/>
  <c r="L96" i="68" s="1"/>
  <c r="M24" i="68"/>
  <c r="M30" i="68"/>
  <c r="M85" i="68" s="1"/>
  <c r="M17" i="68"/>
  <c r="M29" i="68"/>
  <c r="M84" i="68" s="1"/>
  <c r="F9" i="77" s="1"/>
  <c r="L137" i="68"/>
  <c r="N24" i="68"/>
  <c r="N62" i="68"/>
  <c r="N63" i="68" s="1"/>
  <c r="N20" i="68"/>
  <c r="N76" i="68" s="1"/>
  <c r="N22" i="68"/>
  <c r="N78" i="68" s="1"/>
  <c r="N136" i="68"/>
  <c r="G13" i="77" s="1"/>
  <c r="O35" i="68"/>
  <c r="O23" i="68"/>
  <c r="O62" i="68"/>
  <c r="O19" i="68"/>
  <c r="O77" i="68" s="1"/>
  <c r="O134" i="68"/>
  <c r="P56" i="68"/>
  <c r="P34" i="68"/>
  <c r="P30" i="68"/>
  <c r="P19" i="68"/>
  <c r="P77" i="68" s="1"/>
  <c r="L7" i="76" s="1"/>
  <c r="P22" i="68"/>
  <c r="P78" i="68" s="1"/>
  <c r="Q56" i="68"/>
  <c r="Q23" i="68"/>
  <c r="Q62" i="68"/>
  <c r="Q17" i="68"/>
  <c r="R35" i="68"/>
  <c r="R34" i="68"/>
  <c r="R30" i="68"/>
  <c r="R85" i="68" s="1"/>
  <c r="R19" i="68"/>
  <c r="R77" i="68" s="1"/>
  <c r="N7" i="76" s="1"/>
  <c r="R22" i="68"/>
  <c r="R78" i="68" s="1"/>
  <c r="S56" i="68"/>
  <c r="S34" i="68"/>
  <c r="S32" i="68"/>
  <c r="S86" i="68" s="1"/>
  <c r="S20" i="68"/>
  <c r="S76" i="68" s="1"/>
  <c r="T56" i="68"/>
  <c r="T34" i="68"/>
  <c r="T30" i="68"/>
  <c r="T85" i="68" s="1"/>
  <c r="T17" i="68"/>
  <c r="T29" i="68"/>
  <c r="T84" i="68" s="1"/>
  <c r="M9" i="77" s="1"/>
  <c r="T134" i="68"/>
  <c r="E3" i="72"/>
  <c r="H34" i="68"/>
  <c r="H134" i="68"/>
  <c r="J34" i="68"/>
  <c r="J19" i="68"/>
  <c r="J77" i="68" s="1"/>
  <c r="F7" i="76" s="1"/>
  <c r="K62" i="68"/>
  <c r="K63" i="68" s="1"/>
  <c r="L56" i="68"/>
  <c r="L23" i="68"/>
  <c r="L31" i="68"/>
  <c r="L19" i="68"/>
  <c r="L77" i="68" s="1"/>
  <c r="H7" i="76" s="1"/>
  <c r="L134" i="68"/>
  <c r="K137" i="68"/>
  <c r="M35" i="68"/>
  <c r="M23" i="68"/>
  <c r="M62" i="68"/>
  <c r="M19" i="68"/>
  <c r="M77" i="68" s="1"/>
  <c r="I7" i="76" s="1"/>
  <c r="M134" i="68"/>
  <c r="M136" i="68"/>
  <c r="F13" i="77" s="1"/>
  <c r="N23" i="68"/>
  <c r="N31" i="68"/>
  <c r="N46" i="68"/>
  <c r="N96" i="68" s="1"/>
  <c r="O56" i="68"/>
  <c r="O31" i="68"/>
  <c r="O20" i="68"/>
  <c r="O76" i="68" s="1"/>
  <c r="K8" i="76" s="1"/>
  <c r="O46" i="68"/>
  <c r="O96" i="68" s="1"/>
  <c r="O22" i="68"/>
  <c r="O78" i="68" s="1"/>
  <c r="N137" i="68"/>
  <c r="P24" i="68"/>
  <c r="P36" i="68"/>
  <c r="P90" i="68" s="1"/>
  <c r="P62" i="68"/>
  <c r="P63" i="68" s="1"/>
  <c r="P20" i="68"/>
  <c r="P76" i="68" s="1"/>
  <c r="L8" i="76" s="1"/>
  <c r="Q24" i="68"/>
  <c r="Q31" i="68"/>
  <c r="R56" i="68"/>
  <c r="R36" i="68"/>
  <c r="R90" i="68" s="1"/>
  <c r="R62" i="68"/>
  <c r="R63" i="68" s="1"/>
  <c r="R20" i="68"/>
  <c r="R76" i="68" s="1"/>
  <c r="N8" i="76" s="1"/>
  <c r="S24" i="68"/>
  <c r="S36" i="68"/>
  <c r="S90" i="68" s="1"/>
  <c r="S30" i="68"/>
  <c r="S85" i="68" s="1"/>
  <c r="S17" i="68"/>
  <c r="R137" i="68"/>
  <c r="T24" i="68"/>
  <c r="T36" i="68"/>
  <c r="T90" i="68" s="1"/>
  <c r="T62" i="68"/>
  <c r="T19" i="68"/>
  <c r="T77" i="68" s="1"/>
  <c r="P7" i="76" s="1"/>
  <c r="T22" i="68"/>
  <c r="T78" i="68" s="1"/>
  <c r="M45" i="68"/>
  <c r="L45" i="68"/>
  <c r="S45" i="68"/>
  <c r="K45" i="68"/>
  <c r="Q45" i="68"/>
  <c r="S136" i="68"/>
  <c r="L13" i="77" s="1"/>
  <c r="S134" i="68"/>
  <c r="S19" i="68"/>
  <c r="S77" i="68" s="1"/>
  <c r="O7" i="76" s="1"/>
  <c r="S31" i="68"/>
  <c r="S35" i="68"/>
  <c r="R29" i="68"/>
  <c r="R84" i="68" s="1"/>
  <c r="K9" i="77" s="1"/>
  <c r="P137" i="68"/>
  <c r="Q22" i="68"/>
  <c r="Q78" i="68" s="1"/>
  <c r="Q29" i="68"/>
  <c r="Q84" i="68" s="1"/>
  <c r="J9" i="77" s="1"/>
  <c r="Q32" i="68"/>
  <c r="Q86" i="68" s="1"/>
  <c r="Q35" i="68"/>
  <c r="P32" i="68"/>
  <c r="P86" i="68" s="1"/>
  <c r="P35" i="68"/>
  <c r="O17" i="68"/>
  <c r="O32" i="68"/>
  <c r="N134" i="68"/>
  <c r="N19" i="68"/>
  <c r="N77" i="68" s="1"/>
  <c r="J7" i="76" s="1"/>
  <c r="N32" i="68"/>
  <c r="N86" i="68" s="1"/>
  <c r="N35" i="68"/>
  <c r="M34" i="68"/>
  <c r="M56" i="68"/>
  <c r="L32" i="68"/>
  <c r="L86" i="68" s="1"/>
  <c r="J137" i="68"/>
  <c r="J56" i="68"/>
  <c r="H30" i="68"/>
  <c r="H85" i="68" s="1"/>
  <c r="K46" i="68"/>
  <c r="K96" i="68" s="1"/>
  <c r="K19" i="68"/>
  <c r="K77" i="68" s="1"/>
  <c r="K31" i="68"/>
  <c r="K34" i="68"/>
  <c r="K35" i="68"/>
  <c r="K56" i="68"/>
  <c r="J134" i="68"/>
  <c r="J20" i="68"/>
  <c r="J76" i="68" s="1"/>
  <c r="J30" i="68"/>
  <c r="J32" i="68"/>
  <c r="J86" i="68" s="1"/>
  <c r="J24" i="68"/>
  <c r="I136" i="68"/>
  <c r="H137" i="68"/>
  <c r="H17" i="68"/>
  <c r="H90" i="68"/>
  <c r="H35" i="68"/>
  <c r="H29" i="68"/>
  <c r="G77" i="68"/>
  <c r="G86" i="68"/>
  <c r="I22" i="68"/>
  <c r="I78" i="68" s="1"/>
  <c r="I17" i="68"/>
  <c r="I31" i="68"/>
  <c r="I34" i="68"/>
  <c r="I35" i="68"/>
  <c r="I56" i="68"/>
  <c r="K22" i="68"/>
  <c r="K78" i="68" s="1"/>
  <c r="K17" i="68"/>
  <c r="K23" i="68"/>
  <c r="J29" i="68"/>
  <c r="J62" i="68"/>
  <c r="J36" i="68"/>
  <c r="H19" i="68"/>
  <c r="H77" i="68" s="1"/>
  <c r="H23" i="68"/>
  <c r="H56" i="68"/>
  <c r="H32" i="68"/>
  <c r="H86" i="68" s="1"/>
  <c r="H112" i="68" s="1"/>
  <c r="G90" i="68"/>
  <c r="I46" i="68"/>
  <c r="I96" i="68" s="1"/>
  <c r="B11" i="77" s="1"/>
  <c r="I19" i="68"/>
  <c r="I77" i="68" s="1"/>
  <c r="H45" i="68"/>
  <c r="H44" i="68" s="1"/>
  <c r="I23" i="68"/>
  <c r="K134" i="68"/>
  <c r="K20" i="68"/>
  <c r="K76" i="68" s="1"/>
  <c r="K30" i="68"/>
  <c r="K32" i="68"/>
  <c r="K86" i="68" s="1"/>
  <c r="K24" i="68"/>
  <c r="J136" i="68"/>
  <c r="I137" i="68"/>
  <c r="J22" i="68"/>
  <c r="J78" i="68" s="1"/>
  <c r="J17" i="68"/>
  <c r="J23" i="68"/>
  <c r="H24" i="68"/>
  <c r="H62" i="68"/>
  <c r="G78" i="68"/>
  <c r="G76" i="68"/>
  <c r="I29" i="68"/>
  <c r="I30" i="68"/>
  <c r="I32" i="68"/>
  <c r="I86" i="68" s="1"/>
  <c r="D29" i="75" l="1"/>
  <c r="R13" i="78"/>
  <c r="R34" i="78" s="1"/>
  <c r="D13" i="78"/>
  <c r="D34" i="78" s="1"/>
  <c r="E5" i="74"/>
  <c r="W11" i="78"/>
  <c r="W35" i="78" s="1"/>
  <c r="I11" i="78"/>
  <c r="I35" i="78" s="1"/>
  <c r="O14" i="77"/>
  <c r="D55" i="77" s="1"/>
  <c r="J103" i="68"/>
  <c r="J7" i="68"/>
  <c r="J8" i="68" s="1"/>
  <c r="J123" i="68" s="1"/>
  <c r="F23" i="76" s="1"/>
  <c r="K6" i="68"/>
  <c r="K102" i="68" s="1"/>
  <c r="G19" i="76" s="1"/>
  <c r="K7" i="68"/>
  <c r="K8" i="68" s="1"/>
  <c r="L11" i="76"/>
  <c r="P6" i="76"/>
  <c r="J6" i="76"/>
  <c r="M11" i="76"/>
  <c r="M6" i="76"/>
  <c r="K11" i="76"/>
  <c r="H11" i="76"/>
  <c r="I11" i="76"/>
  <c r="F11" i="76"/>
  <c r="C11" i="77"/>
  <c r="O11" i="76"/>
  <c r="H9" i="72"/>
  <c r="I7" i="68"/>
  <c r="I8" i="68" s="1"/>
  <c r="I123" i="68" s="1"/>
  <c r="G9" i="72"/>
  <c r="E29" i="75"/>
  <c r="L9" i="68"/>
  <c r="F5" i="74"/>
  <c r="I30" i="75"/>
  <c r="J3" i="74"/>
  <c r="K58" i="68"/>
  <c r="L58" i="68" s="1"/>
  <c r="I101" i="68"/>
  <c r="E20" i="76" s="1"/>
  <c r="F12" i="68"/>
  <c r="D10" i="72" s="1"/>
  <c r="F13" i="68"/>
  <c r="D11" i="72" s="1"/>
  <c r="G143" i="68"/>
  <c r="G140" i="68" s="1"/>
  <c r="Q88" i="68"/>
  <c r="P25" i="68"/>
  <c r="P18" i="68" s="1"/>
  <c r="P26" i="68" s="1"/>
  <c r="P81" i="68" s="1"/>
  <c r="M66" i="68"/>
  <c r="P66" i="68"/>
  <c r="N66" i="68"/>
  <c r="Q66" i="68"/>
  <c r="J66" i="68"/>
  <c r="R65" i="68"/>
  <c r="Q65" i="68"/>
  <c r="P79" i="68"/>
  <c r="N65" i="68"/>
  <c r="M3" i="72"/>
  <c r="G80" i="68"/>
  <c r="T33" i="68"/>
  <c r="T87" i="68" s="1"/>
  <c r="K6" i="76"/>
  <c r="O6" i="76"/>
  <c r="J65" i="68"/>
  <c r="G25" i="68"/>
  <c r="G81" i="68" s="1"/>
  <c r="O43" i="68"/>
  <c r="O44" i="68" s="1"/>
  <c r="O95" i="68" s="1"/>
  <c r="P65" i="68"/>
  <c r="J102" i="68"/>
  <c r="F19" i="76" s="1"/>
  <c r="P11" i="76"/>
  <c r="R33" i="68"/>
  <c r="R87" i="68" s="1"/>
  <c r="N88" i="68"/>
  <c r="L6" i="72"/>
  <c r="P33" i="68"/>
  <c r="P87" i="68" s="1"/>
  <c r="P3" i="72"/>
  <c r="R80" i="68"/>
  <c r="I103" i="68"/>
  <c r="R66" i="68"/>
  <c r="T25" i="68"/>
  <c r="T18" i="68" s="1"/>
  <c r="T26" i="68" s="1"/>
  <c r="T81" i="68" s="1"/>
  <c r="J37" i="68"/>
  <c r="J38" i="68" s="1"/>
  <c r="J91" i="68" s="1"/>
  <c r="N11" i="76"/>
  <c r="M6" i="72"/>
  <c r="O88" i="68"/>
  <c r="N89" i="68"/>
  <c r="L5" i="72"/>
  <c r="Q89" i="68"/>
  <c r="O5" i="72"/>
  <c r="Q33" i="68"/>
  <c r="Q87" i="68" s="1"/>
  <c r="Q37" i="68"/>
  <c r="Q38" i="68" s="1"/>
  <c r="Q40" i="68" s="1"/>
  <c r="O66" i="68"/>
  <c r="O65" i="68"/>
  <c r="N25" i="68"/>
  <c r="N18" i="68" s="1"/>
  <c r="N26" i="68" s="1"/>
  <c r="N81" i="68" s="1"/>
  <c r="N79" i="68"/>
  <c r="L4" i="72"/>
  <c r="M63" i="68"/>
  <c r="T65" i="68"/>
  <c r="T66" i="68"/>
  <c r="Q79" i="68"/>
  <c r="O4" i="72"/>
  <c r="G6" i="76"/>
  <c r="H111" i="68"/>
  <c r="D17" i="76" s="1"/>
  <c r="D5" i="76"/>
  <c r="Q80" i="68"/>
  <c r="Q25" i="68"/>
  <c r="O3" i="72"/>
  <c r="N3" i="72"/>
  <c r="P80" i="68"/>
  <c r="H88" i="68"/>
  <c r="H114" i="68" s="1"/>
  <c r="F6" i="72"/>
  <c r="O63" i="68"/>
  <c r="L85" i="68"/>
  <c r="E10" i="77" s="1"/>
  <c r="L6" i="76"/>
  <c r="J6" i="72"/>
  <c r="L88" i="68"/>
  <c r="T37" i="68"/>
  <c r="T38" i="68" s="1"/>
  <c r="T39" i="68" s="1"/>
  <c r="N33" i="68"/>
  <c r="O8" i="76"/>
  <c r="M88" i="68"/>
  <c r="K6" i="72"/>
  <c r="P89" i="68"/>
  <c r="N5" i="72"/>
  <c r="N6" i="76"/>
  <c r="R3" i="72"/>
  <c r="T80" i="68"/>
  <c r="P4" i="76" s="1"/>
  <c r="M89" i="68"/>
  <c r="K5" i="72"/>
  <c r="L37" i="68"/>
  <c r="L38" i="68" s="1"/>
  <c r="L91" i="68" s="1"/>
  <c r="L33" i="68"/>
  <c r="P5" i="76"/>
  <c r="O79" i="68"/>
  <c r="M4" i="72"/>
  <c r="O25" i="68"/>
  <c r="J8" i="76"/>
  <c r="I6" i="76"/>
  <c r="L63" i="68"/>
  <c r="J5" i="76"/>
  <c r="R25" i="68"/>
  <c r="R18" i="68" s="1"/>
  <c r="R26" i="68" s="1"/>
  <c r="R81" i="68" s="1"/>
  <c r="P4" i="72"/>
  <c r="Q4" i="72"/>
  <c r="S79" i="68"/>
  <c r="R5" i="72"/>
  <c r="O33" i="68"/>
  <c r="O87" i="68" s="1"/>
  <c r="H6" i="77" s="1"/>
  <c r="O86" i="68"/>
  <c r="S33" i="68"/>
  <c r="S37" i="68"/>
  <c r="S38" i="68" s="1"/>
  <c r="T63" i="68"/>
  <c r="L65" i="68"/>
  <c r="L66" i="68"/>
  <c r="S66" i="68"/>
  <c r="S65" i="68"/>
  <c r="R88" i="68"/>
  <c r="K5" i="77" s="1"/>
  <c r="P6" i="72"/>
  <c r="P85" i="68"/>
  <c r="K7" i="76"/>
  <c r="N80" i="68"/>
  <c r="L3" i="72"/>
  <c r="I80" i="68"/>
  <c r="I105" i="68" s="1"/>
  <c r="G3" i="72"/>
  <c r="L25" i="68"/>
  <c r="J3" i="72"/>
  <c r="L80" i="68"/>
  <c r="N37" i="68"/>
  <c r="N38" i="68" s="1"/>
  <c r="N39" i="68" s="1"/>
  <c r="J11" i="76"/>
  <c r="K4" i="72"/>
  <c r="M79" i="68"/>
  <c r="R89" i="68"/>
  <c r="P5" i="72"/>
  <c r="P88" i="68"/>
  <c r="N6" i="72"/>
  <c r="M80" i="68"/>
  <c r="K3" i="72"/>
  <c r="M25" i="68"/>
  <c r="H101" i="68"/>
  <c r="D20" i="76" s="1"/>
  <c r="D8" i="76"/>
  <c r="T79" i="68"/>
  <c r="R4" i="72"/>
  <c r="M65" i="68"/>
  <c r="R37" i="68"/>
  <c r="R38" i="68" s="1"/>
  <c r="R39" i="68" s="1"/>
  <c r="S89" i="68"/>
  <c r="Q5" i="72"/>
  <c r="S80" i="68"/>
  <c r="S25" i="68"/>
  <c r="Q3" i="72"/>
  <c r="O37" i="68"/>
  <c r="O38" i="68" s="1"/>
  <c r="O91" i="68" s="1"/>
  <c r="L79" i="68"/>
  <c r="J4" i="72"/>
  <c r="J88" i="68"/>
  <c r="H6" i="72"/>
  <c r="T88" i="68"/>
  <c r="R6" i="72"/>
  <c r="S88" i="68"/>
  <c r="Q6" i="72"/>
  <c r="N5" i="76"/>
  <c r="Q63" i="68"/>
  <c r="O89" i="68"/>
  <c r="K4" i="76" s="1"/>
  <c r="M5" i="72"/>
  <c r="L84" i="68"/>
  <c r="E9" i="77" s="1"/>
  <c r="L89" i="68"/>
  <c r="J5" i="72"/>
  <c r="M33" i="68"/>
  <c r="M37" i="68"/>
  <c r="M38" i="68" s="1"/>
  <c r="M40" i="68" s="1"/>
  <c r="Q85" i="68"/>
  <c r="P37" i="68"/>
  <c r="P38" i="68" s="1"/>
  <c r="J79" i="68"/>
  <c r="H4" i="72"/>
  <c r="I43" i="68"/>
  <c r="I85" i="68"/>
  <c r="B10" i="77" s="1"/>
  <c r="G37" i="68"/>
  <c r="G91" i="68" s="1"/>
  <c r="K25" i="68"/>
  <c r="K80" i="68"/>
  <c r="I3" i="72"/>
  <c r="I102" i="68"/>
  <c r="E19" i="76" s="1"/>
  <c r="E7" i="76"/>
  <c r="H66" i="68"/>
  <c r="H116" i="68" s="1"/>
  <c r="J63" i="68"/>
  <c r="I88" i="68"/>
  <c r="G6" i="72"/>
  <c r="J80" i="68"/>
  <c r="J25" i="68"/>
  <c r="H3" i="72"/>
  <c r="K33" i="68"/>
  <c r="K37" i="68"/>
  <c r="K38" i="68" s="1"/>
  <c r="K91" i="68" s="1"/>
  <c r="G88" i="68"/>
  <c r="E6" i="72"/>
  <c r="E11" i="76"/>
  <c r="H79" i="68"/>
  <c r="F4" i="72"/>
  <c r="H84" i="68"/>
  <c r="K66" i="68"/>
  <c r="K65" i="68"/>
  <c r="H33" i="68"/>
  <c r="H87" i="68" s="1"/>
  <c r="I5" i="76"/>
  <c r="I84" i="68"/>
  <c r="B9" i="77" s="1"/>
  <c r="H63" i="68"/>
  <c r="I79" i="68"/>
  <c r="G4" i="72"/>
  <c r="J84" i="68"/>
  <c r="C9" i="77" s="1"/>
  <c r="I37" i="68"/>
  <c r="I38" i="68" s="1"/>
  <c r="I91" i="68" s="1"/>
  <c r="I33" i="68"/>
  <c r="C8" i="76"/>
  <c r="H80" i="68"/>
  <c r="H105" i="68" s="1"/>
  <c r="H25" i="68"/>
  <c r="F3" i="72"/>
  <c r="K43" i="68"/>
  <c r="K85" i="68"/>
  <c r="D10" i="77" s="1"/>
  <c r="L43" i="68"/>
  <c r="N43" i="68"/>
  <c r="T43" i="68"/>
  <c r="H95" i="68"/>
  <c r="R43" i="68"/>
  <c r="P43" i="68"/>
  <c r="G84" i="68"/>
  <c r="H102" i="68"/>
  <c r="D19" i="76" s="1"/>
  <c r="D7" i="76"/>
  <c r="I66" i="68"/>
  <c r="I65" i="68"/>
  <c r="G79" i="68"/>
  <c r="E4" i="72"/>
  <c r="H37" i="68"/>
  <c r="H38" i="68" s="1"/>
  <c r="H91" i="68" s="1"/>
  <c r="F5" i="72"/>
  <c r="J43" i="68"/>
  <c r="J85" i="68"/>
  <c r="C10" i="77" s="1"/>
  <c r="K89" i="68"/>
  <c r="I5" i="72"/>
  <c r="G7" i="76"/>
  <c r="I25" i="68"/>
  <c r="J33" i="68"/>
  <c r="J87" i="68" s="1"/>
  <c r="C6" i="77" s="1"/>
  <c r="M43" i="68"/>
  <c r="O5" i="76"/>
  <c r="S43" i="68"/>
  <c r="G85" i="68"/>
  <c r="C13" i="77"/>
  <c r="G8" i="76"/>
  <c r="E5" i="72"/>
  <c r="J90" i="68"/>
  <c r="H5" i="72"/>
  <c r="K79" i="68"/>
  <c r="I4" i="72"/>
  <c r="I89" i="68"/>
  <c r="G5" i="72"/>
  <c r="C19" i="76"/>
  <c r="C7" i="76"/>
  <c r="B13" i="77"/>
  <c r="J101" i="68"/>
  <c r="F8" i="76"/>
  <c r="K88" i="68"/>
  <c r="I6" i="72"/>
  <c r="G11" i="76"/>
  <c r="Q43" i="68"/>
  <c r="K5" i="76"/>
  <c r="J112" i="68" l="1"/>
  <c r="F55" i="77"/>
  <c r="B55" i="77"/>
  <c r="J55" i="77"/>
  <c r="T13" i="78"/>
  <c r="T34" i="78" s="1"/>
  <c r="F13" i="78"/>
  <c r="F34" i="78" s="1"/>
  <c r="E13" i="78"/>
  <c r="E34" i="78" s="1"/>
  <c r="S13" i="78"/>
  <c r="S34" i="78" s="1"/>
  <c r="X11" i="78"/>
  <c r="X35" i="78" s="1"/>
  <c r="J11" i="78"/>
  <c r="J35" i="78" s="1"/>
  <c r="K103" i="68"/>
  <c r="J114" i="68"/>
  <c r="I55" i="77"/>
  <c r="M55" i="77"/>
  <c r="K55" i="77"/>
  <c r="G55" i="77"/>
  <c r="E55" i="77"/>
  <c r="C55" i="77"/>
  <c r="L55" i="77"/>
  <c r="H55" i="77"/>
  <c r="I116" i="68"/>
  <c r="J115" i="68"/>
  <c r="I112" i="68"/>
  <c r="G5" i="77"/>
  <c r="B5" i="77"/>
  <c r="F5" i="77"/>
  <c r="E5" i="77"/>
  <c r="J5" i="77"/>
  <c r="J118" i="68"/>
  <c r="K101" i="68"/>
  <c r="G20" i="76" s="1"/>
  <c r="I114" i="68"/>
  <c r="H5" i="77"/>
  <c r="C5" i="77"/>
  <c r="D5" i="77"/>
  <c r="K116" i="68"/>
  <c r="K105" i="68"/>
  <c r="K110" i="68"/>
  <c r="G18" i="76" s="1"/>
  <c r="K114" i="68"/>
  <c r="K112" i="68"/>
  <c r="L5" i="77"/>
  <c r="M5" i="77"/>
  <c r="I5" i="77"/>
  <c r="J30" i="75"/>
  <c r="K3" i="74"/>
  <c r="F29" i="75"/>
  <c r="M9" i="68"/>
  <c r="G5" i="74"/>
  <c r="L7" i="68"/>
  <c r="L116" i="68" s="1"/>
  <c r="L6" i="68"/>
  <c r="L105" i="68" s="1"/>
  <c r="J9" i="72"/>
  <c r="K71" i="68"/>
  <c r="K6" i="77"/>
  <c r="J116" i="68"/>
  <c r="M58" i="68"/>
  <c r="F10" i="77" s="1"/>
  <c r="L71" i="68"/>
  <c r="E11" i="77" s="1"/>
  <c r="M6" i="77"/>
  <c r="P10" i="76"/>
  <c r="T47" i="68"/>
  <c r="O94" i="68"/>
  <c r="H7" i="77" s="1"/>
  <c r="G4" i="77"/>
  <c r="P47" i="68"/>
  <c r="K4" i="77"/>
  <c r="C4" i="77"/>
  <c r="E4" i="77"/>
  <c r="J4" i="77"/>
  <c r="H4" i="77"/>
  <c r="L4" i="77"/>
  <c r="F4" i="77"/>
  <c r="I4" i="77"/>
  <c r="L39" i="68"/>
  <c r="B4" i="77"/>
  <c r="D4" i="77"/>
  <c r="M4" i="77"/>
  <c r="T40" i="68"/>
  <c r="T91" i="68"/>
  <c r="N47" i="68"/>
  <c r="Q47" i="68"/>
  <c r="N40" i="68"/>
  <c r="N10" i="76"/>
  <c r="C4" i="76"/>
  <c r="R47" i="68"/>
  <c r="G40" i="68"/>
  <c r="N4" i="76"/>
  <c r="R16" i="68"/>
  <c r="R21" i="68"/>
  <c r="R75" i="68" s="1"/>
  <c r="N9" i="76" s="1"/>
  <c r="J40" i="68"/>
  <c r="G39" i="68"/>
  <c r="H47" i="68"/>
  <c r="N87" i="68"/>
  <c r="J10" i="76" s="1"/>
  <c r="M91" i="68"/>
  <c r="N16" i="68"/>
  <c r="N21" i="68"/>
  <c r="N75" i="68" s="1"/>
  <c r="J9" i="76" s="1"/>
  <c r="R40" i="68"/>
  <c r="E4" i="76"/>
  <c r="O40" i="68"/>
  <c r="K40" i="68"/>
  <c r="I39" i="68"/>
  <c r="N91" i="68"/>
  <c r="N139" i="68" s="1"/>
  <c r="L40" i="68"/>
  <c r="I4" i="76"/>
  <c r="J39" i="68"/>
  <c r="N3" i="76"/>
  <c r="H39" i="68"/>
  <c r="H3" i="76"/>
  <c r="M18" i="68"/>
  <c r="J3" i="76"/>
  <c r="L3" i="76"/>
  <c r="R91" i="68"/>
  <c r="R139" i="68" s="1"/>
  <c r="M87" i="68"/>
  <c r="H6" i="76"/>
  <c r="P3" i="76"/>
  <c r="L18" i="68"/>
  <c r="J4" i="76"/>
  <c r="L5" i="76"/>
  <c r="K10" i="76"/>
  <c r="O18" i="68"/>
  <c r="H5" i="76"/>
  <c r="Q18" i="68"/>
  <c r="M3" i="76"/>
  <c r="Q91" i="68"/>
  <c r="Q39" i="68"/>
  <c r="O4" i="76"/>
  <c r="M39" i="68"/>
  <c r="S91" i="68"/>
  <c r="S39" i="68"/>
  <c r="S40" i="68"/>
  <c r="L87" i="68"/>
  <c r="O47" i="68"/>
  <c r="L4" i="76"/>
  <c r="M4" i="76"/>
  <c r="M47" i="68"/>
  <c r="J6" i="77"/>
  <c r="M10" i="76"/>
  <c r="P91" i="68"/>
  <c r="P39" i="68"/>
  <c r="P40" i="68"/>
  <c r="M5" i="76"/>
  <c r="S18" i="68"/>
  <c r="S26" i="68" s="1"/>
  <c r="S81" i="68" s="1"/>
  <c r="I3" i="76"/>
  <c r="H4" i="76"/>
  <c r="S87" i="68"/>
  <c r="S47" i="68"/>
  <c r="O3" i="76"/>
  <c r="O39" i="68"/>
  <c r="L47" i="68"/>
  <c r="K3" i="76"/>
  <c r="T94" i="68"/>
  <c r="M7" i="77" s="1"/>
  <c r="T44" i="68"/>
  <c r="T95" i="68" s="1"/>
  <c r="I87" i="68"/>
  <c r="I128" i="68"/>
  <c r="I47" i="68"/>
  <c r="M94" i="68"/>
  <c r="F7" i="77" s="1"/>
  <c r="M44" i="68"/>
  <c r="M95" i="68" s="1"/>
  <c r="H118" i="68"/>
  <c r="I115" i="68"/>
  <c r="P94" i="68"/>
  <c r="I7" i="77" s="1"/>
  <c r="P44" i="68"/>
  <c r="P95" i="68" s="1"/>
  <c r="N94" i="68"/>
  <c r="G7" i="77" s="1"/>
  <c r="N44" i="68"/>
  <c r="N95" i="68" s="1"/>
  <c r="K111" i="68"/>
  <c r="G5" i="76"/>
  <c r="D4" i="76"/>
  <c r="I118" i="68"/>
  <c r="H113" i="68"/>
  <c r="D22" i="76" s="1"/>
  <c r="H104" i="68"/>
  <c r="D3" i="76"/>
  <c r="K87" i="68"/>
  <c r="K128" i="68"/>
  <c r="K47" i="68"/>
  <c r="J18" i="68"/>
  <c r="J26" i="68" s="1"/>
  <c r="J81" i="68" s="1"/>
  <c r="Q7" i="76"/>
  <c r="I40" i="68"/>
  <c r="G75" i="68"/>
  <c r="G16" i="68"/>
  <c r="K104" i="68"/>
  <c r="G3" i="76"/>
  <c r="C17" i="76"/>
  <c r="C5" i="76"/>
  <c r="L94" i="68"/>
  <c r="L44" i="68"/>
  <c r="L95" i="68" s="1"/>
  <c r="Q11" i="76"/>
  <c r="J105" i="68"/>
  <c r="F4" i="76"/>
  <c r="J128" i="68"/>
  <c r="I111" i="68"/>
  <c r="E17" i="76" s="1"/>
  <c r="E5" i="76"/>
  <c r="Q94" i="68"/>
  <c r="J7" i="77" s="1"/>
  <c r="Q44" i="68"/>
  <c r="Q95" i="68" s="1"/>
  <c r="S94" i="68"/>
  <c r="L7" i="77" s="1"/>
  <c r="S44" i="68"/>
  <c r="S95" i="68" s="1"/>
  <c r="J111" i="68"/>
  <c r="F17" i="76" s="1"/>
  <c r="F5" i="76"/>
  <c r="R44" i="68"/>
  <c r="R95" i="68" s="1"/>
  <c r="R94" i="68"/>
  <c r="K7" i="77" s="1"/>
  <c r="K94" i="68"/>
  <c r="K44" i="68"/>
  <c r="K95" i="68" s="1"/>
  <c r="K122" i="68" s="1"/>
  <c r="I104" i="68"/>
  <c r="E3" i="76"/>
  <c r="P21" i="68"/>
  <c r="P75" i="68" s="1"/>
  <c r="P16" i="68"/>
  <c r="Q8" i="76"/>
  <c r="J129" i="68"/>
  <c r="F10" i="76"/>
  <c r="J94" i="68"/>
  <c r="J44" i="68"/>
  <c r="J95" i="68" s="1"/>
  <c r="J122" i="68" s="1"/>
  <c r="K39" i="68"/>
  <c r="C20" i="76"/>
  <c r="J110" i="68"/>
  <c r="F6" i="76"/>
  <c r="H128" i="68"/>
  <c r="I110" i="68"/>
  <c r="E6" i="76"/>
  <c r="I6" i="77"/>
  <c r="L10" i="76"/>
  <c r="K115" i="68"/>
  <c r="H40" i="68"/>
  <c r="G126" i="68"/>
  <c r="E23" i="76"/>
  <c r="J47" i="68"/>
  <c r="H126" i="68"/>
  <c r="G4" i="76"/>
  <c r="G87" i="68"/>
  <c r="G128" i="68"/>
  <c r="G47" i="68"/>
  <c r="I94" i="68"/>
  <c r="I44" i="68"/>
  <c r="I95" i="68" s="1"/>
  <c r="I122" i="68" s="1"/>
  <c r="J104" i="68"/>
  <c r="F3" i="76"/>
  <c r="F20" i="76"/>
  <c r="I18" i="68"/>
  <c r="I26" i="68" s="1"/>
  <c r="I81" i="68" s="1"/>
  <c r="I107" i="68" s="1"/>
  <c r="C15" i="76"/>
  <c r="C3" i="76"/>
  <c r="C6" i="76"/>
  <c r="H18" i="68"/>
  <c r="H26" i="68" s="1"/>
  <c r="H81" i="68" s="1"/>
  <c r="H107" i="68" s="1"/>
  <c r="D10" i="76"/>
  <c r="H129" i="68"/>
  <c r="H110" i="68"/>
  <c r="D6" i="76"/>
  <c r="T21" i="68"/>
  <c r="T75" i="68" s="1"/>
  <c r="T16" i="68"/>
  <c r="K118" i="68"/>
  <c r="J113" i="68"/>
  <c r="F22" i="76" s="1"/>
  <c r="K18" i="68"/>
  <c r="K26" i="68" s="1"/>
  <c r="K81" i="68" s="1"/>
  <c r="Y11" i="78" l="1"/>
  <c r="Y35" i="78" s="1"/>
  <c r="K11" i="78"/>
  <c r="K35" i="78" s="1"/>
  <c r="K123" i="68"/>
  <c r="D11" i="77"/>
  <c r="U13" i="78"/>
  <c r="U34" i="78" s="1"/>
  <c r="G13" i="78"/>
  <c r="G34" i="78" s="1"/>
  <c r="E16" i="76"/>
  <c r="N55" i="77"/>
  <c r="L122" i="68"/>
  <c r="L115" i="68"/>
  <c r="H16" i="76" s="1"/>
  <c r="E15" i="76"/>
  <c r="G16" i="76"/>
  <c r="L111" i="68"/>
  <c r="H17" i="76" s="1"/>
  <c r="L128" i="68"/>
  <c r="L110" i="68"/>
  <c r="H18" i="76" s="1"/>
  <c r="G15" i="76"/>
  <c r="K121" i="68"/>
  <c r="D7" i="77"/>
  <c r="I121" i="68"/>
  <c r="B7" i="77"/>
  <c r="L121" i="68"/>
  <c r="E7" i="77"/>
  <c r="J121" i="68"/>
  <c r="C7" i="77"/>
  <c r="L104" i="68"/>
  <c r="L114" i="68"/>
  <c r="L102" i="68"/>
  <c r="H19" i="76" s="1"/>
  <c r="L101" i="68"/>
  <c r="H20" i="76" s="1"/>
  <c r="L103" i="68"/>
  <c r="G29" i="75"/>
  <c r="N9" i="68"/>
  <c r="H5" i="74"/>
  <c r="L8" i="68"/>
  <c r="L123" i="68" s="1"/>
  <c r="L112" i="68"/>
  <c r="M7" i="68"/>
  <c r="M122" i="68" s="1"/>
  <c r="M6" i="68"/>
  <c r="K9" i="72"/>
  <c r="L118" i="68"/>
  <c r="K30" i="75"/>
  <c r="L3" i="74"/>
  <c r="G23" i="76"/>
  <c r="F16" i="76"/>
  <c r="M71" i="68"/>
  <c r="F11" i="77" s="1"/>
  <c r="N58" i="68"/>
  <c r="G10" i="77" s="1"/>
  <c r="T139" i="68"/>
  <c r="G6" i="77"/>
  <c r="G8" i="77"/>
  <c r="K8" i="77"/>
  <c r="K126" i="68"/>
  <c r="Q6" i="76"/>
  <c r="P139" i="68"/>
  <c r="L21" i="68"/>
  <c r="L75" i="68" s="1"/>
  <c r="M21" i="68"/>
  <c r="M75" i="68" s="1"/>
  <c r="Q5" i="76"/>
  <c r="F6" i="77"/>
  <c r="I10" i="76"/>
  <c r="E6" i="77"/>
  <c r="H10" i="76"/>
  <c r="L129" i="68"/>
  <c r="O21" i="68"/>
  <c r="O75" i="68" s="1"/>
  <c r="Q21" i="68"/>
  <c r="Q75" i="68" s="1"/>
  <c r="L113" i="68"/>
  <c r="H22" i="76" s="1"/>
  <c r="D16" i="76"/>
  <c r="Q4" i="76"/>
  <c r="O10" i="76"/>
  <c r="L6" i="77"/>
  <c r="S21" i="68"/>
  <c r="S75" i="68" s="1"/>
  <c r="S16" i="68"/>
  <c r="S139" i="68"/>
  <c r="Q26" i="68"/>
  <c r="Q81" i="68" s="1"/>
  <c r="O26" i="68"/>
  <c r="O81" i="68" s="1"/>
  <c r="L26" i="68"/>
  <c r="L81" i="68" s="1"/>
  <c r="M26" i="68"/>
  <c r="M81" i="68" s="1"/>
  <c r="K127" i="68"/>
  <c r="J107" i="68"/>
  <c r="J139" i="68"/>
  <c r="K107" i="68"/>
  <c r="K139" i="68"/>
  <c r="J117" i="68"/>
  <c r="F18" i="76"/>
  <c r="C16" i="76"/>
  <c r="G129" i="68"/>
  <c r="C10" i="76"/>
  <c r="C22" i="76"/>
  <c r="E18" i="76"/>
  <c r="H21" i="68"/>
  <c r="H75" i="68" s="1"/>
  <c r="H16" i="68"/>
  <c r="Q3" i="76"/>
  <c r="C9" i="76"/>
  <c r="G10" i="76"/>
  <c r="K129" i="68"/>
  <c r="K113" i="68"/>
  <c r="G22" i="76" s="1"/>
  <c r="D6" i="77"/>
  <c r="I139" i="68"/>
  <c r="G17" i="76"/>
  <c r="C24" i="76"/>
  <c r="G125" i="68"/>
  <c r="J21" i="68"/>
  <c r="J75" i="68" s="1"/>
  <c r="J16" i="68"/>
  <c r="D15" i="76"/>
  <c r="H127" i="68"/>
  <c r="I129" i="68"/>
  <c r="E10" i="76"/>
  <c r="B6" i="77"/>
  <c r="I113" i="68"/>
  <c r="E22" i="76" s="1"/>
  <c r="P9" i="76"/>
  <c r="M8" i="77"/>
  <c r="H117" i="68"/>
  <c r="D18" i="76"/>
  <c r="F15" i="76"/>
  <c r="J127" i="68"/>
  <c r="C18" i="76"/>
  <c r="I21" i="68"/>
  <c r="I75" i="68" s="1"/>
  <c r="I16" i="68"/>
  <c r="K21" i="68"/>
  <c r="K75" i="68" s="1"/>
  <c r="K16" i="68"/>
  <c r="I126" i="68"/>
  <c r="L9" i="76"/>
  <c r="I8" i="77"/>
  <c r="I127" i="68"/>
  <c r="G127" i="68"/>
  <c r="H139" i="68"/>
  <c r="J126" i="68"/>
  <c r="L11" i="78" l="1"/>
  <c r="L35" i="78" s="1"/>
  <c r="Z11" i="78"/>
  <c r="Z35" i="78" s="1"/>
  <c r="H13" i="78"/>
  <c r="H34" i="78" s="1"/>
  <c r="V13" i="78"/>
  <c r="V34" i="78" s="1"/>
  <c r="L126" i="68"/>
  <c r="H15" i="76"/>
  <c r="L127" i="68"/>
  <c r="M129" i="68"/>
  <c r="M111" i="68"/>
  <c r="I17" i="76" s="1"/>
  <c r="M113" i="68"/>
  <c r="I22" i="76" s="1"/>
  <c r="M121" i="68"/>
  <c r="H23" i="76"/>
  <c r="N7" i="68"/>
  <c r="N111" i="68" s="1"/>
  <c r="L9" i="72"/>
  <c r="N6" i="68"/>
  <c r="L30" i="75"/>
  <c r="M3" i="74"/>
  <c r="M118" i="68"/>
  <c r="M103" i="68"/>
  <c r="M102" i="68"/>
  <c r="I19" i="76" s="1"/>
  <c r="M101" i="68"/>
  <c r="I20" i="76" s="1"/>
  <c r="M105" i="68"/>
  <c r="M104" i="68"/>
  <c r="M8" i="68"/>
  <c r="M123" i="68" s="1"/>
  <c r="M110" i="68"/>
  <c r="I18" i="76" s="1"/>
  <c r="M112" i="68"/>
  <c r="M128" i="68"/>
  <c r="M116" i="68"/>
  <c r="M114" i="68"/>
  <c r="M115" i="68"/>
  <c r="H29" i="75"/>
  <c r="I5" i="74"/>
  <c r="O9" i="68"/>
  <c r="N71" i="68"/>
  <c r="G11" i="77" s="1"/>
  <c r="O58" i="68"/>
  <c r="H10" i="77" s="1"/>
  <c r="G117" i="68"/>
  <c r="K117" i="68"/>
  <c r="O9" i="76"/>
  <c r="L8" i="77"/>
  <c r="M107" i="68"/>
  <c r="M139" i="68"/>
  <c r="Q16" i="68"/>
  <c r="Q139" i="68"/>
  <c r="L117" i="68"/>
  <c r="M16" i="68"/>
  <c r="L107" i="68"/>
  <c r="L139" i="68"/>
  <c r="M9" i="76"/>
  <c r="J8" i="77"/>
  <c r="O16" i="68"/>
  <c r="L16" i="68"/>
  <c r="F8" i="77"/>
  <c r="I9" i="76"/>
  <c r="M100" i="68"/>
  <c r="Q10" i="76"/>
  <c r="O139" i="68"/>
  <c r="K9" i="76"/>
  <c r="H8" i="77"/>
  <c r="L100" i="68"/>
  <c r="E8" i="77"/>
  <c r="H9" i="76"/>
  <c r="E9" i="76"/>
  <c r="B8" i="77"/>
  <c r="I100" i="68"/>
  <c r="I117" i="68"/>
  <c r="J100" i="68"/>
  <c r="F9" i="76"/>
  <c r="C8" i="77"/>
  <c r="D9" i="76"/>
  <c r="H100" i="68"/>
  <c r="G9" i="76"/>
  <c r="K100" i="68"/>
  <c r="D8" i="77"/>
  <c r="G106" i="68"/>
  <c r="C21" i="76"/>
  <c r="G124" i="68"/>
  <c r="W13" i="78" l="1"/>
  <c r="W34" i="78" s="1"/>
  <c r="I13" i="78"/>
  <c r="I34" i="78" s="1"/>
  <c r="M30" i="75"/>
  <c r="M11" i="78"/>
  <c r="M35" i="78" s="1"/>
  <c r="AA11" i="78"/>
  <c r="AA35" i="78" s="1"/>
  <c r="M127" i="68"/>
  <c r="M117" i="68"/>
  <c r="M126" i="68"/>
  <c r="I23" i="76"/>
  <c r="I15" i="76"/>
  <c r="N8" i="68"/>
  <c r="N123" i="68" s="1"/>
  <c r="N110" i="68"/>
  <c r="J18" i="76" s="1"/>
  <c r="N112" i="68"/>
  <c r="N114" i="68"/>
  <c r="N115" i="68"/>
  <c r="N128" i="68"/>
  <c r="N116" i="68"/>
  <c r="N121" i="68"/>
  <c r="N113" i="68"/>
  <c r="J22" i="76" s="1"/>
  <c r="N129" i="68"/>
  <c r="N122" i="68"/>
  <c r="N118" i="68"/>
  <c r="O7" i="68"/>
  <c r="O111" i="68" s="1"/>
  <c r="M9" i="72"/>
  <c r="O6" i="68"/>
  <c r="I16" i="76"/>
  <c r="G138" i="68"/>
  <c r="G141" i="68" s="1"/>
  <c r="G142" i="68" s="1"/>
  <c r="I29" i="75"/>
  <c r="P9" i="68"/>
  <c r="J5" i="74"/>
  <c r="N102" i="68"/>
  <c r="J19" i="76" s="1"/>
  <c r="N103" i="68"/>
  <c r="N101" i="68"/>
  <c r="N104" i="68"/>
  <c r="N107" i="68"/>
  <c r="N105" i="68"/>
  <c r="N100" i="68"/>
  <c r="J17" i="76"/>
  <c r="O71" i="68"/>
  <c r="H11" i="77" s="1"/>
  <c r="P58" i="68"/>
  <c r="I10" i="77" s="1"/>
  <c r="H21" i="76"/>
  <c r="L106" i="68"/>
  <c r="L124" i="68"/>
  <c r="M124" i="68"/>
  <c r="M106" i="68"/>
  <c r="I21" i="76"/>
  <c r="J106" i="68"/>
  <c r="F21" i="76"/>
  <c r="J124" i="68"/>
  <c r="H106" i="68"/>
  <c r="D21" i="76"/>
  <c r="H124" i="68"/>
  <c r="Q9" i="76"/>
  <c r="K106" i="68"/>
  <c r="G21" i="76"/>
  <c r="K124" i="68"/>
  <c r="I106" i="68"/>
  <c r="E21" i="76"/>
  <c r="I124" i="68"/>
  <c r="X13" i="78" l="1"/>
  <c r="X34" i="78" s="1"/>
  <c r="J13" i="78"/>
  <c r="J34" i="78" s="1"/>
  <c r="J15" i="76"/>
  <c r="N117" i="68"/>
  <c r="J16" i="76"/>
  <c r="J23" i="76"/>
  <c r="P7" i="68"/>
  <c r="P111" i="68" s="1"/>
  <c r="N9" i="72"/>
  <c r="P6" i="68"/>
  <c r="O105" i="68"/>
  <c r="O101" i="68"/>
  <c r="O103" i="68"/>
  <c r="O102" i="68"/>
  <c r="K19" i="76" s="1"/>
  <c r="O104" i="68"/>
  <c r="O107" i="68"/>
  <c r="O100" i="68"/>
  <c r="N126" i="68"/>
  <c r="O8" i="68"/>
  <c r="O123" i="68" s="1"/>
  <c r="O110" i="68"/>
  <c r="K18" i="76" s="1"/>
  <c r="O118" i="68"/>
  <c r="O115" i="68"/>
  <c r="O113" i="68"/>
  <c r="K22" i="76" s="1"/>
  <c r="O112" i="68"/>
  <c r="O122" i="68"/>
  <c r="O129" i="68"/>
  <c r="O116" i="68"/>
  <c r="O114" i="68"/>
  <c r="O128" i="68"/>
  <c r="O121" i="68"/>
  <c r="J21" i="76"/>
  <c r="N106" i="68"/>
  <c r="J20" i="76"/>
  <c r="N124" i="68"/>
  <c r="J29" i="75"/>
  <c r="Q9" i="68"/>
  <c r="K5" i="74"/>
  <c r="N127" i="68"/>
  <c r="K17" i="76"/>
  <c r="P71" i="68"/>
  <c r="I11" i="77" s="1"/>
  <c r="Q58" i="68"/>
  <c r="J10" i="77" s="1"/>
  <c r="G12" i="68"/>
  <c r="E10" i="72" s="1"/>
  <c r="H143" i="68"/>
  <c r="H140" i="68" s="1"/>
  <c r="G13" i="68"/>
  <c r="E11" i="72" s="1"/>
  <c r="Y13" i="78" l="1"/>
  <c r="Y34" i="78" s="1"/>
  <c r="K13" i="78"/>
  <c r="K34" i="78" s="1"/>
  <c r="O126" i="68"/>
  <c r="O127" i="68"/>
  <c r="K23" i="76"/>
  <c r="K20" i="76"/>
  <c r="O124" i="68"/>
  <c r="P8" i="68"/>
  <c r="P123" i="68" s="1"/>
  <c r="L23" i="76" s="1"/>
  <c r="P110" i="68"/>
  <c r="L18" i="76" s="1"/>
  <c r="P112" i="68"/>
  <c r="P114" i="68"/>
  <c r="P128" i="68"/>
  <c r="P115" i="68"/>
  <c r="P129" i="68"/>
  <c r="P113" i="68"/>
  <c r="L22" i="76" s="1"/>
  <c r="P116" i="68"/>
  <c r="P118" i="68"/>
  <c r="P122" i="68"/>
  <c r="P121" i="68"/>
  <c r="K29" i="75"/>
  <c r="R9" i="68"/>
  <c r="L5" i="74"/>
  <c r="K15" i="76"/>
  <c r="K16" i="76"/>
  <c r="O117" i="68"/>
  <c r="Q6" i="68"/>
  <c r="O9" i="72"/>
  <c r="Q7" i="68"/>
  <c r="Q111" i="68" s="1"/>
  <c r="P101" i="68"/>
  <c r="P102" i="68"/>
  <c r="L19" i="76" s="1"/>
  <c r="P103" i="68"/>
  <c r="P105" i="68"/>
  <c r="P104" i="68"/>
  <c r="P107" i="68"/>
  <c r="P100" i="68"/>
  <c r="O106" i="68"/>
  <c r="K21" i="76"/>
  <c r="H135" i="68"/>
  <c r="H195" i="68"/>
  <c r="D25" i="76" s="1"/>
  <c r="L17" i="76"/>
  <c r="Q71" i="68"/>
  <c r="J11" i="77" s="1"/>
  <c r="R58" i="68"/>
  <c r="K10" i="77" s="1"/>
  <c r="H138" i="68" l="1"/>
  <c r="H141" i="68" s="1"/>
  <c r="H12" i="68" s="1"/>
  <c r="F10" i="72" s="1"/>
  <c r="Z13" i="78"/>
  <c r="Z34" i="78" s="1"/>
  <c r="L13" i="78"/>
  <c r="L34" i="78" s="1"/>
  <c r="D24" i="76"/>
  <c r="L15" i="76"/>
  <c r="P117" i="68"/>
  <c r="Q8" i="68"/>
  <c r="Q123" i="68" s="1"/>
  <c r="M23" i="76" s="1"/>
  <c r="Q112" i="68"/>
  <c r="Q110" i="68"/>
  <c r="M18" i="76" s="1"/>
  <c r="Q116" i="68"/>
  <c r="Q128" i="68"/>
  <c r="Q115" i="68"/>
  <c r="Q129" i="68"/>
  <c r="Q114" i="68"/>
  <c r="Q113" i="68"/>
  <c r="M22" i="76" s="1"/>
  <c r="Q122" i="68"/>
  <c r="Q121" i="68"/>
  <c r="Q118" i="68"/>
  <c r="P9" i="72"/>
  <c r="R6" i="68"/>
  <c r="R7" i="68"/>
  <c r="R111" i="68" s="1"/>
  <c r="P106" i="68"/>
  <c r="L21" i="76"/>
  <c r="L16" i="76"/>
  <c r="Q103" i="68"/>
  <c r="Q101" i="68"/>
  <c r="Q102" i="68"/>
  <c r="M19" i="76" s="1"/>
  <c r="Q104" i="68"/>
  <c r="Q105" i="68"/>
  <c r="Q107" i="68"/>
  <c r="Q100" i="68"/>
  <c r="P126" i="68"/>
  <c r="L20" i="76"/>
  <c r="P124" i="68"/>
  <c r="L29" i="75"/>
  <c r="M5" i="74"/>
  <c r="S9" i="68"/>
  <c r="P127" i="68"/>
  <c r="H125" i="68"/>
  <c r="M17" i="76"/>
  <c r="R71" i="68"/>
  <c r="K11" i="77" s="1"/>
  <c r="S58" i="68"/>
  <c r="L10" i="77" s="1"/>
  <c r="AA13" i="78" l="1"/>
  <c r="AA34" i="78" s="1"/>
  <c r="M13" i="78"/>
  <c r="M34" i="78" s="1"/>
  <c r="M15" i="76"/>
  <c r="M16" i="76"/>
  <c r="S7" i="68"/>
  <c r="S111" i="68" s="1"/>
  <c r="Q9" i="72"/>
  <c r="S6" i="68"/>
  <c r="M20" i="76"/>
  <c r="Q124" i="68"/>
  <c r="M29" i="75"/>
  <c r="T9" i="68"/>
  <c r="R103" i="68"/>
  <c r="R102" i="68"/>
  <c r="N19" i="76" s="1"/>
  <c r="R101" i="68"/>
  <c r="R104" i="68"/>
  <c r="R105" i="68"/>
  <c r="R107" i="68"/>
  <c r="R100" i="68"/>
  <c r="Q117" i="68"/>
  <c r="M21" i="76"/>
  <c r="Q106" i="68"/>
  <c r="R8" i="68"/>
  <c r="R123" i="68" s="1"/>
  <c r="R110" i="68"/>
  <c r="N18" i="76" s="1"/>
  <c r="R112" i="68"/>
  <c r="R116" i="68"/>
  <c r="R115" i="68"/>
  <c r="R114" i="68"/>
  <c r="R113" i="68"/>
  <c r="N22" i="76" s="1"/>
  <c r="R129" i="68"/>
  <c r="R128" i="68"/>
  <c r="R121" i="68"/>
  <c r="R122" i="68"/>
  <c r="R118" i="68"/>
  <c r="Q127" i="68"/>
  <c r="Q126" i="68"/>
  <c r="H142" i="68"/>
  <c r="I143" i="68" s="1"/>
  <c r="I140" i="68" s="1"/>
  <c r="N17" i="76"/>
  <c r="T58" i="68"/>
  <c r="M10" i="77" s="1"/>
  <c r="S71" i="68"/>
  <c r="L11" i="77" s="1"/>
  <c r="R127" i="68" l="1"/>
  <c r="R117" i="68"/>
  <c r="R126" i="68"/>
  <c r="N23" i="76"/>
  <c r="N16" i="76"/>
  <c r="S8" i="68"/>
  <c r="S123" i="68" s="1"/>
  <c r="O23" i="76" s="1"/>
  <c r="S110" i="68"/>
  <c r="O18" i="76" s="1"/>
  <c r="S112" i="68"/>
  <c r="S114" i="68"/>
  <c r="S128" i="68"/>
  <c r="S116" i="68"/>
  <c r="S115" i="68"/>
  <c r="S121" i="68"/>
  <c r="S122" i="68"/>
  <c r="S113" i="68"/>
  <c r="O22" i="76" s="1"/>
  <c r="S129" i="68"/>
  <c r="S118" i="68"/>
  <c r="N15" i="76"/>
  <c r="N21" i="76"/>
  <c r="R106" i="68"/>
  <c r="N20" i="76"/>
  <c r="R124" i="68"/>
  <c r="R9" i="72"/>
  <c r="T6" i="68"/>
  <c r="T7" i="68"/>
  <c r="T111" i="68" s="1"/>
  <c r="S103" i="68"/>
  <c r="S101" i="68"/>
  <c r="S102" i="68"/>
  <c r="O19" i="76" s="1"/>
  <c r="S104" i="68"/>
  <c r="S105" i="68"/>
  <c r="S107" i="68"/>
  <c r="S100" i="68"/>
  <c r="H13" i="68"/>
  <c r="F11" i="72" s="1"/>
  <c r="I135" i="68"/>
  <c r="I195" i="68"/>
  <c r="E25" i="76" s="1"/>
  <c r="O17" i="76"/>
  <c r="T71" i="68"/>
  <c r="M11" i="77" s="1"/>
  <c r="I138" i="68" l="1"/>
  <c r="I141" i="68" s="1"/>
  <c r="I12" i="68" s="1"/>
  <c r="G10" i="72" s="1"/>
  <c r="E24" i="76"/>
  <c r="O15" i="76"/>
  <c r="O16" i="76"/>
  <c r="S117" i="68"/>
  <c r="T8" i="68"/>
  <c r="T123" i="68" s="1"/>
  <c r="T112" i="68"/>
  <c r="T110" i="68"/>
  <c r="P18" i="76" s="1"/>
  <c r="Q18" i="76" s="1"/>
  <c r="T129" i="68"/>
  <c r="T114" i="68"/>
  <c r="T115" i="68"/>
  <c r="T128" i="68"/>
  <c r="T116" i="68"/>
  <c r="T113" i="68"/>
  <c r="P22" i="76" s="1"/>
  <c r="Q22" i="76" s="1"/>
  <c r="T122" i="68"/>
  <c r="T121" i="68"/>
  <c r="T118" i="68"/>
  <c r="S127" i="68"/>
  <c r="O21" i="76"/>
  <c r="S106" i="68"/>
  <c r="T102" i="68"/>
  <c r="P19" i="76" s="1"/>
  <c r="Q19" i="76" s="1"/>
  <c r="T101" i="68"/>
  <c r="T103" i="68"/>
  <c r="T107" i="68"/>
  <c r="T104" i="68"/>
  <c r="T105" i="68"/>
  <c r="T100" i="68"/>
  <c r="O20" i="76"/>
  <c r="S124" i="68"/>
  <c r="S126" i="68"/>
  <c r="I125" i="68"/>
  <c r="B12" i="77"/>
  <c r="B14" i="77" s="1"/>
  <c r="P17" i="76"/>
  <c r="Q17" i="76" s="1"/>
  <c r="P15" i="76" l="1"/>
  <c r="Q15" i="76" s="1"/>
  <c r="T117" i="68"/>
  <c r="P16" i="76"/>
  <c r="Q16" i="76" s="1"/>
  <c r="P23" i="76"/>
  <c r="Q23" i="76" s="1"/>
  <c r="T106" i="68"/>
  <c r="P21" i="76"/>
  <c r="Q21" i="76" s="1"/>
  <c r="P20" i="76"/>
  <c r="Q20" i="76" s="1"/>
  <c r="T124" i="68"/>
  <c r="T127" i="68"/>
  <c r="T126" i="68"/>
  <c r="I142" i="68"/>
  <c r="J143" i="68" s="1"/>
  <c r="J140" i="68" s="1"/>
  <c r="I13" i="68" l="1"/>
  <c r="G11" i="72" s="1"/>
  <c r="J135" i="68"/>
  <c r="J195" i="68"/>
  <c r="F25" i="76" s="1"/>
  <c r="J138" i="68" l="1"/>
  <c r="J141" i="68" s="1"/>
  <c r="J12" i="68" s="1"/>
  <c r="H10" i="72" s="1"/>
  <c r="C12" i="77"/>
  <c r="C14" i="77" s="1"/>
  <c r="J125" i="68"/>
  <c r="F24" i="76"/>
  <c r="J142" i="68" l="1"/>
  <c r="K143" i="68" s="1"/>
  <c r="K140" i="68" s="1"/>
  <c r="J13" i="68" l="1"/>
  <c r="H11" i="72" s="1"/>
  <c r="K135" i="68"/>
  <c r="K195" i="68"/>
  <c r="G25" i="76" s="1"/>
  <c r="K138" i="68" l="1"/>
  <c r="K141" i="68" s="1"/>
  <c r="K12" i="68" s="1"/>
  <c r="I10" i="72" s="1"/>
  <c r="G24" i="76"/>
  <c r="D12" i="77"/>
  <c r="D14" i="77" s="1"/>
  <c r="K125" i="68"/>
  <c r="K142" i="68" l="1"/>
  <c r="L143" i="68" s="1"/>
  <c r="L140" i="68" s="1"/>
  <c r="K13" i="68" l="1"/>
  <c r="I11" i="72" s="1"/>
  <c r="L135" i="68"/>
  <c r="L195" i="68"/>
  <c r="H25" i="76" s="1"/>
  <c r="L138" i="68" l="1"/>
  <c r="L141" i="68" s="1"/>
  <c r="L12" i="68" s="1"/>
  <c r="J10" i="72" s="1"/>
  <c r="E12" i="77"/>
  <c r="E14" i="77" s="1"/>
  <c r="H24" i="76"/>
  <c r="L125" i="68"/>
  <c r="L142" i="68" l="1"/>
  <c r="M143" i="68" s="1"/>
  <c r="M140" i="68" s="1"/>
  <c r="L13" i="68" l="1"/>
  <c r="J11" i="72" s="1"/>
  <c r="M135" i="68"/>
  <c r="M195" i="68"/>
  <c r="I25" i="76" s="1"/>
  <c r="M138" i="68" l="1"/>
  <c r="M141" i="68" s="1"/>
  <c r="M12" i="68" s="1"/>
  <c r="K10" i="72" s="1"/>
  <c r="I24" i="76"/>
  <c r="F12" i="77"/>
  <c r="F14" i="77" s="1"/>
  <c r="M125" i="68"/>
  <c r="M142" i="68" l="1"/>
  <c r="N143" i="68" s="1"/>
  <c r="N140" i="68" s="1"/>
  <c r="M13" i="68" l="1"/>
  <c r="K11" i="72" s="1"/>
  <c r="N135" i="68"/>
  <c r="N195" i="68"/>
  <c r="J25" i="76" s="1"/>
  <c r="N138" i="68" l="1"/>
  <c r="N141" i="68" s="1"/>
  <c r="N12" i="68" s="1"/>
  <c r="L10" i="72" s="1"/>
  <c r="G12" i="77"/>
  <c r="G14" i="77" s="1"/>
  <c r="J24" i="76"/>
  <c r="N125" i="68"/>
  <c r="N142" i="68" l="1"/>
  <c r="O143" i="68" s="1"/>
  <c r="O140" i="68" s="1"/>
  <c r="N13" i="68" l="1"/>
  <c r="L11" i="72" s="1"/>
  <c r="O135" i="68"/>
  <c r="O195" i="68"/>
  <c r="K25" i="76" s="1"/>
  <c r="O138" i="68" l="1"/>
  <c r="O141" i="68" s="1"/>
  <c r="O142" i="68" s="1"/>
  <c r="K24" i="76"/>
  <c r="O125" i="68"/>
  <c r="H12" i="77"/>
  <c r="H14" i="77" s="1"/>
  <c r="O12" i="68" l="1"/>
  <c r="M10" i="72" s="1"/>
  <c r="P143" i="68"/>
  <c r="P140" i="68" s="1"/>
  <c r="O13" i="68"/>
  <c r="M11" i="72" s="1"/>
  <c r="P135" i="68" l="1"/>
  <c r="P195" i="68"/>
  <c r="L25" i="76" s="1"/>
  <c r="P138" i="68" l="1"/>
  <c r="P141" i="68" s="1"/>
  <c r="P12" i="68" s="1"/>
  <c r="N10" i="72" s="1"/>
  <c r="I12" i="77"/>
  <c r="I14" i="77" s="1"/>
  <c r="L24" i="76"/>
  <c r="P125" i="68"/>
  <c r="P142" i="68" l="1"/>
  <c r="P13" i="68" s="1"/>
  <c r="N11" i="72" s="1"/>
  <c r="Q143" i="68" l="1"/>
  <c r="Q140" i="68" s="1"/>
  <c r="Q135" i="68" s="1"/>
  <c r="J12" i="77" l="1"/>
  <c r="J14" i="77" s="1"/>
  <c r="Q195" i="68"/>
  <c r="M25" i="76" s="1"/>
  <c r="Q125" i="68"/>
  <c r="M24" i="76"/>
  <c r="Q138" i="68" l="1"/>
  <c r="Q141" i="68" s="1"/>
  <c r="Q12" i="68" s="1"/>
  <c r="O10" i="72" s="1"/>
  <c r="Q142" i="68" l="1"/>
  <c r="R143" i="68" s="1"/>
  <c r="R140" i="68" s="1"/>
  <c r="R135" i="68" s="1"/>
  <c r="R195" i="68" l="1"/>
  <c r="N25" i="76" s="1"/>
  <c r="Q13" i="68"/>
  <c r="O11" i="72" s="1"/>
  <c r="K12" i="77"/>
  <c r="K14" i="77" s="1"/>
  <c r="N24" i="76"/>
  <c r="R125" i="68"/>
  <c r="R138" i="68" l="1"/>
  <c r="R141" i="68" s="1"/>
  <c r="R142" i="68" s="1"/>
  <c r="S143" i="68" s="1"/>
  <c r="S140" i="68" s="1"/>
  <c r="R13" i="68" l="1"/>
  <c r="P11" i="72" s="1"/>
  <c r="R12" i="68"/>
  <c r="P10" i="72" s="1"/>
  <c r="S135" i="68"/>
  <c r="S195" i="68"/>
  <c r="O25" i="76" s="1"/>
  <c r="S138" i="68" l="1"/>
  <c r="S141" i="68" s="1"/>
  <c r="S12" i="68" s="1"/>
  <c r="Q10" i="72" s="1"/>
  <c r="L12" i="77"/>
  <c r="L14" i="77" s="1"/>
  <c r="O24" i="76"/>
  <c r="S125" i="68"/>
  <c r="S142" i="68" l="1"/>
  <c r="T143" i="68" s="1"/>
  <c r="T140" i="68" s="1"/>
  <c r="S13" i="68" l="1"/>
  <c r="Q11" i="72" s="1"/>
  <c r="T135" i="68"/>
  <c r="T195" i="68"/>
  <c r="P25" i="76" s="1"/>
  <c r="Q25" i="76" s="1"/>
  <c r="T138" i="68" l="1"/>
  <c r="T141" i="68" s="1"/>
  <c r="T12" i="68" s="1"/>
  <c r="R10" i="72" s="1"/>
  <c r="M12" i="77"/>
  <c r="M14" i="77" s="1"/>
  <c r="N14" i="77" s="1"/>
  <c r="P24" i="76"/>
  <c r="Q24" i="76" s="1"/>
  <c r="T125" i="68"/>
  <c r="T142" i="68" l="1"/>
  <c r="T13" i="68" s="1"/>
  <c r="R11" i="72" s="1"/>
</calcChain>
</file>

<file path=xl/comments1.xml><?xml version="1.0" encoding="utf-8"?>
<comments xmlns="http://schemas.openxmlformats.org/spreadsheetml/2006/main">
  <authors>
    <author>Author</author>
  </authors>
  <commentList>
    <comment ref="A5" authorId="0" shapeId="0">
      <text>
        <r>
          <rPr>
            <sz val="10"/>
            <color indexed="81"/>
            <rFont val="Calibri"/>
            <family val="2"/>
          </rPr>
          <t>Assumed H2 generated with biomethane, not electrolysis</t>
        </r>
      </text>
    </comment>
  </commentList>
</comments>
</file>

<file path=xl/sharedStrings.xml><?xml version="1.0" encoding="utf-8"?>
<sst xmlns="http://schemas.openxmlformats.org/spreadsheetml/2006/main" count="1184" uniqueCount="278">
  <si>
    <t>Electricity for LDVs</t>
  </si>
  <si>
    <t>Renewable Diesel</t>
  </si>
  <si>
    <t>Electricity for HDVs/Rail</t>
  </si>
  <si>
    <t xml:space="preserve">CARBOB </t>
  </si>
  <si>
    <t>CARB Diesel</t>
  </si>
  <si>
    <t>Hydrogen</t>
  </si>
  <si>
    <t>Fuel/Vehicle Combo</t>
  </si>
  <si>
    <t>EER relative to gasoline</t>
  </si>
  <si>
    <t>EER relative to diesel</t>
  </si>
  <si>
    <t>gas/LDV or E85/FFV</t>
  </si>
  <si>
    <t>Electricty/BEV or PHEV</t>
  </si>
  <si>
    <t>Hydrogen/FCV</t>
  </si>
  <si>
    <t>LDVs</t>
  </si>
  <si>
    <t>HDVs</t>
  </si>
  <si>
    <t>CNG or LPG/HDV</t>
  </si>
  <si>
    <t>Units</t>
  </si>
  <si>
    <t>Renewable Gasoline</t>
  </si>
  <si>
    <t>Cellulosic Ethanol</t>
  </si>
  <si>
    <t>mm gal</t>
  </si>
  <si>
    <t>1000 MWH</t>
  </si>
  <si>
    <t>Biofuel</t>
  </si>
  <si>
    <t>Energy Density</t>
  </si>
  <si>
    <t>Total Ethanol</t>
  </si>
  <si>
    <t>CaRFG</t>
  </si>
  <si>
    <t>MJ/gal</t>
  </si>
  <si>
    <t>MJ/MWH</t>
  </si>
  <si>
    <t>Annual Credit Balance</t>
  </si>
  <si>
    <t>Total Gasoline Side Credits</t>
  </si>
  <si>
    <t>Total Diesel Side Credits</t>
  </si>
  <si>
    <t>CARBOB Deficits</t>
  </si>
  <si>
    <t>Diesel Deficits</t>
  </si>
  <si>
    <t>Total Credits</t>
  </si>
  <si>
    <t>Total Deficits</t>
  </si>
  <si>
    <t>Conventional Natural Gas</t>
  </si>
  <si>
    <t>Renewable Natural Gas</t>
  </si>
  <si>
    <t>Renewable NG</t>
  </si>
  <si>
    <t>Conv. Natural Gas</t>
  </si>
  <si>
    <t>Conventional NG</t>
  </si>
  <si>
    <t>Biodiesel</t>
  </si>
  <si>
    <t>Avg of CONV. LNG&amp;CNG</t>
  </si>
  <si>
    <t>MJ/DGE</t>
  </si>
  <si>
    <t>Diesel or BD/HDV</t>
  </si>
  <si>
    <t>Annual Carry-Over of Credits</t>
  </si>
  <si>
    <t>%</t>
  </si>
  <si>
    <t>g/MJ</t>
  </si>
  <si>
    <t>MMT</t>
  </si>
  <si>
    <t>Average Annual CI Assumptions for Each Fuel</t>
  </si>
  <si>
    <t>Credits or Deficits</t>
  </si>
  <si>
    <t>Total Fuel Energy</t>
  </si>
  <si>
    <t>Gasoline Compliance Schedule</t>
  </si>
  <si>
    <t>Diesel Compliance Schedule</t>
  </si>
  <si>
    <t>Fuel Volumes</t>
  </si>
  <si>
    <t>Annual Carryover</t>
  </si>
  <si>
    <t>Credit/Deficit Summary</t>
  </si>
  <si>
    <t>Innovative Crude Credits</t>
  </si>
  <si>
    <t>Refinery Investment Credits</t>
  </si>
  <si>
    <t>Refinery Renewable Hydrogen</t>
  </si>
  <si>
    <t>Incremental Crude Deficits</t>
  </si>
  <si>
    <t>mm MJ</t>
  </si>
  <si>
    <t>Notes</t>
  </si>
  <si>
    <t>Conventional Ethanol</t>
  </si>
  <si>
    <t>mm DGE</t>
  </si>
  <si>
    <t>Diesel</t>
  </si>
  <si>
    <t>Electricity</t>
  </si>
  <si>
    <t>Gasoline</t>
  </si>
  <si>
    <t>Year</t>
  </si>
  <si>
    <t>Biodiesel (% by volume)</t>
  </si>
  <si>
    <t>Renewable Diesel (% by volume)</t>
  </si>
  <si>
    <t>Alternative Jet Fuel</t>
  </si>
  <si>
    <t>Jet Fuel Standard</t>
  </si>
  <si>
    <t>EER relative to jet</t>
  </si>
  <si>
    <t>AJF</t>
  </si>
  <si>
    <t>Fuel</t>
  </si>
  <si>
    <t>CARBOB</t>
  </si>
  <si>
    <t>Renewable NG (landfill)</t>
  </si>
  <si>
    <t>Renewable NG (dairy)</t>
  </si>
  <si>
    <t>LC/LEU Refinery</t>
  </si>
  <si>
    <t>Required by regulation</t>
  </si>
  <si>
    <t>Actual LCFS Data</t>
  </si>
  <si>
    <t>Calculated Cell</t>
  </si>
  <si>
    <t>Color Code Index</t>
  </si>
  <si>
    <t>Percentage RNG as dairy gas</t>
  </si>
  <si>
    <t>Total Natural Gas Demand</t>
  </si>
  <si>
    <t>mm GGE</t>
  </si>
  <si>
    <t>Target CI Reduction</t>
  </si>
  <si>
    <t>Total Gasoline and Substitutes Demand</t>
  </si>
  <si>
    <t>Total Diesel and Substitutes Demand</t>
  </si>
  <si>
    <t>Others</t>
  </si>
  <si>
    <t>Electricty HDV</t>
  </si>
  <si>
    <t>Electricity for HDV</t>
  </si>
  <si>
    <t>Electricity for HDVs</t>
  </si>
  <si>
    <t>Electricity for HDV (EER Adj.)</t>
  </si>
  <si>
    <t>Includes CARBOB, ethanol, electricity (displaced gasoline), hydrogen (displaced gasoline) and renewable gasoline</t>
  </si>
  <si>
    <t>Total liquid gasoline (CARBOB, RG and Ethanol)</t>
  </si>
  <si>
    <t>Total Liquid Diesel (CARB diesel, RD, BD)</t>
  </si>
  <si>
    <t>Calculated from "total gasoline and substitutes demand" minus gasoline displaced by electricity and hydrogen</t>
  </si>
  <si>
    <t>Calculated from "total liquid gasoline" minus ethanol and renewable gasoline</t>
  </si>
  <si>
    <t>Calculated from total natural gas minus assumed fossil natural gas</t>
  </si>
  <si>
    <t>Calculated from "total liquid diesel" minus renewable diesel and biodiesel</t>
  </si>
  <si>
    <t>Ethanol (% of liquid gasoline by volume)</t>
  </si>
  <si>
    <t>Informational calculation</t>
  </si>
  <si>
    <t>Calculated using landfill gas and dairy gas CI values with an assumed dairy fraction</t>
  </si>
  <si>
    <t>LCFS Illustrative Compliance Scenario Calculator</t>
  </si>
  <si>
    <t>Hydrogen for HDV</t>
  </si>
  <si>
    <t>Hydrogen for LDV (EER Adj.)</t>
  </si>
  <si>
    <t>Hydrogen for HDV (EER Adj.)</t>
  </si>
  <si>
    <t>Hydrogen for HDVs</t>
  </si>
  <si>
    <t>Hydrogen for LDVs</t>
  </si>
  <si>
    <t>Includes CARB diesel, biodiesel, renewable diesel, natural gas, hydrogen (displaced diesel), and electricity (displaced diesel)</t>
  </si>
  <si>
    <t>Calculated from "total diesel and substitutes demand" miinus diesel displaced by NG, hydrogen, and electricity</t>
  </si>
  <si>
    <t>Annual % CI reduction</t>
  </si>
  <si>
    <t>MJ/kg</t>
  </si>
  <si>
    <t>mm kg</t>
  </si>
  <si>
    <t>*Electricity Rail/Forklift/etc.</t>
  </si>
  <si>
    <t>*Approximate value for multiple categories</t>
  </si>
  <si>
    <t>CNG/LDV/MDV</t>
  </si>
  <si>
    <t>Average CI</t>
  </si>
  <si>
    <t>Fuel Energy</t>
  </si>
  <si>
    <t>Summary</t>
  </si>
  <si>
    <t>Electricity for Rail/Forklift/etc.</t>
  </si>
  <si>
    <t>Electricity for Rail/Forklift/etc. (EER Adj.)</t>
  </si>
  <si>
    <t>RNG average</t>
  </si>
  <si>
    <t>Renewable Diesel/AJF</t>
  </si>
  <si>
    <t>Sugarcane Ethanol</t>
  </si>
  <si>
    <t>Sugar Ethanol</t>
  </si>
  <si>
    <t xml:space="preserve">Starch Ethanol </t>
  </si>
  <si>
    <t>Calculated from total ethanol minus cellulosic and sugar ethanol.  Includes corn, sorghum, wheat, etc.</t>
  </si>
  <si>
    <t>Calculated Dairy Gas</t>
  </si>
  <si>
    <t>Scenario Selected</t>
  </si>
  <si>
    <t>Demand Scenario</t>
  </si>
  <si>
    <t>Scenario List</t>
  </si>
  <si>
    <t>Transposed</t>
  </si>
  <si>
    <t>million gge</t>
  </si>
  <si>
    <t>HDV Electricity</t>
  </si>
  <si>
    <t>HDV H2</t>
  </si>
  <si>
    <t>Results Summary</t>
  </si>
  <si>
    <t>LCFS CI Reduction Targets</t>
  </si>
  <si>
    <t>Reduction Target</t>
  </si>
  <si>
    <t>Gasoline Pool (million gallons)</t>
  </si>
  <si>
    <t>Diesel Pool (million gallons)</t>
  </si>
  <si>
    <t>Net Credits</t>
  </si>
  <si>
    <t>Credit Bank</t>
  </si>
  <si>
    <t>Scenario Selection</t>
  </si>
  <si>
    <t>Default</t>
  </si>
  <si>
    <t>Scenario Name</t>
  </si>
  <si>
    <t>Scenario Variables</t>
  </si>
  <si>
    <t>Scenario List:</t>
  </si>
  <si>
    <t>Supply Index</t>
  </si>
  <si>
    <t>Fuel Supply Scenario</t>
  </si>
  <si>
    <t>Hydrogen (Total)</t>
  </si>
  <si>
    <t>Electricity (Total)</t>
  </si>
  <si>
    <t>Alternative Credits (Total)</t>
  </si>
  <si>
    <t>Custom</t>
  </si>
  <si>
    <t>Credits from Dairies</t>
  </si>
  <si>
    <t>Credits from Landfills</t>
  </si>
  <si>
    <t>Renewable Propane</t>
  </si>
  <si>
    <t>Conventional Propane</t>
  </si>
  <si>
    <t>mm GDE</t>
  </si>
  <si>
    <t>E85</t>
  </si>
  <si>
    <t>EERs</t>
  </si>
  <si>
    <t>Estimated/Assumed</t>
  </si>
  <si>
    <t>Total Propane</t>
  </si>
  <si>
    <t>Interest on Carryover Deficits</t>
  </si>
  <si>
    <t>Electricity for LDVs (EER Adj.)</t>
  </si>
  <si>
    <t>Estimated assuming coproduct of hydrotreating to produce RD</t>
  </si>
  <si>
    <t>Set of Scenarios</t>
  </si>
  <si>
    <t>Starch Ethanol CI</t>
  </si>
  <si>
    <t>gCO2/MJ</t>
  </si>
  <si>
    <t xml:space="preserve">Baseline </t>
  </si>
  <si>
    <t>Biomethane</t>
  </si>
  <si>
    <t>Petroleum Projects</t>
  </si>
  <si>
    <t>Credits (MMT)</t>
  </si>
  <si>
    <t>Volume (mm GGE)</t>
  </si>
  <si>
    <t>Starch Ethanol</t>
  </si>
  <si>
    <t>Proposed Amendments</t>
  </si>
  <si>
    <t>High Demand</t>
  </si>
  <si>
    <t>Low Demand</t>
  </si>
  <si>
    <t>Baseline/LD/Low ZEV/10%</t>
  </si>
  <si>
    <t>Baseline/LD/High ZEV/10%</t>
  </si>
  <si>
    <t>Baseline/HD/Low ZEV/10%</t>
  </si>
  <si>
    <t>Fair Oaks provisional CI</t>
  </si>
  <si>
    <t>Calculated value from total liquid gasoline, percentage ethanol by volume, and E85 estimate</t>
  </si>
  <si>
    <t>From Reduction Targets Worksheet</t>
  </si>
  <si>
    <t>From Supply Scenarios Worksheet</t>
  </si>
  <si>
    <t>Baseline - no amendments</t>
  </si>
  <si>
    <t>ISOR - Proposed Amendments</t>
  </si>
  <si>
    <t>25 Percent Alternative</t>
  </si>
  <si>
    <t>Baseline/HD/High ZEV/10%</t>
  </si>
  <si>
    <t xml:space="preserve">25% Low ZEV Low Demand </t>
  </si>
  <si>
    <t xml:space="preserve">18% Low ZEV Low Demand </t>
  </si>
  <si>
    <t>High Zev</t>
  </si>
  <si>
    <t>Total Emission Reductions (MMT)</t>
  </si>
  <si>
    <t>Electricity (MMT)</t>
  </si>
  <si>
    <t>Hydrogen (MMT)</t>
  </si>
  <si>
    <t>Biomethane (MMT)</t>
  </si>
  <si>
    <t>Propane (MMT)</t>
  </si>
  <si>
    <t>Ethanol (MMT)</t>
  </si>
  <si>
    <t>Biodiesel (MMT)</t>
  </si>
  <si>
    <t>Renewable Diesel (MMT)</t>
  </si>
  <si>
    <t>Alternative Jet (MMT)</t>
  </si>
  <si>
    <t>Refinery Projects (MMT)</t>
  </si>
  <si>
    <t>Innovative Crude Projects (MMT)</t>
  </si>
  <si>
    <t>Baseline</t>
  </si>
  <si>
    <t>Alternative 1</t>
  </si>
  <si>
    <t>Alternative 2</t>
  </si>
  <si>
    <t>Credits</t>
  </si>
  <si>
    <t>LCFS Attributable GHG Reductions</t>
  </si>
  <si>
    <t>Delta</t>
  </si>
  <si>
    <t>Incremental LCFS Attributable GHG Reductions</t>
  </si>
  <si>
    <t>Deficits</t>
  </si>
  <si>
    <t>Delta - PA</t>
  </si>
  <si>
    <t>Delta - Base</t>
  </si>
  <si>
    <t>Business As Usual</t>
  </si>
  <si>
    <t>Current Conditions Baseline (2016)</t>
  </si>
  <si>
    <t>LCFS Attributable GHG Reductions (Chapter IV)</t>
  </si>
  <si>
    <t>High Zev Sensitivity</t>
  </si>
  <si>
    <t>High Demand Sensitivity</t>
  </si>
  <si>
    <t>Baseline - High ZEV</t>
  </si>
  <si>
    <t>Baseline - High Demand</t>
  </si>
  <si>
    <t>Baseline - High ZEV and Demand</t>
  </si>
  <si>
    <t>High ZEV and Demand Sensitivity</t>
  </si>
  <si>
    <t>Estimate of Maximum Cost Pass-Through</t>
  </si>
  <si>
    <t>CARBOB CI</t>
  </si>
  <si>
    <t>ULSD CI</t>
  </si>
  <si>
    <t>10% CI Reduction</t>
  </si>
  <si>
    <t>18% CI reduction</t>
  </si>
  <si>
    <t>20% CI Reduction</t>
  </si>
  <si>
    <t>25% CI Reduction</t>
  </si>
  <si>
    <t>CARBOB Energy Density</t>
  </si>
  <si>
    <t>ULSD Energy Density</t>
  </si>
  <si>
    <t>Diesel Compliance Targets (g/MJ)</t>
  </si>
  <si>
    <t>Gasoline Compliance Targets (g/MJ)</t>
  </si>
  <si>
    <t>Conversion</t>
  </si>
  <si>
    <t>g/MT</t>
  </si>
  <si>
    <t>Baseline Scenarios</t>
  </si>
  <si>
    <t>Baseline - Proposed Amendments</t>
  </si>
  <si>
    <t>Project Scenarios</t>
  </si>
  <si>
    <t>Estimated Credit Prices ($/MT)</t>
  </si>
  <si>
    <t>Estimated Incremental Crude CI (g/MJ)</t>
  </si>
  <si>
    <t>cents/$</t>
  </si>
  <si>
    <t>Estimated Pass-Through Gasoline (cents)</t>
  </si>
  <si>
    <t>Estimated Pass-Through Diesel (cents)</t>
  </si>
  <si>
    <t>Incremental Pass-Through Gasoline (cents)</t>
  </si>
  <si>
    <t>Incremental Pass-Through Diesel (cents)</t>
  </si>
  <si>
    <t>Min</t>
  </si>
  <si>
    <t>Max</t>
  </si>
  <si>
    <t>High ZEV</t>
  </si>
  <si>
    <t>High ZEV Baseline</t>
  </si>
  <si>
    <t>High Demand Baseline</t>
  </si>
  <si>
    <t xml:space="preserve">High Demand </t>
  </si>
  <si>
    <t>18 Percent Alternative</t>
  </si>
  <si>
    <t>Proposed amendment</t>
  </si>
  <si>
    <t>Attribution of GHG Reductions to LCFS - See Appendix F of ISOR</t>
  </si>
  <si>
    <t>Cumulative</t>
  </si>
  <si>
    <t>Estimated Credit Prices</t>
  </si>
  <si>
    <t>Percentage CI Reduction</t>
  </si>
  <si>
    <t>Incremental</t>
  </si>
  <si>
    <t>LD = Low Demand</t>
  </si>
  <si>
    <t>HD = High Demand</t>
  </si>
  <si>
    <t>New Fields</t>
  </si>
  <si>
    <t>Administratively Adjusted Credits</t>
  </si>
  <si>
    <t>Infrastructure Credits</t>
  </si>
  <si>
    <t xml:space="preserve">MMT </t>
  </si>
  <si>
    <t>From Malins Et al. 2015</t>
  </si>
  <si>
    <t>Project/LD/Low ZEV/20%/infra</t>
  </si>
  <si>
    <t>Pre-2019</t>
  </si>
  <si>
    <t xml:space="preserve">CCS Ethanol CI Reductions </t>
  </si>
  <si>
    <t>Project/LD/High ZEV/20%/infra</t>
  </si>
  <si>
    <t>Project/HD/High ZEV/20%/infra</t>
  </si>
  <si>
    <t>Project/HD/Low ZEV/20%/Infra</t>
  </si>
  <si>
    <t>Project/HD/High ZEV/20%/Infra</t>
  </si>
  <si>
    <t>% of deficits</t>
  </si>
  <si>
    <t>Project/LD/Low ZEV/18%/infra</t>
  </si>
  <si>
    <t>Project/LD/Low ZEV/25%/Infra</t>
  </si>
  <si>
    <t>CaRFG CI</t>
  </si>
  <si>
    <t>Amendments</t>
  </si>
  <si>
    <t>Version Date: Aug 15, 2018</t>
  </si>
  <si>
    <t>Assumed a gradual increase of the percentage of deficits to 5% by 2024 as project applications get approved and facilities get installed. Starting in 2027, assumed infrastructure credits will decline as a % of deficits because 1) DCFC have a 5 year infrastructure credit window, 2) increases in throughput for both DCFC and hydrogen stations, and 3) overall deficit growth due to tighter standard.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</si>
</sst>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mmm\ dd\,\ yyyy"/>
    <numFmt numFmtId="168" formatCode="yyyy"/>
    <numFmt numFmtId="169" formatCode="#,##0.00%"/>
    <numFmt numFmtId="170" formatCode="_-* #,##0.00\ _z_ł_-;\-* #,##0.00\ _z_ł_-;_-* &quot;-&quot;??\ _z_ł_-;_-@_-"/>
    <numFmt numFmtId="171" formatCode="mmmm\ d\,\ yyyy"/>
    <numFmt numFmtId="172" formatCode="General_)"/>
    <numFmt numFmtId="173" formatCode="0.0%"/>
    <numFmt numFmtId="174" formatCode="0.000%"/>
    <numFmt numFmtId="175" formatCode="_(&quot;$&quot;* #,##0_);_(&quot;$&quot;* \(#,##0\);_(&quot;$&quot;* &quot;-&quot;??_);_(@_)"/>
    <numFmt numFmtId="176" formatCode="0.000000"/>
  </numFmts>
  <fonts count="9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0"/>
      <color indexed="8"/>
      <name val="Verdana"/>
      <family val="2"/>
    </font>
    <font>
      <sz val="1"/>
      <color indexed="9"/>
      <name val="Verdana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2"/>
      <color theme="0"/>
      <name val="Arial"/>
      <family val="2"/>
    </font>
    <font>
      <sz val="11"/>
      <color indexed="20"/>
      <name val="Calibri"/>
      <family val="2"/>
    </font>
    <font>
      <sz val="12"/>
      <color rgb="FF9C0006"/>
      <name val="Arial"/>
      <family val="2"/>
    </font>
    <font>
      <b/>
      <sz val="11"/>
      <color indexed="52"/>
      <name val="Calibri"/>
      <family val="2"/>
    </font>
    <font>
      <b/>
      <sz val="12"/>
      <color rgb="FFFA7D00"/>
      <name val="Arial"/>
      <family val="2"/>
    </font>
    <font>
      <b/>
      <sz val="11"/>
      <color indexed="9"/>
      <name val="Calibri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i/>
      <sz val="12"/>
      <color rgb="FF7F7F7F"/>
      <name val="Arial"/>
      <family val="2"/>
    </font>
    <font>
      <u/>
      <sz val="11"/>
      <color rgb="FF004488"/>
      <name val="Calibri"/>
      <family val="2"/>
      <scheme val="minor"/>
    </font>
    <font>
      <sz val="11"/>
      <color indexed="17"/>
      <name val="Calibri"/>
      <family val="2"/>
    </font>
    <font>
      <sz val="12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sz val="11"/>
      <color indexed="52"/>
      <name val="Calibri"/>
      <family val="2"/>
    </font>
    <font>
      <sz val="12"/>
      <color rgb="FFFA7D00"/>
      <name val="Arial"/>
      <family val="2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2"/>
      <color rgb="FF3F3F3F"/>
      <name val="Arial"/>
      <family val="2"/>
    </font>
    <font>
      <sz val="10"/>
      <color indexed="63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mediumGray">
        <bgColor theme="1" tint="0.499984740745262"/>
      </patternFill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EC7D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68">
    <xf numFmtId="0" fontId="0" fillId="0" borderId="0"/>
    <xf numFmtId="0" fontId="5" fillId="0" borderId="0"/>
    <xf numFmtId="43" fontId="4" fillId="0" borderId="0" applyFont="0" applyFill="0" applyBorder="0" applyAlignment="0" applyProtection="0"/>
    <xf numFmtId="0" fontId="7" fillId="0" borderId="0"/>
    <xf numFmtId="0" fontId="2" fillId="0" borderId="0"/>
    <xf numFmtId="0" fontId="4" fillId="0" borderId="0"/>
    <xf numFmtId="0" fontId="14" fillId="6" borderId="0" applyNumberFormat="0" applyBorder="0" applyAlignment="0" applyProtection="0"/>
    <xf numFmtId="0" fontId="4" fillId="0" borderId="0"/>
    <xf numFmtId="0" fontId="28" fillId="0" borderId="0" applyNumberFormat="0" applyFill="0" applyBorder="0" applyAlignment="0" applyProtection="0">
      <alignment vertical="top"/>
      <protection locked="0"/>
    </xf>
    <xf numFmtId="22" fontId="4" fillId="0" borderId="0" applyFont="0" applyFill="0" applyBorder="0" applyAlignment="0" applyProtection="0">
      <alignment wrapText="1"/>
    </xf>
    <xf numFmtId="0" fontId="3" fillId="38" borderId="14" applyNumberFormat="0" applyProtection="0">
      <alignment horizontal="center" wrapText="1"/>
    </xf>
    <xf numFmtId="0" fontId="3" fillId="38" borderId="15" applyNumberFormat="0" applyAlignment="0" applyProtection="0">
      <alignment wrapText="1"/>
    </xf>
    <xf numFmtId="0" fontId="4" fillId="39" borderId="0" applyNumberFormat="0" applyBorder="0">
      <alignment horizontal="center" wrapText="1"/>
    </xf>
    <xf numFmtId="0" fontId="4" fillId="3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67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168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29" fillId="0" borderId="0" applyNumberFormat="0" applyFill="0" applyBorder="0">
      <alignment horizontal="left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0" fillId="0" borderId="0" applyNumberFormat="0">
      <alignment readingOrder="1"/>
      <protection locked="0"/>
    </xf>
    <xf numFmtId="0" fontId="30" fillId="0" borderId="0" applyNumberFormat="0">
      <alignment readingOrder="1"/>
      <protection locked="0"/>
    </xf>
    <xf numFmtId="0" fontId="30" fillId="0" borderId="0" applyNumberFormat="0">
      <alignment readingOrder="1"/>
      <protection locked="0"/>
    </xf>
    <xf numFmtId="0" fontId="30" fillId="0" borderId="0" applyNumberFormat="0">
      <alignment readingOrder="1"/>
      <protection locked="0"/>
    </xf>
    <xf numFmtId="0" fontId="31" fillId="0" borderId="0" applyNumberFormat="0">
      <alignment readingOrder="1"/>
      <protection locked="0"/>
    </xf>
    <xf numFmtId="0" fontId="30" fillId="0" borderId="0" applyNumberFormat="0">
      <alignment readingOrder="1"/>
      <protection locked="0"/>
    </xf>
    <xf numFmtId="169" fontId="30" fillId="0" borderId="0">
      <alignment readingOrder="1"/>
      <protection locked="0"/>
    </xf>
    <xf numFmtId="169" fontId="30" fillId="0" borderId="0">
      <alignment readingOrder="1"/>
      <protection locked="0"/>
    </xf>
    <xf numFmtId="0" fontId="30" fillId="0" borderId="0" applyNumberFormat="0">
      <alignment readingOrder="1"/>
      <protection locked="0"/>
    </xf>
    <xf numFmtId="0" fontId="30" fillId="0" borderId="0" applyNumberFormat="0">
      <alignment readingOrder="1"/>
      <protection locked="0"/>
    </xf>
    <xf numFmtId="4" fontId="30" fillId="0" borderId="0">
      <alignment readingOrder="1"/>
      <protection locked="0"/>
    </xf>
    <xf numFmtId="4" fontId="30" fillId="0" borderId="0">
      <alignment readingOrder="1"/>
      <protection locked="0"/>
    </xf>
    <xf numFmtId="0" fontId="30" fillId="0" borderId="0" applyNumberFormat="0">
      <alignment horizontal="center" readingOrder="1"/>
      <protection locked="0"/>
    </xf>
    <xf numFmtId="4" fontId="30" fillId="0" borderId="0">
      <alignment readingOrder="1"/>
      <protection locked="0"/>
    </xf>
    <xf numFmtId="0" fontId="32" fillId="40" borderId="0" applyNumberFormat="0" applyBorder="0" applyAlignment="0" applyProtection="0"/>
    <xf numFmtId="0" fontId="5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2" fillId="41" borderId="0" applyNumberFormat="0" applyBorder="0" applyAlignment="0" applyProtection="0"/>
    <xf numFmtId="0" fontId="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42" borderId="0" applyNumberFormat="0" applyBorder="0" applyAlignment="0" applyProtection="0"/>
    <xf numFmtId="0" fontId="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2" fillId="43" borderId="0" applyNumberFormat="0" applyBorder="0" applyAlignment="0" applyProtection="0"/>
    <xf numFmtId="0" fontId="5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2" fillId="44" borderId="0" applyNumberFormat="0" applyBorder="0" applyAlignment="0" applyProtection="0"/>
    <xf numFmtId="0" fontId="5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2" fillId="45" borderId="0" applyNumberFormat="0" applyBorder="0" applyAlignment="0" applyProtection="0"/>
    <xf numFmtId="0" fontId="5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46" borderId="0" applyNumberFormat="0" applyBorder="0" applyAlignment="0" applyProtection="0"/>
    <xf numFmtId="0" fontId="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47" borderId="0" applyNumberFormat="0" applyBorder="0" applyAlignment="0" applyProtection="0"/>
    <xf numFmtId="0" fontId="5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2" fillId="48" borderId="0" applyNumberFormat="0" applyBorder="0" applyAlignment="0" applyProtection="0"/>
    <xf numFmtId="0" fontId="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2" fillId="43" borderId="0" applyNumberFormat="0" applyBorder="0" applyAlignment="0" applyProtection="0"/>
    <xf numFmtId="0" fontId="5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2" fillId="46" borderId="0" applyNumberFormat="0" applyBorder="0" applyAlignment="0" applyProtection="0"/>
    <xf numFmtId="0" fontId="5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2" fillId="49" borderId="0" applyNumberFormat="0" applyBorder="0" applyAlignment="0" applyProtection="0"/>
    <xf numFmtId="0" fontId="5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4" fillId="50" borderId="0" applyNumberFormat="0" applyBorder="0" applyAlignment="0" applyProtection="0"/>
    <xf numFmtId="0" fontId="2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47" borderId="0" applyNumberFormat="0" applyBorder="0" applyAlignment="0" applyProtection="0"/>
    <xf numFmtId="0" fontId="2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48" borderId="0" applyNumberFormat="0" applyBorder="0" applyAlignment="0" applyProtection="0"/>
    <xf numFmtId="0" fontId="2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51" borderId="0" applyNumberFormat="0" applyBorder="0" applyAlignment="0" applyProtection="0"/>
    <xf numFmtId="0" fontId="2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52" borderId="0" applyNumberFormat="0" applyBorder="0" applyAlignment="0" applyProtection="0"/>
    <xf numFmtId="0" fontId="2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53" borderId="0" applyNumberFormat="0" applyBorder="0" applyAlignment="0" applyProtection="0"/>
    <xf numFmtId="0" fontId="23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54" borderId="0" applyNumberFormat="0" applyBorder="0" applyAlignment="0" applyProtection="0"/>
    <xf numFmtId="0" fontId="23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55" borderId="0" applyNumberFormat="0" applyBorder="0" applyAlignment="0" applyProtection="0"/>
    <xf numFmtId="0" fontId="23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56" borderId="0" applyNumberFormat="0" applyBorder="0" applyAlignment="0" applyProtection="0"/>
    <xf numFmtId="0" fontId="23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51" borderId="0" applyNumberFormat="0" applyBorder="0" applyAlignment="0" applyProtection="0"/>
    <xf numFmtId="0" fontId="23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52" borderId="0" applyNumberFormat="0" applyBorder="0" applyAlignment="0" applyProtection="0"/>
    <xf numFmtId="0" fontId="23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57" borderId="0" applyNumberFormat="0" applyBorder="0" applyAlignment="0" applyProtection="0"/>
    <xf numFmtId="0" fontId="23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41" borderId="0" applyNumberFormat="0" applyBorder="0" applyAlignment="0" applyProtection="0"/>
    <xf numFmtId="0" fontId="14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58" borderId="16" applyNumberFormat="0" applyAlignment="0" applyProtection="0"/>
    <xf numFmtId="0" fontId="18" fillId="9" borderId="8" applyNumberFormat="0" applyAlignment="0" applyProtection="0"/>
    <xf numFmtId="0" fontId="38" fillId="58" borderId="16" applyNumberFormat="0" applyAlignment="0" applyProtection="0"/>
    <xf numFmtId="0" fontId="39" fillId="9" borderId="8" applyNumberFormat="0" applyAlignment="0" applyProtection="0"/>
    <xf numFmtId="0" fontId="39" fillId="9" borderId="8" applyNumberFormat="0" applyAlignment="0" applyProtection="0"/>
    <xf numFmtId="0" fontId="40" fillId="59" borderId="17" applyNumberFormat="0" applyAlignment="0" applyProtection="0"/>
    <xf numFmtId="0" fontId="20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38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4" fillId="0" borderId="0" applyFill="0" applyBorder="0" applyAlignment="0" applyProtection="0"/>
    <xf numFmtId="171" fontId="4" fillId="0" borderId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4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1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18" applyNumberFormat="0" applyFill="0" applyAlignment="0" applyProtection="0"/>
    <xf numFmtId="0" fontId="10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19" applyNumberFormat="0" applyFill="0" applyAlignment="0" applyProtection="0"/>
    <xf numFmtId="0" fontId="11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20" applyNumberFormat="0" applyFill="0" applyAlignment="0" applyProtection="0"/>
    <xf numFmtId="0" fontId="12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45" borderId="16" applyNumberFormat="0" applyAlignment="0" applyProtection="0"/>
    <xf numFmtId="0" fontId="16" fillId="8" borderId="8" applyNumberFormat="0" applyAlignment="0" applyProtection="0"/>
    <xf numFmtId="0" fontId="60" fillId="45" borderId="16" applyNumberFormat="0" applyAlignment="0" applyProtection="0"/>
    <xf numFmtId="0" fontId="61" fillId="8" borderId="8" applyNumberFormat="0" applyAlignment="0" applyProtection="0"/>
    <xf numFmtId="0" fontId="61" fillId="8" borderId="8" applyNumberFormat="0" applyAlignment="0" applyProtection="0"/>
    <xf numFmtId="0" fontId="62" fillId="0" borderId="21" applyNumberFormat="0" applyFill="0" applyAlignment="0" applyProtection="0"/>
    <xf numFmtId="0" fontId="19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60" borderId="0" applyNumberFormat="0" applyBorder="0" applyAlignment="0" applyProtection="0"/>
    <xf numFmtId="0" fontId="1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4" fillId="0" borderId="0"/>
    <xf numFmtId="0" fontId="43" fillId="0" borderId="0"/>
    <xf numFmtId="0" fontId="2" fillId="0" borderId="0"/>
    <xf numFmtId="0" fontId="43" fillId="0" borderId="0"/>
    <xf numFmtId="166" fontId="66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6" fillId="0" borderId="0"/>
    <xf numFmtId="0" fontId="45" fillId="0" borderId="0" applyNumberFormat="0" applyFont="0">
      <alignment readingOrder="1"/>
      <protection locked="0"/>
    </xf>
    <xf numFmtId="0" fontId="5" fillId="0" borderId="0"/>
    <xf numFmtId="0" fontId="43" fillId="0" borderId="0"/>
    <xf numFmtId="0" fontId="33" fillId="0" borderId="0"/>
    <xf numFmtId="0" fontId="44" fillId="0" borderId="0"/>
    <xf numFmtId="172" fontId="67" fillId="0" borderId="0"/>
    <xf numFmtId="0" fontId="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6" fillId="61" borderId="22" applyNumberFormat="0" applyFont="0" applyAlignment="0" applyProtection="0"/>
    <xf numFmtId="0" fontId="32" fillId="61" borderId="22" applyNumberFormat="0" applyFont="0" applyAlignment="0" applyProtection="0"/>
    <xf numFmtId="0" fontId="5" fillId="11" borderId="12" applyNumberFormat="0" applyFont="0" applyAlignment="0" applyProtection="0"/>
    <xf numFmtId="0" fontId="32" fillId="61" borderId="22" applyNumberFormat="0" applyFont="0" applyAlignment="0" applyProtection="0"/>
    <xf numFmtId="0" fontId="33" fillId="11" borderId="12" applyNumberFormat="0" applyFont="0" applyAlignment="0" applyProtection="0"/>
    <xf numFmtId="0" fontId="46" fillId="61" borderId="22" applyNumberFormat="0" applyFont="0" applyAlignment="0" applyProtection="0"/>
    <xf numFmtId="0" fontId="33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68" fillId="58" borderId="23" applyNumberFormat="0" applyAlignment="0" applyProtection="0"/>
    <xf numFmtId="0" fontId="17" fillId="9" borderId="9" applyNumberFormat="0" applyAlignment="0" applyProtection="0"/>
    <xf numFmtId="0" fontId="68" fillId="58" borderId="23" applyNumberFormat="0" applyAlignment="0" applyProtection="0"/>
    <xf numFmtId="0" fontId="69" fillId="9" borderId="9" applyNumberFormat="0" applyAlignment="0" applyProtection="0"/>
    <xf numFmtId="0" fontId="69" fillId="9" borderId="9" applyNumberFormat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0" fillId="62" borderId="24" applyNumberFormat="0" applyAlignment="0" applyProtection="0"/>
    <xf numFmtId="0" fontId="70" fillId="62" borderId="24" applyNumberFormat="0" applyAlignment="0" applyProtection="0"/>
    <xf numFmtId="0" fontId="70" fillId="62" borderId="24" applyNumberFormat="0" applyAlignment="0" applyProtection="0"/>
    <xf numFmtId="2" fontId="70" fillId="63" borderId="24" applyProtection="0">
      <alignment horizontal="right"/>
    </xf>
    <xf numFmtId="2" fontId="70" fillId="63" borderId="24" applyProtection="0">
      <alignment horizontal="right"/>
    </xf>
    <xf numFmtId="165" fontId="30" fillId="64" borderId="24" applyProtection="0">
      <alignment horizontal="right"/>
    </xf>
    <xf numFmtId="165" fontId="30" fillId="64" borderId="24" applyProtection="0">
      <alignment horizontal="right"/>
    </xf>
    <xf numFmtId="165" fontId="30" fillId="64" borderId="24" applyProtection="0">
      <alignment horizontal="right"/>
    </xf>
    <xf numFmtId="2" fontId="30" fillId="64" borderId="24" applyProtection="0">
      <alignment horizontal="right"/>
    </xf>
    <xf numFmtId="2" fontId="30" fillId="64" borderId="24" applyProtection="0">
      <alignment horizontal="right"/>
    </xf>
    <xf numFmtId="2" fontId="30" fillId="64" borderId="24" applyProtection="0">
      <alignment horizontal="right"/>
    </xf>
    <xf numFmtId="14" fontId="71" fillId="65" borderId="24" applyProtection="0">
      <alignment horizontal="right"/>
    </xf>
    <xf numFmtId="14" fontId="71" fillId="65" borderId="24" applyProtection="0">
      <alignment horizontal="right"/>
    </xf>
    <xf numFmtId="14" fontId="71" fillId="65" borderId="24" applyProtection="0">
      <alignment horizontal="left"/>
    </xf>
    <xf numFmtId="14" fontId="71" fillId="65" borderId="24" applyProtection="0">
      <alignment horizontal="left"/>
    </xf>
    <xf numFmtId="0" fontId="72" fillId="62" borderId="24" applyNumberFormat="0" applyProtection="0">
      <alignment horizontal="left"/>
    </xf>
    <xf numFmtId="0" fontId="72" fillId="62" borderId="24" applyNumberFormat="0" applyProtection="0">
      <alignment horizontal="left"/>
    </xf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1" fillId="0" borderId="13" applyNumberFormat="0" applyFill="0" applyAlignment="0" applyProtection="0"/>
    <xf numFmtId="0" fontId="74" fillId="0" borderId="25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43" fontId="7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ill="0" applyBorder="0" applyAlignment="0" applyProtection="0"/>
    <xf numFmtId="9" fontId="96" fillId="74" borderId="59" applyNumberFormat="0" applyAlignment="0"/>
    <xf numFmtId="0" fontId="75" fillId="0" borderId="13" applyNumberFormat="0" applyFill="0" applyAlignment="0" applyProtection="0"/>
  </cellStyleXfs>
  <cellXfs count="34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2" fillId="0" borderId="0" xfId="0" applyFont="1"/>
    <xf numFmtId="0" fontId="0" fillId="0" borderId="0" xfId="0" applyBorder="1"/>
    <xf numFmtId="0" fontId="0" fillId="0" borderId="0" xfId="0" applyFill="1"/>
    <xf numFmtId="0" fontId="1" fillId="0" borderId="0" xfId="0" applyFont="1"/>
    <xf numFmtId="3" fontId="0" fillId="4" borderId="1" xfId="0" applyNumberFormat="1" applyFont="1" applyFill="1" applyBorder="1"/>
    <xf numFmtId="0" fontId="1" fillId="4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4" borderId="0" xfId="0" applyFill="1"/>
    <xf numFmtId="0" fontId="1" fillId="2" borderId="1" xfId="0" applyFont="1" applyFill="1" applyBorder="1"/>
    <xf numFmtId="2" fontId="1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1" xfId="0" applyBorder="1" applyAlignment="1">
      <alignment horizontal="right"/>
    </xf>
    <xf numFmtId="15" fontId="25" fillId="0" borderId="0" xfId="0" applyNumberFormat="1" applyFont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10" fontId="2" fillId="0" borderId="1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4" borderId="1" xfId="0" applyNumberFormat="1" applyFont="1" applyFill="1" applyBorder="1"/>
    <xf numFmtId="10" fontId="0" fillId="4" borderId="1" xfId="0" applyNumberFormat="1" applyFont="1" applyFill="1" applyBorder="1"/>
    <xf numFmtId="0" fontId="26" fillId="0" borderId="1" xfId="0" applyFont="1" applyBorder="1" applyAlignment="1">
      <alignment horizontal="center" vertical="center"/>
    </xf>
    <xf numFmtId="3" fontId="0" fillId="66" borderId="1" xfId="0" applyNumberFormat="1" applyFont="1" applyFill="1" applyBorder="1"/>
    <xf numFmtId="2" fontId="0" fillId="66" borderId="1" xfId="0" applyNumberFormat="1" applyFont="1" applyFill="1" applyBorder="1"/>
    <xf numFmtId="2" fontId="0" fillId="66" borderId="1" xfId="0" applyNumberFormat="1" applyFont="1" applyFill="1" applyBorder="1" applyAlignment="1">
      <alignment horizontal="center"/>
    </xf>
    <xf numFmtId="3" fontId="6" fillId="66" borderId="1" xfId="0" applyNumberFormat="1" applyFont="1" applyFill="1" applyBorder="1"/>
    <xf numFmtId="3" fontId="0" fillId="36" borderId="1" xfId="0" applyNumberFormat="1" applyFont="1" applyFill="1" applyBorder="1"/>
    <xf numFmtId="1" fontId="0" fillId="36" borderId="1" xfId="0" applyNumberFormat="1" applyFont="1" applyFill="1" applyBorder="1"/>
    <xf numFmtId="3" fontId="6" fillId="36" borderId="1" xfId="0" applyNumberFormat="1" applyFont="1" applyFill="1" applyBorder="1"/>
    <xf numFmtId="3" fontId="8" fillId="67" borderId="1" xfId="0" applyNumberFormat="1" applyFont="1" applyFill="1" applyBorder="1"/>
    <xf numFmtId="2" fontId="0" fillId="36" borderId="1" xfId="0" applyNumberFormat="1" applyFont="1" applyFill="1" applyBorder="1"/>
    <xf numFmtId="2" fontId="0" fillId="36" borderId="1" xfId="0" applyNumberFormat="1" applyFont="1" applyFill="1" applyBorder="1" applyAlignment="1">
      <alignment horizontal="right"/>
    </xf>
    <xf numFmtId="1" fontId="0" fillId="66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/>
    <xf numFmtId="10" fontId="0" fillId="3" borderId="1" xfId="0" applyNumberFormat="1" applyFont="1" applyFill="1" applyBorder="1"/>
    <xf numFmtId="2" fontId="14" fillId="6" borderId="1" xfId="6" applyNumberFormat="1" applyBorder="1"/>
    <xf numFmtId="3" fontId="14" fillId="6" borderId="1" xfId="6" applyNumberFormat="1" applyBorder="1" applyAlignment="1">
      <alignment horizontal="right"/>
    </xf>
    <xf numFmtId="3" fontId="14" fillId="6" borderId="1" xfId="6" applyNumberFormat="1" applyBorder="1"/>
    <xf numFmtId="165" fontId="14" fillId="6" borderId="1" xfId="6" applyNumberFormat="1" applyBorder="1"/>
    <xf numFmtId="1" fontId="14" fillId="6" borderId="1" xfId="6" applyNumberFormat="1" applyBorder="1"/>
    <xf numFmtId="10" fontId="14" fillId="6" borderId="1" xfId="6" applyNumberFormat="1" applyBorder="1"/>
    <xf numFmtId="1" fontId="0" fillId="37" borderId="1" xfId="0" applyNumberFormat="1" applyFont="1" applyFill="1" applyBorder="1" applyAlignment="1">
      <alignment horizontal="center"/>
    </xf>
    <xf numFmtId="1" fontId="14" fillId="6" borderId="1" xfId="6" applyNumberForma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14" fillId="6" borderId="1" xfId="6" applyNumberFormat="1" applyBorder="1" applyAlignment="1">
      <alignment horizontal="right"/>
    </xf>
    <xf numFmtId="0" fontId="1" fillId="36" borderId="0" xfId="0" applyFont="1" applyFill="1"/>
    <xf numFmtId="0" fontId="1" fillId="3" borderId="0" xfId="0" applyFont="1" applyFill="1"/>
    <xf numFmtId="0" fontId="1" fillId="37" borderId="0" xfId="0" applyFont="1" applyFill="1"/>
    <xf numFmtId="0" fontId="1" fillId="68" borderId="0" xfId="0" applyFont="1" applyFill="1"/>
    <xf numFmtId="0" fontId="80" fillId="6" borderId="0" xfId="6" applyFont="1"/>
    <xf numFmtId="2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0" fontId="1" fillId="69" borderId="0" xfId="0" applyFont="1" applyFill="1"/>
    <xf numFmtId="1" fontId="0" fillId="66" borderId="1" xfId="0" applyNumberFormat="1" applyFont="1" applyFill="1" applyBorder="1"/>
    <xf numFmtId="3" fontId="81" fillId="36" borderId="1" xfId="6" applyNumberFormat="1" applyFont="1" applyFill="1" applyBorder="1" applyAlignment="1">
      <alignment horizontal="right"/>
    </xf>
    <xf numFmtId="3" fontId="81" fillId="36" borderId="1" xfId="6" applyNumberFormat="1" applyFont="1" applyFill="1" applyBorder="1"/>
    <xf numFmtId="3" fontId="14" fillId="66" borderId="1" xfId="6" applyNumberFormat="1" applyFill="1" applyBorder="1"/>
    <xf numFmtId="166" fontId="14" fillId="6" borderId="1" xfId="6" applyNumberFormat="1" applyBorder="1"/>
    <xf numFmtId="0" fontId="80" fillId="0" borderId="0" xfId="6" applyFont="1" applyFill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/>
    <xf numFmtId="2" fontId="1" fillId="0" borderId="4" xfId="0" applyNumberFormat="1" applyFont="1" applyBorder="1" applyAlignment="1"/>
    <xf numFmtId="0" fontId="1" fillId="0" borderId="4" xfId="0" applyFont="1" applyFill="1" applyBorder="1" applyAlignment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0" borderId="4" xfId="0" applyFont="1" applyBorder="1"/>
    <xf numFmtId="0" fontId="1" fillId="0" borderId="4" xfId="0" applyFont="1" applyFill="1" applyBorder="1"/>
    <xf numFmtId="0" fontId="1" fillId="4" borderId="4" xfId="0" applyFont="1" applyFill="1" applyBorder="1"/>
    <xf numFmtId="0" fontId="1" fillId="0" borderId="4" xfId="0" applyFont="1" applyFill="1" applyBorder="1" applyAlignment="1">
      <alignment horizontal="left"/>
    </xf>
    <xf numFmtId="0" fontId="0" fillId="0" borderId="4" xfId="0" applyBorder="1"/>
    <xf numFmtId="1" fontId="81" fillId="36" borderId="1" xfId="6" applyNumberFormat="1" applyFont="1" applyFill="1" applyBorder="1"/>
    <xf numFmtId="3" fontId="79" fillId="36" borderId="1" xfId="0" applyNumberFormat="1" applyFont="1" applyFill="1" applyBorder="1"/>
    <xf numFmtId="2" fontId="81" fillId="36" borderId="1" xfId="6" applyNumberFormat="1" applyFont="1" applyFill="1" applyBorder="1" applyAlignment="1">
      <alignment horizontal="right"/>
    </xf>
    <xf numFmtId="1" fontId="0" fillId="36" borderId="1" xfId="0" applyNumberFormat="1" applyFont="1" applyFill="1" applyBorder="1" applyAlignment="1">
      <alignment horizontal="center"/>
    </xf>
    <xf numFmtId="1" fontId="81" fillId="36" borderId="1" xfId="0" applyNumberFormat="1" applyFont="1" applyFill="1" applyBorder="1" applyAlignment="1">
      <alignment horizontal="center"/>
    </xf>
    <xf numFmtId="9" fontId="81" fillId="36" borderId="1" xfId="0" applyNumberFormat="1" applyFont="1" applyFill="1" applyBorder="1" applyAlignment="1">
      <alignment horizontal="center"/>
    </xf>
    <xf numFmtId="3" fontId="81" fillId="66" borderId="1" xfId="6" applyNumberFormat="1" applyFont="1" applyFill="1" applyBorder="1"/>
    <xf numFmtId="2" fontId="81" fillId="36" borderId="1" xfId="6" applyNumberFormat="1" applyFont="1" applyFill="1" applyBorder="1"/>
    <xf numFmtId="0" fontId="24" fillId="0" borderId="1" xfId="0" applyFont="1" applyBorder="1" applyAlignment="1">
      <alignment horizontal="center" vertical="center"/>
    </xf>
    <xf numFmtId="2" fontId="0" fillId="36" borderId="1" xfId="0" applyNumberFormat="1" applyFont="1" applyFill="1" applyBorder="1" applyAlignment="1"/>
    <xf numFmtId="9" fontId="2" fillId="0" borderId="1" xfId="389" applyFont="1" applyFill="1" applyBorder="1"/>
    <xf numFmtId="0" fontId="26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" fillId="4" borderId="0" xfId="0" applyFont="1" applyFill="1"/>
    <xf numFmtId="9" fontId="0" fillId="4" borderId="0" xfId="389" applyFont="1" applyFill="1"/>
    <xf numFmtId="0" fontId="0" fillId="4" borderId="34" xfId="0" applyFill="1" applyBorder="1"/>
    <xf numFmtId="0" fontId="0" fillId="4" borderId="0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1" fillId="4" borderId="29" xfId="0" applyFont="1" applyFill="1" applyBorder="1"/>
    <xf numFmtId="0" fontId="0" fillId="4" borderId="39" xfId="0" applyFill="1" applyBorder="1"/>
    <xf numFmtId="0" fontId="0" fillId="4" borderId="30" xfId="0" applyFill="1" applyBorder="1"/>
    <xf numFmtId="0" fontId="0" fillId="4" borderId="27" xfId="0" applyFill="1" applyBorder="1"/>
    <xf numFmtId="0" fontId="1" fillId="4" borderId="31" xfId="0" applyFont="1" applyFill="1" applyBorder="1"/>
    <xf numFmtId="9" fontId="0" fillId="4" borderId="0" xfId="389" applyFont="1" applyFill="1" applyBorder="1"/>
    <xf numFmtId="9" fontId="0" fillId="4" borderId="35" xfId="389" applyFont="1" applyFill="1" applyBorder="1"/>
    <xf numFmtId="9" fontId="0" fillId="4" borderId="37" xfId="389" applyFont="1" applyFill="1" applyBorder="1"/>
    <xf numFmtId="9" fontId="0" fillId="4" borderId="38" xfId="389" applyFont="1" applyFill="1" applyBorder="1"/>
    <xf numFmtId="9" fontId="0" fillId="4" borderId="34" xfId="389" applyFont="1" applyFill="1" applyBorder="1"/>
    <xf numFmtId="9" fontId="0" fillId="4" borderId="36" xfId="389" applyFont="1" applyFill="1" applyBorder="1"/>
    <xf numFmtId="0" fontId="0" fillId="4" borderId="40" xfId="0" applyFill="1" applyBorder="1"/>
    <xf numFmtId="0" fontId="0" fillId="4" borderId="41" xfId="0" applyFill="1" applyBorder="1"/>
    <xf numFmtId="0" fontId="0" fillId="4" borderId="42" xfId="0" applyFill="1" applyBorder="1"/>
    <xf numFmtId="9" fontId="1" fillId="4" borderId="29" xfId="389" applyFont="1" applyFill="1" applyBorder="1"/>
    <xf numFmtId="9" fontId="0" fillId="4" borderId="30" xfId="389" applyFont="1" applyFill="1" applyBorder="1"/>
    <xf numFmtId="9" fontId="0" fillId="4" borderId="41" xfId="389" applyFont="1" applyFill="1" applyBorder="1"/>
    <xf numFmtId="9" fontId="0" fillId="3" borderId="31" xfId="389" applyFont="1" applyFill="1" applyBorder="1"/>
    <xf numFmtId="0" fontId="24" fillId="0" borderId="1" xfId="0" applyFont="1" applyBorder="1" applyAlignment="1">
      <alignment horizontal="center" vertical="center"/>
    </xf>
    <xf numFmtId="0" fontId="83" fillId="4" borderId="0" xfId="0" applyFont="1" applyFill="1"/>
    <xf numFmtId="0" fontId="84" fillId="4" borderId="0" xfId="0" applyFont="1" applyFill="1"/>
    <xf numFmtId="0" fontId="1" fillId="4" borderId="43" xfId="0" applyFont="1" applyFill="1" applyBorder="1"/>
    <xf numFmtId="0" fontId="1" fillId="4" borderId="44" xfId="0" applyFont="1" applyFill="1" applyBorder="1"/>
    <xf numFmtId="0" fontId="1" fillId="4" borderId="45" xfId="0" applyFont="1" applyFill="1" applyBorder="1"/>
    <xf numFmtId="0" fontId="0" fillId="4" borderId="46" xfId="0" applyFill="1" applyBorder="1"/>
    <xf numFmtId="0" fontId="0" fillId="4" borderId="47" xfId="0" applyFill="1" applyBorder="1"/>
    <xf numFmtId="0" fontId="0" fillId="4" borderId="48" xfId="0" applyFill="1" applyBorder="1"/>
    <xf numFmtId="0" fontId="0" fillId="4" borderId="31" xfId="0" applyFill="1" applyBorder="1"/>
    <xf numFmtId="10" fontId="0" fillId="4" borderId="39" xfId="0" applyNumberFormat="1" applyFill="1" applyBorder="1"/>
    <xf numFmtId="10" fontId="0" fillId="4" borderId="30" xfId="0" applyNumberFormat="1" applyFill="1" applyBorder="1"/>
    <xf numFmtId="2" fontId="0" fillId="4" borderId="0" xfId="0" applyNumberFormat="1" applyFill="1"/>
    <xf numFmtId="0" fontId="85" fillId="4" borderId="0" xfId="0" applyFont="1" applyFill="1"/>
    <xf numFmtId="0" fontId="83" fillId="0" borderId="1" xfId="0" applyFont="1" applyBorder="1" applyAlignment="1">
      <alignment horizontal="left"/>
    </xf>
    <xf numFmtId="1" fontId="81" fillId="68" borderId="1" xfId="389" applyNumberFormat="1" applyFont="1" applyFill="1" applyBorder="1" applyProtection="1">
      <protection locked="0"/>
    </xf>
    <xf numFmtId="0" fontId="59" fillId="4" borderId="0" xfId="390" applyFill="1"/>
    <xf numFmtId="0" fontId="1" fillId="71" borderId="1" xfId="0" applyFont="1" applyFill="1" applyBorder="1" applyAlignment="1">
      <alignment horizontal="center"/>
    </xf>
    <xf numFmtId="0" fontId="1" fillId="71" borderId="1" xfId="0" applyFont="1" applyFill="1" applyBorder="1"/>
    <xf numFmtId="1" fontId="81" fillId="66" borderId="1" xfId="389" applyNumberFormat="1" applyFont="1" applyFill="1" applyBorder="1" applyProtection="1">
      <protection locked="0"/>
    </xf>
    <xf numFmtId="0" fontId="23" fillId="4" borderId="0" xfId="0" applyFont="1" applyFill="1"/>
    <xf numFmtId="1" fontId="0" fillId="4" borderId="0" xfId="0" applyNumberFormat="1" applyFill="1"/>
    <xf numFmtId="9" fontId="0" fillId="4" borderId="0" xfId="0" applyNumberFormat="1" applyFill="1"/>
    <xf numFmtId="0" fontId="87" fillId="72" borderId="0" xfId="0" applyFont="1" applyFill="1"/>
    <xf numFmtId="0" fontId="88" fillId="72" borderId="1" xfId="0" applyFont="1" applyFill="1" applyBorder="1" applyAlignment="1">
      <alignment horizontal="left"/>
    </xf>
    <xf numFmtId="173" fontId="0" fillId="4" borderId="0" xfId="0" applyNumberFormat="1" applyFill="1"/>
    <xf numFmtId="0" fontId="0" fillId="4" borderId="1" xfId="0" applyFill="1" applyBorder="1"/>
    <xf numFmtId="9" fontId="81" fillId="68" borderId="1" xfId="389" applyFont="1" applyFill="1" applyBorder="1" applyProtection="1">
      <protection locked="0"/>
    </xf>
    <xf numFmtId="0" fontId="1" fillId="66" borderId="1" xfId="0" applyFont="1" applyFill="1" applyBorder="1" applyAlignment="1">
      <alignment horizontal="center"/>
    </xf>
    <xf numFmtId="0" fontId="90" fillId="0" borderId="4" xfId="0" applyFont="1" applyBorder="1"/>
    <xf numFmtId="2" fontId="81" fillId="68" borderId="1" xfId="389" applyNumberFormat="1" applyFont="1" applyFill="1" applyBorder="1" applyProtection="1">
      <protection locked="0"/>
    </xf>
    <xf numFmtId="1" fontId="0" fillId="37" borderId="1" xfId="0" applyNumberFormat="1" applyFont="1" applyFill="1" applyBorder="1" applyAlignment="1" applyProtection="1">
      <alignment horizontal="center"/>
      <protection locked="0"/>
    </xf>
    <xf numFmtId="1" fontId="81" fillId="37" borderId="1" xfId="6" applyNumberFormat="1" applyFont="1" applyFill="1" applyBorder="1" applyAlignment="1" applyProtection="1">
      <alignment horizontal="center"/>
      <protection locked="0"/>
    </xf>
    <xf numFmtId="0" fontId="0" fillId="37" borderId="1" xfId="0" applyFill="1" applyBorder="1" applyProtection="1">
      <protection locked="0"/>
    </xf>
    <xf numFmtId="173" fontId="1" fillId="37" borderId="1" xfId="0" applyNumberFormat="1" applyFont="1" applyFill="1" applyBorder="1" applyAlignment="1" applyProtection="1">
      <protection locked="0"/>
    </xf>
    <xf numFmtId="0" fontId="90" fillId="73" borderId="4" xfId="0" applyFont="1" applyFill="1" applyBorder="1" applyAlignment="1">
      <alignment horizontal="left"/>
    </xf>
    <xf numFmtId="173" fontId="0" fillId="0" borderId="2" xfId="389" applyNumberFormat="1" applyFont="1" applyBorder="1"/>
    <xf numFmtId="0" fontId="1" fillId="0" borderId="54" xfId="0" applyFont="1" applyFill="1" applyBorder="1"/>
    <xf numFmtId="165" fontId="0" fillId="4" borderId="0" xfId="0" applyNumberFormat="1" applyFill="1"/>
    <xf numFmtId="165" fontId="0" fillId="4" borderId="44" xfId="0" applyNumberFormat="1" applyFill="1" applyBorder="1"/>
    <xf numFmtId="165" fontId="0" fillId="4" borderId="45" xfId="0" applyNumberFormat="1" applyFill="1" applyBorder="1"/>
    <xf numFmtId="165" fontId="0" fillId="4" borderId="0" xfId="0" applyNumberFormat="1" applyFill="1" applyBorder="1"/>
    <xf numFmtId="165" fontId="0" fillId="4" borderId="35" xfId="0" applyNumberFormat="1" applyFill="1" applyBorder="1"/>
    <xf numFmtId="165" fontId="0" fillId="4" borderId="37" xfId="0" applyNumberFormat="1" applyFill="1" applyBorder="1"/>
    <xf numFmtId="165" fontId="0" fillId="4" borderId="38" xfId="0" applyNumberFormat="1" applyFill="1" applyBorder="1"/>
    <xf numFmtId="2" fontId="86" fillId="4" borderId="3" xfId="0" applyNumberFormat="1" applyFont="1" applyFill="1" applyBorder="1" applyAlignment="1"/>
    <xf numFmtId="2" fontId="1" fillId="3" borderId="13" xfId="381" applyNumberFormat="1" applyFont="1" applyFill="1" applyAlignment="1"/>
    <xf numFmtId="10" fontId="0" fillId="0" borderId="0" xfId="389" applyNumberFormat="1" applyFont="1"/>
    <xf numFmtId="165" fontId="14" fillId="6" borderId="1" xfId="6" applyNumberFormat="1" applyBorder="1" applyAlignment="1">
      <alignment horizontal="right"/>
    </xf>
    <xf numFmtId="1" fontId="14" fillId="6" borderId="1" xfId="6" applyNumberFormat="1" applyBorder="1" applyAlignment="1">
      <alignment horizontal="right"/>
    </xf>
    <xf numFmtId="9" fontId="0" fillId="4" borderId="1" xfId="389" applyFont="1" applyFill="1" applyBorder="1"/>
    <xf numFmtId="174" fontId="0" fillId="4" borderId="0" xfId="0" applyNumberFormat="1" applyFill="1"/>
    <xf numFmtId="0" fontId="0" fillId="70" borderId="48" xfId="0" applyFill="1" applyBorder="1"/>
    <xf numFmtId="0" fontId="0" fillId="70" borderId="56" xfId="0" applyFill="1" applyBorder="1"/>
    <xf numFmtId="0" fontId="0" fillId="70" borderId="51" xfId="0" applyFill="1" applyBorder="1"/>
    <xf numFmtId="10" fontId="0" fillId="4" borderId="1" xfId="0" applyNumberFormat="1" applyFill="1" applyBorder="1"/>
    <xf numFmtId="10" fontId="0" fillId="4" borderId="46" xfId="0" applyNumberFormat="1" applyFont="1" applyFill="1" applyBorder="1"/>
    <xf numFmtId="10" fontId="0" fillId="4" borderId="57" xfId="0" applyNumberFormat="1" applyFont="1" applyFill="1" applyBorder="1"/>
    <xf numFmtId="10" fontId="0" fillId="4" borderId="49" xfId="0" applyNumberFormat="1" applyFont="1" applyFill="1" applyBorder="1"/>
    <xf numFmtId="10" fontId="0" fillId="4" borderId="47" xfId="0" applyNumberFormat="1" applyFill="1" applyBorder="1"/>
    <xf numFmtId="0" fontId="1" fillId="4" borderId="39" xfId="0" applyFont="1" applyFill="1" applyBorder="1"/>
    <xf numFmtId="0" fontId="1" fillId="4" borderId="30" xfId="0" applyFont="1" applyFill="1" applyBorder="1"/>
    <xf numFmtId="0" fontId="0" fillId="4" borderId="26" xfId="0" applyFill="1" applyBorder="1"/>
    <xf numFmtId="9" fontId="0" fillId="4" borderId="27" xfId="0" applyNumberFormat="1" applyFill="1" applyBorder="1"/>
    <xf numFmtId="0" fontId="0" fillId="4" borderId="58" xfId="0" applyFill="1" applyBorder="1" applyAlignment="1">
      <alignment horizontal="right"/>
    </xf>
    <xf numFmtId="10" fontId="0" fillId="68" borderId="1" xfId="0" applyNumberFormat="1" applyFont="1" applyFill="1" applyBorder="1"/>
    <xf numFmtId="3" fontId="6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1" fontId="0" fillId="0" borderId="1" xfId="0" applyNumberFormat="1" applyFill="1" applyBorder="1"/>
    <xf numFmtId="1" fontId="0" fillId="0" borderId="1" xfId="0" applyNumberFormat="1" applyFont="1" applyFill="1" applyBorder="1"/>
    <xf numFmtId="9" fontId="0" fillId="0" borderId="1" xfId="389" applyFont="1" applyFill="1" applyBorder="1"/>
    <xf numFmtId="0" fontId="8" fillId="0" borderId="1" xfId="0" applyFont="1" applyFill="1" applyBorder="1"/>
    <xf numFmtId="165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10" fontId="0" fillId="4" borderId="50" xfId="0" applyNumberFormat="1" applyFill="1" applyBorder="1"/>
    <xf numFmtId="10" fontId="0" fillId="4" borderId="47" xfId="389" applyNumberFormat="1" applyFont="1" applyFill="1" applyBorder="1"/>
    <xf numFmtId="10" fontId="0" fillId="4" borderId="1" xfId="389" applyNumberFormat="1" applyFont="1" applyFill="1" applyBorder="1"/>
    <xf numFmtId="3" fontId="79" fillId="0" borderId="1" xfId="0" applyNumberFormat="1" applyFont="1" applyFill="1" applyBorder="1" applyProtection="1">
      <protection locked="0"/>
    </xf>
    <xf numFmtId="0" fontId="91" fillId="4" borderId="0" xfId="0" applyFont="1" applyFill="1"/>
    <xf numFmtId="0" fontId="0" fillId="4" borderId="0" xfId="0" applyNumberFormat="1" applyFill="1" applyBorder="1"/>
    <xf numFmtId="9" fontId="0" fillId="4" borderId="27" xfId="0" applyNumberFormat="1" applyFill="1" applyBorder="1" applyAlignment="1">
      <alignment horizontal="right"/>
    </xf>
    <xf numFmtId="10" fontId="0" fillId="0" borderId="0" xfId="0" applyNumberFormat="1"/>
    <xf numFmtId="0" fontId="0" fillId="0" borderId="0" xfId="0" applyAlignment="1"/>
    <xf numFmtId="3" fontId="0" fillId="0" borderId="33" xfId="0" applyNumberFormat="1" applyBorder="1"/>
    <xf numFmtId="1" fontId="0" fillId="0" borderId="0" xfId="0" applyNumberFormat="1"/>
    <xf numFmtId="2" fontId="0" fillId="0" borderId="0" xfId="0" applyNumberFormat="1"/>
    <xf numFmtId="0" fontId="91" fillId="0" borderId="0" xfId="0" applyFont="1" applyFill="1"/>
    <xf numFmtId="173" fontId="1" fillId="66" borderId="1" xfId="0" applyNumberFormat="1" applyFont="1" applyFill="1" applyBorder="1" applyAlignment="1" applyProtection="1">
      <protection locked="0"/>
    </xf>
    <xf numFmtId="2" fontId="14" fillId="0" borderId="54" xfId="6" applyNumberFormat="1" applyFill="1" applyBorder="1"/>
    <xf numFmtId="1" fontId="0" fillId="4" borderId="1" xfId="0" applyNumberFormat="1" applyFont="1" applyFill="1" applyBorder="1"/>
    <xf numFmtId="0" fontId="0" fillId="4" borderId="58" xfId="0" applyFill="1" applyBorder="1"/>
    <xf numFmtId="2" fontId="14" fillId="66" borderId="1" xfId="6" applyNumberFormat="1" applyFill="1" applyBorder="1"/>
    <xf numFmtId="10" fontId="14" fillId="66" borderId="1" xfId="6" applyNumberFormat="1" applyFill="1" applyBorder="1"/>
    <xf numFmtId="0" fontId="81" fillId="0" borderId="1" xfId="0" applyFont="1" applyFill="1" applyBorder="1"/>
    <xf numFmtId="1" fontId="81" fillId="0" borderId="1" xfId="6" applyNumberFormat="1" applyFont="1" applyFill="1" applyBorder="1" applyProtection="1">
      <protection locked="0"/>
    </xf>
    <xf numFmtId="1" fontId="6" fillId="0" borderId="1" xfId="0" applyNumberFormat="1" applyFont="1" applyFill="1" applyBorder="1" applyProtection="1">
      <protection locked="0"/>
    </xf>
    <xf numFmtId="3" fontId="81" fillId="0" borderId="1" xfId="6" applyNumberFormat="1" applyFont="1" applyFill="1" applyBorder="1" applyProtection="1">
      <protection locked="0"/>
    </xf>
    <xf numFmtId="0" fontId="93" fillId="0" borderId="0" xfId="0" applyFont="1"/>
    <xf numFmtId="0" fontId="1" fillId="0" borderId="0" xfId="0" applyFont="1" applyFill="1"/>
    <xf numFmtId="165" fontId="0" fillId="0" borderId="0" xfId="0" applyNumberFormat="1"/>
    <xf numFmtId="9" fontId="0" fillId="4" borderId="46" xfId="0" applyNumberFormat="1" applyFont="1" applyFill="1" applyBorder="1"/>
    <xf numFmtId="9" fontId="0" fillId="4" borderId="47" xfId="0" applyNumberFormat="1" applyFill="1" applyBorder="1"/>
    <xf numFmtId="9" fontId="0" fillId="4" borderId="47" xfId="389" applyNumberFormat="1" applyFont="1" applyFill="1" applyBorder="1"/>
    <xf numFmtId="9" fontId="0" fillId="4" borderId="1" xfId="0" applyNumberFormat="1" applyFill="1" applyBorder="1"/>
    <xf numFmtId="9" fontId="0" fillId="4" borderId="50" xfId="0" applyNumberFormat="1" applyFill="1" applyBorder="1"/>
    <xf numFmtId="1" fontId="81" fillId="37" borderId="1" xfId="6" applyNumberFormat="1" applyFont="1" applyFill="1" applyBorder="1" applyAlignment="1">
      <alignment horizontal="center"/>
    </xf>
    <xf numFmtId="2" fontId="1" fillId="69" borderId="1" xfId="0" applyNumberFormat="1" applyFont="1" applyFill="1" applyBorder="1"/>
    <xf numFmtId="1" fontId="0" fillId="68" borderId="1" xfId="0" applyNumberFormat="1" applyFont="1" applyFill="1" applyBorder="1" applyAlignment="1">
      <alignment horizontal="center"/>
    </xf>
    <xf numFmtId="1" fontId="81" fillId="70" borderId="1" xfId="6" applyNumberFormat="1" applyFont="1" applyFill="1" applyBorder="1" applyProtection="1">
      <protection locked="0"/>
    </xf>
    <xf numFmtId="3" fontId="6" fillId="70" borderId="1" xfId="0" applyNumberFormat="1" applyFont="1" applyFill="1" applyBorder="1" applyProtection="1">
      <protection locked="0"/>
    </xf>
    <xf numFmtId="3" fontId="79" fillId="70" borderId="1" xfId="0" applyNumberFormat="1" applyFont="1" applyFill="1" applyBorder="1" applyProtection="1">
      <protection locked="0"/>
    </xf>
    <xf numFmtId="1" fontId="6" fillId="70" borderId="1" xfId="0" applyNumberFormat="1" applyFont="1" applyFill="1" applyBorder="1" applyProtection="1">
      <protection locked="0"/>
    </xf>
    <xf numFmtId="1" fontId="0" fillId="70" borderId="1" xfId="0" applyNumberFormat="1" applyFont="1" applyFill="1" applyBorder="1" applyProtection="1">
      <protection locked="0"/>
    </xf>
    <xf numFmtId="3" fontId="81" fillId="70" borderId="1" xfId="6" applyNumberFormat="1" applyFont="1" applyFill="1" applyBorder="1" applyProtection="1">
      <protection locked="0"/>
    </xf>
    <xf numFmtId="3" fontId="8" fillId="70" borderId="1" xfId="0" applyNumberFormat="1" applyFont="1" applyFill="1" applyBorder="1" applyProtection="1">
      <protection locked="0"/>
    </xf>
    <xf numFmtId="1" fontId="0" fillId="70" borderId="1" xfId="0" applyNumberFormat="1" applyFill="1" applyBorder="1"/>
    <xf numFmtId="1" fontId="0" fillId="70" borderId="1" xfId="0" applyNumberFormat="1" applyFont="1" applyFill="1" applyBorder="1"/>
    <xf numFmtId="9" fontId="0" fillId="70" borderId="1" xfId="389" applyFont="1" applyFill="1" applyBorder="1"/>
    <xf numFmtId="0" fontId="0" fillId="70" borderId="1" xfId="0" applyFill="1" applyBorder="1"/>
    <xf numFmtId="0" fontId="81" fillId="70" borderId="1" xfId="0" applyFont="1" applyFill="1" applyBorder="1"/>
    <xf numFmtId="2" fontId="0" fillId="70" borderId="1" xfId="0" applyNumberFormat="1" applyFill="1" applyBorder="1"/>
    <xf numFmtId="165" fontId="0" fillId="70" borderId="1" xfId="0" applyNumberFormat="1" applyFill="1" applyBorder="1"/>
    <xf numFmtId="2" fontId="14" fillId="6" borderId="1" xfId="6" applyNumberFormat="1" applyBorder="1" applyProtection="1">
      <protection locked="0"/>
    </xf>
    <xf numFmtId="1" fontId="14" fillId="36" borderId="1" xfId="6" applyNumberFormat="1" applyFill="1" applyBorder="1"/>
    <xf numFmtId="1" fontId="81" fillId="36" borderId="1" xfId="389" applyNumberFormat="1" applyFont="1" applyFill="1" applyBorder="1" applyProtection="1">
      <protection locked="0"/>
    </xf>
    <xf numFmtId="3" fontId="14" fillId="36" borderId="1" xfId="6" applyNumberFormat="1" applyFill="1" applyBorder="1" applyAlignment="1">
      <alignment horizontal="right"/>
    </xf>
    <xf numFmtId="3" fontId="14" fillId="36" borderId="1" xfId="6" applyNumberFormat="1" applyFill="1" applyBorder="1"/>
    <xf numFmtId="9" fontId="81" fillId="36" borderId="1" xfId="389" applyFont="1" applyFill="1" applyBorder="1" applyProtection="1">
      <protection locked="0"/>
    </xf>
    <xf numFmtId="2" fontId="81" fillId="36" borderId="1" xfId="389" applyNumberFormat="1" applyFont="1" applyFill="1" applyBorder="1" applyProtection="1">
      <protection locked="0"/>
    </xf>
    <xf numFmtId="1" fontId="14" fillId="36" borderId="1" xfId="6" applyNumberFormat="1" applyFill="1" applyBorder="1" applyAlignment="1">
      <alignment horizontal="center"/>
    </xf>
    <xf numFmtId="2" fontId="14" fillId="36" borderId="1" xfId="6" applyNumberFormat="1" applyFill="1" applyBorder="1" applyAlignment="1">
      <alignment horizontal="right"/>
    </xf>
    <xf numFmtId="1" fontId="81" fillId="36" borderId="1" xfId="6" applyNumberFormat="1" applyFont="1" applyFill="1" applyBorder="1" applyAlignment="1" applyProtection="1">
      <alignment horizontal="center"/>
      <protection locked="0"/>
    </xf>
    <xf numFmtId="1" fontId="5" fillId="36" borderId="1" xfId="6" applyNumberFormat="1" applyFont="1" applyFill="1" applyBorder="1" applyAlignment="1" applyProtection="1">
      <alignment horizontal="center"/>
      <protection locked="0"/>
    </xf>
    <xf numFmtId="2" fontId="14" fillId="36" borderId="1" xfId="6" applyNumberFormat="1" applyFill="1" applyBorder="1"/>
    <xf numFmtId="1" fontId="0" fillId="36" borderId="1" xfId="0" applyNumberFormat="1" applyFont="1" applyFill="1" applyBorder="1" applyAlignment="1" applyProtection="1">
      <alignment horizontal="center"/>
      <protection locked="0"/>
    </xf>
    <xf numFmtId="0" fontId="94" fillId="0" borderId="4" xfId="0" applyNumberFormat="1" applyFont="1" applyFill="1" applyBorder="1" applyAlignment="1">
      <alignment vertical="top" wrapText="1" readingOrder="1"/>
    </xf>
    <xf numFmtId="0" fontId="90" fillId="0" borderId="1" xfId="0" applyFont="1" applyBorder="1"/>
    <xf numFmtId="3" fontId="14" fillId="75" borderId="1" xfId="6" applyNumberFormat="1" applyFill="1" applyBorder="1"/>
    <xf numFmtId="3" fontId="14" fillId="76" borderId="1" xfId="6" applyNumberFormat="1" applyFill="1" applyBorder="1"/>
    <xf numFmtId="0" fontId="0" fillId="36" borderId="1" xfId="0" applyFill="1" applyBorder="1"/>
    <xf numFmtId="164" fontId="0" fillId="36" borderId="1" xfId="0" applyNumberFormat="1" applyFill="1" applyBorder="1"/>
    <xf numFmtId="0" fontId="1" fillId="0" borderId="61" xfId="0" applyFont="1" applyBorder="1" applyAlignment="1"/>
    <xf numFmtId="0" fontId="1" fillId="0" borderId="60" xfId="0" applyFont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4" borderId="0" xfId="0" applyFill="1"/>
    <xf numFmtId="1" fontId="14" fillId="6" borderId="1" xfId="6" applyNumberFormat="1" applyBorder="1" applyAlignment="1">
      <alignment horizontal="center"/>
    </xf>
    <xf numFmtId="2" fontId="14" fillId="6" borderId="1" xfId="6" applyNumberFormat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/>
    <xf numFmtId="0" fontId="0" fillId="4" borderId="1" xfId="0" applyFill="1" applyBorder="1"/>
    <xf numFmtId="2" fontId="81" fillId="68" borderId="1" xfId="389" applyNumberFormat="1" applyFont="1" applyFill="1" applyBorder="1" applyProtection="1">
      <protection locked="0"/>
    </xf>
    <xf numFmtId="0" fontId="1" fillId="0" borderId="47" xfId="0" applyFont="1" applyBorder="1"/>
    <xf numFmtId="0" fontId="0" fillId="0" borderId="47" xfId="0" applyBorder="1"/>
    <xf numFmtId="0" fontId="0" fillId="3" borderId="50" xfId="0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48" xfId="0" applyBorder="1"/>
    <xf numFmtId="0" fontId="1" fillId="0" borderId="47" xfId="0" applyFont="1" applyBorder="1" applyAlignment="1"/>
    <xf numFmtId="0" fontId="0" fillId="3" borderId="51" xfId="0" applyFill="1" applyBorder="1" applyAlignment="1">
      <alignment horizontal="center"/>
    </xf>
    <xf numFmtId="0" fontId="1" fillId="0" borderId="50" xfId="0" applyFont="1" applyBorder="1" applyAlignment="1">
      <alignment wrapText="1"/>
    </xf>
    <xf numFmtId="0" fontId="1" fillId="0" borderId="53" xfId="0" applyFont="1" applyBorder="1" applyAlignment="1"/>
    <xf numFmtId="0" fontId="0" fillId="0" borderId="48" xfId="0" applyFont="1" applyBorder="1"/>
    <xf numFmtId="0" fontId="0" fillId="4" borderId="0" xfId="0" applyNumberFormat="1" applyFill="1" applyBorder="1"/>
    <xf numFmtId="2" fontId="0" fillId="0" borderId="1" xfId="0" applyNumberFormat="1" applyFill="1" applyBorder="1"/>
    <xf numFmtId="1" fontId="14" fillId="37" borderId="1" xfId="6" applyNumberFormat="1" applyFill="1" applyBorder="1" applyAlignment="1">
      <alignment horizontal="center"/>
    </xf>
    <xf numFmtId="1" fontId="14" fillId="37" borderId="1" xfId="6" applyNumberFormat="1" applyFill="1" applyBorder="1" applyAlignment="1" applyProtection="1">
      <alignment horizontal="center"/>
      <protection locked="0"/>
    </xf>
    <xf numFmtId="2" fontId="0" fillId="69" borderId="1" xfId="0" applyNumberFormat="1" applyFont="1" applyFill="1" applyBorder="1" applyAlignment="1">
      <alignment horizontal="center"/>
    </xf>
    <xf numFmtId="1" fontId="79" fillId="0" borderId="1" xfId="0" applyNumberFormat="1" applyFont="1" applyFill="1" applyBorder="1" applyProtection="1">
      <protection locked="0"/>
    </xf>
    <xf numFmtId="1" fontId="81" fillId="0" borderId="1" xfId="0" applyNumberFormat="1" applyFont="1" applyFill="1" applyBorder="1" applyProtection="1">
      <protection locked="0"/>
    </xf>
    <xf numFmtId="1" fontId="81" fillId="0" borderId="1" xfId="0" applyNumberFormat="1" applyFont="1" applyFill="1" applyBorder="1"/>
    <xf numFmtId="9" fontId="81" fillId="0" borderId="1" xfId="389" applyFont="1" applyFill="1" applyBorder="1"/>
    <xf numFmtId="2" fontId="81" fillId="0" borderId="1" xfId="0" applyNumberFormat="1" applyFont="1" applyFill="1" applyBorder="1"/>
    <xf numFmtId="165" fontId="81" fillId="0" borderId="1" xfId="0" applyNumberFormat="1" applyFont="1" applyFill="1" applyBorder="1"/>
    <xf numFmtId="1" fontId="81" fillId="37" borderId="4" xfId="6" applyNumberFormat="1" applyFont="1" applyFill="1" applyBorder="1" applyAlignment="1" applyProtection="1">
      <alignment horizontal="center" vertical="center"/>
      <protection locked="0"/>
    </xf>
    <xf numFmtId="175" fontId="0" fillId="0" borderId="0" xfId="461" applyNumberFormat="1" applyFont="1" applyFill="1"/>
    <xf numFmtId="0" fontId="93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1" fontId="0" fillId="0" borderId="0" xfId="0" applyNumberFormat="1" applyFill="1"/>
    <xf numFmtId="0" fontId="1" fillId="0" borderId="39" xfId="0" applyFont="1" applyFill="1" applyBorder="1"/>
    <xf numFmtId="0" fontId="1" fillId="0" borderId="30" xfId="0" applyFont="1" applyFill="1" applyBorder="1"/>
    <xf numFmtId="2" fontId="0" fillId="0" borderId="0" xfId="389" applyNumberFormat="1" applyFont="1" applyFill="1"/>
    <xf numFmtId="0" fontId="0" fillId="0" borderId="0" xfId="0" applyFill="1" applyBorder="1"/>
    <xf numFmtId="0" fontId="1" fillId="0" borderId="1" xfId="0" applyFont="1" applyFill="1" applyBorder="1" applyAlignment="1">
      <alignment horizontal="left"/>
    </xf>
    <xf numFmtId="165" fontId="1" fillId="0" borderId="0" xfId="0" applyNumberFormat="1" applyFont="1"/>
    <xf numFmtId="0" fontId="0" fillId="0" borderId="0" xfId="0" applyNumberFormat="1" applyFont="1" applyFill="1"/>
    <xf numFmtId="176" fontId="0" fillId="4" borderId="0" xfId="0" applyNumberFormat="1" applyFill="1"/>
    <xf numFmtId="165" fontId="0" fillId="0" borderId="0" xfId="0" applyNumberFormat="1" applyFill="1"/>
    <xf numFmtId="0" fontId="0" fillId="0" borderId="0" xfId="0" applyAlignment="1">
      <alignment wrapText="1"/>
    </xf>
    <xf numFmtId="0" fontId="0" fillId="70" borderId="29" xfId="0" applyFill="1" applyBorder="1" applyAlignment="1">
      <alignment horizontal="center"/>
    </xf>
    <xf numFmtId="0" fontId="0" fillId="70" borderId="30" xfId="0" applyFill="1" applyBorder="1" applyAlignment="1">
      <alignment horizontal="center"/>
    </xf>
    <xf numFmtId="9" fontId="0" fillId="70" borderId="29" xfId="0" applyNumberFormat="1" applyFill="1" applyBorder="1" applyAlignment="1">
      <alignment horizontal="center"/>
    </xf>
    <xf numFmtId="0" fontId="21" fillId="4" borderId="44" xfId="0" applyFont="1" applyFill="1" applyBorder="1" applyAlignment="1">
      <alignment horizontal="center"/>
    </xf>
    <xf numFmtId="0" fontId="83" fillId="0" borderId="26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center" vertical="center"/>
    </xf>
    <xf numFmtId="0" fontId="83" fillId="0" borderId="58" xfId="0" applyFont="1" applyFill="1" applyBorder="1" applyAlignment="1">
      <alignment horizontal="center" vertical="center"/>
    </xf>
    <xf numFmtId="0" fontId="83" fillId="4" borderId="26" xfId="0" applyFont="1" applyFill="1" applyBorder="1" applyAlignment="1">
      <alignment horizontal="center" vertical="center"/>
    </xf>
    <xf numFmtId="0" fontId="83" fillId="4" borderId="27" xfId="0" applyFont="1" applyFill="1" applyBorder="1" applyAlignment="1">
      <alignment horizontal="center" vertical="center"/>
    </xf>
    <xf numFmtId="0" fontId="83" fillId="4" borderId="58" xfId="0" applyFont="1" applyFill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2" fontId="86" fillId="4" borderId="2" xfId="0" applyNumberFormat="1" applyFont="1" applyFill="1" applyBorder="1" applyAlignment="1">
      <alignment horizontal="center"/>
    </xf>
    <xf numFmtId="2" fontId="86" fillId="4" borderId="3" xfId="0" applyNumberFormat="1" applyFont="1" applyFill="1" applyBorder="1" applyAlignment="1">
      <alignment horizontal="center"/>
    </xf>
    <xf numFmtId="2" fontId="86" fillId="4" borderId="4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86" fillId="0" borderId="2" xfId="0" applyNumberFormat="1" applyFont="1" applyBorder="1" applyAlignment="1">
      <alignment horizontal="center"/>
    </xf>
    <xf numFmtId="2" fontId="86" fillId="0" borderId="3" xfId="0" applyNumberFormat="1" applyFont="1" applyBorder="1" applyAlignment="1">
      <alignment horizontal="center"/>
    </xf>
    <xf numFmtId="2" fontId="86" fillId="0" borderId="4" xfId="0" applyNumberFormat="1" applyFont="1" applyBorder="1" applyAlignment="1">
      <alignment horizontal="center"/>
    </xf>
    <xf numFmtId="1" fontId="86" fillId="4" borderId="2" xfId="0" applyNumberFormat="1" applyFont="1" applyFill="1" applyBorder="1" applyAlignment="1">
      <alignment horizontal="center"/>
    </xf>
    <xf numFmtId="1" fontId="86" fillId="4" borderId="3" xfId="0" applyNumberFormat="1" applyFont="1" applyFill="1" applyBorder="1" applyAlignment="1">
      <alignment horizontal="center"/>
    </xf>
    <xf numFmtId="1" fontId="86" fillId="4" borderId="4" xfId="0" applyNumberFormat="1" applyFont="1" applyFill="1" applyBorder="1" applyAlignment="1">
      <alignment horizontal="center"/>
    </xf>
    <xf numFmtId="0" fontId="86" fillId="0" borderId="2" xfId="0" applyFont="1" applyBorder="1" applyAlignment="1">
      <alignment horizontal="center"/>
    </xf>
    <xf numFmtId="0" fontId="86" fillId="0" borderId="3" xfId="0" applyFont="1" applyBorder="1" applyAlignment="1">
      <alignment horizontal="center"/>
    </xf>
    <xf numFmtId="0" fontId="86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468">
    <cellStyle name="_ColumnTitles" xfId="26"/>
    <cellStyle name="_ColumnTitles 2" xfId="27"/>
    <cellStyle name="_DateRange" xfId="28"/>
    <cellStyle name="_DateRange 2" xfId="29"/>
    <cellStyle name="_Hidden" xfId="30"/>
    <cellStyle name="_Normal" xfId="31"/>
    <cellStyle name="_Percentage" xfId="32"/>
    <cellStyle name="_PercentageBold" xfId="33"/>
    <cellStyle name="_SeriesAttributes" xfId="34"/>
    <cellStyle name="_SeriesAttributes 2" xfId="35"/>
    <cellStyle name="_SeriesData" xfId="36"/>
    <cellStyle name="_SeriesData 2" xfId="37"/>
    <cellStyle name="_SeriesDataNA" xfId="38"/>
    <cellStyle name="_SeriesDataStatistics" xfId="39"/>
    <cellStyle name="20% - Accent1 2" xfId="40"/>
    <cellStyle name="20% - Accent1 2 2" xfId="41"/>
    <cellStyle name="20% - Accent1 2 3" xfId="42"/>
    <cellStyle name="20% - Accent1 3" xfId="43"/>
    <cellStyle name="20% - Accent1 4" xfId="44"/>
    <cellStyle name="20% - Accent1 5" xfId="45"/>
    <cellStyle name="20% - Accent1 6" xfId="46"/>
    <cellStyle name="20% - Accent1 7" xfId="47"/>
    <cellStyle name="20% - Accent2 2" xfId="48"/>
    <cellStyle name="20% - Accent2 2 2" xfId="49"/>
    <cellStyle name="20% - Accent2 2 3" xfId="50"/>
    <cellStyle name="20% - Accent2 3" xfId="51"/>
    <cellStyle name="20% - Accent2 4" xfId="52"/>
    <cellStyle name="20% - Accent2 5" xfId="53"/>
    <cellStyle name="20% - Accent2 6" xfId="54"/>
    <cellStyle name="20% - Accent2 7" xfId="55"/>
    <cellStyle name="20% - Accent3 2" xfId="56"/>
    <cellStyle name="20% - Accent3 2 2" xfId="57"/>
    <cellStyle name="20% - Accent3 2 3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4 2" xfId="64"/>
    <cellStyle name="20% - Accent4 2 2" xfId="65"/>
    <cellStyle name="20% - Accent4 2 3" xfId="66"/>
    <cellStyle name="20% - Accent4 3" xfId="67"/>
    <cellStyle name="20% - Accent4 4" xfId="68"/>
    <cellStyle name="20% - Accent4 5" xfId="69"/>
    <cellStyle name="20% - Accent4 6" xfId="70"/>
    <cellStyle name="20% - Accent4 7" xfId="71"/>
    <cellStyle name="20% - Accent5 2" xfId="72"/>
    <cellStyle name="20% - Accent5 2 2" xfId="73"/>
    <cellStyle name="20% - Accent5 2 3" xfId="74"/>
    <cellStyle name="20% - Accent5 3" xfId="75"/>
    <cellStyle name="20% - Accent5 4" xfId="76"/>
    <cellStyle name="20% - Accent5 5" xfId="77"/>
    <cellStyle name="20% - Accent5 6" xfId="78"/>
    <cellStyle name="20% - Accent5 7" xfId="79"/>
    <cellStyle name="20% - Accent6 2" xfId="80"/>
    <cellStyle name="20% - Accent6 2 2" xfId="81"/>
    <cellStyle name="20% - Accent6 2 3" xfId="82"/>
    <cellStyle name="20% - Accent6 3" xfId="83"/>
    <cellStyle name="20% - Accent6 4" xfId="84"/>
    <cellStyle name="20% - Accent6 5" xfId="85"/>
    <cellStyle name="20% - Accent6 6" xfId="86"/>
    <cellStyle name="20% - Accent6 7" xfId="87"/>
    <cellStyle name="40% - Accent1 2" xfId="88"/>
    <cellStyle name="40% - Accent1 2 2" xfId="89"/>
    <cellStyle name="40% - Accent1 2 3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2 2" xfId="96"/>
    <cellStyle name="40% - Accent2 2 2" xfId="97"/>
    <cellStyle name="40% - Accent2 2 3" xfId="98"/>
    <cellStyle name="40% - Accent2 3" xfId="99"/>
    <cellStyle name="40% - Accent2 4" xfId="100"/>
    <cellStyle name="40% - Accent2 5" xfId="101"/>
    <cellStyle name="40% - Accent2 6" xfId="102"/>
    <cellStyle name="40% - Accent2 7" xfId="103"/>
    <cellStyle name="40% - Accent3 2" xfId="104"/>
    <cellStyle name="40% - Accent3 2 2" xfId="105"/>
    <cellStyle name="40% - Accent3 2 3" xfId="106"/>
    <cellStyle name="40% - Accent3 3" xfId="107"/>
    <cellStyle name="40% - Accent3 4" xfId="108"/>
    <cellStyle name="40% - Accent3 5" xfId="109"/>
    <cellStyle name="40% - Accent3 6" xfId="110"/>
    <cellStyle name="40% - Accent3 7" xfId="111"/>
    <cellStyle name="40% - Accent4 2" xfId="112"/>
    <cellStyle name="40% - Accent4 2 2" xfId="113"/>
    <cellStyle name="40% - Accent4 2 3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5 2" xfId="120"/>
    <cellStyle name="40% - Accent5 2 2" xfId="121"/>
    <cellStyle name="40% - Accent5 2 3" xfId="122"/>
    <cellStyle name="40% - Accent5 3" xfId="123"/>
    <cellStyle name="40% - Accent5 4" xfId="124"/>
    <cellStyle name="40% - Accent5 5" xfId="125"/>
    <cellStyle name="40% - Accent5 6" xfId="126"/>
    <cellStyle name="40% - Accent5 7" xfId="127"/>
    <cellStyle name="40% - Accent6 2" xfId="128"/>
    <cellStyle name="40% - Accent6 2 2" xfId="129"/>
    <cellStyle name="40% - Accent6 2 3" xfId="130"/>
    <cellStyle name="40% - Accent6 3" xfId="131"/>
    <cellStyle name="40% - Accent6 4" xfId="132"/>
    <cellStyle name="40% - Accent6 5" xfId="133"/>
    <cellStyle name="40% - Accent6 6" xfId="134"/>
    <cellStyle name="40% - Accent6 7" xfId="135"/>
    <cellStyle name="60% - Accent1 2" xfId="136"/>
    <cellStyle name="60% - Accent1 2 2" xfId="137"/>
    <cellStyle name="60% - Accent1 2 3" xfId="138"/>
    <cellStyle name="60% - Accent1 3" xfId="139"/>
    <cellStyle name="60% - Accent2 2" xfId="140"/>
    <cellStyle name="60% - Accent2 2 2" xfId="141"/>
    <cellStyle name="60% - Accent2 2 3" xfId="142"/>
    <cellStyle name="60% - Accent2 3" xfId="143"/>
    <cellStyle name="60% - Accent3 2" xfId="144"/>
    <cellStyle name="60% - Accent3 2 2" xfId="145"/>
    <cellStyle name="60% - Accent3 2 3" xfId="146"/>
    <cellStyle name="60% - Accent3 3" xfId="147"/>
    <cellStyle name="60% - Accent4 2" xfId="148"/>
    <cellStyle name="60% - Accent4 2 2" xfId="149"/>
    <cellStyle name="60% - Accent4 2 3" xfId="150"/>
    <cellStyle name="60% - Accent4 3" xfId="151"/>
    <cellStyle name="60% - Accent5 2" xfId="152"/>
    <cellStyle name="60% - Accent5 2 2" xfId="153"/>
    <cellStyle name="60% - Accent5 2 3" xfId="154"/>
    <cellStyle name="60% - Accent5 3" xfId="155"/>
    <cellStyle name="60% - Accent6 2" xfId="156"/>
    <cellStyle name="60% - Accent6 2 2" xfId="157"/>
    <cellStyle name="60% - Accent6 2 3" xfId="158"/>
    <cellStyle name="60% - Accent6 3" xfId="159"/>
    <cellStyle name="Accent1 2" xfId="160"/>
    <cellStyle name="Accent1 2 2" xfId="161"/>
    <cellStyle name="Accent1 2 3" xfId="162"/>
    <cellStyle name="Accent1 3" xfId="163"/>
    <cellStyle name="Accent2 2" xfId="164"/>
    <cellStyle name="Accent2 2 2" xfId="165"/>
    <cellStyle name="Accent2 2 3" xfId="166"/>
    <cellStyle name="Accent2 3" xfId="167"/>
    <cellStyle name="Accent3 2" xfId="168"/>
    <cellStyle name="Accent3 2 2" xfId="169"/>
    <cellStyle name="Accent3 2 3" xfId="170"/>
    <cellStyle name="Accent3 3" xfId="171"/>
    <cellStyle name="Accent4 2" xfId="172"/>
    <cellStyle name="Accent4 2 2" xfId="173"/>
    <cellStyle name="Accent4 2 3" xfId="174"/>
    <cellStyle name="Accent4 3" xfId="175"/>
    <cellStyle name="Accent5 2" xfId="176"/>
    <cellStyle name="Accent5 2 2" xfId="177"/>
    <cellStyle name="Accent5 2 3" xfId="178"/>
    <cellStyle name="Accent5 3" xfId="179"/>
    <cellStyle name="Accent6 2" xfId="180"/>
    <cellStyle name="Accent6 2 2" xfId="181"/>
    <cellStyle name="Accent6 2 3" xfId="182"/>
    <cellStyle name="Accent6 3" xfId="183"/>
    <cellStyle name="Bad" xfId="6" builtinId="27"/>
    <cellStyle name="Bad 2" xfId="184"/>
    <cellStyle name="Bad 2 2" xfId="185"/>
    <cellStyle name="Bad 2 3" xfId="186"/>
    <cellStyle name="Bad 3" xfId="187"/>
    <cellStyle name="Calculation 2" xfId="188"/>
    <cellStyle name="Calculation 2 2" xfId="189"/>
    <cellStyle name="Calculation 2 2 2" xfId="190"/>
    <cellStyle name="Calculation 2 3" xfId="191"/>
    <cellStyle name="Calculation 3" xfId="192"/>
    <cellStyle name="Check Cell 2" xfId="193"/>
    <cellStyle name="Check Cell 2 2" xfId="194"/>
    <cellStyle name="Check Cell 2 3" xfId="195"/>
    <cellStyle name="Check Cell 3" xfId="196"/>
    <cellStyle name="Comma [0] 2" xfId="197"/>
    <cellStyle name="Comma [0] 2 2" xfId="198"/>
    <cellStyle name="Comma [0] 3" xfId="199"/>
    <cellStyle name="Comma 10" xfId="200"/>
    <cellStyle name="Comma 11" xfId="201"/>
    <cellStyle name="Comma 11 2" xfId="202"/>
    <cellStyle name="Comma 12" xfId="388"/>
    <cellStyle name="Comma 2" xfId="2"/>
    <cellStyle name="Comma 2 2" xfId="203"/>
    <cellStyle name="Comma 2 2 2" xfId="204"/>
    <cellStyle name="Comma 2 3" xfId="205"/>
    <cellStyle name="Comma 2 4" xfId="206"/>
    <cellStyle name="Comma 2 5" xfId="207"/>
    <cellStyle name="Comma 2 6" xfId="208"/>
    <cellStyle name="Comma 3" xfId="209"/>
    <cellStyle name="Comma 3 2" xfId="210"/>
    <cellStyle name="Comma 3 3" xfId="211"/>
    <cellStyle name="Comma 3 4" xfId="212"/>
    <cellStyle name="Comma 4" xfId="213"/>
    <cellStyle name="Comma 4 2" xfId="214"/>
    <cellStyle name="Comma 5" xfId="215"/>
    <cellStyle name="Comma 5 2" xfId="216"/>
    <cellStyle name="Comma 5 3" xfId="217"/>
    <cellStyle name="Comma 5 4" xfId="218"/>
    <cellStyle name="Comma 6" xfId="219"/>
    <cellStyle name="Comma 7" xfId="220"/>
    <cellStyle name="Comma 8" xfId="221"/>
    <cellStyle name="Comma 9" xfId="222"/>
    <cellStyle name="Comma0" xfId="223"/>
    <cellStyle name="Currency" xfId="461" builtinId="4"/>
    <cellStyle name="Currency 2" xfId="224"/>
    <cellStyle name="Currency 3" xfId="225"/>
    <cellStyle name="Currency0" xfId="226"/>
    <cellStyle name="Date" xfId="227"/>
    <cellStyle name="DateTime" xfId="9"/>
    <cellStyle name="Explanatory Text 2" xfId="228"/>
    <cellStyle name="Explanatory Text 2 2" xfId="229"/>
    <cellStyle name="Explanatory Text 2 3" xfId="230"/>
    <cellStyle name="Explanatory Text 3" xfId="231"/>
    <cellStyle name="Fixed" xfId="232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 2" xfId="233"/>
    <cellStyle name="Good 2" xfId="234"/>
    <cellStyle name="Good 2 2" xfId="235"/>
    <cellStyle name="Good 2 3" xfId="236"/>
    <cellStyle name="Good 3" xfId="237"/>
    <cellStyle name="Heading 1 2" xfId="238"/>
    <cellStyle name="Heading 1 2 2" xfId="239"/>
    <cellStyle name="Heading 1 2 3" xfId="240"/>
    <cellStyle name="Heading 1 3" xfId="241"/>
    <cellStyle name="Heading 2 2" xfId="242"/>
    <cellStyle name="Heading 2 2 2" xfId="243"/>
    <cellStyle name="Heading 2 2 3" xfId="244"/>
    <cellStyle name="Heading 2 3" xfId="245"/>
    <cellStyle name="Heading 3 2" xfId="246"/>
    <cellStyle name="Heading 3 2 2" xfId="247"/>
    <cellStyle name="Heading 3 2 3" xfId="248"/>
    <cellStyle name="Heading 3 3" xfId="249"/>
    <cellStyle name="Heading 4 2" xfId="250"/>
    <cellStyle name="Heading 4 2 2" xfId="251"/>
    <cellStyle name="Heading 4 2 3" xfId="252"/>
    <cellStyle name="Heading 4 3" xfId="253"/>
    <cellStyle name="Hyperlink" xfId="390" builtinId="8"/>
    <cellStyle name="Hyperlink 2" xfId="8"/>
    <cellStyle name="Hyperlink 3" xfId="254"/>
    <cellStyle name="Hyperlink 4" xfId="255"/>
    <cellStyle name="Hyperlink 4 2" xfId="256"/>
    <cellStyle name="Hyperlink 5" xfId="257"/>
    <cellStyle name="Input 2" xfId="258"/>
    <cellStyle name="Input 2 2" xfId="259"/>
    <cellStyle name="Input 2 2 2" xfId="260"/>
    <cellStyle name="Input 2 3" xfId="261"/>
    <cellStyle name="Input 3" xfId="262"/>
    <cellStyle name="Linked Cell 2" xfId="263"/>
    <cellStyle name="Linked Cell 2 2" xfId="264"/>
    <cellStyle name="Linked Cell 2 3" xfId="265"/>
    <cellStyle name="Linked Cell 3" xfId="266"/>
    <cellStyle name="Neutral 2" xfId="267"/>
    <cellStyle name="Neutral 2 2" xfId="268"/>
    <cellStyle name="Neutral 2 3" xfId="269"/>
    <cellStyle name="Neutral 3" xfId="270"/>
    <cellStyle name="Normal" xfId="0" builtinId="0"/>
    <cellStyle name="Normal 10" xfId="271"/>
    <cellStyle name="Normal 11" xfId="272"/>
    <cellStyle name="Normal 11 2" xfId="462"/>
    <cellStyle name="Normal 12" xfId="273"/>
    <cellStyle name="Normal 13" xfId="274"/>
    <cellStyle name="Normal 14" xfId="275"/>
    <cellStyle name="Normal 15" xfId="276"/>
    <cellStyle name="Normal 15 2" xfId="277"/>
    <cellStyle name="Normal 16" xfId="278"/>
    <cellStyle name="Normal 16 2" xfId="279"/>
    <cellStyle name="Normal 16 3" xfId="280"/>
    <cellStyle name="Normal 17" xfId="281"/>
    <cellStyle name="Normal 17 2" xfId="282"/>
    <cellStyle name="Normal 18" xfId="283"/>
    <cellStyle name="Normal 19" xfId="284"/>
    <cellStyle name="Normal 2" xfId="3"/>
    <cellStyle name="Normal 2 2" xfId="285"/>
    <cellStyle name="Normal 2 2 2" xfId="286"/>
    <cellStyle name="Normal 2 2 2 2" xfId="287"/>
    <cellStyle name="Normal 2 3" xfId="1"/>
    <cellStyle name="Normal 2 3 2" xfId="288"/>
    <cellStyle name="Normal 2 4" xfId="289"/>
    <cellStyle name="Normal 2 4 2" xfId="290"/>
    <cellStyle name="Normal 2 4 2 2" xfId="291"/>
    <cellStyle name="Normal 2 4 3" xfId="292"/>
    <cellStyle name="Normal 2 5" xfId="293"/>
    <cellStyle name="Normal 2 6" xfId="294"/>
    <cellStyle name="Normal 20" xfId="387"/>
    <cellStyle name="Normal 21" xfId="463"/>
    <cellStyle name="Normal 3" xfId="4"/>
    <cellStyle name="Normal 3 2" xfId="7"/>
    <cellStyle name="Normal 3 2 2" xfId="295"/>
    <cellStyle name="Normal 3 3" xfId="296"/>
    <cellStyle name="Normal 3 4" xfId="297"/>
    <cellStyle name="Normal 3 5" xfId="298"/>
    <cellStyle name="Normal 4" xfId="5"/>
    <cellStyle name="Normal 4 2" xfId="299"/>
    <cellStyle name="Normal 4 2 2" xfId="300"/>
    <cellStyle name="Normal 4 2 3" xfId="301"/>
    <cellStyle name="Normal 4 3" xfId="302"/>
    <cellStyle name="Normal 4 4" xfId="303"/>
    <cellStyle name="Normal 4 5" xfId="304"/>
    <cellStyle name="Normal 4 6" xfId="305"/>
    <cellStyle name="Normal 5" xfId="306"/>
    <cellStyle name="Normal 5 2" xfId="307"/>
    <cellStyle name="Normal 5 2 2" xfId="308"/>
    <cellStyle name="Normal 5 3" xfId="309"/>
    <cellStyle name="Normal 6" xfId="310"/>
    <cellStyle name="Normal 6 2" xfId="311"/>
    <cellStyle name="Normal 6 2 2" xfId="312"/>
    <cellStyle name="Normal 6 3" xfId="313"/>
    <cellStyle name="Normal 6 4" xfId="314"/>
    <cellStyle name="Normal 6 5" xfId="315"/>
    <cellStyle name="Normal 7" xfId="316"/>
    <cellStyle name="Normal 7 2" xfId="317"/>
    <cellStyle name="Normal 8" xfId="318"/>
    <cellStyle name="Normal 8 2" xfId="319"/>
    <cellStyle name="Normal 9" xfId="320"/>
    <cellStyle name="Normal 9 2" xfId="321"/>
    <cellStyle name="Note 2" xfId="322"/>
    <cellStyle name="Note 2 2" xfId="323"/>
    <cellStyle name="Note 2 2 2" xfId="324"/>
    <cellStyle name="Note 2 2 2 2" xfId="325"/>
    <cellStyle name="Note 2 3" xfId="326"/>
    <cellStyle name="Note 2 3 2" xfId="327"/>
    <cellStyle name="Note 3" xfId="328"/>
    <cellStyle name="Note 3 2" xfId="329"/>
    <cellStyle name="Note 4" xfId="330"/>
    <cellStyle name="Note 4 2" xfId="331"/>
    <cellStyle name="Note 5" xfId="332"/>
    <cellStyle name="Note 6" xfId="333"/>
    <cellStyle name="Note 7" xfId="334"/>
    <cellStyle name="Note 8" xfId="335"/>
    <cellStyle name="Note 9" xfId="336"/>
    <cellStyle name="Output 2" xfId="337"/>
    <cellStyle name="Output 2 2" xfId="338"/>
    <cellStyle name="Output 2 2 2" xfId="339"/>
    <cellStyle name="Output 2 3" xfId="340"/>
    <cellStyle name="Output 3" xfId="341"/>
    <cellStyle name="Percent" xfId="389" builtinId="5"/>
    <cellStyle name="Percent 2" xfId="342"/>
    <cellStyle name="Percent 2 2" xfId="343"/>
    <cellStyle name="Percent 2 2 2" xfId="344"/>
    <cellStyle name="Percent 2 3" xfId="345"/>
    <cellStyle name="Percent 2 4" xfId="346"/>
    <cellStyle name="Percent 2 5" xfId="347"/>
    <cellStyle name="Percent 3" xfId="348"/>
    <cellStyle name="Percent 3 2" xfId="349"/>
    <cellStyle name="Percent 3 3" xfId="350"/>
    <cellStyle name="Percent 4" xfId="351"/>
    <cellStyle name="Percent 4 2" xfId="352"/>
    <cellStyle name="Percent 5" xfId="353"/>
    <cellStyle name="Percent 6" xfId="354"/>
    <cellStyle name="Percent 6 2" xfId="355"/>
    <cellStyle name="Percent 7" xfId="356"/>
    <cellStyle name="Percent 7 2" xfId="464"/>
    <cellStyle name="Percent 8" xfId="357"/>
    <cellStyle name="Percent 8 2" xfId="358"/>
    <cellStyle name="Percent 9" xfId="465"/>
    <cellStyle name="Random_bit_of_data" xfId="466"/>
    <cellStyle name="Style 21" xfId="10"/>
    <cellStyle name="Style 21 2" xfId="359"/>
    <cellStyle name="Style 21 2 2" xfId="360"/>
    <cellStyle name="Style 21 3" xfId="361"/>
    <cellStyle name="Style 22" xfId="11"/>
    <cellStyle name="Style 22 2" xfId="362"/>
    <cellStyle name="Style 22 3" xfId="363"/>
    <cellStyle name="Style 23" xfId="12"/>
    <cellStyle name="Style 23 2" xfId="364"/>
    <cellStyle name="Style 23 2 2" xfId="365"/>
    <cellStyle name="Style 23 2 3" xfId="366"/>
    <cellStyle name="Style 23 3" xfId="367"/>
    <cellStyle name="Style 23 3 2" xfId="368"/>
    <cellStyle name="Style 23 4" xfId="369"/>
    <cellStyle name="Style 24" xfId="13"/>
    <cellStyle name="Style 24 2" xfId="370"/>
    <cellStyle name="Style 24 3" xfId="371"/>
    <cellStyle name="Style 25" xfId="14"/>
    <cellStyle name="Style 25 2" xfId="372"/>
    <cellStyle name="Style 25 3" xfId="373"/>
    <cellStyle name="Style 26" xfId="15"/>
    <cellStyle name="Style 26 2" xfId="374"/>
    <cellStyle name="Style 26 3" xfId="375"/>
    <cellStyle name="Style 27" xfId="16"/>
    <cellStyle name="Style 28" xfId="17"/>
    <cellStyle name="Style 29" xfId="18"/>
    <cellStyle name="Style 30" xfId="19"/>
    <cellStyle name="Style 31" xfId="20"/>
    <cellStyle name="Style 32" xfId="21"/>
    <cellStyle name="Style 33" xfId="22"/>
    <cellStyle name="Style 34" xfId="23"/>
    <cellStyle name="Style 35" xfId="24"/>
    <cellStyle name="Style 36" xfId="25"/>
    <cellStyle name="Title 2" xfId="376"/>
    <cellStyle name="Title 2 2" xfId="377"/>
    <cellStyle name="Total 2" xfId="378"/>
    <cellStyle name="Total 2 2" xfId="379"/>
    <cellStyle name="Total 2 2 2" xfId="380"/>
    <cellStyle name="Total 2 3" xfId="381"/>
    <cellStyle name="Total 2 3 2" xfId="467"/>
    <cellStyle name="Total 3" xfId="382"/>
    <cellStyle name="Warning Text 2" xfId="383"/>
    <cellStyle name="Warning Text 2 2" xfId="384"/>
    <cellStyle name="Warning Text 2 3" xfId="385"/>
    <cellStyle name="Warning Text 3" xfId="38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8F8F8"/>
      <color rgb="FFFEC7D1"/>
      <color rgb="FFFE8C8C"/>
      <color rgb="FFFFC7CE"/>
      <color rgb="FF99FF33"/>
      <color rgb="FFFF33CC"/>
      <color rgb="FFB00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4776824421604E-2"/>
          <c:y val="0.24764852728893"/>
          <c:w val="0.86119432380369498"/>
          <c:h val="0.60313103757631104"/>
        </c:manualLayout>
      </c:layout>
      <c:areaChart>
        <c:grouping val="stacked"/>
        <c:varyColors val="0"/>
        <c:ser>
          <c:idx val="6"/>
          <c:order val="0"/>
          <c:tx>
            <c:v>CARBOB</c:v>
          </c:tx>
          <c:spPr>
            <a:solidFill>
              <a:schemeClr val="bg2">
                <a:lumMod val="25000"/>
              </a:schemeClr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Calculations!$D$26:$T$26</c:f>
              <c:numCache>
                <c:formatCode>#,##0</c:formatCode>
                <c:ptCount val="17"/>
                <c:pt idx="0">
                  <c:v>13093</c:v>
                </c:pt>
                <c:pt idx="1">
                  <c:v>13324</c:v>
                </c:pt>
                <c:pt idx="2">
                  <c:v>14053.271601</c:v>
                </c:pt>
                <c:pt idx="3">
                  <c:v>14065.124652</c:v>
                </c:pt>
                <c:pt idx="4">
                  <c:v>13599.741900015932</c:v>
                </c:pt>
                <c:pt idx="5">
                  <c:v>13185.239889332865</c:v>
                </c:pt>
                <c:pt idx="6">
                  <c:v>12778.411664809988</c:v>
                </c:pt>
                <c:pt idx="7">
                  <c:v>12369.464723823947</c:v>
                </c:pt>
                <c:pt idx="8">
                  <c:v>11907.858204203689</c:v>
                </c:pt>
                <c:pt idx="9">
                  <c:v>11475.016152120377</c:v>
                </c:pt>
                <c:pt idx="10">
                  <c:v>11073.043838581605</c:v>
                </c:pt>
                <c:pt idx="11">
                  <c:v>10660.940366104525</c:v>
                </c:pt>
                <c:pt idx="12">
                  <c:v>10253.398370782921</c:v>
                </c:pt>
                <c:pt idx="13">
                  <c:v>9943.5513347412361</c:v>
                </c:pt>
                <c:pt idx="14">
                  <c:v>9676.7874362459206</c:v>
                </c:pt>
                <c:pt idx="15">
                  <c:v>9446.9400736648713</c:v>
                </c:pt>
                <c:pt idx="16">
                  <c:v>9246.4744611386013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4-4E27-A074-9793F018AC47}"/>
            </c:ext>
          </c:extLst>
        </c:ser>
        <c:ser>
          <c:idx val="0"/>
          <c:order val="1"/>
          <c:tx>
            <c:v>Cellulosic Ethanol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Calculations!$D$19:$T$19</c:f>
              <c:numCache>
                <c:formatCode>#,##0</c:formatCode>
                <c:ptCount val="17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  <c:pt idx="4" formatCode="0">
                  <c:v>2.0166397615795355</c:v>
                </c:pt>
                <c:pt idx="5" formatCode="0">
                  <c:v>4.033279523159071</c:v>
                </c:pt>
                <c:pt idx="6" formatCode="0">
                  <c:v>7.4866509375388048</c:v>
                </c:pt>
                <c:pt idx="7" formatCode="0">
                  <c:v>11.508297006019333</c:v>
                </c:pt>
                <c:pt idx="8" formatCode="0">
                  <c:v>16.249135193627929</c:v>
                </c:pt>
                <c:pt idx="9" formatCode="0">
                  <c:v>22.164050263776673</c:v>
                </c:pt>
                <c:pt idx="10" formatCode="0">
                  <c:v>30.406059853470754</c:v>
                </c:pt>
                <c:pt idx="11" formatCode="0">
                  <c:v>41.012873049381184</c:v>
                </c:pt>
                <c:pt idx="12" formatCode="0">
                  <c:v>51.043503456268887</c:v>
                </c:pt>
                <c:pt idx="13" formatCode="0">
                  <c:v>70</c:v>
                </c:pt>
                <c:pt idx="14" formatCode="0">
                  <c:v>95</c:v>
                </c:pt>
                <c:pt idx="15" formatCode="0">
                  <c:v>110</c:v>
                </c:pt>
                <c:pt idx="16" formatCode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4-4E27-A074-9793F018AC47}"/>
            </c:ext>
          </c:extLst>
        </c:ser>
        <c:ser>
          <c:idx val="1"/>
          <c:order val="2"/>
          <c:tx>
            <c:v>Sugar Ethanol</c:v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Calculations!$D$20:$T$20</c:f>
              <c:numCache>
                <c:formatCode>#,##0</c:formatCode>
                <c:ptCount val="17"/>
                <c:pt idx="0" formatCode="0">
                  <c:v>8.8000000000000007</c:v>
                </c:pt>
                <c:pt idx="1">
                  <c:v>41.9</c:v>
                </c:pt>
                <c:pt idx="2">
                  <c:v>30.937916999999999</c:v>
                </c:pt>
                <c:pt idx="3" formatCode="0">
                  <c:v>67.750127000000006</c:v>
                </c:pt>
                <c:pt idx="4" formatCode="0">
                  <c:v>100</c:v>
                </c:pt>
                <c:pt idx="5" formatCode="0">
                  <c:v>150</c:v>
                </c:pt>
                <c:pt idx="6" formatCode="0">
                  <c:v>150</c:v>
                </c:pt>
                <c:pt idx="7" formatCode="0">
                  <c:v>100</c:v>
                </c:pt>
                <c:pt idx="8" formatCode="0">
                  <c:v>50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4-4E27-A074-9793F018AC47}"/>
            </c:ext>
          </c:extLst>
        </c:ser>
        <c:ser>
          <c:idx val="2"/>
          <c:order val="3"/>
          <c:tx>
            <c:v>Starch Ethanol</c:v>
          </c:tx>
          <c:spPr>
            <a:solidFill>
              <a:srgbClr val="00B05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Calculations!$D$21:$T$21</c:f>
              <c:numCache>
                <c:formatCode>#,##0</c:formatCode>
                <c:ptCount val="17"/>
                <c:pt idx="0">
                  <c:v>1476.2</c:v>
                </c:pt>
                <c:pt idx="1">
                  <c:v>1465.1</c:v>
                </c:pt>
                <c:pt idx="2">
                  <c:v>1566.947778</c:v>
                </c:pt>
                <c:pt idx="3">
                  <c:v>1506.7605120000001</c:v>
                </c:pt>
                <c:pt idx="4">
                  <c:v>1432.6834397773603</c:v>
                </c:pt>
                <c:pt idx="5">
                  <c:v>1338.7435480903307</c:v>
                </c:pt>
                <c:pt idx="6">
                  <c:v>1294.5534846501309</c:v>
                </c:pt>
                <c:pt idx="7">
                  <c:v>1299.8936506084212</c:v>
                </c:pt>
                <c:pt idx="8">
                  <c:v>1298.9974771478351</c:v>
                </c:pt>
                <c:pt idx="9">
                  <c:v>1300.4571957462008</c:v>
                </c:pt>
                <c:pt idx="10">
                  <c:v>1253.353707767357</c:v>
                </c:pt>
                <c:pt idx="11">
                  <c:v>1203.0936488487603</c:v>
                </c:pt>
                <c:pt idx="12">
                  <c:v>1154.2505205071814</c:v>
                </c:pt>
                <c:pt idx="13">
                  <c:v>1107.6704384972484</c:v>
                </c:pt>
                <c:pt idx="14">
                  <c:v>1060.1677853069184</c:v>
                </c:pt>
                <c:pt idx="15">
                  <c:v>1027.1008864333382</c:v>
                </c:pt>
                <c:pt idx="16">
                  <c:v>997.63254344767643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D4-4E27-A074-9793F018AC47}"/>
            </c:ext>
          </c:extLst>
        </c:ser>
        <c:ser>
          <c:idx val="3"/>
          <c:order val="4"/>
          <c:tx>
            <c:v>Renewable Gasoline</c:v>
          </c:tx>
          <c:spPr>
            <a:solidFill>
              <a:srgbClr val="92D05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Calculations!$D$22:$T$22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D4-4E27-A074-9793F018AC47}"/>
            </c:ext>
          </c:extLst>
        </c:ser>
        <c:ser>
          <c:idx val="4"/>
          <c:order val="5"/>
          <c:tx>
            <c:v>Hydrogen (GGE)</c:v>
          </c:tx>
          <c:spPr>
            <a:solidFill>
              <a:srgbClr val="00B0F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'Intermediate Calculations'!$B$4:$R$4</c:f>
              <c:numCache>
                <c:formatCode>0.0</c:formatCode>
                <c:ptCount val="17"/>
                <c:pt idx="0">
                  <c:v>3.5318217136398954E-2</c:v>
                </c:pt>
                <c:pt idx="1">
                  <c:v>0.37672764945492215</c:v>
                </c:pt>
                <c:pt idx="2">
                  <c:v>3.0075110075110075E-3</c:v>
                </c:pt>
                <c:pt idx="3">
                  <c:v>0.27785029785029786</c:v>
                </c:pt>
                <c:pt idx="4">
                  <c:v>0.74498834498834499</c:v>
                </c:pt>
                <c:pt idx="5">
                  <c:v>1.3857549857549858</c:v>
                </c:pt>
                <c:pt idx="6">
                  <c:v>2.4675472675472681</c:v>
                </c:pt>
                <c:pt idx="7">
                  <c:v>3.9978243978243984</c:v>
                </c:pt>
                <c:pt idx="8">
                  <c:v>6.3402227402227407</c:v>
                </c:pt>
                <c:pt idx="9">
                  <c:v>9.5550375550375559</c:v>
                </c:pt>
                <c:pt idx="10">
                  <c:v>13.343382543382543</c:v>
                </c:pt>
                <c:pt idx="11">
                  <c:v>17.714063714063716</c:v>
                </c:pt>
                <c:pt idx="12">
                  <c:v>22.381248381248383</c:v>
                </c:pt>
                <c:pt idx="13">
                  <c:v>27.048433048433047</c:v>
                </c:pt>
                <c:pt idx="14">
                  <c:v>31.715617715617714</c:v>
                </c:pt>
                <c:pt idx="15">
                  <c:v>36.382802382802375</c:v>
                </c:pt>
                <c:pt idx="16">
                  <c:v>41.049987049987045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D4-4E27-A074-9793F018AC47}"/>
            </c:ext>
          </c:extLst>
        </c:ser>
        <c:ser>
          <c:idx val="5"/>
          <c:order val="6"/>
          <c:tx>
            <c:v>Electricity (GGE)</c:v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'Intermediate Calculations'!$B$3:$R$3</c:f>
              <c:numCache>
                <c:formatCode>0.0</c:formatCode>
                <c:ptCount val="17"/>
                <c:pt idx="0">
                  <c:v>8.4537684537684541</c:v>
                </c:pt>
                <c:pt idx="1">
                  <c:v>12.960372960372959</c:v>
                </c:pt>
                <c:pt idx="2">
                  <c:v>22.074269000000001</c:v>
                </c:pt>
                <c:pt idx="3">
                  <c:v>31.756862752913754</c:v>
                </c:pt>
                <c:pt idx="4">
                  <c:v>37.098325283605284</c:v>
                </c:pt>
                <c:pt idx="5">
                  <c:v>42.000745174825177</c:v>
                </c:pt>
                <c:pt idx="6">
                  <c:v>48.57037376845377</c:v>
                </c:pt>
                <c:pt idx="7">
                  <c:v>56.821560093240095</c:v>
                </c:pt>
                <c:pt idx="8">
                  <c:v>66.020821383061389</c:v>
                </c:pt>
                <c:pt idx="9">
                  <c:v>75.974049914529914</c:v>
                </c:pt>
                <c:pt idx="10">
                  <c:v>86.86451742035743</c:v>
                </c:pt>
                <c:pt idx="11">
                  <c:v>98.643882517482524</c:v>
                </c:pt>
                <c:pt idx="12">
                  <c:v>110.8651977000777</c:v>
                </c:pt>
                <c:pt idx="13">
                  <c:v>123.08651288267289</c:v>
                </c:pt>
                <c:pt idx="14">
                  <c:v>135.30782806526807</c:v>
                </c:pt>
                <c:pt idx="15">
                  <c:v>147.52914324786323</c:v>
                </c:pt>
                <c:pt idx="16">
                  <c:v>159.75045843045842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D4-4E27-A074-9793F018A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32808"/>
        <c:axId val="427834768"/>
      </c:areaChart>
      <c:catAx>
        <c:axId val="42783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834768"/>
        <c:crosses val="autoZero"/>
        <c:auto val="1"/>
        <c:lblAlgn val="ctr"/>
        <c:lblOffset val="100"/>
        <c:noMultiLvlLbl val="0"/>
      </c:catAx>
      <c:valAx>
        <c:axId val="427834768"/>
        <c:scaling>
          <c:orientation val="minMax"/>
          <c:max val="18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4278328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3865833755521"/>
          <c:y val="1.5757679015073502E-2"/>
          <c:w val="0.87958169291338595"/>
          <c:h val="0.1893220877044579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I'!$A$15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I'!$B$15:$P$15</c:f>
              <c:numCache>
                <c:formatCode>0.00</c:formatCode>
                <c:ptCount val="15"/>
                <c:pt idx="0">
                  <c:v>6.3999999999999997E-5</c:v>
                </c:pt>
                <c:pt idx="1">
                  <c:v>6.8719999999999996E-3</c:v>
                </c:pt>
                <c:pt idx="2">
                  <c:v>1.2046024530904788E-2</c:v>
                </c:pt>
                <c:pt idx="3">
                  <c:v>2.2190617713256772E-2</c:v>
                </c:pt>
                <c:pt idx="4">
                  <c:v>3.8376370206266733E-2</c:v>
                </c:pt>
                <c:pt idx="5">
                  <c:v>6.0530881890501112E-2</c:v>
                </c:pt>
                <c:pt idx="6">
                  <c:v>9.3522825723331482E-2</c:v>
                </c:pt>
                <c:pt idx="7">
                  <c:v>0.13700135929242746</c:v>
                </c:pt>
                <c:pt idx="8">
                  <c:v>0.18670378528100115</c:v>
                </c:pt>
                <c:pt idx="9">
                  <c:v>0.24167787636751933</c:v>
                </c:pt>
                <c:pt idx="10">
                  <c:v>0.29782256661337864</c:v>
                </c:pt>
                <c:pt idx="11">
                  <c:v>0.35114678081849282</c:v>
                </c:pt>
                <c:pt idx="12">
                  <c:v>0.40154687985749427</c:v>
                </c:pt>
                <c:pt idx="13">
                  <c:v>0.44935620861348519</c:v>
                </c:pt>
                <c:pt idx="14">
                  <c:v>0.49476415471925733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A-4224-8388-3CA9B2BF6FF6}"/>
            </c:ext>
          </c:extLst>
        </c:ser>
        <c:ser>
          <c:idx val="1"/>
          <c:order val="1"/>
          <c:tx>
            <c:strRef>
              <c:f>'Figures I'!$A$16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I'!$B$16:$P$16</c:f>
              <c:numCache>
                <c:formatCode>0.00</c:formatCode>
                <c:ptCount val="15"/>
                <c:pt idx="0">
                  <c:v>0.90980599999999989</c:v>
                </c:pt>
                <c:pt idx="1">
                  <c:v>1.2159579161069531</c:v>
                </c:pt>
                <c:pt idx="2">
                  <c:v>1.442433767526444</c:v>
                </c:pt>
                <c:pt idx="3">
                  <c:v>1.6871461297808052</c:v>
                </c:pt>
                <c:pt idx="4">
                  <c:v>1.983048217943215</c:v>
                </c:pt>
                <c:pt idx="5">
                  <c:v>2.3535051522063268</c:v>
                </c:pt>
                <c:pt idx="6">
                  <c:v>2.8093974293116344</c:v>
                </c:pt>
                <c:pt idx="7">
                  <c:v>3.1447621051646131</c:v>
                </c:pt>
                <c:pt idx="8">
                  <c:v>3.5602912443110659</c:v>
                </c:pt>
                <c:pt idx="9">
                  <c:v>4.0156856359978512</c:v>
                </c:pt>
                <c:pt idx="10">
                  <c:v>4.4966466873631061</c:v>
                </c:pt>
                <c:pt idx="11">
                  <c:v>4.9702798125608272</c:v>
                </c:pt>
                <c:pt idx="12">
                  <c:v>5.4150991166475242</c:v>
                </c:pt>
                <c:pt idx="13">
                  <c:v>5.8423143969430757</c:v>
                </c:pt>
                <c:pt idx="14">
                  <c:v>6.2549467241515355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A-4224-8388-3CA9B2BF6FF6}"/>
            </c:ext>
          </c:extLst>
        </c:ser>
        <c:ser>
          <c:idx val="2"/>
          <c:order val="2"/>
          <c:tx>
            <c:strRef>
              <c:f>'Figures I'!$A$17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I'!$B$17:$P$17</c:f>
              <c:numCache>
                <c:formatCode>0.00</c:formatCode>
                <c:ptCount val="15"/>
                <c:pt idx="0">
                  <c:v>2.1639499999999998</c:v>
                </c:pt>
                <c:pt idx="1">
                  <c:v>2.9590429999999999</c:v>
                </c:pt>
                <c:pt idx="2">
                  <c:v>3.9693326597412857</c:v>
                </c:pt>
                <c:pt idx="3">
                  <c:v>4.547057260690738</c:v>
                </c:pt>
                <c:pt idx="4">
                  <c:v>5.2679802866401912</c:v>
                </c:pt>
                <c:pt idx="5">
                  <c:v>5.9563449563396427</c:v>
                </c:pt>
                <c:pt idx="6">
                  <c:v>6.6121512697890958</c:v>
                </c:pt>
                <c:pt idx="7">
                  <c:v>6.8545887413575706</c:v>
                </c:pt>
                <c:pt idx="8">
                  <c:v>6.7080761382325713</c:v>
                </c:pt>
                <c:pt idx="9">
                  <c:v>6.5615635351075721</c:v>
                </c:pt>
                <c:pt idx="10">
                  <c:v>6.415050931982571</c:v>
                </c:pt>
                <c:pt idx="11">
                  <c:v>6.6167904582385475</c:v>
                </c:pt>
                <c:pt idx="12">
                  <c:v>6.8022508063695248</c:v>
                </c:pt>
                <c:pt idx="13">
                  <c:v>6.6394590251195256</c:v>
                </c:pt>
                <c:pt idx="14">
                  <c:v>7.1243339682564786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A-4224-8388-3CA9B2BF6FF6}"/>
            </c:ext>
          </c:extLst>
        </c:ser>
        <c:ser>
          <c:idx val="3"/>
          <c:order val="3"/>
          <c:tx>
            <c:strRef>
              <c:f>'Figures I'!$A$18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I'!$B$18:$P$18</c:f>
              <c:numCache>
                <c:formatCode>0.00</c:formatCode>
                <c:ptCount val="15"/>
                <c:pt idx="0">
                  <c:v>1.7109890000000001</c:v>
                </c:pt>
                <c:pt idx="1">
                  <c:v>1.3845289999999999</c:v>
                </c:pt>
                <c:pt idx="2">
                  <c:v>1.6147856642759102</c:v>
                </c:pt>
                <c:pt idx="3">
                  <c:v>2.0722848908698888</c:v>
                </c:pt>
                <c:pt idx="4">
                  <c:v>2.5820224500612992</c:v>
                </c:pt>
                <c:pt idx="5">
                  <c:v>3.068003846077223</c:v>
                </c:pt>
                <c:pt idx="6">
                  <c:v>3.5302290789176611</c:v>
                </c:pt>
                <c:pt idx="7">
                  <c:v>3.4510418683327058</c:v>
                </c:pt>
                <c:pt idx="8">
                  <c:v>3.3718546577477517</c:v>
                </c:pt>
                <c:pt idx="9">
                  <c:v>3.2926674471627972</c:v>
                </c:pt>
                <c:pt idx="10">
                  <c:v>3.2134802365778419</c:v>
                </c:pt>
                <c:pt idx="11">
                  <c:v>3.1342930259928874</c:v>
                </c:pt>
                <c:pt idx="12">
                  <c:v>3.0551058154079334</c:v>
                </c:pt>
                <c:pt idx="13">
                  <c:v>2.9759186048229789</c:v>
                </c:pt>
                <c:pt idx="14">
                  <c:v>2.8967313942380244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4A-4224-8388-3CA9B2BF6FF6}"/>
            </c:ext>
          </c:extLst>
        </c:ser>
        <c:ser>
          <c:idx val="4"/>
          <c:order val="4"/>
          <c:tx>
            <c:strRef>
              <c:f>'Figures I'!$A$19</c:f>
              <c:strCache>
                <c:ptCount val="1"/>
                <c:pt idx="0">
                  <c:v>Cellulosic Ethanol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I'!$B$19:$P$19</c:f>
              <c:numCache>
                <c:formatCode>0.00</c:formatCode>
                <c:ptCount val="15"/>
                <c:pt idx="0">
                  <c:v>0</c:v>
                </c:pt>
                <c:pt idx="1">
                  <c:v>5.1330000000000004E-3</c:v>
                </c:pt>
                <c:pt idx="2">
                  <c:v>1.0446114307711411E-2</c:v>
                </c:pt>
                <c:pt idx="3">
                  <c:v>2.0785384015894699E-2</c:v>
                </c:pt>
                <c:pt idx="4">
                  <c:v>3.7823704646442316E-2</c:v>
                </c:pt>
                <c:pt idx="5">
                  <c:v>6.0305736425990311E-2</c:v>
                </c:pt>
                <c:pt idx="6">
                  <c:v>8.7965800911759595E-2</c:v>
                </c:pt>
                <c:pt idx="7">
                  <c:v>0.12352209683393084</c:v>
                </c:pt>
                <c:pt idx="8">
                  <c:v>0.17390918335551966</c:v>
                </c:pt>
                <c:pt idx="9">
                  <c:v>0.24008130677371167</c:v>
                </c:pt>
                <c:pt idx="10">
                  <c:v>0.30506860570381228</c:v>
                </c:pt>
                <c:pt idx="11">
                  <c:v>0.42616443870000004</c:v>
                </c:pt>
                <c:pt idx="12">
                  <c:v>0.59754654959999998</c:v>
                </c:pt>
                <c:pt idx="13">
                  <c:v>0.68855164950000003</c:v>
                </c:pt>
                <c:pt idx="14">
                  <c:v>0.76978044000000001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4A-4224-8388-3CA9B2BF6FF6}"/>
            </c:ext>
          </c:extLst>
        </c:ser>
        <c:ser>
          <c:idx val="5"/>
          <c:order val="5"/>
          <c:tx>
            <c:strRef>
              <c:f>'Figures I'!$A$20</c:f>
              <c:strCache>
                <c:ptCount val="1"/>
                <c:pt idx="0">
                  <c:v>Sugar Ethanol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I'!$B$20:$P$20</c:f>
              <c:numCache>
                <c:formatCode>0.00</c:formatCode>
                <c:ptCount val="15"/>
                <c:pt idx="0">
                  <c:v>0.119611</c:v>
                </c:pt>
                <c:pt idx="1">
                  <c:v>0.266872</c:v>
                </c:pt>
                <c:pt idx="2">
                  <c:v>0.46909005000000004</c:v>
                </c:pt>
                <c:pt idx="3">
                  <c:v>0.72411446249999989</c:v>
                </c:pt>
                <c:pt idx="4">
                  <c:v>0.72114342300000001</c:v>
                </c:pt>
                <c:pt idx="5">
                  <c:v>0.48693258899999997</c:v>
                </c:pt>
                <c:pt idx="6">
                  <c:v>0.24655144800000001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4A-4224-8388-3CA9B2BF6FF6}"/>
            </c:ext>
          </c:extLst>
        </c:ser>
        <c:ser>
          <c:idx val="6"/>
          <c:order val="6"/>
          <c:tx>
            <c:strRef>
              <c:f>'Figures I'!$A$21</c:f>
              <c:strCache>
                <c:ptCount val="1"/>
                <c:pt idx="0">
                  <c:v>Starch Ethanol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I'!$B$21:$P$21</c:f>
              <c:numCache>
                <c:formatCode>0.00</c:formatCode>
                <c:ptCount val="15"/>
                <c:pt idx="0">
                  <c:v>3.1979850000000001</c:v>
                </c:pt>
                <c:pt idx="1">
                  <c:v>2.9321169999999999</c:v>
                </c:pt>
                <c:pt idx="2">
                  <c:v>2.6333445128244968</c:v>
                </c:pt>
                <c:pt idx="3">
                  <c:v>2.4252139272926319</c:v>
                </c:pt>
                <c:pt idx="4">
                  <c:v>2.2140008022288664</c:v>
                </c:pt>
                <c:pt idx="5">
                  <c:v>2.4675704253973803</c:v>
                </c:pt>
                <c:pt idx="6">
                  <c:v>2.6910787233527262</c:v>
                </c:pt>
                <c:pt idx="7">
                  <c:v>2.9015452819097933</c:v>
                </c:pt>
                <c:pt idx="8">
                  <c:v>2.9800323072058199</c:v>
                </c:pt>
                <c:pt idx="9">
                  <c:v>3.0220433209604036</c:v>
                </c:pt>
                <c:pt idx="10">
                  <c:v>3.0411375966654899</c:v>
                </c:pt>
                <c:pt idx="11">
                  <c:v>3.0418329518354144</c:v>
                </c:pt>
                <c:pt idx="12">
                  <c:v>3.1254315408915105</c:v>
                </c:pt>
                <c:pt idx="13">
                  <c:v>2.9967213634976289</c:v>
                </c:pt>
                <c:pt idx="14">
                  <c:v>2.8096659727545483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4A-4224-8388-3CA9B2BF6FF6}"/>
            </c:ext>
          </c:extLst>
        </c:ser>
        <c:ser>
          <c:idx val="7"/>
          <c:order val="7"/>
          <c:tx>
            <c:strRef>
              <c:f>'Figures I'!$A$22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I'!$B$22:$P$22</c:f>
              <c:numCache>
                <c:formatCode>0.00</c:formatCode>
                <c:ptCount val="15"/>
                <c:pt idx="0">
                  <c:v>0.69339399999999995</c:v>
                </c:pt>
                <c:pt idx="1">
                  <c:v>0.68080099999999999</c:v>
                </c:pt>
                <c:pt idx="2">
                  <c:v>0.97677354018999996</c:v>
                </c:pt>
                <c:pt idx="3">
                  <c:v>1.1960503796874999</c:v>
                </c:pt>
                <c:pt idx="4">
                  <c:v>1.3589353636250003</c:v>
                </c:pt>
                <c:pt idx="5">
                  <c:v>1.5527701929375002</c:v>
                </c:pt>
                <c:pt idx="6">
                  <c:v>1.860177363</c:v>
                </c:pt>
                <c:pt idx="7">
                  <c:v>2.1889466963124997</c:v>
                </c:pt>
                <c:pt idx="8">
                  <c:v>2.6189034112499998</c:v>
                </c:pt>
                <c:pt idx="9">
                  <c:v>2.8422273690000006</c:v>
                </c:pt>
                <c:pt idx="10">
                  <c:v>3.0992009549999997</c:v>
                </c:pt>
                <c:pt idx="11">
                  <c:v>3.3625019598749999</c:v>
                </c:pt>
                <c:pt idx="12">
                  <c:v>3.6245109909999988</c:v>
                </c:pt>
                <c:pt idx="13">
                  <c:v>4.1404109690625006</c:v>
                </c:pt>
                <c:pt idx="14">
                  <c:v>4.4261852040000011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4A-4224-8388-3CA9B2BF6FF6}"/>
            </c:ext>
          </c:extLst>
        </c:ser>
        <c:ser>
          <c:idx val="8"/>
          <c:order val="8"/>
          <c:tx>
            <c:strRef>
              <c:f>'Figures I'!$A$23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I'!$B$23:$P$23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0.15296938488660836</c:v>
                </c:pt>
                <c:pt idx="4">
                  <c:v>0.30593876977321671</c:v>
                </c:pt>
                <c:pt idx="5">
                  <c:v>0.61187753954643342</c:v>
                </c:pt>
                <c:pt idx="6">
                  <c:v>1.1472703866495626</c:v>
                </c:pt>
                <c:pt idx="7">
                  <c:v>1.3332479104140729</c:v>
                </c:pt>
                <c:pt idx="8">
                  <c:v>1.304750559320323</c:v>
                </c:pt>
                <c:pt idx="9">
                  <c:v>1.276253208226573</c:v>
                </c:pt>
                <c:pt idx="10">
                  <c:v>1.2477558571328227</c:v>
                </c:pt>
                <c:pt idx="11">
                  <c:v>1.219258506039073</c:v>
                </c:pt>
                <c:pt idx="12">
                  <c:v>1.3608698913660835</c:v>
                </c:pt>
                <c:pt idx="13">
                  <c:v>1.3283014901160834</c:v>
                </c:pt>
                <c:pt idx="14">
                  <c:v>1.4576997249743442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4-45B4-AB33-9AE3F65A8BA8}"/>
            </c:ext>
          </c:extLst>
        </c:ser>
        <c:ser>
          <c:idx val="9"/>
          <c:order val="9"/>
          <c:tx>
            <c:strRef>
              <c:f>'Figures I'!$A$24</c:f>
              <c:strCache>
                <c:ptCount val="1"/>
                <c:pt idx="0">
                  <c:v>Petroleum Projects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I'!$B$24:$P$24</c:f>
              <c:numCache>
                <c:formatCode>0.00</c:formatCode>
                <c:ptCount val="15"/>
                <c:pt idx="0">
                  <c:v>0.15548999999999999</c:v>
                </c:pt>
                <c:pt idx="1">
                  <c:v>0.15689</c:v>
                </c:pt>
                <c:pt idx="2">
                  <c:v>0.16700000000000001</c:v>
                </c:pt>
                <c:pt idx="3">
                  <c:v>0.34149999999999997</c:v>
                </c:pt>
                <c:pt idx="4">
                  <c:v>0.73899999999999999</c:v>
                </c:pt>
                <c:pt idx="5">
                  <c:v>0.86399999999999999</c:v>
                </c:pt>
                <c:pt idx="6">
                  <c:v>1.0089999999999999</c:v>
                </c:pt>
                <c:pt idx="7">
                  <c:v>1.294</c:v>
                </c:pt>
                <c:pt idx="8">
                  <c:v>1.4573333333333331</c:v>
                </c:pt>
                <c:pt idx="9">
                  <c:v>1.7090000000000001</c:v>
                </c:pt>
                <c:pt idx="10">
                  <c:v>1.839</c:v>
                </c:pt>
                <c:pt idx="11">
                  <c:v>1.9689999999999999</c:v>
                </c:pt>
                <c:pt idx="12">
                  <c:v>2.1223333333333332</c:v>
                </c:pt>
                <c:pt idx="13">
                  <c:v>2.2473333333333332</c:v>
                </c:pt>
                <c:pt idx="14">
                  <c:v>2.3723333333333332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4-45B4-AB33-9AE3F65A8BA8}"/>
            </c:ext>
          </c:extLst>
        </c:ser>
        <c:ser>
          <c:idx val="10"/>
          <c:order val="10"/>
          <c:tx>
            <c:strRef>
              <c:f>'Figures I'!$A$25</c:f>
              <c:strCache>
                <c:ptCount val="1"/>
                <c:pt idx="0">
                  <c:v>Infrastructure Credits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I'!$B$14:$P$14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I'!$B$25:$P$25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7.1953298148477479E-2</c:v>
                </c:pt>
                <c:pt idx="4">
                  <c:v>0.16769727652022889</c:v>
                </c:pt>
                <c:pt idx="5">
                  <c:v>0.37598731112504913</c:v>
                </c:pt>
                <c:pt idx="6">
                  <c:v>0.62026223144435721</c:v>
                </c:pt>
                <c:pt idx="7">
                  <c:v>0.88515857138425125</c:v>
                </c:pt>
                <c:pt idx="8">
                  <c:v>1.1724366198624858</c:v>
                </c:pt>
                <c:pt idx="9">
                  <c:v>1.2323482954045053</c:v>
                </c:pt>
                <c:pt idx="10">
                  <c:v>1.2856879352300281</c:v>
                </c:pt>
                <c:pt idx="11">
                  <c:v>1.2044820769613707</c:v>
                </c:pt>
                <c:pt idx="12">
                  <c:v>1.1126467657857917</c:v>
                </c:pt>
                <c:pt idx="13">
                  <c:v>0.87021385395380424</c:v>
                </c:pt>
                <c:pt idx="14">
                  <c:v>0.59885923118067796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5-404B-BDDF-C2ABA4D01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44627144"/>
        <c:axId val="544629888"/>
      </c:barChart>
      <c:catAx>
        <c:axId val="5446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9888"/>
        <c:crosses val="autoZero"/>
        <c:auto val="1"/>
        <c:lblAlgn val="ctr"/>
        <c:lblOffset val="100"/>
        <c:noMultiLvlLbl val="0"/>
      </c:catAx>
      <c:valAx>
        <c:axId val="5446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Credits</a:t>
                </a:r>
                <a:r>
                  <a:rPr lang="en-US" baseline="0"/>
                  <a:t> (MMT)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52231819841"/>
          <c:y val="5.2963671254094298E-2"/>
          <c:w val="0.88191268187090799"/>
          <c:h val="0.83638853130639901"/>
        </c:manualLayout>
      </c:layout>
      <c:lineChart>
        <c:grouping val="standard"/>
        <c:varyColors val="0"/>
        <c:ser>
          <c:idx val="0"/>
          <c:order val="0"/>
          <c:tx>
            <c:strRef>
              <c:f>'Figures II'!$A$3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'Figures II'!$B$2:$M$2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  <c:extLst/>
            </c:numRef>
          </c:cat>
          <c:val>
            <c:numRef>
              <c:f>'Figures II'!$B$3:$M$3</c:f>
              <c:numCache>
                <c:formatCode>_("$"* #,##0_);_("$"* \(#,##0\);_("$"* "-"??_);_(@_)</c:formatCode>
                <c:ptCount val="12"/>
                <c:pt idx="0">
                  <c:v>150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150</c:v>
                </c:pt>
                <c:pt idx="5">
                  <c:v>150</c:v>
                </c:pt>
                <c:pt idx="6">
                  <c:v>100</c:v>
                </c:pt>
                <c:pt idx="7">
                  <c:v>75</c:v>
                </c:pt>
                <c:pt idx="8">
                  <c:v>50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2277-4EAB-AAFE-A9D019E67416}"/>
            </c:ext>
          </c:extLst>
        </c:ser>
        <c:ser>
          <c:idx val="2"/>
          <c:order val="2"/>
          <c:tx>
            <c:strRef>
              <c:f>'Figures II'!$A$4</c:f>
              <c:strCache>
                <c:ptCount val="1"/>
                <c:pt idx="0">
                  <c:v>Proposed Amendments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'Figures II'!$B$2:$M$2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  <c:extLst/>
            </c:numRef>
          </c:cat>
          <c:val>
            <c:numRef>
              <c:f>'Figures II'!$B$4:$M$4</c:f>
              <c:numCache>
                <c:formatCode>_("$"* #,##0_);_("$"* \(#,##0\);_("$"* "-"??_);_(@_)</c:formatCode>
                <c:ptCount val="12"/>
                <c:pt idx="0">
                  <c:v>125</c:v>
                </c:pt>
                <c:pt idx="1">
                  <c:v>125</c:v>
                </c:pt>
                <c:pt idx="2">
                  <c:v>95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110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2277-4EAB-AAFE-A9D019E67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631456"/>
        <c:axId val="4278312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'Figures II'!#REF!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'Figures II'!$B$2:$M$2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'Figures II'!#REF!</c15:sqref>
                        </c15:formulaRef>
                      </c:ext>
                    </c:extLst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277-4EAB-AAFE-A9D019E6741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II'!$A$5</c15:sqref>
                        </c15:formulaRef>
                      </c:ext>
                    </c:extLst>
                    <c:strCache>
                      <c:ptCount val="1"/>
                      <c:pt idx="0">
                        <c:v>25% Low ZEV Low Demand 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II'!$B$2:$M$2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II'!$B$5:$M$5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2"/>
                      <c:pt idx="0">
                        <c:v>150</c:v>
                      </c:pt>
                      <c:pt idx="1">
                        <c:v>150</c:v>
                      </c:pt>
                      <c:pt idx="2">
                        <c:v>150</c:v>
                      </c:pt>
                      <c:pt idx="3">
                        <c:v>200</c:v>
                      </c:pt>
                      <c:pt idx="4">
                        <c:v>200</c:v>
                      </c:pt>
                      <c:pt idx="5">
                        <c:v>150</c:v>
                      </c:pt>
                      <c:pt idx="6">
                        <c:v>125</c:v>
                      </c:pt>
                      <c:pt idx="7">
                        <c:v>125</c:v>
                      </c:pt>
                      <c:pt idx="8">
                        <c:v>125</c:v>
                      </c:pt>
                      <c:pt idx="9">
                        <c:v>150</c:v>
                      </c:pt>
                      <c:pt idx="10">
                        <c:v>150</c:v>
                      </c:pt>
                      <c:pt idx="11">
                        <c:v>165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277-4EAB-AAFE-A9D019E6741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II'!$A$6</c15:sqref>
                        </c15:formulaRef>
                      </c:ext>
                    </c:extLst>
                    <c:strCache>
                      <c:ptCount val="1"/>
                      <c:pt idx="0">
                        <c:v>18% Low ZEV Low Demand 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II'!$B$2:$M$2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II'!$B$6:$M$6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2"/>
                      <c:pt idx="0">
                        <c:v>150</c:v>
                      </c:pt>
                      <c:pt idx="1">
                        <c:v>200</c:v>
                      </c:pt>
                      <c:pt idx="2">
                        <c:v>200</c:v>
                      </c:pt>
                      <c:pt idx="3">
                        <c:v>150</c:v>
                      </c:pt>
                      <c:pt idx="4">
                        <c:v>100</c:v>
                      </c:pt>
                      <c:pt idx="5">
                        <c:v>75</c:v>
                      </c:pt>
                      <c:pt idx="6">
                        <c:v>75</c:v>
                      </c:pt>
                      <c:pt idx="7">
                        <c:v>75</c:v>
                      </c:pt>
                      <c:pt idx="8">
                        <c:v>75</c:v>
                      </c:pt>
                      <c:pt idx="9">
                        <c:v>80</c:v>
                      </c:pt>
                      <c:pt idx="10">
                        <c:v>85</c:v>
                      </c:pt>
                      <c:pt idx="11">
                        <c:v>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277-4EAB-AAFE-A9D019E6741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II'!$A$7</c15:sqref>
                        </c15:formulaRef>
                      </c:ext>
                    </c:extLst>
                    <c:strCache>
                      <c:ptCount val="1"/>
                      <c:pt idx="0">
                        <c:v>High Zev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II'!$B$2:$M$2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II'!$B$7:$M$7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2"/>
                      <c:pt idx="0">
                        <c:v>125</c:v>
                      </c:pt>
                      <c:pt idx="1">
                        <c:v>125</c:v>
                      </c:pt>
                      <c:pt idx="2">
                        <c:v>95</c:v>
                      </c:pt>
                      <c:pt idx="3">
                        <c:v>85</c:v>
                      </c:pt>
                      <c:pt idx="4">
                        <c:v>75</c:v>
                      </c:pt>
                      <c:pt idx="5">
                        <c:v>75</c:v>
                      </c:pt>
                      <c:pt idx="6">
                        <c:v>75</c:v>
                      </c:pt>
                      <c:pt idx="7">
                        <c:v>75</c:v>
                      </c:pt>
                      <c:pt idx="8">
                        <c:v>75</c:v>
                      </c:pt>
                      <c:pt idx="9">
                        <c:v>65</c:v>
                      </c:pt>
                      <c:pt idx="10">
                        <c:v>65</c:v>
                      </c:pt>
                      <c:pt idx="11">
                        <c:v>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277-4EAB-AAFE-A9D019E6741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II'!$A$8</c15:sqref>
                        </c15:formulaRef>
                      </c:ext>
                    </c:extLst>
                    <c:strCache>
                      <c:ptCount val="1"/>
                      <c:pt idx="0">
                        <c:v>High Demand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II'!$B$2:$M$2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II'!$B$8:$M$8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2"/>
                      <c:pt idx="0">
                        <c:v>150</c:v>
                      </c:pt>
                      <c:pt idx="1">
                        <c:v>150</c:v>
                      </c:pt>
                      <c:pt idx="2">
                        <c:v>150</c:v>
                      </c:pt>
                      <c:pt idx="3">
                        <c:v>100</c:v>
                      </c:pt>
                      <c:pt idx="4">
                        <c:v>95</c:v>
                      </c:pt>
                      <c:pt idx="5">
                        <c:v>95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110</c:v>
                      </c:pt>
                      <c:pt idx="9">
                        <c:v>120</c:v>
                      </c:pt>
                      <c:pt idx="10">
                        <c:v>150</c:v>
                      </c:pt>
                      <c:pt idx="11">
                        <c:v>150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277-4EAB-AAFE-A9D019E67416}"/>
                  </c:ext>
                </c:extLst>
              </c15:ser>
            </c15:filteredLineSeries>
          </c:ext>
        </c:extLst>
      </c:lineChart>
      <c:catAx>
        <c:axId val="5446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31240"/>
        <c:crosses val="autoZero"/>
        <c:auto val="1"/>
        <c:lblAlgn val="ctr"/>
        <c:lblOffset val="100"/>
        <c:noMultiLvlLbl val="0"/>
      </c:catAx>
      <c:valAx>
        <c:axId val="42783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$/MT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49310337747299"/>
          <c:y val="9.9706761614610007E-2"/>
          <c:w val="0.51016612612894496"/>
          <c:h val="7.7420336832089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38467827403"/>
          <c:y val="5.5367897194668898E-2"/>
          <c:w val="0.87905299834112505"/>
          <c:h val="0.83816395677813005"/>
        </c:manualLayout>
      </c:layout>
      <c:lineChart>
        <c:grouping val="standard"/>
        <c:varyColors val="0"/>
        <c:ser>
          <c:idx val="0"/>
          <c:order val="0"/>
          <c:tx>
            <c:strRef>
              <c:f>'Figures II'!$A$28</c:f>
              <c:strCache>
                <c:ptCount val="1"/>
                <c:pt idx="0">
                  <c:v>Proposed Amendments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'Figures II'!$B$27:$M$27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'Figures II'!$B$28:$M$28</c:f>
              <c:numCache>
                <c:formatCode>0%</c:formatCode>
                <c:ptCount val="12"/>
                <c:pt idx="0">
                  <c:v>-6.25E-2</c:v>
                </c:pt>
                <c:pt idx="1">
                  <c:v>-7.4999999999999997E-2</c:v>
                </c:pt>
                <c:pt idx="2">
                  <c:v>-8.7499999999999994E-2</c:v>
                </c:pt>
                <c:pt idx="3">
                  <c:v>-0.1</c:v>
                </c:pt>
                <c:pt idx="4">
                  <c:v>-0.1125</c:v>
                </c:pt>
                <c:pt idx="5">
                  <c:v>-0.125</c:v>
                </c:pt>
                <c:pt idx="6">
                  <c:v>-0.13750000000000001</c:v>
                </c:pt>
                <c:pt idx="7">
                  <c:v>-0.15</c:v>
                </c:pt>
                <c:pt idx="8">
                  <c:v>-0.16250000000000001</c:v>
                </c:pt>
                <c:pt idx="9">
                  <c:v>-0.17499999999999999</c:v>
                </c:pt>
                <c:pt idx="10">
                  <c:v>-0.1875</c:v>
                </c:pt>
                <c:pt idx="11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5-4EC4-B783-7FA6E39DE0C6}"/>
            </c:ext>
          </c:extLst>
        </c:ser>
        <c:ser>
          <c:idx val="1"/>
          <c:order val="1"/>
          <c:tx>
            <c:strRef>
              <c:f>'Figures II'!$A$29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'Figures II'!$B$27:$M$27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'Figures II'!$B$29:$M$29</c:f>
              <c:numCache>
                <c:formatCode>0%</c:formatCode>
                <c:ptCount val="12"/>
                <c:pt idx="0">
                  <c:v>-6.6666666666666666E-2</c:v>
                </c:pt>
                <c:pt idx="1">
                  <c:v>-8.3333333333333329E-2</c:v>
                </c:pt>
                <c:pt idx="2">
                  <c:v>-9.9999999999999992E-2</c:v>
                </c:pt>
                <c:pt idx="3">
                  <c:v>-0.11666666666666665</c:v>
                </c:pt>
                <c:pt idx="4">
                  <c:v>-0.13333333333333333</c:v>
                </c:pt>
                <c:pt idx="5">
                  <c:v>-0.15</c:v>
                </c:pt>
                <c:pt idx="6">
                  <c:v>-0.16666666666666666</c:v>
                </c:pt>
                <c:pt idx="7">
                  <c:v>-0.18333333333333332</c:v>
                </c:pt>
                <c:pt idx="8">
                  <c:v>-0.19999999999999998</c:v>
                </c:pt>
                <c:pt idx="9">
                  <c:v>-0.21666666666666665</c:v>
                </c:pt>
                <c:pt idx="10">
                  <c:v>-0.23333333333333331</c:v>
                </c:pt>
                <c:pt idx="11">
                  <c:v>-0.24999999999999997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5-4EC4-B783-7FA6E39DE0C6}"/>
            </c:ext>
          </c:extLst>
        </c:ser>
        <c:ser>
          <c:idx val="2"/>
          <c:order val="2"/>
          <c:tx>
            <c:strRef>
              <c:f>'Figures II'!$A$30</c:f>
              <c:strCache>
                <c:ptCount val="1"/>
                <c:pt idx="0">
                  <c:v>Alternative 2</c:v>
                </c:pt>
              </c:strCache>
            </c:strRef>
          </c:tx>
          <c:spPr>
            <a:ln w="4762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'Figures II'!$B$27:$M$27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'Figures II'!$B$30:$M$30</c:f>
              <c:numCache>
                <c:formatCode>0%</c:formatCode>
                <c:ptCount val="12"/>
                <c:pt idx="0">
                  <c:v>-7.4999999999999997E-2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-0.11</c:v>
                </c:pt>
                <c:pt idx="5">
                  <c:v>-0.12</c:v>
                </c:pt>
                <c:pt idx="6">
                  <c:v>-0.13</c:v>
                </c:pt>
                <c:pt idx="7">
                  <c:v>-0.14000000000000001</c:v>
                </c:pt>
                <c:pt idx="8">
                  <c:v>-0.15000000000000002</c:v>
                </c:pt>
                <c:pt idx="9">
                  <c:v>-0.16000000000000003</c:v>
                </c:pt>
                <c:pt idx="10">
                  <c:v>-0.17000000000000004</c:v>
                </c:pt>
                <c:pt idx="11">
                  <c:v>-0.18000000000000005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5-4EC4-B783-7FA6E39DE0C6}"/>
            </c:ext>
          </c:extLst>
        </c:ser>
        <c:ser>
          <c:idx val="3"/>
          <c:order val="3"/>
          <c:tx>
            <c:strRef>
              <c:f>'Figures II'!$A$31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'Figures II'!$B$27:$M$27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'Figures II'!$B$31:$M$31</c:f>
              <c:numCache>
                <c:formatCode>0%</c:formatCode>
                <c:ptCount val="12"/>
                <c:pt idx="0">
                  <c:v>-7.4999999999999997E-2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5-4EC4-B783-7FA6E39DE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833984"/>
        <c:axId val="427834376"/>
      </c:lineChart>
      <c:catAx>
        <c:axId val="4278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34376"/>
        <c:crosses val="autoZero"/>
        <c:auto val="1"/>
        <c:lblAlgn val="ctr"/>
        <c:lblOffset val="100"/>
        <c:noMultiLvlLbl val="0"/>
      </c:catAx>
      <c:valAx>
        <c:axId val="42783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CI % reduction Target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33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23445519534852"/>
          <c:y val="0.66145386372158022"/>
          <c:w val="0.51431502181918998"/>
          <c:h val="9.6121893854177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4776824421604E-2"/>
          <c:y val="0.24764852728893"/>
          <c:w val="0.86119432380369498"/>
          <c:h val="0.60313103757631104"/>
        </c:manualLayout>
      </c:layout>
      <c:areaChart>
        <c:grouping val="stacked"/>
        <c:varyColors val="0"/>
        <c:ser>
          <c:idx val="6"/>
          <c:order val="0"/>
          <c:tx>
            <c:v>ULSD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Calculations!$D$38:$T$38</c:f>
              <c:numCache>
                <c:formatCode>#,##0</c:formatCode>
                <c:ptCount val="17"/>
                <c:pt idx="0">
                  <c:v>3444</c:v>
                </c:pt>
                <c:pt idx="1">
                  <c:v>3475</c:v>
                </c:pt>
                <c:pt idx="2">
                  <c:v>3381.9825919999998</c:v>
                </c:pt>
                <c:pt idx="3">
                  <c:v>3339.6885360000001</c:v>
                </c:pt>
                <c:pt idx="4">
                  <c:v>3056.454227016678</c:v>
                </c:pt>
                <c:pt idx="5">
                  <c:v>2867.380788686035</c:v>
                </c:pt>
                <c:pt idx="6">
                  <c:v>2687.6689433424003</c:v>
                </c:pt>
                <c:pt idx="7">
                  <c:v>2540.402668974375</c:v>
                </c:pt>
                <c:pt idx="8">
                  <c:v>2392.1642724421949</c:v>
                </c:pt>
                <c:pt idx="9">
                  <c:v>2373.6304155149087</c:v>
                </c:pt>
                <c:pt idx="10">
                  <c:v>2325.6816723190086</c:v>
                </c:pt>
                <c:pt idx="11">
                  <c:v>2294.7032461569675</c:v>
                </c:pt>
                <c:pt idx="12">
                  <c:v>2260.0496367485148</c:v>
                </c:pt>
                <c:pt idx="13">
                  <c:v>2183.9687299288044</c:v>
                </c:pt>
                <c:pt idx="14">
                  <c:v>2113.77516390764</c:v>
                </c:pt>
                <c:pt idx="15">
                  <c:v>2101.3892395055136</c:v>
                </c:pt>
                <c:pt idx="16">
                  <c:v>1996.2663819609279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D-4F5F-A275-3B94849B07CE}"/>
            </c:ext>
          </c:extLst>
        </c:ser>
        <c:ser>
          <c:idx val="0"/>
          <c:order val="1"/>
          <c:tx>
            <c:v>Biodiesel</c:v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Calculations!$D$29:$T$29</c:f>
              <c:numCache>
                <c:formatCode>#,##0</c:formatCode>
                <c:ptCount val="17"/>
                <c:pt idx="0" formatCode="0">
                  <c:v>67</c:v>
                </c:pt>
                <c:pt idx="1">
                  <c:v>126</c:v>
                </c:pt>
                <c:pt idx="2">
                  <c:v>163.34874300000001</c:v>
                </c:pt>
                <c:pt idx="3" formatCode="0">
                  <c:v>171.47918899999999</c:v>
                </c:pt>
                <c:pt idx="4" formatCode="0">
                  <c:v>200</c:v>
                </c:pt>
                <c:pt idx="5" formatCode="0">
                  <c:v>275</c:v>
                </c:pt>
                <c:pt idx="6" formatCode="0">
                  <c:v>350</c:v>
                </c:pt>
                <c:pt idx="7" formatCode="0">
                  <c:v>425</c:v>
                </c:pt>
                <c:pt idx="8" formatCode="0">
                  <c:v>500</c:v>
                </c:pt>
                <c:pt idx="9" formatCode="0">
                  <c:v>500</c:v>
                </c:pt>
                <c:pt idx="10" formatCode="0">
                  <c:v>500</c:v>
                </c:pt>
                <c:pt idx="11" formatCode="0">
                  <c:v>500</c:v>
                </c:pt>
                <c:pt idx="12" formatCode="0">
                  <c:v>500</c:v>
                </c:pt>
                <c:pt idx="13" formatCode="0">
                  <c:v>500</c:v>
                </c:pt>
                <c:pt idx="14" formatCode="0">
                  <c:v>500</c:v>
                </c:pt>
                <c:pt idx="15" formatCode="0">
                  <c:v>500</c:v>
                </c:pt>
                <c:pt idx="16" formatCode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D-4F5F-A275-3B94849B07CE}"/>
            </c:ext>
          </c:extLst>
        </c:ser>
        <c:ser>
          <c:idx val="1"/>
          <c:order val="2"/>
          <c:tx>
            <c:v>Renewable Diesel</c:v>
          </c:tx>
          <c:spPr>
            <a:solidFill>
              <a:srgbClr val="7030A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Calculations!$D$30:$T$30</c:f>
              <c:numCache>
                <c:formatCode>#,##0</c:formatCode>
                <c:ptCount val="17"/>
                <c:pt idx="0" formatCode="0">
                  <c:v>113</c:v>
                </c:pt>
                <c:pt idx="1">
                  <c:v>165</c:v>
                </c:pt>
                <c:pt idx="2">
                  <c:v>255.67115699999999</c:v>
                </c:pt>
                <c:pt idx="3" formatCode="0">
                  <c:v>335.46439400000003</c:v>
                </c:pt>
                <c:pt idx="4" formatCode="0">
                  <c:v>450</c:v>
                </c:pt>
                <c:pt idx="5" formatCode="0">
                  <c:v>550</c:v>
                </c:pt>
                <c:pt idx="6" formatCode="0">
                  <c:v>650</c:v>
                </c:pt>
                <c:pt idx="7" formatCode="0">
                  <c:v>750</c:v>
                </c:pt>
                <c:pt idx="8" formatCode="0">
                  <c:v>850</c:v>
                </c:pt>
                <c:pt idx="9" formatCode="0">
                  <c:v>900</c:v>
                </c:pt>
                <c:pt idx="10" formatCode="0">
                  <c:v>900</c:v>
                </c:pt>
                <c:pt idx="11" formatCode="0">
                  <c:v>900</c:v>
                </c:pt>
                <c:pt idx="12" formatCode="0">
                  <c:v>900</c:v>
                </c:pt>
                <c:pt idx="13" formatCode="0">
                  <c:v>950</c:v>
                </c:pt>
                <c:pt idx="14" formatCode="0">
                  <c:v>1000</c:v>
                </c:pt>
                <c:pt idx="15" formatCode="0">
                  <c:v>1000</c:v>
                </c:pt>
                <c:pt idx="16" formatCode="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D-4F5F-A275-3B94849B07CE}"/>
            </c:ext>
          </c:extLst>
        </c:ser>
        <c:ser>
          <c:idx val="2"/>
          <c:order val="3"/>
          <c:tx>
            <c:v>Conventional Natural Gas</c:v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Calculations!$D$32:$T$32</c:f>
              <c:numCache>
                <c:formatCode>0</c:formatCode>
                <c:ptCount val="17"/>
                <c:pt idx="0">
                  <c:v>97</c:v>
                </c:pt>
                <c:pt idx="1">
                  <c:v>69</c:v>
                </c:pt>
                <c:pt idx="2">
                  <c:v>55.187427</c:v>
                </c:pt>
                <c:pt idx="3">
                  <c:v>51.633831000000001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D-4F5F-A275-3B94849B07CE}"/>
            </c:ext>
          </c:extLst>
        </c:ser>
        <c:ser>
          <c:idx val="3"/>
          <c:order val="4"/>
          <c:tx>
            <c:v>Biomethane</c:v>
          </c:tx>
          <c:spPr>
            <a:solidFill>
              <a:srgbClr val="FF33CC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Calculations!$D$33:$T$33</c:f>
              <c:numCache>
                <c:formatCode>0</c:formatCode>
                <c:ptCount val="17"/>
                <c:pt idx="0">
                  <c:v>29</c:v>
                </c:pt>
                <c:pt idx="1">
                  <c:v>68</c:v>
                </c:pt>
                <c:pt idx="2">
                  <c:v>90.451860999999994</c:v>
                </c:pt>
                <c:pt idx="3">
                  <c:v>106.718328</c:v>
                </c:pt>
                <c:pt idx="4">
                  <c:v>137</c:v>
                </c:pt>
                <c:pt idx="5">
                  <c:v>173.07206068268016</c:v>
                </c:pt>
                <c:pt idx="6">
                  <c:v>192.58570684911132</c:v>
                </c:pt>
                <c:pt idx="7">
                  <c:v>212.6794080464044</c:v>
                </c:pt>
                <c:pt idx="8">
                  <c:v>234.2083736149327</c:v>
                </c:pt>
                <c:pt idx="9">
                  <c:v>255.00855209340375</c:v>
                </c:pt>
                <c:pt idx="10">
                  <c:v>283.88488138618277</c:v>
                </c:pt>
                <c:pt idx="11">
                  <c:v>288.06425224957241</c:v>
                </c:pt>
                <c:pt idx="12">
                  <c:v>294.935673384398</c:v>
                </c:pt>
                <c:pt idx="13">
                  <c:v>301.5839964304306</c:v>
                </c:pt>
                <c:pt idx="14">
                  <c:v>307.39941994496911</c:v>
                </c:pt>
                <c:pt idx="15">
                  <c:v>313.05867479735258</c:v>
                </c:pt>
                <c:pt idx="16">
                  <c:v>319.1864356362014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D-4F5F-A275-3B94849B07CE}"/>
            </c:ext>
          </c:extLst>
        </c:ser>
        <c:ser>
          <c:idx val="4"/>
          <c:order val="5"/>
          <c:tx>
            <c:v>Hydrogen (DGE)</c:v>
          </c:tx>
          <c:spPr>
            <a:solidFill>
              <a:srgbClr val="00B0F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'Intermediate Calculations'!$B$6:$R$6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3.7983005073875593E-2</c:v>
                </c:pt>
                <c:pt idx="5">
                  <c:v>7.0696747347717401E-2</c:v>
                </c:pt>
                <c:pt idx="6">
                  <c:v>0.10801946949579677</c:v>
                </c:pt>
                <c:pt idx="7">
                  <c:v>0.16206386739532885</c:v>
                </c:pt>
                <c:pt idx="8">
                  <c:v>0.24769975897225419</c:v>
                </c:pt>
                <c:pt idx="9">
                  <c:v>0.33761694506817985</c:v>
                </c:pt>
                <c:pt idx="10">
                  <c:v>0.50725013807884145</c:v>
                </c:pt>
                <c:pt idx="11">
                  <c:v>0.71879227758864361</c:v>
                </c:pt>
                <c:pt idx="12">
                  <c:v>1.0001298906714089</c:v>
                </c:pt>
                <c:pt idx="13">
                  <c:v>1.3648001016638454</c:v>
                </c:pt>
                <c:pt idx="14">
                  <c:v>1.8111907337565873</c:v>
                </c:pt>
                <c:pt idx="15">
                  <c:v>2.390823125198275</c:v>
                </c:pt>
                <c:pt idx="16">
                  <c:v>3.1462848521873688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6D-4F5F-A275-3B94849B07CE}"/>
            </c:ext>
          </c:extLst>
        </c:ser>
        <c:ser>
          <c:idx val="5"/>
          <c:order val="6"/>
          <c:tx>
            <c:v>Electricity (DGE)</c:v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Calculations!$D$15:$T$15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'Intermediate Calculations'!$B$5:$R$5</c:f>
              <c:numCache>
                <c:formatCode>0.0</c:formatCode>
                <c:ptCount val="17"/>
                <c:pt idx="0">
                  <c:v>0</c:v>
                </c:pt>
                <c:pt idx="1">
                  <c:v>32.126124786197664</c:v>
                </c:pt>
                <c:pt idx="2">
                  <c:v>32.950829479735262</c:v>
                </c:pt>
                <c:pt idx="3">
                  <c:v>37.85743741905258</c:v>
                </c:pt>
                <c:pt idx="4">
                  <c:v>38.080245704240554</c:v>
                </c:pt>
                <c:pt idx="5">
                  <c:v>38.390546506962409</c:v>
                </c:pt>
                <c:pt idx="6">
                  <c:v>38.841137830468519</c:v>
                </c:pt>
                <c:pt idx="7">
                  <c:v>39.358514793443398</c:v>
                </c:pt>
                <c:pt idx="8">
                  <c:v>40.40683112996939</c:v>
                </c:pt>
                <c:pt idx="9">
                  <c:v>41.712792181083351</c:v>
                </c:pt>
                <c:pt idx="10">
                  <c:v>44.186863117429915</c:v>
                </c:pt>
                <c:pt idx="11">
                  <c:v>47.185927737360331</c:v>
                </c:pt>
                <c:pt idx="12">
                  <c:v>50.737505502046034</c:v>
                </c:pt>
                <c:pt idx="13">
                  <c:v>54.493617296792209</c:v>
                </c:pt>
                <c:pt idx="14">
                  <c:v>58.044305977880015</c:v>
                </c:pt>
                <c:pt idx="15">
                  <c:v>61.602077359238336</c:v>
                </c:pt>
                <c:pt idx="16">
                  <c:v>65.228377597215527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6D-4F5F-A275-3B94849B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36336"/>
        <c:axId val="427836728"/>
      </c:areaChart>
      <c:catAx>
        <c:axId val="42783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836728"/>
        <c:crosses val="autoZero"/>
        <c:auto val="1"/>
        <c:lblAlgn val="ctr"/>
        <c:lblOffset val="100"/>
        <c:noMultiLvlLbl val="0"/>
      </c:catAx>
      <c:valAx>
        <c:axId val="427836728"/>
        <c:scaling>
          <c:orientation val="minMax"/>
          <c:max val="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4278363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6488772236803693E-2"/>
          <c:y val="1.5757679015073502E-2"/>
          <c:w val="0.8832072944007"/>
          <c:h val="0.1893220877044579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23518814646901"/>
          <c:y val="5.1400554097404502E-2"/>
          <c:w val="0.79836744057378395"/>
          <c:h val="0.79523549139690897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'Intermediate Calculations'!$B$2:$R$2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'Intermediate Calculations'!$B$9:$I$9</c:f>
              <c:numCache>
                <c:formatCode>0.00%</c:formatCode>
                <c:ptCount val="8"/>
                <c:pt idx="0">
                  <c:v>-0.01</c:v>
                </c:pt>
                <c:pt idx="1">
                  <c:v>-0.01</c:v>
                </c:pt>
                <c:pt idx="2">
                  <c:v>-0.02</c:v>
                </c:pt>
                <c:pt idx="3">
                  <c:v>-3.5000000000000003E-2</c:v>
                </c:pt>
                <c:pt idx="4">
                  <c:v>-0.05</c:v>
                </c:pt>
                <c:pt idx="5">
                  <c:v>-6.25E-2</c:v>
                </c:pt>
                <c:pt idx="6">
                  <c:v>-7.4999999999999997E-2</c:v>
                </c:pt>
                <c:pt idx="7">
                  <c:v>-8.7499999999999994E-2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3-41D5-AE8C-9675524796F6}"/>
            </c:ext>
          </c:extLst>
        </c:ser>
        <c:ser>
          <c:idx val="1"/>
          <c:order val="1"/>
          <c:tx>
            <c:v>Proposed Target</c:v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'Intermediate Calculations'!$B$2:$R$2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('Intermediate Calculations'!$B$1:$H$1,'Intermediate Calculations'!$I$9:$R$9)</c:f>
              <c:numCache>
                <c:formatCode>General</c:formatCode>
                <c:ptCount val="17"/>
                <c:pt idx="7" formatCode="0.00%">
                  <c:v>-8.7499999999999994E-2</c:v>
                </c:pt>
                <c:pt idx="8" formatCode="0.00%">
                  <c:v>-0.1</c:v>
                </c:pt>
                <c:pt idx="9" formatCode="0.00%">
                  <c:v>-0.1125</c:v>
                </c:pt>
                <c:pt idx="10" formatCode="0.00%">
                  <c:v>-0.125</c:v>
                </c:pt>
                <c:pt idx="11" formatCode="0.00%">
                  <c:v>-0.13750000000000001</c:v>
                </c:pt>
                <c:pt idx="12" formatCode="0.00%">
                  <c:v>-0.15</c:v>
                </c:pt>
                <c:pt idx="13" formatCode="0.00%">
                  <c:v>-0.16250000000000001</c:v>
                </c:pt>
                <c:pt idx="14" formatCode="0.00%">
                  <c:v>-0.17499999999999999</c:v>
                </c:pt>
                <c:pt idx="15" formatCode="0.00%">
                  <c:v>-0.1875</c:v>
                </c:pt>
                <c:pt idx="16" formatCode="0.00%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3-41D5-AE8C-967552479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837120"/>
        <c:axId val="427838296"/>
      </c:lineChart>
      <c:catAx>
        <c:axId val="427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838296"/>
        <c:crossesAt val="-0.3"/>
        <c:auto val="1"/>
        <c:lblAlgn val="ctr"/>
        <c:lblOffset val="100"/>
        <c:noMultiLvlLbl val="0"/>
      </c:catAx>
      <c:valAx>
        <c:axId val="4278382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427837120"/>
        <c:crosses val="autoZero"/>
        <c:crossBetween val="midCat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6517417970568598"/>
          <c:y val="0.101467993584135"/>
          <c:w val="0.45599120161393702"/>
          <c:h val="0.20060950714494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3804978923099"/>
          <c:y val="6.5289442986293397E-2"/>
          <c:w val="0.79697102256157404"/>
          <c:h val="0.79523549139690897"/>
        </c:manualLayout>
      </c:layout>
      <c:areaChart>
        <c:grouping val="standard"/>
        <c:varyColors val="0"/>
        <c:ser>
          <c:idx val="0"/>
          <c:order val="0"/>
          <c:tx>
            <c:v>Credit Bank</c:v>
          </c:tx>
          <c:spPr>
            <a:solidFill>
              <a:srgbClr val="00B0F0"/>
            </a:solidFill>
          </c:spPr>
          <c:cat>
            <c:numRef>
              <c:f>'Intermediate Calculations'!$B$2:$R$2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'Intermediate Calculations'!$B$11:$R$11</c:f>
              <c:numCache>
                <c:formatCode>0.0</c:formatCode>
                <c:ptCount val="17"/>
                <c:pt idx="0" formatCode="0.00">
                  <c:v>0</c:v>
                </c:pt>
                <c:pt idx="1">
                  <c:v>7.2574990000000001</c:v>
                </c:pt>
                <c:pt idx="2">
                  <c:v>9.8687830000000005</c:v>
                </c:pt>
                <c:pt idx="3">
                  <c:v>9.9240479161069519</c:v>
                </c:pt>
                <c:pt idx="4">
                  <c:v>9.653098479108424</c:v>
                </c:pt>
                <c:pt idx="5">
                  <c:v>8.692360870462247</c:v>
                </c:pt>
                <c:pt idx="6">
                  <c:v>7.5257541279471383</c:v>
                </c:pt>
                <c:pt idx="7">
                  <c:v>6.7898694069033176</c:v>
                </c:pt>
                <c:pt idx="8">
                  <c:v>7.0398479678025403</c:v>
                </c:pt>
                <c:pt idx="9">
                  <c:v>7.4377807956850006</c:v>
                </c:pt>
                <c:pt idx="10">
                  <c:v>7.7317248826979039</c:v>
                </c:pt>
                <c:pt idx="11">
                  <c:v>7.7219949768473626</c:v>
                </c:pt>
                <c:pt idx="12">
                  <c:v>7.4480784146303485</c:v>
                </c:pt>
                <c:pt idx="13">
                  <c:v>7.1718535817229885</c:v>
                </c:pt>
                <c:pt idx="14">
                  <c:v>7.1626224232036435</c:v>
                </c:pt>
                <c:pt idx="15">
                  <c:v>6.518973911781373</c:v>
                </c:pt>
                <c:pt idx="16">
                  <c:v>5.9615143219736737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F-401C-B98E-EAC51BFF2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37512"/>
        <c:axId val="427831632"/>
      </c:areaChart>
      <c:barChart>
        <c:barDir val="col"/>
        <c:grouping val="clustered"/>
        <c:varyColors val="0"/>
        <c:ser>
          <c:idx val="1"/>
          <c:order val="1"/>
          <c:tx>
            <c:v>Net Credits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val>
            <c:numRef>
              <c:f>'Intermediate Calculations'!$B$10:$R$10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2.8449780000000002</c:v>
                </c:pt>
                <c:pt idx="2">
                  <c:v>2.6112839999999995</c:v>
                </c:pt>
                <c:pt idx="3">
                  <c:v>5.5264916106951389E-2</c:v>
                </c:pt>
                <c:pt idx="4">
                  <c:v>-0.27094943699852791</c:v>
                </c:pt>
                <c:pt idx="5">
                  <c:v>-0.96073760864617697</c:v>
                </c:pt>
                <c:pt idx="6">
                  <c:v>-1.1666067425151088</c:v>
                </c:pt>
                <c:pt idx="7">
                  <c:v>-0.73588472104382063</c:v>
                </c:pt>
                <c:pt idx="8">
                  <c:v>0.24997856089922266</c:v>
                </c:pt>
                <c:pt idx="9">
                  <c:v>0.39793282788246032</c:v>
                </c:pt>
                <c:pt idx="10">
                  <c:v>0.29394408701290331</c:v>
                </c:pt>
                <c:pt idx="11">
                  <c:v>-9.7299058505413427E-3</c:v>
                </c:pt>
                <c:pt idx="12">
                  <c:v>-0.2739165622170141</c:v>
                </c:pt>
                <c:pt idx="13">
                  <c:v>-0.27622483290736</c:v>
                </c:pt>
                <c:pt idx="14">
                  <c:v>-9.231158519344973E-3</c:v>
                </c:pt>
                <c:pt idx="15">
                  <c:v>-0.64364851142227053</c:v>
                </c:pt>
                <c:pt idx="16">
                  <c:v>-0.55745958980769927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F-401C-B98E-EAC51BFF2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27837512"/>
        <c:axId val="427831632"/>
      </c:barChart>
      <c:catAx>
        <c:axId val="42783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427831632"/>
        <c:crossesAt val="0"/>
        <c:auto val="1"/>
        <c:lblAlgn val="ctr"/>
        <c:lblOffset val="100"/>
        <c:noMultiLvlLbl val="0"/>
      </c:catAx>
      <c:valAx>
        <c:axId val="427831632"/>
        <c:scaling>
          <c:orientation val="minMax"/>
          <c:max val="25"/>
          <c:min val="-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Credits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278375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176465441819801"/>
          <c:y val="0.101467993584135"/>
          <c:w val="0.21536944245605699"/>
          <c:h val="0.167434383202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'GHG Calculations'!$A$32</c:f>
              <c:strCache>
                <c:ptCount val="1"/>
                <c:pt idx="0">
                  <c:v>Proposed Amendments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'GHG Calculations'!$B$29:$M$29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Calculations'!$B$32:$M$32</c:f>
              <c:numCache>
                <c:formatCode>0.0</c:formatCode>
                <c:ptCount val="12"/>
                <c:pt idx="0">
                  <c:v>0.39024275088689908</c:v>
                </c:pt>
                <c:pt idx="1">
                  <c:v>0.62509190925846791</c:v>
                </c:pt>
                <c:pt idx="2">
                  <c:v>1.2398124198691614</c:v>
                </c:pt>
                <c:pt idx="3">
                  <c:v>2.3501837966035204</c:v>
                </c:pt>
                <c:pt idx="4">
                  <c:v>2.9291624377644538</c:v>
                </c:pt>
                <c:pt idx="5">
                  <c:v>3.4771590402954349</c:v>
                </c:pt>
                <c:pt idx="6">
                  <c:v>4.9059133163067257</c:v>
                </c:pt>
                <c:pt idx="7">
                  <c:v>6.3279432878906645</c:v>
                </c:pt>
                <c:pt idx="8">
                  <c:v>7.9353074047022822</c:v>
                </c:pt>
                <c:pt idx="9">
                  <c:v>9.7539946732524925</c:v>
                </c:pt>
                <c:pt idx="10">
                  <c:v>10.765169699220793</c:v>
                </c:pt>
                <c:pt idx="11">
                  <c:v>11.924111186374034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7-4A7F-846C-252BB5784E1C}"/>
            </c:ext>
          </c:extLst>
        </c:ser>
        <c:ser>
          <c:idx val="0"/>
          <c:order val="1"/>
          <c:tx>
            <c:strRef>
              <c:f>'GHG Calculations'!$A$30</c:f>
              <c:strCache>
                <c:ptCount val="1"/>
                <c:pt idx="0">
                  <c:v>Alternative 1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'GHG Calculations'!$B$29:$M$29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'GHG Calculations'!$B$30:$M$30</c:f>
              <c:numCache>
                <c:formatCode>0.0</c:formatCode>
                <c:ptCount val="12"/>
                <c:pt idx="0">
                  <c:v>0.69961775088689837</c:v>
                </c:pt>
                <c:pt idx="1">
                  <c:v>1.3438419092584679</c:v>
                </c:pt>
                <c:pt idx="2">
                  <c:v>2.6203187288871144</c:v>
                </c:pt>
                <c:pt idx="3">
                  <c:v>4.0652551078917281</c:v>
                </c:pt>
                <c:pt idx="4">
                  <c:v>5.6092765789157131</c:v>
                </c:pt>
                <c:pt idx="5">
                  <c:v>7.2804951670255509</c:v>
                </c:pt>
                <c:pt idx="6">
                  <c:v>9.3931262316789912</c:v>
                </c:pt>
                <c:pt idx="7">
                  <c:v>11.309618431001258</c:v>
                </c:pt>
                <c:pt idx="8">
                  <c:v>12.610527992246293</c:v>
                </c:pt>
                <c:pt idx="9">
                  <c:v>14.919248880375196</c:v>
                </c:pt>
                <c:pt idx="10">
                  <c:v>16.650210250061793</c:v>
                </c:pt>
                <c:pt idx="11">
                  <c:v>18.081419710652224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D87-4A7F-846C-252BB5784E1C}"/>
            </c:ext>
          </c:extLst>
        </c:ser>
        <c:ser>
          <c:idx val="1"/>
          <c:order val="2"/>
          <c:tx>
            <c:strRef>
              <c:f>'GHG Calculations'!$A$31</c:f>
              <c:strCache>
                <c:ptCount val="1"/>
                <c:pt idx="0">
                  <c:v>Alternative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'GHG Calculations'!$B$29:$M$29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Calculations'!$B$31:$M$31</c:f>
              <c:numCache>
                <c:formatCode>0.0</c:formatCode>
                <c:ptCount val="12"/>
                <c:pt idx="0">
                  <c:v>0.44836775088689906</c:v>
                </c:pt>
                <c:pt idx="1">
                  <c:v>0.84134190925846841</c:v>
                </c:pt>
                <c:pt idx="2">
                  <c:v>1.9648493440005064</c:v>
                </c:pt>
                <c:pt idx="3">
                  <c:v>3.5327551078917274</c:v>
                </c:pt>
                <c:pt idx="4">
                  <c:v>3.548394686783741</c:v>
                </c:pt>
                <c:pt idx="5">
                  <c:v>3.498904317810025</c:v>
                </c:pt>
                <c:pt idx="6">
                  <c:v>4.5759569812730314</c:v>
                </c:pt>
                <c:pt idx="7">
                  <c:v>5.9733541899766456</c:v>
                </c:pt>
                <c:pt idx="8">
                  <c:v>7.4332696535542411</c:v>
                </c:pt>
                <c:pt idx="9">
                  <c:v>8.6941583106585547</c:v>
                </c:pt>
                <c:pt idx="10">
                  <c:v>9.8903240603922473</c:v>
                </c:pt>
                <c:pt idx="11">
                  <c:v>10.223339792050274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7-4A7F-846C-252BB578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629496"/>
        <c:axId val="544630280"/>
        <c:extLst/>
      </c:barChart>
      <c:catAx>
        <c:axId val="54462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0280"/>
        <c:crosses val="autoZero"/>
        <c:auto val="1"/>
        <c:lblAlgn val="ctr"/>
        <c:lblOffset val="100"/>
        <c:noMultiLvlLbl val="0"/>
      </c:catAx>
      <c:valAx>
        <c:axId val="54463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MMT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'GHG Calculations'!$A$20</c:f>
              <c:strCache>
                <c:ptCount val="1"/>
                <c:pt idx="0">
                  <c:v>Proposed Amendments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'GHG Calculations'!$B$19:$M$19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Calculations'!$B$20:$M$20</c:f>
              <c:numCache>
                <c:formatCode>0.0</c:formatCode>
                <c:ptCount val="12"/>
                <c:pt idx="0">
                  <c:v>3.8688853973744166</c:v>
                </c:pt>
                <c:pt idx="1">
                  <c:v>5.039525896549879</c:v>
                </c:pt>
                <c:pt idx="2">
                  <c:v>6.5148704860154396</c:v>
                </c:pt>
                <c:pt idx="3">
                  <c:v>8.3565533885051941</c:v>
                </c:pt>
                <c:pt idx="4">
                  <c:v>9.5801513642074578</c:v>
                </c:pt>
                <c:pt idx="5">
                  <c:v>10.437478664638689</c:v>
                </c:pt>
                <c:pt idx="6">
                  <c:v>11.288712414951391</c:v>
                </c:pt>
                <c:pt idx="7">
                  <c:v>12.018752660693675</c:v>
                </c:pt>
                <c:pt idx="8">
                  <c:v>12.885160798080573</c:v>
                </c:pt>
                <c:pt idx="9">
                  <c:v>14.07593275831249</c:v>
                </c:pt>
                <c:pt idx="10">
                  <c:v>14.911871564325969</c:v>
                </c:pt>
                <c:pt idx="11">
                  <c:v>15.891946527960407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F-47FB-8A1D-CD9892CD8F52}"/>
            </c:ext>
          </c:extLst>
        </c:ser>
        <c:ser>
          <c:idx val="1"/>
          <c:order val="1"/>
          <c:tx>
            <c:strRef>
              <c:f>'GHG Calculations'!$A$21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'GHG Calculations'!$B$19:$M$19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Calculations'!$B$21:$M$21</c:f>
              <c:numCache>
                <c:formatCode>0.0</c:formatCode>
                <c:ptCount val="12"/>
                <c:pt idx="0">
                  <c:v>3.4786426464875175</c:v>
                </c:pt>
                <c:pt idx="1">
                  <c:v>4.4144339872914111</c:v>
                </c:pt>
                <c:pt idx="2">
                  <c:v>5.2750580661462783</c:v>
                </c:pt>
                <c:pt idx="3">
                  <c:v>6.0063695919016737</c:v>
                </c:pt>
                <c:pt idx="4">
                  <c:v>6.650988926443004</c:v>
                </c:pt>
                <c:pt idx="5">
                  <c:v>6.9603196243432546</c:v>
                </c:pt>
                <c:pt idx="6">
                  <c:v>6.3827990986446652</c:v>
                </c:pt>
                <c:pt idx="7">
                  <c:v>5.6908093728030105</c:v>
                </c:pt>
                <c:pt idx="8">
                  <c:v>4.9498533933782909</c:v>
                </c:pt>
                <c:pt idx="9">
                  <c:v>4.3219380850599984</c:v>
                </c:pt>
                <c:pt idx="10">
                  <c:v>4.1467018651051752</c:v>
                </c:pt>
                <c:pt idx="11">
                  <c:v>3.9678353415863721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F-47FB-8A1D-CD9892CD8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624792"/>
        <c:axId val="544627536"/>
      </c:barChart>
      <c:catAx>
        <c:axId val="54462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7536"/>
        <c:crosses val="autoZero"/>
        <c:auto val="1"/>
        <c:lblAlgn val="ctr"/>
        <c:lblOffset val="100"/>
        <c:noMultiLvlLbl val="0"/>
      </c:catAx>
      <c:valAx>
        <c:axId val="54462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MMT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'GHG Calculations'!$P$20</c:f>
              <c:strCache>
                <c:ptCount val="1"/>
                <c:pt idx="0">
                  <c:v>Proposed Amendments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'GHG Calculations'!$Q$19:$AB$19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Calculations'!$Q$20:$AB$20</c:f>
              <c:numCache>
                <c:formatCode>0.0</c:formatCode>
                <c:ptCount val="12"/>
                <c:pt idx="0">
                  <c:v>13.429922021049318</c:v>
                </c:pt>
                <c:pt idx="1">
                  <c:v>15.603120909507782</c:v>
                </c:pt>
                <c:pt idx="2">
                  <c:v>18.063480835208637</c:v>
                </c:pt>
                <c:pt idx="3">
                  <c:v>20.92538627571113</c:v>
                </c:pt>
                <c:pt idx="4">
                  <c:v>22.52689711248874</c:v>
                </c:pt>
                <c:pt idx="5">
                  <c:v>23.742676484262617</c:v>
                </c:pt>
                <c:pt idx="6">
                  <c:v>24.637236002239561</c:v>
                </c:pt>
                <c:pt idx="7">
                  <c:v>25.439842142383547</c:v>
                </c:pt>
                <c:pt idx="8">
                  <c:v>26.490043544011989</c:v>
                </c:pt>
                <c:pt idx="9">
                  <c:v>27.806937986125444</c:v>
                </c:pt>
                <c:pt idx="10">
                  <c:v>28.363479953704537</c:v>
                </c:pt>
                <c:pt idx="11">
                  <c:v>29.385501969226198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9-44CE-9487-BC24AE8B3CED}"/>
            </c:ext>
          </c:extLst>
        </c:ser>
        <c:ser>
          <c:idx val="1"/>
          <c:order val="1"/>
          <c:tx>
            <c:strRef>
              <c:f>'GHG Calculations'!$P$21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'GHG Calculations'!$Q$19:$AB$19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Calculations'!$Q$21:$AB$21</c:f>
              <c:numCache>
                <c:formatCode>0.0</c:formatCode>
                <c:ptCount val="12"/>
                <c:pt idx="0">
                  <c:v>12.626741715263716</c:v>
                </c:pt>
                <c:pt idx="1">
                  <c:v>14.08241392883663</c:v>
                </c:pt>
                <c:pt idx="2">
                  <c:v>16.19769412418367</c:v>
                </c:pt>
                <c:pt idx="3">
                  <c:v>18.232706271859872</c:v>
                </c:pt>
                <c:pt idx="4">
                  <c:v>19.813800032096424</c:v>
                </c:pt>
                <c:pt idx="5">
                  <c:v>21.161105024573359</c:v>
                </c:pt>
                <c:pt idx="6">
                  <c:v>20.307867997915142</c:v>
                </c:pt>
                <c:pt idx="7">
                  <c:v>19.2227065619252</c:v>
                </c:pt>
                <c:pt idx="8">
                  <c:v>17.977601459590769</c:v>
                </c:pt>
                <c:pt idx="9">
                  <c:v>16.982657240463329</c:v>
                </c:pt>
                <c:pt idx="10">
                  <c:v>16.8349988743369</c:v>
                </c:pt>
                <c:pt idx="11">
                  <c:v>16.659491469972156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9-44CE-9487-BC24AE8B3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625184"/>
        <c:axId val="544625576"/>
      </c:barChart>
      <c:catAx>
        <c:axId val="5446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5576"/>
        <c:crosses val="autoZero"/>
        <c:auto val="1"/>
        <c:lblAlgn val="ctr"/>
        <c:lblOffset val="100"/>
        <c:noMultiLvlLbl val="0"/>
      </c:catAx>
      <c:valAx>
        <c:axId val="54462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'GHG Calculations'!$A$53</c:f>
              <c:strCache>
                <c:ptCount val="1"/>
                <c:pt idx="0">
                  <c:v>Proposed Amendments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'GHG Calculations'!$B$52:$M$52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Calculations'!$B$53:$M$53</c:f>
              <c:numCache>
                <c:formatCode>0.0</c:formatCode>
                <c:ptCount val="12"/>
                <c:pt idx="0">
                  <c:v>3.8688853973744166</c:v>
                </c:pt>
                <c:pt idx="1">
                  <c:v>5.039525896549879</c:v>
                </c:pt>
                <c:pt idx="2">
                  <c:v>6.5148704860154396</c:v>
                </c:pt>
                <c:pt idx="3">
                  <c:v>8.3565533885051941</c:v>
                </c:pt>
                <c:pt idx="4">
                  <c:v>9.5801513642074578</c:v>
                </c:pt>
                <c:pt idx="5">
                  <c:v>10.437478664638689</c:v>
                </c:pt>
                <c:pt idx="6">
                  <c:v>11.288712414951391</c:v>
                </c:pt>
                <c:pt idx="7">
                  <c:v>12.018752660693675</c:v>
                </c:pt>
                <c:pt idx="8">
                  <c:v>12.885160798080573</c:v>
                </c:pt>
                <c:pt idx="9">
                  <c:v>14.07593275831249</c:v>
                </c:pt>
                <c:pt idx="10">
                  <c:v>14.911871564325969</c:v>
                </c:pt>
                <c:pt idx="11">
                  <c:v>15.891946527960407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2-4270-85A0-20015D45C1C4}"/>
            </c:ext>
          </c:extLst>
        </c:ser>
        <c:ser>
          <c:idx val="1"/>
          <c:order val="1"/>
          <c:tx>
            <c:strRef>
              <c:f>'GHG Calculations'!$A$54</c:f>
              <c:strCache>
                <c:ptCount val="1"/>
                <c:pt idx="0">
                  <c:v>Business As Usual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'GHG Calculations'!$B$52:$M$52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Calculations'!$B$54:$M$54</c:f>
              <c:numCache>
                <c:formatCode>0.0</c:formatCode>
                <c:ptCount val="12"/>
                <c:pt idx="0">
                  <c:v>3.4786426464875175</c:v>
                </c:pt>
                <c:pt idx="1">
                  <c:v>4.4144339872914111</c:v>
                </c:pt>
                <c:pt idx="2">
                  <c:v>5.2750580661462783</c:v>
                </c:pt>
                <c:pt idx="3">
                  <c:v>6.0063695919016737</c:v>
                </c:pt>
                <c:pt idx="4">
                  <c:v>6.650988926443004</c:v>
                </c:pt>
                <c:pt idx="5">
                  <c:v>6.9603196243432546</c:v>
                </c:pt>
                <c:pt idx="6">
                  <c:v>6.3827990986446652</c:v>
                </c:pt>
                <c:pt idx="7">
                  <c:v>5.6908093728030105</c:v>
                </c:pt>
                <c:pt idx="8">
                  <c:v>4.9498533933782909</c:v>
                </c:pt>
                <c:pt idx="9">
                  <c:v>4.3219380850599984</c:v>
                </c:pt>
                <c:pt idx="10">
                  <c:v>4.1467018651051752</c:v>
                </c:pt>
                <c:pt idx="11">
                  <c:v>3.9678353415863721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2-4270-85A0-20015D45C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4628320"/>
        <c:axId val="544628712"/>
      </c:barChart>
      <c:lineChart>
        <c:grouping val="standard"/>
        <c:varyColors val="0"/>
        <c:ser>
          <c:idx val="2"/>
          <c:order val="2"/>
          <c:tx>
            <c:strRef>
              <c:f>'GHG Calculations'!$A$55</c:f>
              <c:strCache>
                <c:ptCount val="1"/>
                <c:pt idx="0">
                  <c:v>Current Conditions Baseline (2016)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'GHG Calculations'!$B$52:$M$52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'GHG Calculations'!$B$55:$M$55</c:f>
              <c:numCache>
                <c:formatCode>0.0</c:formatCode>
                <c:ptCount val="12"/>
                <c:pt idx="0">
                  <c:v>2.3525756930338551</c:v>
                </c:pt>
                <c:pt idx="1">
                  <c:v>2.3525756930338551</c:v>
                </c:pt>
                <c:pt idx="2">
                  <c:v>2.3525756930338551</c:v>
                </c:pt>
                <c:pt idx="3">
                  <c:v>2.3525756930338551</c:v>
                </c:pt>
                <c:pt idx="4">
                  <c:v>2.3525756930338551</c:v>
                </c:pt>
                <c:pt idx="5">
                  <c:v>2.3525756930338551</c:v>
                </c:pt>
                <c:pt idx="6">
                  <c:v>2.3525756930338551</c:v>
                </c:pt>
                <c:pt idx="7">
                  <c:v>2.3525756930338551</c:v>
                </c:pt>
                <c:pt idx="8">
                  <c:v>2.3525756930338551</c:v>
                </c:pt>
                <c:pt idx="9">
                  <c:v>2.3525756930338551</c:v>
                </c:pt>
                <c:pt idx="10">
                  <c:v>2.3525756930338551</c:v>
                </c:pt>
                <c:pt idx="11">
                  <c:v>2.3525756930338551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52-4270-85A0-20015D45C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628320"/>
        <c:axId val="544628712"/>
      </c:lineChart>
      <c:catAx>
        <c:axId val="5446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8712"/>
        <c:crosses val="autoZero"/>
        <c:auto val="1"/>
        <c:lblAlgn val="ctr"/>
        <c:lblOffset val="100"/>
        <c:noMultiLvlLbl val="0"/>
      </c:catAx>
      <c:valAx>
        <c:axId val="54462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GHG Emission Reductions (MMT CO2e)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I'!$A$3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I'!$B$3:$P$3</c:f>
              <c:numCache>
                <c:formatCode>0</c:formatCode>
                <c:ptCount val="15"/>
                <c:pt idx="0">
                  <c:v>3.0075110075110075E-3</c:v>
                </c:pt>
                <c:pt idx="1">
                  <c:v>0.27785029785029786</c:v>
                </c:pt>
                <c:pt idx="2">
                  <c:v>0.79440095893920959</c:v>
                </c:pt>
                <c:pt idx="3">
                  <c:v>1.4777253571745246</c:v>
                </c:pt>
                <c:pt idx="4">
                  <c:v>2.6080712817739387</c:v>
                </c:pt>
                <c:pt idx="5">
                  <c:v>4.2086555129353327</c:v>
                </c:pt>
                <c:pt idx="6">
                  <c:v>6.6624587650452325</c:v>
                </c:pt>
                <c:pt idx="7">
                  <c:v>9.9942480845224466</c:v>
                </c:pt>
                <c:pt idx="8">
                  <c:v>14.003271227826094</c:v>
                </c:pt>
                <c:pt idx="9">
                  <c:v>18.649150478638298</c:v>
                </c:pt>
                <c:pt idx="10">
                  <c:v>23.682331117918331</c:v>
                </c:pt>
                <c:pt idx="11">
                  <c:v>28.823920280484622</c:v>
                </c:pt>
                <c:pt idx="12">
                  <c:v>34.071820663342137</c:v>
                </c:pt>
                <c:pt idx="13">
                  <c:v>39.493057084357716</c:v>
                </c:pt>
                <c:pt idx="14">
                  <c:v>45.143032307417606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0-4AAE-8AC1-D8BE948AB14B}"/>
            </c:ext>
          </c:extLst>
        </c:ser>
        <c:ser>
          <c:idx val="1"/>
          <c:order val="1"/>
          <c:tx>
            <c:strRef>
              <c:f>'Figures I'!$A$4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I'!$B$4:$P$4</c:f>
              <c:numCache>
                <c:formatCode>0</c:formatCode>
                <c:ptCount val="15"/>
                <c:pt idx="0">
                  <c:v>60.327741144251007</c:v>
                </c:pt>
                <c:pt idx="1">
                  <c:v>75.70654474991656</c:v>
                </c:pt>
                <c:pt idx="2">
                  <c:v>81.306672412203071</c:v>
                </c:pt>
                <c:pt idx="3">
                  <c:v>86.569329650057696</c:v>
                </c:pt>
                <c:pt idx="4">
                  <c:v>93.662062861576118</c:v>
                </c:pt>
                <c:pt idx="5">
                  <c:v>102.5138873681929</c:v>
                </c:pt>
                <c:pt idx="6">
                  <c:v>112.93016826130344</c:v>
                </c:pt>
                <c:pt idx="7">
                  <c:v>124.3995229605878</c:v>
                </c:pt>
                <c:pt idx="8">
                  <c:v>138.16220571777978</c:v>
                </c:pt>
                <c:pt idx="9">
                  <c:v>153.42326496917136</c:v>
                </c:pt>
                <c:pt idx="10">
                  <c:v>169.76770115569767</c:v>
                </c:pt>
                <c:pt idx="11">
                  <c:v>186.34958616783621</c:v>
                </c:pt>
                <c:pt idx="12">
                  <c:v>202.69299019430517</c:v>
                </c:pt>
                <c:pt idx="13">
                  <c:v>219.04461671001422</c:v>
                </c:pt>
                <c:pt idx="14">
                  <c:v>235.47580014111716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0-4AAE-8AC1-D8BE948AB14B}"/>
            </c:ext>
          </c:extLst>
        </c:ser>
        <c:ser>
          <c:idx val="2"/>
          <c:order val="2"/>
          <c:tx>
            <c:strRef>
              <c:f>'Figures I'!$A$5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I'!$B$5:$P$5</c:f>
              <c:numCache>
                <c:formatCode>0</c:formatCode>
                <c:ptCount val="15"/>
                <c:pt idx="0">
                  <c:v>286.17599503626008</c:v>
                </c:pt>
                <c:pt idx="1">
                  <c:v>375.48958544504882</c:v>
                </c:pt>
                <c:pt idx="2">
                  <c:v>503.6907536907537</c:v>
                </c:pt>
                <c:pt idx="3">
                  <c:v>615.62203228869896</c:v>
                </c:pt>
                <c:pt idx="4">
                  <c:v>727.55331088664423</c:v>
                </c:pt>
                <c:pt idx="5">
                  <c:v>839.48458948458949</c:v>
                </c:pt>
                <c:pt idx="6">
                  <c:v>951.41586808253476</c:v>
                </c:pt>
                <c:pt idx="7">
                  <c:v>1007.3815073815074</c:v>
                </c:pt>
                <c:pt idx="8">
                  <c:v>1007.3815073815074</c:v>
                </c:pt>
                <c:pt idx="9">
                  <c:v>1007.3815073815074</c:v>
                </c:pt>
                <c:pt idx="10">
                  <c:v>1007.3815073815074</c:v>
                </c:pt>
                <c:pt idx="11">
                  <c:v>1063.3471466804801</c:v>
                </c:pt>
                <c:pt idx="12">
                  <c:v>1119.3127859794527</c:v>
                </c:pt>
                <c:pt idx="13">
                  <c:v>1119.3127859794527</c:v>
                </c:pt>
                <c:pt idx="14">
                  <c:v>1231.2440645773979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0-4AAE-8AC1-D8BE948AB14B}"/>
            </c:ext>
          </c:extLst>
        </c:ser>
        <c:ser>
          <c:idx val="3"/>
          <c:order val="3"/>
          <c:tx>
            <c:strRef>
              <c:f>'Figures I'!$A$6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I'!$B$6:$P$6</c:f>
              <c:numCache>
                <c:formatCode>0</c:formatCode>
                <c:ptCount val="15"/>
                <c:pt idx="0">
                  <c:v>177.87701262617307</c:v>
                </c:pt>
                <c:pt idx="1">
                  <c:v>186.73058210725819</c:v>
                </c:pt>
                <c:pt idx="2">
                  <c:v>217.7880396988094</c:v>
                </c:pt>
                <c:pt idx="3">
                  <c:v>299.45855458586294</c:v>
                </c:pt>
                <c:pt idx="4">
                  <c:v>381.1290694729164</c:v>
                </c:pt>
                <c:pt idx="5">
                  <c:v>462.79958435996991</c:v>
                </c:pt>
                <c:pt idx="6">
                  <c:v>544.47009924702343</c:v>
                </c:pt>
                <c:pt idx="7">
                  <c:v>544.47009924702343</c:v>
                </c:pt>
                <c:pt idx="8">
                  <c:v>544.47009924702343</c:v>
                </c:pt>
                <c:pt idx="9">
                  <c:v>544.47009924702343</c:v>
                </c:pt>
                <c:pt idx="10">
                  <c:v>544.47009924702343</c:v>
                </c:pt>
                <c:pt idx="11">
                  <c:v>544.47009924702343</c:v>
                </c:pt>
                <c:pt idx="12">
                  <c:v>544.47009924702343</c:v>
                </c:pt>
                <c:pt idx="13">
                  <c:v>544.47009924702343</c:v>
                </c:pt>
                <c:pt idx="14">
                  <c:v>544.47009924702343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20-4AAE-8AC1-D8BE948AB14B}"/>
            </c:ext>
          </c:extLst>
        </c:ser>
        <c:ser>
          <c:idx val="4"/>
          <c:order val="4"/>
          <c:tx>
            <c:strRef>
              <c:f>'Figures I'!$A$7</c:f>
              <c:strCache>
                <c:ptCount val="1"/>
                <c:pt idx="0">
                  <c:v>Cellulosic Ethanol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I'!$B$7:$P$7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1.4191168692596732</c:v>
                </c:pt>
                <c:pt idx="3">
                  <c:v>2.8382337385193463</c:v>
                </c:pt>
                <c:pt idx="4">
                  <c:v>5.2683839930828631</c:v>
                </c:pt>
                <c:pt idx="5">
                  <c:v>8.0984312264580502</c:v>
                </c:pt>
                <c:pt idx="6">
                  <c:v>11.434576617738173</c:v>
                </c:pt>
                <c:pt idx="7">
                  <c:v>15.596924259694697</c:v>
                </c:pt>
                <c:pt idx="8">
                  <c:v>21.396856933923868</c:v>
                </c:pt>
                <c:pt idx="9">
                  <c:v>28.860910664379357</c:v>
                </c:pt>
                <c:pt idx="10">
                  <c:v>35.919502432189219</c:v>
                </c:pt>
                <c:pt idx="11">
                  <c:v>49.259259259259267</c:v>
                </c:pt>
                <c:pt idx="12">
                  <c:v>66.851851851851862</c:v>
                </c:pt>
                <c:pt idx="13">
                  <c:v>77.407407407407405</c:v>
                </c:pt>
                <c:pt idx="14">
                  <c:v>87.962962962962962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0-4AAE-8AC1-D8BE948AB14B}"/>
            </c:ext>
          </c:extLst>
        </c:ser>
        <c:ser>
          <c:idx val="5"/>
          <c:order val="5"/>
          <c:tx>
            <c:strRef>
              <c:f>'Figures I'!$A$8</c:f>
              <c:strCache>
                <c:ptCount val="1"/>
                <c:pt idx="0">
                  <c:v>Sugar Ethanol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I'!$B$8:$P$8</c:f>
              <c:numCache>
                <c:formatCode>0</c:formatCode>
                <c:ptCount val="15"/>
                <c:pt idx="0">
                  <c:v>21.771126777777777</c:v>
                </c:pt>
                <c:pt idx="1">
                  <c:v>47.676015296296299</c:v>
                </c:pt>
                <c:pt idx="2">
                  <c:v>70.370370370370381</c:v>
                </c:pt>
                <c:pt idx="3">
                  <c:v>105.55555555555556</c:v>
                </c:pt>
                <c:pt idx="4">
                  <c:v>105.55555555555556</c:v>
                </c:pt>
                <c:pt idx="5">
                  <c:v>70.370370370370381</c:v>
                </c:pt>
                <c:pt idx="6">
                  <c:v>35.18518518518519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20-4AAE-8AC1-D8BE948AB14B}"/>
            </c:ext>
          </c:extLst>
        </c:ser>
        <c:ser>
          <c:idx val="6"/>
          <c:order val="6"/>
          <c:tx>
            <c:strRef>
              <c:f>'Figures I'!$A$9</c:f>
              <c:strCache>
                <c:ptCount val="1"/>
                <c:pt idx="0">
                  <c:v>Starch Ethanol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I'!$B$9:$P$9</c:f>
              <c:numCache>
                <c:formatCode>0</c:formatCode>
                <c:ptCount val="15"/>
                <c:pt idx="0">
                  <c:v>1102.666954888889</c:v>
                </c:pt>
                <c:pt idx="1">
                  <c:v>1060.312952888889</c:v>
                </c:pt>
                <c:pt idx="2">
                  <c:v>1008.1846428062906</c:v>
                </c:pt>
                <c:pt idx="3">
                  <c:v>942.07879310060321</c:v>
                </c:pt>
                <c:pt idx="4">
                  <c:v>910.98208179083304</c:v>
                </c:pt>
                <c:pt idx="5">
                  <c:v>914.73997635407432</c:v>
                </c:pt>
                <c:pt idx="6">
                  <c:v>914.10933577069886</c:v>
                </c:pt>
                <c:pt idx="7">
                  <c:v>915.13654515473399</c:v>
                </c:pt>
                <c:pt idx="8">
                  <c:v>881.98964620665879</c:v>
                </c:pt>
                <c:pt idx="9">
                  <c:v>846.62145659727582</c:v>
                </c:pt>
                <c:pt idx="10">
                  <c:v>812.25036628283135</c:v>
                </c:pt>
                <c:pt idx="11">
                  <c:v>779.47179005361932</c:v>
                </c:pt>
                <c:pt idx="12">
                  <c:v>746.04399706783158</c:v>
                </c:pt>
                <c:pt idx="13">
                  <c:v>722.77469786049744</c:v>
                </c:pt>
                <c:pt idx="14">
                  <c:v>702.0377157594761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20-4AAE-8AC1-D8BE948AB14B}"/>
            </c:ext>
          </c:extLst>
        </c:ser>
        <c:ser>
          <c:idx val="7"/>
          <c:order val="7"/>
          <c:tx>
            <c:strRef>
              <c:f>'Figures I'!$A$10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I'!$B$10:$P$10</c:f>
              <c:numCache>
                <c:formatCode>0</c:formatCode>
                <c:ptCount val="15"/>
                <c:pt idx="0">
                  <c:v>105.00787143805577</c:v>
                </c:pt>
                <c:pt idx="1">
                  <c:v>123.89202767987568</c:v>
                </c:pt>
                <c:pt idx="2">
                  <c:v>159.04679271345938</c:v>
                </c:pt>
                <c:pt idx="3">
                  <c:v>200.92376759043427</c:v>
                </c:pt>
                <c:pt idx="4">
                  <c:v>223.57765691099024</c:v>
                </c:pt>
                <c:pt idx="5">
                  <c:v>246.90494690494691</c:v>
                </c:pt>
                <c:pt idx="6">
                  <c:v>271.89847189847188</c:v>
                </c:pt>
                <c:pt idx="7">
                  <c:v>296.0459293792627</c:v>
                </c:pt>
                <c:pt idx="8">
                  <c:v>329.56919623586293</c:v>
                </c:pt>
                <c:pt idx="9">
                  <c:v>334.42113442113441</c:v>
                </c:pt>
                <c:pt idx="10">
                  <c:v>342.39834239834238</c:v>
                </c:pt>
                <c:pt idx="11">
                  <c:v>350.11655011655012</c:v>
                </c:pt>
                <c:pt idx="12">
                  <c:v>356.86782353449013</c:v>
                </c:pt>
                <c:pt idx="13">
                  <c:v>363.43779677113014</c:v>
                </c:pt>
                <c:pt idx="14">
                  <c:v>370.55167055167055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2-4253-B7C6-252432FCA372}"/>
            </c:ext>
          </c:extLst>
        </c:ser>
        <c:ser>
          <c:idx val="8"/>
          <c:order val="8"/>
          <c:tx>
            <c:strRef>
              <c:f>'Figures I'!$A$11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'Figures I'!$B$2:$P$2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'Figures I'!$B$11:$P$11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22.393162393162395</c:v>
                </c:pt>
                <c:pt idx="4">
                  <c:v>44.786324786324791</c:v>
                </c:pt>
                <c:pt idx="5">
                  <c:v>89.572649572649581</c:v>
                </c:pt>
                <c:pt idx="6">
                  <c:v>167.94871794871796</c:v>
                </c:pt>
                <c:pt idx="7">
                  <c:v>195.94017094017093</c:v>
                </c:pt>
                <c:pt idx="8">
                  <c:v>195.94017094017093</c:v>
                </c:pt>
                <c:pt idx="9">
                  <c:v>195.94017094017093</c:v>
                </c:pt>
                <c:pt idx="10">
                  <c:v>195.94017094017093</c:v>
                </c:pt>
                <c:pt idx="11">
                  <c:v>195.94017094017093</c:v>
                </c:pt>
                <c:pt idx="12">
                  <c:v>223.93162393162393</c:v>
                </c:pt>
                <c:pt idx="13">
                  <c:v>223.93162393162393</c:v>
                </c:pt>
                <c:pt idx="14">
                  <c:v>251.92307692307693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2-4253-B7C6-252432FC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44629104"/>
        <c:axId val="544626360"/>
      </c:barChart>
      <c:catAx>
        <c:axId val="5446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6360"/>
        <c:crosses val="autoZero"/>
        <c:auto val="1"/>
        <c:lblAlgn val="ctr"/>
        <c:lblOffset val="100"/>
        <c:noMultiLvlLbl val="0"/>
      </c:catAx>
      <c:valAx>
        <c:axId val="54462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  <a:r>
                  <a:rPr lang="en-US" baseline="0"/>
                  <a:t> (mm GGE)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8</xdr:row>
      <xdr:rowOff>71436</xdr:rowOff>
    </xdr:from>
    <xdr:to>
      <xdr:col>8</xdr:col>
      <xdr:colOff>150494</xdr:colOff>
      <xdr:row>27</xdr:row>
      <xdr:rowOff>18096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8</xdr:row>
      <xdr:rowOff>38099</xdr:rowOff>
    </xdr:from>
    <xdr:to>
      <xdr:col>17</xdr:col>
      <xdr:colOff>350520</xdr:colOff>
      <xdr:row>26</xdr:row>
      <xdr:rowOff>175259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38</xdr:row>
      <xdr:rowOff>90487</xdr:rowOff>
    </xdr:from>
    <xdr:to>
      <xdr:col>8</xdr:col>
      <xdr:colOff>66261</xdr:colOff>
      <xdr:row>52</xdr:row>
      <xdr:rowOff>166687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436494</xdr:colOff>
      <xdr:row>37</xdr:row>
      <xdr:rowOff>182217</xdr:rowOff>
    </xdr:from>
    <xdr:to>
      <xdr:col>18</xdr:col>
      <xdr:colOff>182218</xdr:colOff>
      <xdr:row>52</xdr:row>
      <xdr:rowOff>120304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32</xdr:row>
      <xdr:rowOff>161925</xdr:rowOff>
    </xdr:from>
    <xdr:to>
      <xdr:col>6</xdr:col>
      <xdr:colOff>142875</xdr:colOff>
      <xdr:row>47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33</xdr:row>
      <xdr:rowOff>47625</xdr:rowOff>
    </xdr:from>
    <xdr:to>
      <xdr:col>13</xdr:col>
      <xdr:colOff>104775</xdr:colOff>
      <xdr:row>47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22</xdr:row>
      <xdr:rowOff>171450</xdr:rowOff>
    </xdr:from>
    <xdr:to>
      <xdr:col>22</xdr:col>
      <xdr:colOff>57150</xdr:colOff>
      <xdr:row>37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1552575</xdr:colOff>
      <xdr:row>56</xdr:row>
      <xdr:rowOff>85725</xdr:rowOff>
    </xdr:from>
    <xdr:to>
      <xdr:col>8</xdr:col>
      <xdr:colOff>9525</xdr:colOff>
      <xdr:row>72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26</xdr:row>
      <xdr:rowOff>180975</xdr:rowOff>
    </xdr:from>
    <xdr:to>
      <xdr:col>7</xdr:col>
      <xdr:colOff>342899</xdr:colOff>
      <xdr:row>41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100011</xdr:colOff>
      <xdr:row>27</xdr:row>
      <xdr:rowOff>9525</xdr:rowOff>
    </xdr:from>
    <xdr:to>
      <xdr:col>18</xdr:col>
      <xdr:colOff>438150</xdr:colOff>
      <xdr:row>41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8</xdr:row>
      <xdr:rowOff>66675</xdr:rowOff>
    </xdr:from>
    <xdr:to>
      <xdr:col>10</xdr:col>
      <xdr:colOff>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1900236</xdr:colOff>
      <xdr:row>31</xdr:row>
      <xdr:rowOff>190499</xdr:rowOff>
    </xdr:from>
    <xdr:to>
      <xdr:col>13</xdr:col>
      <xdr:colOff>9524</xdr:colOff>
      <xdr:row>51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sn2.faa.gov/C_MINER/International/Intl%202011/111212%202012%20Intl%20forecast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sn2.faa.gov/USERDATA/Work/Mid%20Year%20FY06%20OMB%20Trust%20Fund%20Update/FY06%20Midterm%20OMB%20Update%20International%20Market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sn2.faa.gov/Terminal%20Area%20Forecast%20Central%20File/International/FAA%20Forecast/Intl%202011/111115%20Intl%20forecast%20with%20INS%20data%20-%20SAS%20in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TABLE 3"/>
      <sheetName val="2012 TABLE 3"/>
      <sheetName val="2011 TABLE 4"/>
      <sheetName val="2012 TABLE 4"/>
      <sheetName val="2012 Tables 3 4 data"/>
      <sheetName val="2011 TABLE 5"/>
      <sheetName val="2012 TABLE 5"/>
      <sheetName val="2011 TABLE 6"/>
      <sheetName val="2012 TABLE 6 "/>
      <sheetName val="2011 TABLE 7"/>
      <sheetName val="2012 Table 7"/>
      <sheetName val="2011 TABLE 8"/>
      <sheetName val="2012 TABLE 8"/>
      <sheetName val="2012 table 8 data"/>
      <sheetName val="2011 TABLE 9"/>
      <sheetName val="2012 TABLE 9"/>
      <sheetName val="2012 Table 9 system data"/>
      <sheetName val="2012 Table 9 intl data"/>
      <sheetName val="2012 Table 9 data"/>
      <sheetName val="2011 TABLE 10"/>
      <sheetName val="2012 TABLE 10"/>
      <sheetName val="2011 TABLE 11"/>
      <sheetName val="2012 TABLE 11"/>
      <sheetName val="2011 TABLE 12"/>
      <sheetName val="2012 TABLE 12"/>
      <sheetName val="2012 Tables 5 7 10 12 Pax data"/>
      <sheetName val="2011 TABLE 13"/>
      <sheetName val="2012 TABLE 13"/>
      <sheetName val="Intl charts 4 &amp; 5"/>
      <sheetName val="2012 Table 13 LF data"/>
      <sheetName val="2012 Tables 6 10 13 ASMs data"/>
      <sheetName val="2012 Tables 5 6 7 11 13 RPMs"/>
      <sheetName val="2011 TABLE 14"/>
      <sheetName val="2012 TABLE 14"/>
      <sheetName val="2011 TABLE 15"/>
      <sheetName val="2012 TABLE 15"/>
      <sheetName val="2011 TABLE 16"/>
      <sheetName val="2012 TABLE 16"/>
      <sheetName val="Tables 14 15 16 data"/>
      <sheetName val="2011 TABLE 17"/>
      <sheetName val="2012 TABLE 17"/>
      <sheetName val="2011 TABLE 18"/>
      <sheetName val="2012 TABLE 18"/>
      <sheetName val="2011 TABLE 19"/>
      <sheetName val="2012 TABLE 19"/>
      <sheetName val="2011 TABLE 22"/>
      <sheetName val="2012 TABLE 22"/>
      <sheetName val="2011 TABLE 23"/>
      <sheetName val="2012 TABLE 23"/>
      <sheetName val="2011 TABLE 24"/>
      <sheetName val="2012 TABLE 24"/>
      <sheetName val="2012 Tables 23 24 system data"/>
      <sheetName val="2011 TABLE 25"/>
      <sheetName val="2012 TABLE 25"/>
      <sheetName val="Tables 23 24 25 intl data"/>
      <sheetName val="2012 Tables 23 24 25 data"/>
      <sheetName val="2011 U.S. Carrier data"/>
      <sheetName val="2011 PIVOT"/>
      <sheetName val="Intl tables 1 &amp; 2"/>
      <sheetName val="Data for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02 Econ Assump"/>
      <sheetName val="Pacific Pax"/>
      <sheetName val="Atlantic Pax"/>
      <sheetName val="Latin Pax"/>
      <sheetName val="Canada Pax"/>
      <sheetName val="Total Int Pax"/>
      <sheetName val="Int Traffic History"/>
      <sheetName val="LATGDP"/>
      <sheetName val="US and Canada GDP"/>
      <sheetName val="Pacific GDP Detail"/>
      <sheetName val="European GDP Detail"/>
      <sheetName val="Middle East GDP Detail"/>
      <sheetName val="Africa GDP Detail"/>
      <sheetName val="Latin GDP Detail"/>
      <sheetName val="t100int"/>
      <sheetName val="QTRLY FCST"/>
      <sheetName val="INTPASS"/>
      <sheetName val="Sum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 pax data"/>
      <sheetName val="Real GDP"/>
      <sheetName val="Raw GDP data"/>
      <sheetName val="UK"/>
      <sheetName val="Germany"/>
      <sheetName val="France"/>
      <sheetName val="Netherlands"/>
      <sheetName val="Italy"/>
      <sheetName val="Ireland"/>
      <sheetName val="Spain"/>
      <sheetName val="Other Europe"/>
      <sheetName val="Mexico"/>
      <sheetName val="Dominican Rep"/>
      <sheetName val="Bahamas"/>
      <sheetName val="Jamaica"/>
      <sheetName val="Brazil"/>
      <sheetName val="Other LtnAm"/>
      <sheetName val="Japan"/>
      <sheetName val="S Korea"/>
      <sheetName val="Taiwan"/>
      <sheetName val="Hong Kong"/>
      <sheetName val="China"/>
      <sheetName val="India"/>
      <sheetName val="Other Pacific"/>
      <sheetName val="Pacific F41"/>
      <sheetName val="Atlantic F41"/>
      <sheetName val="Latin F41"/>
      <sheetName val="F41 data"/>
      <sheetName val="Exchange rates"/>
      <sheetName val="Transborder"/>
      <sheetName val="Transborder 2010"/>
      <sheetName val="Transborder 2009"/>
      <sheetName val="Transborder 2008"/>
      <sheetName val="Transborder 2007"/>
      <sheetName val="Transborder 2006"/>
      <sheetName val="Transborder 2005"/>
      <sheetName val="Transborder 2004"/>
      <sheetName val="Transborder 2003"/>
      <sheetName val="Transborder 2002"/>
      <sheetName val="Transborder 2001"/>
      <sheetName val="Transborder 2000"/>
      <sheetName val="Yield forecast"/>
      <sheetName val="DB Products yield"/>
      <sheetName val="Original yield data"/>
      <sheetName val="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">
          <cell r="A1" t="str">
            <v>Source:  Email from Roger Schaufele to K. Lizotte dated 11/10/2011 04:59 PM (email is below).</v>
          </cell>
        </row>
        <row r="2">
          <cell r="A2" t="str">
            <v>Kathy - Attached is a file that contains summarized international Form 41 forecast information for each of the entities.  I have highlighted updated information in bold for each of the entities.  Data updated include FY 2010 asms, rpms, pax, yields and es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 xml:space="preserve"> </v>
          </cell>
        </row>
        <row r="8">
          <cell r="A8" t="str">
            <v>FY</v>
          </cell>
        </row>
        <row r="9">
          <cell r="A9" t="str">
            <v>1969</v>
          </cell>
        </row>
        <row r="10">
          <cell r="A10" t="str">
            <v>1970</v>
          </cell>
        </row>
        <row r="11">
          <cell r="A11" t="str">
            <v>1971</v>
          </cell>
        </row>
        <row r="12">
          <cell r="A12" t="str">
            <v>1972</v>
          </cell>
        </row>
        <row r="13">
          <cell r="A13" t="str">
            <v>1973</v>
          </cell>
        </row>
        <row r="14">
          <cell r="A14" t="str">
            <v>1974</v>
          </cell>
        </row>
        <row r="15">
          <cell r="A15" t="str">
            <v>1975</v>
          </cell>
        </row>
        <row r="16">
          <cell r="A16" t="str">
            <v>1976</v>
          </cell>
        </row>
        <row r="17">
          <cell r="A17" t="str">
            <v>1977</v>
          </cell>
        </row>
        <row r="18">
          <cell r="A18" t="str">
            <v>1978</v>
          </cell>
        </row>
        <row r="19">
          <cell r="A19" t="str">
            <v>1979</v>
          </cell>
        </row>
        <row r="20">
          <cell r="A20" t="str">
            <v>1980</v>
          </cell>
        </row>
        <row r="21">
          <cell r="A21" t="str">
            <v>1981</v>
          </cell>
        </row>
        <row r="22">
          <cell r="A22" t="str">
            <v>1982</v>
          </cell>
        </row>
        <row r="23">
          <cell r="A23" t="str">
            <v>1983</v>
          </cell>
        </row>
        <row r="24">
          <cell r="A24" t="str">
            <v>1984</v>
          </cell>
        </row>
        <row r="25">
          <cell r="A25" t="str">
            <v>1985</v>
          </cell>
        </row>
        <row r="26">
          <cell r="A26" t="str">
            <v>1986</v>
          </cell>
        </row>
        <row r="27">
          <cell r="A27" t="str">
            <v>1987</v>
          </cell>
        </row>
        <row r="28">
          <cell r="A28" t="str">
            <v>1988</v>
          </cell>
        </row>
        <row r="29">
          <cell r="A29" t="str">
            <v>1989</v>
          </cell>
        </row>
        <row r="30">
          <cell r="A30" t="str">
            <v>1990</v>
          </cell>
        </row>
        <row r="31">
          <cell r="A31" t="str">
            <v>1991</v>
          </cell>
        </row>
        <row r="32">
          <cell r="A32" t="str">
            <v>1992</v>
          </cell>
        </row>
        <row r="33">
          <cell r="A33" t="str">
            <v>1993</v>
          </cell>
        </row>
        <row r="34">
          <cell r="A34" t="str">
            <v>1994</v>
          </cell>
        </row>
        <row r="35">
          <cell r="A35" t="str">
            <v>1995</v>
          </cell>
        </row>
        <row r="36">
          <cell r="A36" t="str">
            <v>1996</v>
          </cell>
        </row>
        <row r="37">
          <cell r="A37" t="str">
            <v>1997</v>
          </cell>
        </row>
        <row r="38">
          <cell r="A38" t="str">
            <v>1998</v>
          </cell>
        </row>
        <row r="39">
          <cell r="A39">
            <v>1999</v>
          </cell>
        </row>
        <row r="40">
          <cell r="A40">
            <v>2000</v>
          </cell>
        </row>
        <row r="41">
          <cell r="A41" t="str">
            <v xml:space="preserve">2001 </v>
          </cell>
        </row>
        <row r="42">
          <cell r="A42" t="str">
            <v>2002</v>
          </cell>
        </row>
        <row r="43">
          <cell r="A43" t="str">
            <v>2003</v>
          </cell>
        </row>
        <row r="44">
          <cell r="A44">
            <v>2004</v>
          </cell>
        </row>
        <row r="45">
          <cell r="A45">
            <v>2005</v>
          </cell>
        </row>
        <row r="46">
          <cell r="A46">
            <v>2006</v>
          </cell>
        </row>
        <row r="47">
          <cell r="A47" t="str">
            <v>2007</v>
          </cell>
        </row>
        <row r="48">
          <cell r="A48">
            <v>2008</v>
          </cell>
        </row>
        <row r="49">
          <cell r="A49" t="str">
            <v>2009</v>
          </cell>
        </row>
        <row r="50">
          <cell r="A50" t="str">
            <v>2010</v>
          </cell>
        </row>
        <row r="51">
          <cell r="A51" t="str">
            <v>2011E</v>
          </cell>
        </row>
        <row r="53">
          <cell r="A53">
            <v>2012</v>
          </cell>
        </row>
        <row r="54">
          <cell r="A54">
            <v>2013</v>
          </cell>
        </row>
        <row r="55">
          <cell r="A55">
            <v>2014</v>
          </cell>
        </row>
        <row r="56">
          <cell r="A56">
            <v>2015</v>
          </cell>
        </row>
        <row r="57">
          <cell r="A57">
            <v>2016</v>
          </cell>
        </row>
        <row r="58">
          <cell r="A58">
            <v>2017</v>
          </cell>
        </row>
        <row r="59">
          <cell r="A59">
            <v>2018</v>
          </cell>
        </row>
        <row r="60">
          <cell r="A60">
            <v>2019</v>
          </cell>
        </row>
        <row r="61">
          <cell r="A61">
            <v>2020</v>
          </cell>
        </row>
        <row r="62">
          <cell r="A62">
            <v>2021</v>
          </cell>
        </row>
        <row r="63">
          <cell r="A63">
            <v>2022</v>
          </cell>
        </row>
        <row r="64">
          <cell r="A64">
            <v>2023</v>
          </cell>
        </row>
        <row r="65">
          <cell r="A65">
            <v>2024</v>
          </cell>
        </row>
        <row r="66">
          <cell r="A66">
            <v>2025</v>
          </cell>
        </row>
        <row r="67">
          <cell r="A67">
            <v>2026</v>
          </cell>
        </row>
        <row r="68">
          <cell r="A68">
            <v>2027</v>
          </cell>
        </row>
        <row r="69">
          <cell r="A69">
            <v>2028</v>
          </cell>
        </row>
        <row r="70">
          <cell r="A70">
            <v>2029</v>
          </cell>
        </row>
        <row r="71">
          <cell r="A71">
            <v>2030</v>
          </cell>
        </row>
        <row r="72">
          <cell r="A72">
            <v>2031</v>
          </cell>
        </row>
        <row r="73">
          <cell r="A73">
            <v>2032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 t="str">
            <v xml:space="preserve"> </v>
          </cell>
          <cell r="CD76">
            <v>0</v>
          </cell>
          <cell r="CE76">
            <v>0</v>
          </cell>
          <cell r="CF76" t="str">
            <v>LOAD</v>
          </cell>
          <cell r="CG76" t="str">
            <v>ENPLANE-</v>
          </cell>
          <cell r="CH76" t="str">
            <v>TRIP</v>
          </cell>
          <cell r="CI76" t="str">
            <v>MILES</v>
          </cell>
          <cell r="CJ76" t="str">
            <v>SEATS</v>
          </cell>
          <cell r="CK76" t="str">
            <v>PSGR.</v>
          </cell>
          <cell r="CL76" t="str">
            <v>PSGR.</v>
          </cell>
          <cell r="CM76" t="str">
            <v>REAL</v>
          </cell>
          <cell r="CN76" t="str">
            <v>PSGR.</v>
          </cell>
          <cell r="CO76" t="str">
            <v>REAL</v>
          </cell>
          <cell r="CP76" t="str">
            <v>JET</v>
          </cell>
          <cell r="CQ76" t="str">
            <v>REAL</v>
          </cell>
        </row>
        <row r="77">
          <cell r="A77" t="str">
            <v xml:space="preserve"> </v>
          </cell>
          <cell r="CD77" t="str">
            <v>ASM'S</v>
          </cell>
          <cell r="CE77" t="str">
            <v>RPM'S</v>
          </cell>
          <cell r="CF77" t="str">
            <v>FACTOR</v>
          </cell>
          <cell r="CG77" t="str">
            <v>MENTS</v>
          </cell>
          <cell r="CH77" t="str">
            <v>LENGTH</v>
          </cell>
          <cell r="CI77" t="str">
            <v>FLOWN</v>
          </cell>
          <cell r="CJ77" t="str">
            <v>PER/AC</v>
          </cell>
          <cell r="CK77" t="str">
            <v>REVENUES</v>
          </cell>
          <cell r="CL77" t="str">
            <v>YIELD</v>
          </cell>
          <cell r="CM77" t="str">
            <v>YIELD</v>
          </cell>
          <cell r="CN77" t="str">
            <v>RASM</v>
          </cell>
          <cell r="CO77" t="str">
            <v>RASM</v>
          </cell>
          <cell r="CP77" t="str">
            <v>FUEL</v>
          </cell>
          <cell r="CQ77" t="str">
            <v>JET FUEL</v>
          </cell>
        </row>
        <row r="78">
          <cell r="A78" t="str">
            <v>FY</v>
          </cell>
          <cell r="CD78" t="str">
            <v>(%)</v>
          </cell>
          <cell r="CE78" t="str">
            <v>(%)</v>
          </cell>
          <cell r="CF78" t="str">
            <v>(PTS)</v>
          </cell>
          <cell r="CG78" t="str">
            <v>(%)</v>
          </cell>
          <cell r="CH78" t="str">
            <v>(MILES)</v>
          </cell>
          <cell r="CI78" t="str">
            <v>(%)</v>
          </cell>
          <cell r="CJ78" t="str">
            <v>(SEATS)</v>
          </cell>
          <cell r="CK78" t="str">
            <v>(%)</v>
          </cell>
          <cell r="CL78" t="str">
            <v>(%)</v>
          </cell>
          <cell r="CM78" t="str">
            <v>(%)</v>
          </cell>
          <cell r="CN78" t="str">
            <v>(%)</v>
          </cell>
          <cell r="CO78" t="str">
            <v>(%)</v>
          </cell>
          <cell r="CP78" t="str">
            <v>(%)</v>
          </cell>
          <cell r="CQ78" t="str">
            <v>(%)</v>
          </cell>
        </row>
        <row r="79">
          <cell r="A79" t="str">
            <v>1969/70</v>
          </cell>
          <cell r="CD79">
            <v>9.1865510206594827</v>
          </cell>
          <cell r="CE79">
            <v>6.3978611871703617</v>
          </cell>
          <cell r="CF79">
            <v>-1.2979820156422406</v>
          </cell>
          <cell r="CG79">
            <v>-0.64507195033292053</v>
          </cell>
          <cell r="CH79">
            <v>50.637902329605254</v>
          </cell>
          <cell r="CI79">
            <v>5.2357044998385893</v>
          </cell>
          <cell r="CJ79">
            <v>3.9316993835168432</v>
          </cell>
          <cell r="CK79">
            <v>10.777768533893383</v>
          </cell>
          <cell r="CL79">
            <v>4.1165370223167352</v>
          </cell>
          <cell r="CM79">
            <v>-1.7255827149076697</v>
          </cell>
          <cell r="CN79">
            <v>1.4573383794610706</v>
          </cell>
          <cell r="CO79">
            <v>-4.2355701246496569</v>
          </cell>
          <cell r="CP79">
            <v>0</v>
          </cell>
          <cell r="CQ79">
            <v>0</v>
          </cell>
        </row>
        <row r="80">
          <cell r="A80" t="str">
            <v>1970/71</v>
          </cell>
          <cell r="CD80">
            <v>4.0143309886953693</v>
          </cell>
          <cell r="CE80">
            <v>0.68322604154014144</v>
          </cell>
          <cell r="CF80">
            <v>-1.5859755759604681</v>
          </cell>
          <cell r="CG80">
            <v>-1.1742433041417866</v>
          </cell>
          <cell r="CH80">
            <v>14.378267065943533</v>
          </cell>
          <cell r="CI80">
            <v>-4.2091735653998263</v>
          </cell>
          <cell r="CJ80">
            <v>9.328081037699306</v>
          </cell>
          <cell r="CK80">
            <v>4.7348881993258818</v>
          </cell>
          <cell r="CL80">
            <v>4.0241679940947739</v>
          </cell>
          <cell r="CM80">
            <v>-0.68456718503990821</v>
          </cell>
          <cell r="CN80">
            <v>0.69274801249150642</v>
          </cell>
          <cell r="CO80">
            <v>-3.8651878402333861</v>
          </cell>
          <cell r="CP80">
            <v>0</v>
          </cell>
          <cell r="CQ80">
            <v>0</v>
          </cell>
        </row>
        <row r="81">
          <cell r="A81" t="str">
            <v>1971/72</v>
          </cell>
          <cell r="CD81">
            <v>2.8777446462455947</v>
          </cell>
          <cell r="CE81">
            <v>12.035166028289645</v>
          </cell>
          <cell r="CF81">
            <v>4.2669452076073711</v>
          </cell>
          <cell r="CG81">
            <v>9.8034952460422922</v>
          </cell>
          <cell r="CH81">
            <v>15.840029140353522</v>
          </cell>
          <cell r="CI81">
            <v>-0.47415940011735769</v>
          </cell>
          <cell r="CJ81">
            <v>3.9736011857863218</v>
          </cell>
          <cell r="CK81">
            <v>13.563895229563027</v>
          </cell>
          <cell r="CL81">
            <v>1.364508355249261</v>
          </cell>
          <cell r="CM81">
            <v>-1.8948005950802815</v>
          </cell>
          <cell r="CN81">
            <v>10.387232554584802</v>
          </cell>
          <cell r="CO81">
            <v>6.8378038550804821</v>
          </cell>
          <cell r="CP81">
            <v>0</v>
          </cell>
          <cell r="CQ81">
            <v>0</v>
          </cell>
        </row>
        <row r="82">
          <cell r="A82" t="str">
            <v>1972/73</v>
          </cell>
          <cell r="CD82">
            <v>9.1769516963711606</v>
          </cell>
          <cell r="CE82">
            <v>8.2434887946698954</v>
          </cell>
          <cell r="CF82">
            <v>-0.446338477412624</v>
          </cell>
          <cell r="CG82">
            <v>7.0540573807778228</v>
          </cell>
          <cell r="CH82">
            <v>8.8352020011311652</v>
          </cell>
          <cell r="CI82">
            <v>4.330784065799631</v>
          </cell>
          <cell r="CJ82">
            <v>5.6650023567771939</v>
          </cell>
          <cell r="CK82">
            <v>11.761577311697668</v>
          </cell>
          <cell r="CL82">
            <v>3.2501617937512384</v>
          </cell>
          <cell r="CM82">
            <v>-1.6514538503625498</v>
          </cell>
          <cell r="CN82">
            <v>2.3673729438009161</v>
          </cell>
          <cell r="CO82">
            <v>-2.4923338881406409</v>
          </cell>
          <cell r="CP82">
            <v>0</v>
          </cell>
          <cell r="CQ82">
            <v>0</v>
          </cell>
        </row>
        <row r="83">
          <cell r="A83" t="str">
            <v>1973/74</v>
          </cell>
          <cell r="CD83">
            <v>-5.4869062099768939</v>
          </cell>
          <cell r="CE83">
            <v>1.8434583651975034</v>
          </cell>
          <cell r="CF83">
            <v>4.0142335998341068</v>
          </cell>
          <cell r="CG83">
            <v>4.003739289534991</v>
          </cell>
          <cell r="CH83">
            <v>-16.70091006308769</v>
          </cell>
          <cell r="CI83">
            <v>-9.2549409679385306</v>
          </cell>
          <cell r="CJ83">
            <v>5.2993736196662411</v>
          </cell>
          <cell r="CK83">
            <v>14.501693705380436</v>
          </cell>
          <cell r="CL83">
            <v>12.429109874482203</v>
          </cell>
          <cell r="CM83">
            <v>2.1087743366298817</v>
          </cell>
          <cell r="CN83">
            <v>21.1490272022683</v>
          </cell>
          <cell r="CO83">
            <v>10.028254190655339</v>
          </cell>
          <cell r="CP83">
            <v>0</v>
          </cell>
          <cell r="CQ83">
            <v>0</v>
          </cell>
        </row>
        <row r="84">
          <cell r="A84" t="str">
            <v>1974/75</v>
          </cell>
          <cell r="CD84">
            <v>4.2818182746751088</v>
          </cell>
          <cell r="CE84">
            <v>-2.0988498449366344</v>
          </cell>
          <cell r="CF84">
            <v>-3.4124615491714678</v>
          </cell>
          <cell r="CG84">
            <v>-2.8469528519997844</v>
          </cell>
          <cell r="CH84">
            <v>6.0627270867870493</v>
          </cell>
          <cell r="CI84">
            <v>1.2962103914970768</v>
          </cell>
          <cell r="CJ84">
            <v>3.9177903248119037</v>
          </cell>
          <cell r="CK84">
            <v>5.524107651489274</v>
          </cell>
          <cell r="CL84">
            <v>7.7863819621649677</v>
          </cell>
          <cell r="CM84">
            <v>-2.2872704418639977</v>
          </cell>
          <cell r="CN84">
            <v>1.1912808938006725</v>
          </cell>
          <cell r="CO84">
            <v>-8.2659972102219861</v>
          </cell>
          <cell r="CP84">
            <v>0</v>
          </cell>
          <cell r="CQ84">
            <v>0</v>
          </cell>
        </row>
        <row r="85">
          <cell r="A85" t="str">
            <v>1975/76</v>
          </cell>
          <cell r="CD85">
            <v>2.6965257621219596</v>
          </cell>
          <cell r="CE85">
            <v>9.765785765062418</v>
          </cell>
          <cell r="CF85">
            <v>3.6041894234523539</v>
          </cell>
          <cell r="CG85">
            <v>8.5660287744157024</v>
          </cell>
          <cell r="CH85">
            <v>8.7678628843706292</v>
          </cell>
          <cell r="CI85">
            <v>0.4021023699020132</v>
          </cell>
          <cell r="CJ85">
            <v>3.1271432098778007</v>
          </cell>
          <cell r="CK85">
            <v>12.356455246620545</v>
          </cell>
          <cell r="CL85">
            <v>2.3601794161097311</v>
          </cell>
          <cell r="CM85">
            <v>-3.7243791290815009</v>
          </cell>
          <cell r="CN85">
            <v>9.4062865445653685</v>
          </cell>
          <cell r="CO85">
            <v>2.9028888415753684</v>
          </cell>
          <cell r="CP85">
            <v>0</v>
          </cell>
          <cell r="CQ85">
            <v>0</v>
          </cell>
        </row>
        <row r="86">
          <cell r="A86" t="str">
            <v>1976/77</v>
          </cell>
          <cell r="CD86">
            <v>7.7668483064264882</v>
          </cell>
          <cell r="CE86">
            <v>6.6165985899890423</v>
          </cell>
          <cell r="CF86">
            <v>-0.59732074282045033</v>
          </cell>
          <cell r="CG86">
            <v>6.5763450268413015</v>
          </cell>
          <cell r="CH86">
            <v>0.30297790473321129</v>
          </cell>
          <cell r="CI86">
            <v>4.7719064664325517</v>
          </cell>
          <cell r="CJ86">
            <v>4.0010456536980428</v>
          </cell>
          <cell r="CK86">
            <v>13.473864057139151</v>
          </cell>
          <cell r="CL86">
            <v>6.4317053421679926</v>
          </cell>
          <cell r="CM86">
            <v>0.29170055011391582</v>
          </cell>
          <cell r="CN86">
            <v>5.2957062773936192</v>
          </cell>
          <cell r="CO86">
            <v>-0.77876315863981693</v>
          </cell>
          <cell r="CP86">
            <v>0</v>
          </cell>
          <cell r="CQ86">
            <v>0</v>
          </cell>
        </row>
        <row r="87">
          <cell r="A87" t="str">
            <v>1977/78</v>
          </cell>
          <cell r="CD87">
            <v>5.8158195957188186</v>
          </cell>
          <cell r="CE87">
            <v>16.619776847085909</v>
          </cell>
          <cell r="CF87">
            <v>5.6529161249479145</v>
          </cell>
          <cell r="CG87">
            <v>13.928737883173902</v>
          </cell>
          <cell r="CH87">
            <v>18.954753963805501</v>
          </cell>
          <cell r="CI87">
            <v>3.4804830976966405</v>
          </cell>
          <cell r="CJ87">
            <v>3.2490868089913079</v>
          </cell>
          <cell r="CK87">
            <v>17.721229466528566</v>
          </cell>
          <cell r="CL87">
            <v>0.94448184452189388</v>
          </cell>
          <cell r="CM87">
            <v>-5.6946958730351049</v>
          </cell>
          <cell r="CN87">
            <v>11.251068050406566</v>
          </cell>
          <cell r="CO87">
            <v>3.9340201191256918</v>
          </cell>
          <cell r="CP87">
            <v>0</v>
          </cell>
          <cell r="CQ87">
            <v>0</v>
          </cell>
        </row>
        <row r="88">
          <cell r="A88" t="str">
            <v>1978/79</v>
          </cell>
          <cell r="CD88">
            <v>12.669019699681616</v>
          </cell>
          <cell r="CE88">
            <v>16.677860781760458</v>
          </cell>
          <cell r="CF88">
            <v>2.1710819429220081</v>
          </cell>
          <cell r="CG88">
            <v>15.196814339973885</v>
          </cell>
          <cell r="CH88">
            <v>10.560842832574167</v>
          </cell>
          <cell r="CI88">
            <v>10.143739644125249</v>
          </cell>
          <cell r="CJ88">
            <v>3.3752984446695962</v>
          </cell>
          <cell r="CK88">
            <v>20.517382804481766</v>
          </cell>
          <cell r="CL88">
            <v>3.2907031351071314</v>
          </cell>
          <cell r="CM88">
            <v>-6.373709708501762</v>
          </cell>
          <cell r="CN88">
            <v>6.9658572744485614</v>
          </cell>
          <cell r="CO88">
            <v>-3.0424220139461333</v>
          </cell>
          <cell r="CP88">
            <v>0</v>
          </cell>
          <cell r="CQ88">
            <v>0</v>
          </cell>
        </row>
        <row r="89">
          <cell r="A89" t="str">
            <v>1979/80</v>
          </cell>
          <cell r="CD89">
            <v>7.8348938950035585</v>
          </cell>
          <cell r="CE89">
            <v>0.79062682335619971</v>
          </cell>
          <cell r="CF89">
            <v>-4.1278350156046741</v>
          </cell>
          <cell r="CG89">
            <v>-1.5019466662322678</v>
          </cell>
          <cell r="CH89">
            <v>19.364842944372413</v>
          </cell>
          <cell r="CI89">
            <v>4.7305392122338752</v>
          </cell>
          <cell r="CJ89">
            <v>4.463804253456999</v>
          </cell>
          <cell r="CK89">
            <v>24.388761749898215</v>
          </cell>
          <cell r="CL89">
            <v>23.413025268609221</v>
          </cell>
          <cell r="CM89">
            <v>8.6805953771916364</v>
          </cell>
          <cell r="CN89">
            <v>15.351123608479433</v>
          </cell>
          <cell r="CO89">
            <v>1.5810832277383557</v>
          </cell>
          <cell r="CP89">
            <v>0</v>
          </cell>
          <cell r="CQ89">
            <v>0</v>
          </cell>
        </row>
        <row r="90">
          <cell r="A90" t="str">
            <v>1980/81</v>
          </cell>
          <cell r="CD90">
            <v>-2.9658712547987465</v>
          </cell>
          <cell r="CE90">
            <v>-3.5433162642878768</v>
          </cell>
          <cell r="CF90">
            <v>-0.3514736611890541</v>
          </cell>
          <cell r="CG90">
            <v>-5.4517489456710528</v>
          </cell>
          <cell r="CH90">
            <v>17.184393325374003</v>
          </cell>
          <cell r="CI90">
            <v>-4.2556333192196423</v>
          </cell>
          <cell r="CJ90">
            <v>2.0887645599381983</v>
          </cell>
          <cell r="CK90">
            <v>14.178922966016705</v>
          </cell>
          <cell r="CL90">
            <v>18.373262011436033</v>
          </cell>
          <cell r="CM90">
            <v>6.5425947224204251</v>
          </cell>
          <cell r="CN90">
            <v>17.668828939388348</v>
          </cell>
          <cell r="CO90">
            <v>5.9085653307407782</v>
          </cell>
          <cell r="CP90">
            <v>0</v>
          </cell>
          <cell r="CQ90">
            <v>0</v>
          </cell>
        </row>
        <row r="91">
          <cell r="A91" t="str">
            <v>1981/82</v>
          </cell>
          <cell r="CD91">
            <v>2.9146348961609503</v>
          </cell>
          <cell r="CE91">
            <v>3.4382476859497579</v>
          </cell>
          <cell r="CF91">
            <v>0.29870850470184962</v>
          </cell>
          <cell r="CG91">
            <v>2.3145572919399893</v>
          </cell>
          <cell r="CH91">
            <v>9.53891380874677</v>
          </cell>
          <cell r="CI91">
            <v>-1.3783466900540886</v>
          </cell>
          <cell r="CJ91">
            <v>6.8405520031969616</v>
          </cell>
          <cell r="CK91">
            <v>0.82547564176340682</v>
          </cell>
          <cell r="CL91">
            <v>-2.5259245033993682</v>
          </cell>
          <cell r="CM91">
            <v>-9.2714469633609742</v>
          </cell>
          <cell r="CN91">
            <v>-2.02999238787126</v>
          </cell>
          <cell r="CO91">
            <v>-8.8098349601998365</v>
          </cell>
          <cell r="CP91">
            <v>0</v>
          </cell>
          <cell r="CQ91">
            <v>0</v>
          </cell>
        </row>
        <row r="92">
          <cell r="A92" t="str">
            <v>1982/83</v>
          </cell>
          <cell r="CD92">
            <v>4.7912295980385711</v>
          </cell>
          <cell r="CE92">
            <v>7.3823412590244608</v>
          </cell>
          <cell r="CF92">
            <v>1.4590819634255112</v>
          </cell>
          <cell r="CG92">
            <v>6.5510037304374213</v>
          </cell>
          <cell r="CH92">
            <v>6.8509887110567433</v>
          </cell>
          <cell r="CI92">
            <v>2.8622944704133513</v>
          </cell>
          <cell r="CJ92">
            <v>3.0751809476104768</v>
          </cell>
          <cell r="CK92">
            <v>3.5601855560556617</v>
          </cell>
          <cell r="CL92">
            <v>-3.5593894286110817</v>
          </cell>
          <cell r="CM92">
            <v>-6.7808556273447067</v>
          </cell>
          <cell r="CN92">
            <v>-1.1747586574802016</v>
          </cell>
          <cell r="CO92">
            <v>-4.4758801734100189</v>
          </cell>
          <cell r="CP92">
            <v>-8.3416285088592446</v>
          </cell>
          <cell r="CQ92">
            <v>-11.403350576360138</v>
          </cell>
        </row>
        <row r="93">
          <cell r="A93" t="str">
            <v>1983/84</v>
          </cell>
          <cell r="CD93">
            <v>10.072098622495297</v>
          </cell>
          <cell r="CE93">
            <v>7.858645198723524</v>
          </cell>
          <cell r="CF93">
            <v>-1.2159607871692728</v>
          </cell>
          <cell r="CG93">
            <v>7.9366403737909819</v>
          </cell>
          <cell r="CH93">
            <v>-0.63945144868750958</v>
          </cell>
          <cell r="CI93">
            <v>9.9247007537251122</v>
          </cell>
          <cell r="CJ93">
            <v>0.22401335046387771</v>
          </cell>
          <cell r="CK93">
            <v>14.957857022273501</v>
          </cell>
          <cell r="CL93">
            <v>6.5819590172582654</v>
          </cell>
          <cell r="CM93">
            <v>2.3431981330314988</v>
          </cell>
          <cell r="CN93">
            <v>4.4386892417982438</v>
          </cell>
          <cell r="CO93">
            <v>0.2851661236280556</v>
          </cell>
          <cell r="CP93">
            <v>-6.3423110338835853</v>
          </cell>
          <cell r="CQ93">
            <v>-10.067074137856613</v>
          </cell>
        </row>
        <row r="94">
          <cell r="A94" t="str">
            <v>1984/85</v>
          </cell>
          <cell r="CD94">
            <v>6.5236316549629025</v>
          </cell>
          <cell r="CE94">
            <v>11.013310650201213</v>
          </cell>
          <cell r="CF94">
            <v>2.4973158262288138</v>
          </cell>
          <cell r="CG94">
            <v>11.381596551211537</v>
          </cell>
          <cell r="CH94">
            <v>-2.9239265151774134</v>
          </cell>
          <cell r="CI94">
            <v>6.7614290946403477</v>
          </cell>
          <cell r="CJ94">
            <v>-0.37260848474565478</v>
          </cell>
          <cell r="CK94">
            <v>6.2798181997177682</v>
          </cell>
          <cell r="CL94">
            <v>-4.2638963046499168</v>
          </cell>
          <cell r="CM94">
            <v>-7.6667497678435614</v>
          </cell>
          <cell r="CN94">
            <v>-0.22888203439672683</v>
          </cell>
          <cell r="CO94">
            <v>-3.7751564407202398</v>
          </cell>
          <cell r="CP94">
            <v>-5.5078849721706842</v>
          </cell>
          <cell r="CQ94">
            <v>-8.8665219801081445</v>
          </cell>
        </row>
        <row r="95">
          <cell r="A95" t="str">
            <v>1985/86</v>
          </cell>
          <cell r="CD95">
            <v>11.076818795561039</v>
          </cell>
          <cell r="CE95">
            <v>8.1412749706227814</v>
          </cell>
          <cell r="CF95">
            <v>-1.6319181336202533</v>
          </cell>
          <cell r="CG95">
            <v>7.4036675991372869</v>
          </cell>
          <cell r="CH95">
            <v>6.0528867924239194</v>
          </cell>
          <cell r="CI95">
            <v>9.3357365977574602</v>
          </cell>
          <cell r="CJ95">
            <v>2.6579614007061707</v>
          </cell>
          <cell r="CK95">
            <v>0.59229408338399292</v>
          </cell>
          <cell r="CL95">
            <v>-6.9806656979858435</v>
          </cell>
          <cell r="CM95">
            <v>-9.235422029111696</v>
          </cell>
          <cell r="CN95">
            <v>-9.4389854029525484</v>
          </cell>
          <cell r="CO95">
            <v>-11.634152918911145</v>
          </cell>
          <cell r="CP95">
            <v>-20.787826727205793</v>
          </cell>
          <cell r="CQ95">
            <v>-22.707902274179514</v>
          </cell>
        </row>
        <row r="96">
          <cell r="A96" t="str">
            <v>1986/87</v>
          </cell>
          <cell r="CD96">
            <v>7.2887380411312597</v>
          </cell>
          <cell r="CE96">
            <v>11.222778350163987</v>
          </cell>
          <cell r="CF96">
            <v>2.2043774204510527</v>
          </cell>
          <cell r="CG96">
            <v>9.0171495230436882</v>
          </cell>
          <cell r="CH96">
            <v>17.954213925975182</v>
          </cell>
          <cell r="CI96">
            <v>8.1427601510890781</v>
          </cell>
          <cell r="CJ96">
            <v>-1.3391354050739039</v>
          </cell>
          <cell r="CK96">
            <v>10.409922976048946</v>
          </cell>
          <cell r="CL96">
            <v>-0.7308353434185233</v>
          </cell>
          <cell r="CM96">
            <v>-3.4466065297453108</v>
          </cell>
          <cell r="CN96">
            <v>2.9091449782186363</v>
          </cell>
          <cell r="CO96">
            <v>9.3792479703935783E-2</v>
          </cell>
          <cell r="CP96">
            <v>-19.395817195972111</v>
          </cell>
          <cell r="CQ96">
            <v>-21.60095831823179</v>
          </cell>
        </row>
        <row r="97">
          <cell r="A97" t="str">
            <v>1987/88</v>
          </cell>
          <cell r="CD97">
            <v>4.6169781052371572</v>
          </cell>
          <cell r="CE97">
            <v>4.5129536621670185</v>
          </cell>
          <cell r="CF97">
            <v>-6.1968946949157555E-2</v>
          </cell>
          <cell r="CG97">
            <v>0.95300616405291638</v>
          </cell>
          <cell r="CH97">
            <v>31.926553829353566</v>
          </cell>
          <cell r="CI97">
            <v>3.5829861454210299</v>
          </cell>
          <cell r="CJ97">
            <v>1.6793385204108517</v>
          </cell>
          <cell r="CK97">
            <v>13.0439594523859</v>
          </cell>
          <cell r="CL97">
            <v>8.1626300772198679</v>
          </cell>
          <cell r="CM97">
            <v>3.8804866480935063</v>
          </cell>
          <cell r="CN97">
            <v>8.0550800642241747</v>
          </cell>
          <cell r="CO97">
            <v>3.7771945251022121</v>
          </cell>
          <cell r="CP97">
            <v>7.9377282337113053</v>
          </cell>
          <cell r="CQ97">
            <v>3.6644886371812069</v>
          </cell>
        </row>
        <row r="98">
          <cell r="A98" t="str">
            <v>1988/89</v>
          </cell>
          <cell r="CD98">
            <v>1.6874478794800973</v>
          </cell>
          <cell r="CE98">
            <v>3.0669831924549973</v>
          </cell>
          <cell r="CF98">
            <v>0.8446451888924571</v>
          </cell>
          <cell r="CG98">
            <v>0.75975725514061399</v>
          </cell>
          <cell r="CH98">
            <v>21.462563068358918</v>
          </cell>
          <cell r="CI98">
            <v>1.1468554393774699</v>
          </cell>
          <cell r="CJ98">
            <v>0.90811498428237769</v>
          </cell>
          <cell r="CK98">
            <v>8.3706731763575135</v>
          </cell>
          <cell r="CL98">
            <v>5.145867104695423</v>
          </cell>
          <cell r="CM98">
            <v>0.41265861670687354</v>
          </cell>
          <cell r="CN98">
            <v>6.5723208087573814</v>
          </cell>
          <cell r="CO98">
            <v>1.7748995945276125</v>
          </cell>
          <cell r="CP98">
            <v>0.44515669515670098</v>
          </cell>
          <cell r="CQ98">
            <v>-4.0764463058767682</v>
          </cell>
        </row>
        <row r="99">
          <cell r="A99" t="str">
            <v>1989/90</v>
          </cell>
          <cell r="CD99">
            <v>6.3064447647930955</v>
          </cell>
          <cell r="CE99">
            <v>5.842908557111115</v>
          </cell>
          <cell r="CF99">
            <v>-0.2751598881367201</v>
          </cell>
          <cell r="CG99">
            <v>2.7342643203381423</v>
          </cell>
          <cell r="CH99">
            <v>29.011269327307673</v>
          </cell>
          <cell r="CI99">
            <v>5.9264067704035917</v>
          </cell>
          <cell r="CJ99">
            <v>0.61285960719590094</v>
          </cell>
          <cell r="CK99">
            <v>7.2165070884221638</v>
          </cell>
          <cell r="CL99">
            <v>1.2977709607912891</v>
          </cell>
          <cell r="CM99">
            <v>-3.5303056760548568</v>
          </cell>
          <cell r="CN99">
            <v>0.85607446062432313</v>
          </cell>
          <cell r="CO99">
            <v>-3.9509499404933535</v>
          </cell>
          <cell r="CP99">
            <v>19.872363056195731</v>
          </cell>
          <cell r="CQ99">
            <v>14.158980125991194</v>
          </cell>
        </row>
        <row r="100">
          <cell r="A100" t="str">
            <v>1990/91</v>
          </cell>
          <cell r="CD100">
            <v>-0.9361619785519637</v>
          </cell>
          <cell r="CE100">
            <v>-1.6661830588998283</v>
          </cell>
          <cell r="CF100">
            <v>-0.46300265129455198</v>
          </cell>
          <cell r="CG100">
            <v>-3.1384196094827344</v>
          </cell>
          <cell r="CH100">
            <v>15.013554286012891</v>
          </cell>
          <cell r="CI100">
            <v>-0.74291696466856072</v>
          </cell>
          <cell r="CJ100">
            <v>-0.33376467063075665</v>
          </cell>
          <cell r="CK100">
            <v>-5.9603007176234346E-2</v>
          </cell>
          <cell r="CL100">
            <v>1.6338021869789721</v>
          </cell>
          <cell r="CM100">
            <v>-3.2470764214653447</v>
          </cell>
          <cell r="CN100">
            <v>0.88484253071834384</v>
          </cell>
          <cell r="CO100">
            <v>-3.9600679147115958</v>
          </cell>
          <cell r="CP100">
            <v>17.42088139603668</v>
          </cell>
          <cell r="CQ100">
            <v>11.781841471738574</v>
          </cell>
        </row>
        <row r="101">
          <cell r="A101" t="str">
            <v>1991/92</v>
          </cell>
          <cell r="CD101">
            <v>3.7295450944531794</v>
          </cell>
          <cell r="CE101">
            <v>6.1682189898190742</v>
          </cell>
          <cell r="CF101">
            <v>1.4662304349499777</v>
          </cell>
          <cell r="CG101">
            <v>3.5757296077366663</v>
          </cell>
          <cell r="CH101">
            <v>25.099658077550203</v>
          </cell>
          <cell r="CI101">
            <v>2.8406625647147132</v>
          </cell>
          <cell r="CJ101">
            <v>1.4788588395203135</v>
          </cell>
          <cell r="CK101">
            <v>3.5059178120038226</v>
          </cell>
          <cell r="CL101">
            <v>-2.5076253545051497</v>
          </cell>
          <cell r="CM101">
            <v>-5.3493051754583076</v>
          </cell>
          <cell r="CN101">
            <v>-0.21558687281016953</v>
          </cell>
          <cell r="CO101">
            <v>-3.124074375143171</v>
          </cell>
          <cell r="CP101">
            <v>-18.778337531486155</v>
          </cell>
          <cell r="CQ101">
            <v>-21.145763292734753</v>
          </cell>
        </row>
        <row r="102">
          <cell r="A102" t="str">
            <v>1992/93</v>
          </cell>
          <cell r="CD102">
            <v>2.9364331257164533</v>
          </cell>
          <cell r="CE102">
            <v>1.6183049650107861</v>
          </cell>
          <cell r="CF102">
            <v>-0.81739420746178837</v>
          </cell>
          <cell r="CG102">
            <v>0.89034182337288659</v>
          </cell>
          <cell r="CH102">
            <v>7.4166049738560105</v>
          </cell>
          <cell r="CI102">
            <v>3.7220978036535568</v>
          </cell>
          <cell r="CJ102">
            <v>-1.3072262520454672</v>
          </cell>
          <cell r="CK102">
            <v>5.6075271041009511</v>
          </cell>
          <cell r="CL102">
            <v>3.9256924630495904</v>
          </cell>
          <cell r="CM102">
            <v>0.84153955924184398</v>
          </cell>
          <cell r="CN102">
            <v>2.5948965757559339</v>
          </cell>
          <cell r="CO102">
            <v>-0.44976293712124527</v>
          </cell>
          <cell r="CP102">
            <v>-3.9696076911148959</v>
          </cell>
          <cell r="CQ102">
            <v>-6.8194555610105017</v>
          </cell>
        </row>
        <row r="103">
          <cell r="A103" t="str">
            <v>1993/94</v>
          </cell>
          <cell r="CD103">
            <v>0.86951381977744546</v>
          </cell>
          <cell r="CE103">
            <v>5.3982450744732624</v>
          </cell>
          <cell r="CF103">
            <v>2.8291924178213819</v>
          </cell>
          <cell r="CG103">
            <v>7.8892574080484001</v>
          </cell>
          <cell r="CH103">
            <v>-23.903713661723714</v>
          </cell>
          <cell r="CI103">
            <v>2.5742199580295111</v>
          </cell>
          <cell r="CJ103">
            <v>-2.8463870160953206</v>
          </cell>
          <cell r="CK103">
            <v>2.88555425381678</v>
          </cell>
          <cell r="CL103">
            <v>-2.3839968292461045</v>
          </cell>
          <cell r="CM103">
            <v>-4.8916449613428785</v>
          </cell>
          <cell r="CN103">
            <v>1.9986617935339623</v>
          </cell>
          <cell r="CO103">
            <v>-0.62157203508851344</v>
          </cell>
          <cell r="CP103">
            <v>-8.8487001453253615</v>
          </cell>
          <cell r="CQ103">
            <v>-11.190277134693948</v>
          </cell>
        </row>
        <row r="104">
          <cell r="A104" t="str">
            <v>1994/95</v>
          </cell>
          <cell r="CD104">
            <v>3.3511988879608934</v>
          </cell>
          <cell r="CE104">
            <v>5.0770289797127832</v>
          </cell>
          <cell r="CF104">
            <v>1.0995167103151715</v>
          </cell>
          <cell r="CG104">
            <v>4.2764688715497323</v>
          </cell>
          <cell r="CH104">
            <v>7.7648042026310122</v>
          </cell>
          <cell r="CI104">
            <v>4.3367643525312971</v>
          </cell>
          <cell r="CJ104">
            <v>-1.5909351043694357</v>
          </cell>
          <cell r="CK104">
            <v>4.5605552477781197</v>
          </cell>
          <cell r="CL104">
            <v>-0.49151916165655063</v>
          </cell>
          <cell r="CM104">
            <v>-3.2026980485942325</v>
          </cell>
          <cell r="CN104">
            <v>1.1701425555094014</v>
          </cell>
          <cell r="CO104">
            <v>-1.5863094792731403</v>
          </cell>
          <cell r="CP104">
            <v>-1.5766164747564204</v>
          </cell>
          <cell r="CQ104">
            <v>-4.2582311185183963</v>
          </cell>
        </row>
        <row r="105">
          <cell r="A105" t="str">
            <v>1995/96</v>
          </cell>
          <cell r="CD105">
            <v>2.6773029148933647</v>
          </cell>
          <cell r="CE105">
            <v>5.9051109778110566</v>
          </cell>
          <cell r="CF105">
            <v>2.1044801394449735</v>
          </cell>
          <cell r="CG105">
            <v>4.6162506256868019</v>
          </cell>
          <cell r="CH105">
            <v>12.555992895981944</v>
          </cell>
          <cell r="CI105">
            <v>2.6282184270447262</v>
          </cell>
          <cell r="CJ105">
            <v>7.9792115735386915E-2</v>
          </cell>
          <cell r="CK105">
            <v>8.3755851659087277</v>
          </cell>
          <cell r="CL105">
            <v>2.3327242333141873</v>
          </cell>
          <cell r="CM105">
            <v>-0.44013420408446358</v>
          </cell>
          <cell r="CN105">
            <v>5.5496999718998463</v>
          </cell>
          <cell r="CO105">
            <v>2.6896727584671876</v>
          </cell>
          <cell r="CP105">
            <v>12.508999280057598</v>
          </cell>
          <cell r="CQ105">
            <v>9.4603994282085768</v>
          </cell>
        </row>
        <row r="106">
          <cell r="A106" t="str">
            <v>1996/97</v>
          </cell>
          <cell r="CD106">
            <v>3.1914678260396734</v>
          </cell>
          <cell r="CE106">
            <v>5.2866522178928177</v>
          </cell>
          <cell r="CF106">
            <v>1.401949949121601</v>
          </cell>
          <cell r="CG106">
            <v>3.8491837349287072</v>
          </cell>
          <cell r="CH106">
            <v>14.280958625601215</v>
          </cell>
          <cell r="CI106">
            <v>3.5126207842247625</v>
          </cell>
          <cell r="CJ106">
            <v>-0.51785573653643269</v>
          </cell>
          <cell r="CK106">
            <v>4.6956185489256619</v>
          </cell>
          <cell r="CL106">
            <v>-0.56135669291108581</v>
          </cell>
          <cell r="CM106">
            <v>-3.1493649863050921</v>
          </cell>
          <cell r="CN106">
            <v>1.4576309016377964</v>
          </cell>
          <cell r="CO106">
            <v>-1.1829239316644147</v>
          </cell>
          <cell r="CP106">
            <v>7.4228123500239995</v>
          </cell>
          <cell r="CQ106">
            <v>4.6270066147928057</v>
          </cell>
        </row>
        <row r="107">
          <cell r="A107" t="str">
            <v>1997/98</v>
          </cell>
          <cell r="CD107">
            <v>1.52565892482317</v>
          </cell>
          <cell r="CE107">
            <v>2.4389651165247495</v>
          </cell>
          <cell r="CF107">
            <v>0.63375903075596796</v>
          </cell>
          <cell r="CG107">
            <v>1.7132241402253001</v>
          </cell>
          <cell r="CH107">
            <v>7.4633974517937531</v>
          </cell>
          <cell r="CI107">
            <v>1.9798623642556912</v>
          </cell>
          <cell r="CJ107">
            <v>-0.74109972461855023</v>
          </cell>
          <cell r="CK107">
            <v>3.7227290076735864</v>
          </cell>
          <cell r="CL107">
            <v>1.2531988093481328</v>
          </cell>
          <cell r="CM107">
            <v>-0.37832499765817484</v>
          </cell>
          <cell r="CN107">
            <v>2.1640539998635022</v>
          </cell>
          <cell r="CO107">
            <v>0.51785330417086772</v>
          </cell>
          <cell r="CP107">
            <v>-18.585256887565158</v>
          </cell>
          <cell r="CQ107">
            <v>-19.897117581263814</v>
          </cell>
        </row>
        <row r="108">
          <cell r="A108" t="str">
            <v>1998/99</v>
          </cell>
          <cell r="CD108">
            <v>4.159534760407313</v>
          </cell>
          <cell r="CE108">
            <v>4.0863606171890554</v>
          </cell>
          <cell r="CF108">
            <v>-4.9938047255778883E-2</v>
          </cell>
          <cell r="CG108">
            <v>2.2600278840717358</v>
          </cell>
          <cell r="CH108">
            <v>18.814561627282501</v>
          </cell>
          <cell r="CI108">
            <v>4.4949015916440738</v>
          </cell>
          <cell r="CJ108">
            <v>-0.53165151556487444</v>
          </cell>
          <cell r="CK108">
            <v>1.5748903202777553</v>
          </cell>
          <cell r="CL108">
            <v>-2.4128716596673483</v>
          </cell>
          <cell r="CM108">
            <v>-4.2505226338051543</v>
          </cell>
          <cell r="CN108">
            <v>-2.4814285567566263</v>
          </cell>
          <cell r="CO108">
            <v>-4.317788544563939</v>
          </cell>
          <cell r="CP108">
            <v>-9.1092006584964409</v>
          </cell>
          <cell r="CQ108">
            <v>-10.820753901128821</v>
          </cell>
        </row>
        <row r="109">
          <cell r="A109" t="str">
            <v>1999/00</v>
          </cell>
          <cell r="CD109">
            <v>4.0242000256861532</v>
          </cell>
          <cell r="CE109">
            <v>6.0755210155150063</v>
          </cell>
          <cell r="CF109">
            <v>1.4007704544066826</v>
          </cell>
          <cell r="CG109">
            <v>4.2215116522416496</v>
          </cell>
          <cell r="CH109">
            <v>19.074913609320674</v>
          </cell>
          <cell r="CI109">
            <v>4.405483935560639</v>
          </cell>
          <cell r="CJ109">
            <v>-0.60301921084715104</v>
          </cell>
          <cell r="CK109">
            <v>10.04908871527206</v>
          </cell>
          <cell r="CL109">
            <v>3.7459799034839092</v>
          </cell>
          <cell r="CM109">
            <v>0.56610409800710304</v>
          </cell>
          <cell r="CN109">
            <v>5.7918144894151702</v>
          </cell>
          <cell r="CO109">
            <v>2.549232640698329</v>
          </cell>
          <cell r="CP109">
            <v>48.057959347957336</v>
          </cell>
          <cell r="CQ109">
            <v>43.519895095474183</v>
          </cell>
        </row>
        <row r="110">
          <cell r="A110" t="str">
            <v>2000/01</v>
          </cell>
          <cell r="CD110">
            <v>1.0181023543093248</v>
          </cell>
          <cell r="CE110">
            <v>-0.74827934745597124</v>
          </cell>
          <cell r="CF110">
            <v>-1.2665836389778065</v>
          </cell>
          <cell r="CG110">
            <v>-2.5801839275376048</v>
          </cell>
          <cell r="CH110">
            <v>20.522079861878638</v>
          </cell>
          <cell r="CI110">
            <v>2.3299068042429205</v>
          </cell>
          <cell r="CJ110">
            <v>-2.1090339720062161</v>
          </cell>
          <cell r="CK110">
            <v>-3.8423298814293405</v>
          </cell>
          <cell r="CL110">
            <v>-3.1173772239222797</v>
          </cell>
          <cell r="CM110">
            <v>-6.1319308620638839</v>
          </cell>
          <cell r="CN110">
            <v>-4.811446782766982</v>
          </cell>
          <cell r="CO110">
            <v>-7.7732885577741389</v>
          </cell>
          <cell r="CP110">
            <v>13.320647002854447</v>
          </cell>
          <cell r="CQ110">
            <v>9.7946156165182874</v>
          </cell>
        </row>
        <row r="111">
          <cell r="A111" t="str">
            <v>2001/02</v>
          </cell>
          <cell r="CD111">
            <v>-9.7982208148571495</v>
          </cell>
          <cell r="CE111">
            <v>-9.7615400845168292</v>
          </cell>
          <cell r="CF111">
            <v>2.8940779974448105E-2</v>
          </cell>
          <cell r="CG111">
            <v>-10.694758578864239</v>
          </cell>
          <cell r="CH111">
            <v>11.61884498524887</v>
          </cell>
          <cell r="CI111">
            <v>-9.7382922385785839</v>
          </cell>
          <cell r="CJ111">
            <v>-0.10783111492304442</v>
          </cell>
          <cell r="CK111">
            <v>-17.976891388963899</v>
          </cell>
          <cell r="CL111">
            <v>-9.1040464477579963</v>
          </cell>
          <cell r="CM111">
            <v>-10.44648109552555</v>
          </cell>
          <cell r="CN111">
            <v>-9.0670834300504044</v>
          </cell>
          <cell r="CO111">
            <v>-10.41006398149924</v>
          </cell>
          <cell r="CP111">
            <v>-18.09928499339194</v>
          </cell>
          <cell r="CQ111">
            <v>-19.308869724120537</v>
          </cell>
        </row>
        <row r="112">
          <cell r="A112" t="str">
            <v>2002/03</v>
          </cell>
          <cell r="CD112">
            <v>-1.7975410759758614</v>
          </cell>
          <cell r="CE112">
            <v>1.2116865917590758</v>
          </cell>
          <cell r="CF112">
            <v>2.1817079580631287</v>
          </cell>
          <cell r="CG112">
            <v>-0.27148381770942809</v>
          </cell>
          <cell r="CH112">
            <v>16.708712646332742</v>
          </cell>
          <cell r="CI112">
            <v>-1.7066960647096452</v>
          </cell>
          <cell r="CJ112">
            <v>-0.15000384421418289</v>
          </cell>
          <cell r="CK112">
            <v>1.4223769629981398</v>
          </cell>
          <cell r="CL112">
            <v>0.20816802716556726</v>
          </cell>
          <cell r="CM112">
            <v>-2.1042229058711559</v>
          </cell>
          <cell r="CN112">
            <v>3.2788568374495952</v>
          </cell>
          <cell r="CO112">
            <v>0.89560708019853497</v>
          </cell>
          <cell r="CP112">
            <v>21.96022052172022</v>
          </cell>
          <cell r="CQ112">
            <v>19.145881993456413</v>
          </cell>
        </row>
        <row r="113">
          <cell r="A113" t="str">
            <v>2003/04</v>
          </cell>
          <cell r="CD113">
            <v>5.6345217367847145</v>
          </cell>
          <cell r="CE113">
            <v>9.2433413049869841</v>
          </cell>
          <cell r="CF113">
            <v>2.5068683668869767</v>
          </cell>
          <cell r="CG113">
            <v>4.9682212313087115</v>
          </cell>
          <cell r="CH113">
            <v>46.437954226980082</v>
          </cell>
          <cell r="CI113">
            <v>4.7994261957442053</v>
          </cell>
          <cell r="CJ113">
            <v>1.2921142863673367</v>
          </cell>
          <cell r="CK113">
            <v>6.5129778889966961</v>
          </cell>
          <cell r="CL113">
            <v>-2.4993408141624096</v>
          </cell>
          <cell r="CM113">
            <v>-4.7112235677252308</v>
          </cell>
          <cell r="CN113">
            <v>0.83159949774833652</v>
          </cell>
          <cell r="CO113">
            <v>-1.4558483800975575</v>
          </cell>
          <cell r="CP113">
            <v>22.566626819901735</v>
          </cell>
          <cell r="CQ113">
            <v>19.786101946643342</v>
          </cell>
        </row>
        <row r="114">
          <cell r="A114" t="str">
            <v>2004/05</v>
          </cell>
          <cell r="CD114">
            <v>3.9806293024259753</v>
          </cell>
          <cell r="CE114">
            <v>6.7279713824999199</v>
          </cell>
          <cell r="CF114">
            <v>2.0050334982145159</v>
          </cell>
          <cell r="CG114">
            <v>4.8690998648338368</v>
          </cell>
          <cell r="CH114">
            <v>21.033985477389024</v>
          </cell>
          <cell r="CI114">
            <v>3.1158776300439506</v>
          </cell>
          <cell r="CJ114">
            <v>1.3706813449306026</v>
          </cell>
          <cell r="CK114">
            <v>6.6275187484875264</v>
          </cell>
          <cell r="CL114">
            <v>-9.4120250494023061E-2</v>
          </cell>
          <cell r="CM114">
            <v>-3.2778914496514155</v>
          </cell>
          <cell r="CN114">
            <v>2.5455601334774869</v>
          </cell>
          <cell r="CO114">
            <v>-0.72233162397479234</v>
          </cell>
          <cell r="CP114">
            <v>48.507087428601572</v>
          </cell>
          <cell r="CQ114">
            <v>43.774507234008283</v>
          </cell>
        </row>
        <row r="115">
          <cell r="A115" t="str">
            <v>2005/06</v>
          </cell>
          <cell r="CD115">
            <v>-0.41387422010255026</v>
          </cell>
          <cell r="CE115">
            <v>1.6428436954999404</v>
          </cell>
          <cell r="CF115">
            <v>1.608655481801037</v>
          </cell>
          <cell r="CG115">
            <v>-0.47654395280044559</v>
          </cell>
          <cell r="CH115">
            <v>25.717893968892895</v>
          </cell>
          <cell r="CI115">
            <v>-0.80392577729579973</v>
          </cell>
          <cell r="CJ115">
            <v>0.64807469499268677</v>
          </cell>
          <cell r="CK115">
            <v>9.9768871526381595</v>
          </cell>
          <cell r="CL115">
            <v>8.1993410988236768</v>
          </cell>
          <cell r="CM115">
            <v>4.3829206338091176</v>
          </cell>
          <cell r="CN115">
            <v>10.433944780326222</v>
          </cell>
          <cell r="CO115">
            <v>6.5387050994580864</v>
          </cell>
          <cell r="CP115">
            <v>30.443538800674542</v>
          </cell>
          <cell r="CQ115">
            <v>25.84251825884769</v>
          </cell>
        </row>
        <row r="116">
          <cell r="A116" t="str">
            <v>2006/07</v>
          </cell>
          <cell r="CD116">
            <v>2.8486494145769425</v>
          </cell>
          <cell r="CE116">
            <v>3.9767449148212286</v>
          </cell>
          <cell r="CF116">
            <v>0.87199178398030597</v>
          </cell>
          <cell r="CG116">
            <v>3.6379103255223644</v>
          </cell>
          <cell r="CH116">
            <v>4.032467723257696</v>
          </cell>
          <cell r="CI116">
            <v>2.3075650202563969</v>
          </cell>
          <cell r="CJ116">
            <v>0.87510294504400576</v>
          </cell>
          <cell r="CK116">
            <v>6.3767021312431504</v>
          </cell>
          <cell r="CL116">
            <v>2.3081672910495232</v>
          </cell>
          <cell r="CM116">
            <v>-4.5477262224979942E-2</v>
          </cell>
          <cell r="CN116">
            <v>3.4303345126534657</v>
          </cell>
          <cell r="CO116">
            <v>1.0508740070564127</v>
          </cell>
          <cell r="CP116">
            <v>-0.36577578222757312</v>
          </cell>
          <cell r="CQ116">
            <v>-2.6579050946682004</v>
          </cell>
        </row>
        <row r="117">
          <cell r="A117" t="str">
            <v>2007/08</v>
          </cell>
          <cell r="CD117">
            <v>0.9267408839118696</v>
          </cell>
          <cell r="CE117">
            <v>0.60138170229022681</v>
          </cell>
          <cell r="CF117">
            <v>-0.25909531562184895</v>
          </cell>
          <cell r="CG117">
            <v>-1.4069764332995338</v>
          </cell>
          <cell r="CH117">
            <v>25.206604873638071</v>
          </cell>
          <cell r="CI117">
            <v>0.41004434766345188</v>
          </cell>
          <cell r="CJ117">
            <v>0.85595537079441897</v>
          </cell>
          <cell r="CK117">
            <v>6.6594108195541679</v>
          </cell>
          <cell r="CL117">
            <v>6.0218150235664458</v>
          </cell>
          <cell r="CM117">
            <v>1.5125286544025451</v>
          </cell>
          <cell r="CN117">
            <v>5.6800307682937534</v>
          </cell>
          <cell r="CO117">
            <v>1.18528105918565</v>
          </cell>
          <cell r="CP117">
            <v>52.116751269035547</v>
          </cell>
          <cell r="CQ117">
            <v>45.646969622055792</v>
          </cell>
        </row>
        <row r="118">
          <cell r="A118" t="str">
            <v>2008/09</v>
          </cell>
        </row>
        <row r="119">
          <cell r="A119" t="str">
            <v>2009/10</v>
          </cell>
        </row>
        <row r="120">
          <cell r="A120" t="str">
            <v>2010/11</v>
          </cell>
        </row>
        <row r="121">
          <cell r="A121" t="str">
            <v>2011/12</v>
          </cell>
        </row>
        <row r="122">
          <cell r="A122" t="str">
            <v>2012/13</v>
          </cell>
        </row>
        <row r="123">
          <cell r="A123" t="str">
            <v>2013/14</v>
          </cell>
        </row>
        <row r="124">
          <cell r="A124" t="str">
            <v>2014/15</v>
          </cell>
        </row>
        <row r="125">
          <cell r="A125" t="str">
            <v>2015/16</v>
          </cell>
        </row>
        <row r="126">
          <cell r="A126" t="str">
            <v>2016/17</v>
          </cell>
        </row>
        <row r="127">
          <cell r="A127" t="str">
            <v>2017/18</v>
          </cell>
        </row>
        <row r="128">
          <cell r="A128" t="str">
            <v>2018/19</v>
          </cell>
        </row>
        <row r="129">
          <cell r="A129" t="str">
            <v>2019/20</v>
          </cell>
        </row>
        <row r="130">
          <cell r="A130" t="str">
            <v>2020/21</v>
          </cell>
        </row>
        <row r="131">
          <cell r="A131" t="str">
            <v>2021/22</v>
          </cell>
        </row>
        <row r="132">
          <cell r="A132" t="str">
            <v>2022/23</v>
          </cell>
        </row>
        <row r="133">
          <cell r="A133" t="str">
            <v>2023/24</v>
          </cell>
        </row>
        <row r="134">
          <cell r="A134" t="str">
            <v>2024/25</v>
          </cell>
        </row>
        <row r="135">
          <cell r="A135" t="str">
            <v>2025/26</v>
          </cell>
        </row>
        <row r="136">
          <cell r="A136" t="str">
            <v>2026/27</v>
          </cell>
        </row>
        <row r="137">
          <cell r="A137" t="str">
            <v>2027/28</v>
          </cell>
        </row>
        <row r="138">
          <cell r="A138" t="str">
            <v>2028/29</v>
          </cell>
        </row>
        <row r="139">
          <cell r="A139" t="str">
            <v>2029/30</v>
          </cell>
        </row>
        <row r="140">
          <cell r="A140" t="str">
            <v>2030/31</v>
          </cell>
        </row>
        <row r="141">
          <cell r="A141">
            <v>0</v>
          </cell>
        </row>
        <row r="142">
          <cell r="A142" t="str">
            <v>(00-10)</v>
          </cell>
        </row>
        <row r="143">
          <cell r="A143" t="str">
            <v>(10-31)</v>
          </cell>
        </row>
        <row r="144">
          <cell r="A144" t="str">
            <v>(11-31)</v>
          </cell>
        </row>
        <row r="145">
          <cell r="A145" t="str">
            <v>(12-31)</v>
          </cell>
        </row>
        <row r="146">
          <cell r="A146" t="str">
            <v>(20-31)</v>
          </cell>
        </row>
        <row r="147">
          <cell r="A147" t="str">
            <v xml:space="preserve"> 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39">
          <cell r="A639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M20" sqref="M20"/>
    </sheetView>
  </sheetViews>
  <sheetFormatPr defaultColWidth="9.140625" defaultRowHeight="15" x14ac:dyDescent="0.25"/>
  <cols>
    <col min="1" max="1" width="16.140625" style="15" bestFit="1" customWidth="1"/>
    <col min="2" max="16384" width="9.140625" style="15"/>
  </cols>
  <sheetData>
    <row r="1" spans="1:18" ht="15.75" thickBot="1" x14ac:dyDescent="0.3"/>
    <row r="2" spans="1:18" ht="15.75" thickBot="1" x14ac:dyDescent="0.3">
      <c r="A2" s="127" t="s">
        <v>132</v>
      </c>
      <c r="B2" s="128">
        <f>Calculations!D15</f>
        <v>2014</v>
      </c>
      <c r="C2" s="128">
        <f>Calculations!E15</f>
        <v>2015</v>
      </c>
      <c r="D2" s="128">
        <f>Calculations!F15</f>
        <v>2016</v>
      </c>
      <c r="E2" s="128">
        <f>Calculations!G15</f>
        <v>2017</v>
      </c>
      <c r="F2" s="128">
        <f>Calculations!H15</f>
        <v>2018</v>
      </c>
      <c r="G2" s="128">
        <f>Calculations!I15</f>
        <v>2019</v>
      </c>
      <c r="H2" s="128">
        <f>Calculations!J15</f>
        <v>2020</v>
      </c>
      <c r="I2" s="128">
        <f>Calculations!K15</f>
        <v>2021</v>
      </c>
      <c r="J2" s="128">
        <f>Calculations!L15</f>
        <v>2022</v>
      </c>
      <c r="K2" s="128">
        <f>Calculations!M15</f>
        <v>2023</v>
      </c>
      <c r="L2" s="128">
        <f>Calculations!N15</f>
        <v>2024</v>
      </c>
      <c r="M2" s="128">
        <f>Calculations!O15</f>
        <v>2025</v>
      </c>
      <c r="N2" s="128">
        <f>Calculations!P15</f>
        <v>2026</v>
      </c>
      <c r="O2" s="128">
        <f>Calculations!Q15</f>
        <v>2027</v>
      </c>
      <c r="P2" s="128">
        <f>Calculations!R15</f>
        <v>2028</v>
      </c>
      <c r="Q2" s="128">
        <f>Calculations!S15</f>
        <v>2029</v>
      </c>
      <c r="R2" s="129">
        <f>Calculations!T15</f>
        <v>2030</v>
      </c>
    </row>
    <row r="3" spans="1:18" x14ac:dyDescent="0.25">
      <c r="A3" s="130" t="s">
        <v>63</v>
      </c>
      <c r="B3" s="163">
        <f>Calculations!D24*1000000*3.6/115.83/1000000</f>
        <v>8.4537684537684541</v>
      </c>
      <c r="C3" s="163">
        <f>Calculations!E24*1000000*3.6/115.83/1000000</f>
        <v>12.960372960372959</v>
      </c>
      <c r="D3" s="163">
        <f>Calculations!F24*1000000*3.6/115.83/1000000</f>
        <v>22.074269000000001</v>
      </c>
      <c r="E3" s="163">
        <f>Calculations!G24*1000000*3.6/115.83/1000000</f>
        <v>31.756862752913754</v>
      </c>
      <c r="F3" s="163">
        <f>Calculations!H24*1000000*3.6/115.83/1000000</f>
        <v>37.098325283605284</v>
      </c>
      <c r="G3" s="163">
        <f>Calculations!I24*1000000*3.6/115.83/1000000</f>
        <v>42.000745174825177</v>
      </c>
      <c r="H3" s="163">
        <f>Calculations!J24*1000000*3.6/115.83/1000000</f>
        <v>48.57037376845377</v>
      </c>
      <c r="I3" s="163">
        <f>Calculations!K24*1000000*3.6/115.83/1000000</f>
        <v>56.821560093240095</v>
      </c>
      <c r="J3" s="163">
        <f>Calculations!L24*1000000*3.6/115.83/1000000</f>
        <v>66.020821383061389</v>
      </c>
      <c r="K3" s="163">
        <f>Calculations!M24*1000000*3.6/115.83/1000000</f>
        <v>75.974049914529914</v>
      </c>
      <c r="L3" s="163">
        <f>Calculations!N24*1000000*3.6/115.83/1000000</f>
        <v>86.86451742035743</v>
      </c>
      <c r="M3" s="163">
        <f>Calculations!O24*1000000*3.6/115.83/1000000</f>
        <v>98.643882517482524</v>
      </c>
      <c r="N3" s="163">
        <f>Calculations!P24*1000000*3.6/115.83/1000000</f>
        <v>110.8651977000777</v>
      </c>
      <c r="O3" s="163">
        <f>Calculations!Q24*1000000*3.6/115.83/1000000</f>
        <v>123.08651288267289</v>
      </c>
      <c r="P3" s="163">
        <f>Calculations!R24*1000000*3.6/115.83/1000000</f>
        <v>135.30782806526807</v>
      </c>
      <c r="Q3" s="163">
        <f>Calculations!S24*1000000*3.6/115.83/1000000</f>
        <v>147.52914324786323</v>
      </c>
      <c r="R3" s="164">
        <f>Calculations!T24*1000000*3.6/115.83/1000000</f>
        <v>159.75045843045842</v>
      </c>
    </row>
    <row r="4" spans="1:18" x14ac:dyDescent="0.25">
      <c r="A4" s="131" t="s">
        <v>5</v>
      </c>
      <c r="B4" s="165">
        <f>Calculations!D23*120/115.83</f>
        <v>3.5318217136398954E-2</v>
      </c>
      <c r="C4" s="165">
        <f>Calculations!E23*120/115.83</f>
        <v>0.37672764945492215</v>
      </c>
      <c r="D4" s="165">
        <f>Calculations!F23*120/115.83</f>
        <v>3.0075110075110075E-3</v>
      </c>
      <c r="E4" s="165">
        <f>Calculations!G23*120/115.83</f>
        <v>0.27785029785029786</v>
      </c>
      <c r="F4" s="165">
        <f>Calculations!H23*120/115.83</f>
        <v>0.74498834498834499</v>
      </c>
      <c r="G4" s="165">
        <f>Calculations!I23*120/115.83</f>
        <v>1.3857549857549858</v>
      </c>
      <c r="H4" s="165">
        <f>Calculations!J23*120/115.83</f>
        <v>2.4675472675472681</v>
      </c>
      <c r="I4" s="165">
        <f>Calculations!K23*120/115.83</f>
        <v>3.9978243978243984</v>
      </c>
      <c r="J4" s="165">
        <f>Calculations!L23*120/115.83</f>
        <v>6.3402227402227407</v>
      </c>
      <c r="K4" s="165">
        <f>Calculations!M23*120/115.83</f>
        <v>9.5550375550375559</v>
      </c>
      <c r="L4" s="165">
        <f>Calculations!N23*120/115.83</f>
        <v>13.343382543382543</v>
      </c>
      <c r="M4" s="165">
        <f>Calculations!O23*120/115.83</f>
        <v>17.714063714063716</v>
      </c>
      <c r="N4" s="165">
        <f>Calculations!P23*120/115.83</f>
        <v>22.381248381248383</v>
      </c>
      <c r="O4" s="165">
        <f>Calculations!Q23*120/115.83</f>
        <v>27.048433048433047</v>
      </c>
      <c r="P4" s="165">
        <f>Calculations!R23*120/115.83</f>
        <v>31.715617715617714</v>
      </c>
      <c r="Q4" s="165">
        <f>Calculations!S23*120/115.83</f>
        <v>36.382802382802375</v>
      </c>
      <c r="R4" s="166">
        <f>Calculations!T23*120/115.83</f>
        <v>41.049987049987045</v>
      </c>
    </row>
    <row r="5" spans="1:18" x14ac:dyDescent="0.25">
      <c r="A5" s="131" t="s">
        <v>133</v>
      </c>
      <c r="B5" s="165">
        <f>(Calculations!D35+Calculations!D36)*1000000*3.6/134.47/1000000</f>
        <v>0</v>
      </c>
      <c r="C5" s="165">
        <f>(Calculations!E35+Calculations!E36)*1000000*3.6/134.47/1000000</f>
        <v>32.126124786197664</v>
      </c>
      <c r="D5" s="165">
        <f>(Calculations!F35+Calculations!F36)*1000000*3.6/134.47/1000000</f>
        <v>32.950829479735262</v>
      </c>
      <c r="E5" s="165">
        <f>(Calculations!G35+Calculations!G36)*1000000*3.6/134.47/1000000</f>
        <v>37.85743741905258</v>
      </c>
      <c r="F5" s="165">
        <f>(Calculations!H35+Calculations!H36)*1000000*3.6/134.47/1000000</f>
        <v>38.080245704240554</v>
      </c>
      <c r="G5" s="165">
        <f>(Calculations!I35+Calculations!I36)*1000000*3.6/134.47/1000000</f>
        <v>38.390546506962409</v>
      </c>
      <c r="H5" s="165">
        <f>(Calculations!J35+Calculations!J36)*1000000*3.6/134.47/1000000</f>
        <v>38.841137830468519</v>
      </c>
      <c r="I5" s="165">
        <f>(Calculations!K35+Calculations!K36)*1000000*3.6/134.47/1000000</f>
        <v>39.358514793443398</v>
      </c>
      <c r="J5" s="165">
        <f>(Calculations!L35+Calculations!L36)*1000000*3.6/134.47/1000000</f>
        <v>40.40683112996939</v>
      </c>
      <c r="K5" s="165">
        <f>(Calculations!M35+Calculations!M36)*1000000*3.6/134.47/1000000</f>
        <v>41.712792181083351</v>
      </c>
      <c r="L5" s="165">
        <f>(Calculations!N35+Calculations!N36)*1000000*3.6/134.47/1000000</f>
        <v>44.186863117429915</v>
      </c>
      <c r="M5" s="165">
        <f>(Calculations!O35+Calculations!O36)*1000000*3.6/134.47/1000000</f>
        <v>47.185927737360331</v>
      </c>
      <c r="N5" s="165">
        <f>(Calculations!P35+Calculations!P36)*1000000*3.6/134.47/1000000</f>
        <v>50.737505502046034</v>
      </c>
      <c r="O5" s="165">
        <f>(Calculations!Q35+Calculations!Q36)*1000000*3.6/134.47/1000000</f>
        <v>54.493617296792209</v>
      </c>
      <c r="P5" s="165">
        <f>(Calculations!R35+Calculations!R36)*1000000*3.6/134.47/1000000</f>
        <v>58.044305977880015</v>
      </c>
      <c r="Q5" s="165">
        <f>(Calculations!S35+Calculations!S36)*1000000*3.6/134.47/1000000</f>
        <v>61.602077359238336</v>
      </c>
      <c r="R5" s="166">
        <f>(Calculations!T35+Calculations!T36)*1000000*3.6/134.47/1000000</f>
        <v>65.228377597215527</v>
      </c>
    </row>
    <row r="6" spans="1:18" ht="15.75" thickBot="1" x14ac:dyDescent="0.3">
      <c r="A6" s="132" t="s">
        <v>134</v>
      </c>
      <c r="B6" s="167">
        <f>Calculations!D34*120/134.47</f>
        <v>0</v>
      </c>
      <c r="C6" s="167">
        <f>Calculations!E34*120/134.47</f>
        <v>0</v>
      </c>
      <c r="D6" s="167">
        <f>Calculations!F34*120/134.47</f>
        <v>0</v>
      </c>
      <c r="E6" s="167">
        <f>Calculations!G34*120/134.47</f>
        <v>0</v>
      </c>
      <c r="F6" s="167">
        <f>Calculations!H34*120/134.47</f>
        <v>3.7983005073875593E-2</v>
      </c>
      <c r="G6" s="167">
        <f>Calculations!I34*120/134.47</f>
        <v>7.0696747347717401E-2</v>
      </c>
      <c r="H6" s="167">
        <f>Calculations!J34*120/134.47</f>
        <v>0.10801946949579677</v>
      </c>
      <c r="I6" s="167">
        <f>Calculations!K34*120/134.47</f>
        <v>0.16206386739532885</v>
      </c>
      <c r="J6" s="167">
        <f>Calculations!L34*120/134.47</f>
        <v>0.24769975897225419</v>
      </c>
      <c r="K6" s="167">
        <f>Calculations!M34*120/134.47</f>
        <v>0.33761694506817985</v>
      </c>
      <c r="L6" s="167">
        <f>Calculations!N34*120/134.47</f>
        <v>0.50725013807884145</v>
      </c>
      <c r="M6" s="167">
        <f>Calculations!O34*120/134.47</f>
        <v>0.71879227758864361</v>
      </c>
      <c r="N6" s="167">
        <f>Calculations!P34*120/134.47</f>
        <v>1.0001298906714089</v>
      </c>
      <c r="O6" s="167">
        <f>Calculations!Q34*120/134.47</f>
        <v>1.3648001016638454</v>
      </c>
      <c r="P6" s="167">
        <f>Calculations!R34*120/134.47</f>
        <v>1.8111907337565873</v>
      </c>
      <c r="Q6" s="167">
        <f>Calculations!S34*120/134.47</f>
        <v>2.390823125198275</v>
      </c>
      <c r="R6" s="168">
        <f>Calculations!T34*120/134.47</f>
        <v>3.1462848521873688</v>
      </c>
    </row>
    <row r="8" spans="1:18" ht="15.75" thickBot="1" x14ac:dyDescent="0.3"/>
    <row r="9" spans="1:18" ht="15.75" thickBot="1" x14ac:dyDescent="0.3">
      <c r="A9" s="133" t="s">
        <v>137</v>
      </c>
      <c r="B9" s="134">
        <f>-Calculations!D9</f>
        <v>-0.01</v>
      </c>
      <c r="C9" s="134">
        <f>-Calculations!E9</f>
        <v>-0.01</v>
      </c>
      <c r="D9" s="134">
        <f>-Calculations!F9</f>
        <v>-0.02</v>
      </c>
      <c r="E9" s="134">
        <f>-Calculations!G9</f>
        <v>-3.5000000000000003E-2</v>
      </c>
      <c r="F9" s="134">
        <f>-Calculations!H9</f>
        <v>-0.05</v>
      </c>
      <c r="G9" s="134">
        <f>-Calculations!I9</f>
        <v>-6.25E-2</v>
      </c>
      <c r="H9" s="134">
        <f>-Calculations!J9</f>
        <v>-7.4999999999999997E-2</v>
      </c>
      <c r="I9" s="134">
        <f>-Calculations!K9</f>
        <v>-8.7499999999999994E-2</v>
      </c>
      <c r="J9" s="134">
        <f>-Calculations!L9</f>
        <v>-0.1</v>
      </c>
      <c r="K9" s="134">
        <f>-Calculations!M9</f>
        <v>-0.1125</v>
      </c>
      <c r="L9" s="134">
        <f>-Calculations!N9</f>
        <v>-0.125</v>
      </c>
      <c r="M9" s="134">
        <f>-Calculations!O9</f>
        <v>-0.13750000000000001</v>
      </c>
      <c r="N9" s="134">
        <f>-Calculations!P9</f>
        <v>-0.15</v>
      </c>
      <c r="O9" s="134">
        <f>-Calculations!Q9</f>
        <v>-0.16250000000000001</v>
      </c>
      <c r="P9" s="134">
        <f>-Calculations!R9</f>
        <v>-0.17499999999999999</v>
      </c>
      <c r="Q9" s="134">
        <f>-Calculations!S9</f>
        <v>-0.1875</v>
      </c>
      <c r="R9" s="135">
        <f>-Calculations!T9</f>
        <v>-0.2</v>
      </c>
    </row>
    <row r="10" spans="1:18" x14ac:dyDescent="0.25">
      <c r="A10" s="15" t="s">
        <v>140</v>
      </c>
      <c r="B10" s="15">
        <f>Calculations!D12</f>
        <v>0</v>
      </c>
      <c r="C10" s="162">
        <f>Calculations!E12</f>
        <v>2.8449780000000002</v>
      </c>
      <c r="D10" s="162">
        <f>Calculations!F12</f>
        <v>2.6112839999999995</v>
      </c>
      <c r="E10" s="162">
        <f>Calculations!G12</f>
        <v>5.5264916106951389E-2</v>
      </c>
      <c r="F10" s="162">
        <f>Calculations!H12</f>
        <v>-0.27094943699852791</v>
      </c>
      <c r="G10" s="162">
        <f>Calculations!I12</f>
        <v>-0.96073760864617697</v>
      </c>
      <c r="H10" s="162">
        <f>Calculations!J12</f>
        <v>-1.1666067425151088</v>
      </c>
      <c r="I10" s="162">
        <f>Calculations!K12</f>
        <v>-0.73588472104382063</v>
      </c>
      <c r="J10" s="162">
        <f>Calculations!L12</f>
        <v>0.24997856089922266</v>
      </c>
      <c r="K10" s="162">
        <f>Calculations!M12</f>
        <v>0.39793282788246032</v>
      </c>
      <c r="L10" s="162">
        <f>Calculations!N12</f>
        <v>0.29394408701290331</v>
      </c>
      <c r="M10" s="162">
        <f>Calculations!O12</f>
        <v>-9.7299058505413427E-3</v>
      </c>
      <c r="N10" s="162">
        <f>Calculations!P12</f>
        <v>-0.2739165622170141</v>
      </c>
      <c r="O10" s="162">
        <f>Calculations!Q12</f>
        <v>-0.27622483290736</v>
      </c>
      <c r="P10" s="162">
        <f>Calculations!R12</f>
        <v>-9.231158519344973E-3</v>
      </c>
      <c r="Q10" s="162">
        <f>Calculations!S12</f>
        <v>-0.64364851142227053</v>
      </c>
      <c r="R10" s="162">
        <f>Calculations!T12</f>
        <v>-0.55745958980769927</v>
      </c>
    </row>
    <row r="11" spans="1:18" x14ac:dyDescent="0.25">
      <c r="A11" s="15" t="s">
        <v>141</v>
      </c>
      <c r="B11" s="136">
        <f>Calculations!D13</f>
        <v>0</v>
      </c>
      <c r="C11" s="162">
        <f>Calculations!E13</f>
        <v>7.2574990000000001</v>
      </c>
      <c r="D11" s="162">
        <f>Calculations!F13</f>
        <v>9.8687830000000005</v>
      </c>
      <c r="E11" s="162">
        <f>Calculations!G13</f>
        <v>9.9240479161069519</v>
      </c>
      <c r="F11" s="162">
        <f>Calculations!H13</f>
        <v>9.653098479108424</v>
      </c>
      <c r="G11" s="162">
        <f>Calculations!I13</f>
        <v>8.692360870462247</v>
      </c>
      <c r="H11" s="162">
        <f>Calculations!J13</f>
        <v>7.5257541279471383</v>
      </c>
      <c r="I11" s="162">
        <f>Calculations!K13</f>
        <v>6.7898694069033176</v>
      </c>
      <c r="J11" s="162">
        <f>Calculations!L13</f>
        <v>7.0398479678025403</v>
      </c>
      <c r="K11" s="162">
        <f>Calculations!M13</f>
        <v>7.4377807956850006</v>
      </c>
      <c r="L11" s="162">
        <f>Calculations!N13</f>
        <v>7.7317248826979039</v>
      </c>
      <c r="M11" s="162">
        <f>Calculations!O13</f>
        <v>7.7219949768473626</v>
      </c>
      <c r="N11" s="162">
        <f>Calculations!P13</f>
        <v>7.4480784146303485</v>
      </c>
      <c r="O11" s="162">
        <f>Calculations!Q13</f>
        <v>7.1718535817229885</v>
      </c>
      <c r="P11" s="162">
        <f>Calculations!R13</f>
        <v>7.1626224232036435</v>
      </c>
      <c r="Q11" s="162">
        <f>Calculations!S13</f>
        <v>6.518973911781373</v>
      </c>
      <c r="R11" s="162">
        <f>Calculations!T13</f>
        <v>5.9615143219736737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50"/>
  <sheetViews>
    <sheetView zoomScale="90" zoomScaleNormal="90" workbookViewId="0"/>
  </sheetViews>
  <sheetFormatPr defaultRowHeight="15" x14ac:dyDescent="0.25"/>
  <cols>
    <col min="1" max="1" width="39.85546875" bestFit="1" customWidth="1"/>
    <col min="2" max="2" width="10.5703125" bestFit="1" customWidth="1"/>
    <col min="15" max="15" width="37.42578125" bestFit="1" customWidth="1"/>
  </cols>
  <sheetData>
    <row r="1" spans="1:27" x14ac:dyDescent="0.25">
      <c r="A1" s="301" t="s">
        <v>221</v>
      </c>
      <c r="B1" s="345" t="s">
        <v>275</v>
      </c>
      <c r="C1" s="345"/>
      <c r="D1" s="345" t="s">
        <v>202</v>
      </c>
      <c r="E1" s="345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27" x14ac:dyDescent="0.25">
      <c r="A2" s="302" t="s">
        <v>222</v>
      </c>
      <c r="B2" s="303">
        <v>100.82</v>
      </c>
      <c r="C2" s="269" t="s">
        <v>44</v>
      </c>
      <c r="D2" s="269">
        <v>99.78</v>
      </c>
      <c r="E2" s="269" t="s">
        <v>44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27" x14ac:dyDescent="0.25">
      <c r="A3" s="302" t="s">
        <v>274</v>
      </c>
      <c r="B3" s="303">
        <v>99.44</v>
      </c>
      <c r="C3" s="269" t="s">
        <v>44</v>
      </c>
      <c r="D3" s="269">
        <v>98.47</v>
      </c>
      <c r="E3" s="269" t="s">
        <v>44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</row>
    <row r="4" spans="1:27" x14ac:dyDescent="0.25">
      <c r="A4" s="302" t="s">
        <v>223</v>
      </c>
      <c r="B4" s="303">
        <v>100.45</v>
      </c>
      <c r="C4" s="269" t="s">
        <v>44</v>
      </c>
      <c r="D4" s="269">
        <v>102.01</v>
      </c>
      <c r="E4" s="269" t="s">
        <v>44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</row>
    <row r="5" spans="1:27" x14ac:dyDescent="0.25">
      <c r="A5" s="302" t="s">
        <v>228</v>
      </c>
      <c r="B5" s="303">
        <v>119.53</v>
      </c>
      <c r="C5" s="269" t="s">
        <v>24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</row>
    <row r="6" spans="1:27" x14ac:dyDescent="0.25">
      <c r="A6" s="302" t="s">
        <v>229</v>
      </c>
      <c r="B6" s="303">
        <v>134.47</v>
      </c>
      <c r="C6" s="269" t="s">
        <v>24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</row>
    <row r="7" spans="1:27" x14ac:dyDescent="0.25">
      <c r="A7" s="302" t="s">
        <v>232</v>
      </c>
      <c r="B7" s="304">
        <v>1000000</v>
      </c>
      <c r="C7" s="269" t="s">
        <v>233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</row>
    <row r="8" spans="1:27" ht="15.75" thickBot="1" x14ac:dyDescent="0.3">
      <c r="A8" s="302" t="s">
        <v>232</v>
      </c>
      <c r="B8" s="303">
        <v>100</v>
      </c>
      <c r="C8" s="269" t="s">
        <v>239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</row>
    <row r="9" spans="1:27" ht="15.75" thickBot="1" x14ac:dyDescent="0.3">
      <c r="A9" s="223" t="s">
        <v>231</v>
      </c>
      <c r="B9" s="305">
        <v>2019</v>
      </c>
      <c r="C9" s="305">
        <v>2020</v>
      </c>
      <c r="D9" s="305">
        <v>2021</v>
      </c>
      <c r="E9" s="305">
        <v>2022</v>
      </c>
      <c r="F9" s="305">
        <v>2023</v>
      </c>
      <c r="G9" s="305">
        <v>2024</v>
      </c>
      <c r="H9" s="305">
        <v>2025</v>
      </c>
      <c r="I9" s="305">
        <v>2026</v>
      </c>
      <c r="J9" s="305">
        <v>2027</v>
      </c>
      <c r="K9" s="305">
        <v>2028</v>
      </c>
      <c r="L9" s="305">
        <v>2029</v>
      </c>
      <c r="M9" s="306">
        <v>2030</v>
      </c>
      <c r="N9" s="269"/>
      <c r="O9" s="223" t="s">
        <v>230</v>
      </c>
      <c r="P9" s="305">
        <v>2019</v>
      </c>
      <c r="Q9" s="305">
        <v>2020</v>
      </c>
      <c r="R9" s="305">
        <v>2021</v>
      </c>
      <c r="S9" s="305">
        <v>2022</v>
      </c>
      <c r="T9" s="305">
        <v>2023</v>
      </c>
      <c r="U9" s="305">
        <v>2024</v>
      </c>
      <c r="V9" s="305">
        <v>2025</v>
      </c>
      <c r="W9" s="305">
        <v>2026</v>
      </c>
      <c r="X9" s="305">
        <v>2027</v>
      </c>
      <c r="Y9" s="305">
        <v>2028</v>
      </c>
      <c r="Z9" s="305">
        <v>2029</v>
      </c>
      <c r="AA9" s="306">
        <v>2030</v>
      </c>
    </row>
    <row r="10" spans="1:27" x14ac:dyDescent="0.25">
      <c r="A10" s="269" t="s">
        <v>224</v>
      </c>
      <c r="B10" s="307">
        <f>$D$3*(1-'Reduction Targets'!B6)</f>
        <v>91.08475</v>
      </c>
      <c r="C10" s="307">
        <f>$D$3*(1-'Reduction Targets'!C6)</f>
        <v>88.623000000000005</v>
      </c>
      <c r="D10" s="307">
        <f>$D$3*(1-'Reduction Targets'!D6)</f>
        <v>88.623000000000005</v>
      </c>
      <c r="E10" s="307">
        <f>$D$3*(1-'Reduction Targets'!E6)</f>
        <v>88.623000000000005</v>
      </c>
      <c r="F10" s="307">
        <f>$D$3*(1-'Reduction Targets'!F6)</f>
        <v>88.623000000000005</v>
      </c>
      <c r="G10" s="307">
        <f>$D$3*(1-'Reduction Targets'!G6)</f>
        <v>88.623000000000005</v>
      </c>
      <c r="H10" s="307">
        <f>$D$3*(1-'Reduction Targets'!H6)</f>
        <v>88.623000000000005</v>
      </c>
      <c r="I10" s="307">
        <f>$D$3*(1-'Reduction Targets'!I6)</f>
        <v>88.623000000000005</v>
      </c>
      <c r="J10" s="307">
        <f>$D$3*(1-'Reduction Targets'!J6)</f>
        <v>88.623000000000005</v>
      </c>
      <c r="K10" s="307">
        <f>$D$3*(1-'Reduction Targets'!K6)</f>
        <v>88.623000000000005</v>
      </c>
      <c r="L10" s="307">
        <f>$D$3*(1-'Reduction Targets'!L6)</f>
        <v>88.623000000000005</v>
      </c>
      <c r="M10" s="307">
        <f>$D$3*(1-'Reduction Targets'!M6)</f>
        <v>88.623000000000005</v>
      </c>
      <c r="N10" s="269"/>
      <c r="O10" s="269" t="s">
        <v>224</v>
      </c>
      <c r="P10" s="303">
        <f>$D$4*(1-'Reduction Targets'!B6)</f>
        <v>94.359250000000003</v>
      </c>
      <c r="Q10" s="303">
        <f>$D$4*(1-'Reduction Targets'!C6)</f>
        <v>91.809000000000012</v>
      </c>
      <c r="R10" s="303">
        <f>$D$4*(1-'Reduction Targets'!D6)</f>
        <v>91.809000000000012</v>
      </c>
      <c r="S10" s="303">
        <f>$D$4*(1-'Reduction Targets'!E6)</f>
        <v>91.809000000000012</v>
      </c>
      <c r="T10" s="303">
        <f>$D$4*(1-'Reduction Targets'!F6)</f>
        <v>91.809000000000012</v>
      </c>
      <c r="U10" s="303">
        <f>$D$4*(1-'Reduction Targets'!G6)</f>
        <v>91.809000000000012</v>
      </c>
      <c r="V10" s="303">
        <f>$D$4*(1-'Reduction Targets'!H6)</f>
        <v>91.809000000000012</v>
      </c>
      <c r="W10" s="303">
        <f>$D$4*(1-'Reduction Targets'!I6)</f>
        <v>91.809000000000012</v>
      </c>
      <c r="X10" s="303">
        <f>$D$4*(1-'Reduction Targets'!J6)</f>
        <v>91.809000000000012</v>
      </c>
      <c r="Y10" s="303">
        <f>$D$4*(1-'Reduction Targets'!K6)</f>
        <v>91.809000000000012</v>
      </c>
      <c r="Z10" s="303">
        <f>$D$4*(1-'Reduction Targets'!L6)</f>
        <v>91.809000000000012</v>
      </c>
      <c r="AA10" s="303">
        <f>$D$4*(1-'Reduction Targets'!M6)</f>
        <v>91.809000000000012</v>
      </c>
    </row>
    <row r="11" spans="1:27" x14ac:dyDescent="0.25">
      <c r="A11" s="269" t="s">
        <v>225</v>
      </c>
      <c r="B11" s="303">
        <f>$B$3*(1-'Reduction Targets'!B3)</f>
        <v>91.981999999999999</v>
      </c>
      <c r="C11" s="303">
        <f>$B$3*(1-'Reduction Targets'!C3)</f>
        <v>89.495999999999995</v>
      </c>
      <c r="D11" s="303">
        <f>$B$3*(1-'Reduction Targets'!D3)</f>
        <v>89.495999999999995</v>
      </c>
      <c r="E11" s="303">
        <f>$B$3*(1-'Reduction Targets'!E3)</f>
        <v>89.495999999999995</v>
      </c>
      <c r="F11" s="303">
        <f>$B$3*(1-'Reduction Targets'!F3)</f>
        <v>88.501599999999996</v>
      </c>
      <c r="G11" s="303">
        <f>$B$3*(1-'Reduction Targets'!G3)</f>
        <v>87.507199999999997</v>
      </c>
      <c r="H11" s="303">
        <f>$B$3*(1-'Reduction Targets'!H3)</f>
        <v>86.512799999999999</v>
      </c>
      <c r="I11" s="303">
        <f>$B$3*(1-'Reduction Targets'!I3)</f>
        <v>85.5184</v>
      </c>
      <c r="J11" s="303">
        <f>$B$3*(1-'Reduction Targets'!J3)</f>
        <v>84.524000000000001</v>
      </c>
      <c r="K11" s="303">
        <f>$B$3*(1-'Reduction Targets'!K3)</f>
        <v>83.529600000000002</v>
      </c>
      <c r="L11" s="303">
        <f>$B$3*(1-'Reduction Targets'!L3)</f>
        <v>82.535199999999989</v>
      </c>
      <c r="M11" s="303">
        <f>$B$3*(1-'Reduction Targets'!M3)</f>
        <v>81.54079999999999</v>
      </c>
      <c r="N11" s="269"/>
      <c r="O11" s="269" t="s">
        <v>225</v>
      </c>
      <c r="P11" s="303">
        <f>$B$4*(1-'Reduction Targets'!B3)</f>
        <v>92.916250000000005</v>
      </c>
      <c r="Q11" s="303">
        <f>$B$4*(1-'Reduction Targets'!C3)</f>
        <v>90.405000000000001</v>
      </c>
      <c r="R11" s="303">
        <f>$B$4*(1-'Reduction Targets'!D3)</f>
        <v>90.405000000000001</v>
      </c>
      <c r="S11" s="303">
        <f>$B$4*(1-'Reduction Targets'!E3)</f>
        <v>90.405000000000001</v>
      </c>
      <c r="T11" s="303">
        <f>$B$4*(1-'Reduction Targets'!F3)</f>
        <v>89.400500000000008</v>
      </c>
      <c r="U11" s="303">
        <f>$B$4*(1-'Reduction Targets'!G3)</f>
        <v>88.396000000000001</v>
      </c>
      <c r="V11" s="303">
        <f>$B$4*(1-'Reduction Targets'!H3)</f>
        <v>87.391500000000008</v>
      </c>
      <c r="W11" s="303">
        <f>$B$4*(1-'Reduction Targets'!I3)</f>
        <v>86.387</v>
      </c>
      <c r="X11" s="303">
        <f>$B$4*(1-'Reduction Targets'!J3)</f>
        <v>85.382499999999993</v>
      </c>
      <c r="Y11" s="303">
        <f>$B$4*(1-'Reduction Targets'!K3)</f>
        <v>84.378</v>
      </c>
      <c r="Z11" s="303">
        <f>$B$4*(1-'Reduction Targets'!L3)</f>
        <v>83.373499999999993</v>
      </c>
      <c r="AA11" s="303">
        <f>$B$4*(1-'Reduction Targets'!M3)</f>
        <v>82.369</v>
      </c>
    </row>
    <row r="12" spans="1:27" x14ac:dyDescent="0.25">
      <c r="A12" s="269" t="s">
        <v>226</v>
      </c>
      <c r="B12" s="303">
        <f>$B$3*(1-'Reduction Targets'!B4)</f>
        <v>93.224999999999994</v>
      </c>
      <c r="C12" s="303">
        <f>$B$3*(1-'Reduction Targets'!C4)</f>
        <v>91.981999999999999</v>
      </c>
      <c r="D12" s="303">
        <f>$B$3*(1-'Reduction Targets'!D4)</f>
        <v>90.73899999999999</v>
      </c>
      <c r="E12" s="303">
        <f>$B$3*(1-'Reduction Targets'!E4)</f>
        <v>89.495999999999995</v>
      </c>
      <c r="F12" s="303">
        <f>$B$3*(1-'Reduction Targets'!F4)</f>
        <v>88.253</v>
      </c>
      <c r="G12" s="303">
        <f>$B$3*(1-'Reduction Targets'!G4)</f>
        <v>87.009999999999991</v>
      </c>
      <c r="H12" s="303">
        <f>$B$3*(1-'Reduction Targets'!H4)</f>
        <v>85.766999999999996</v>
      </c>
      <c r="I12" s="303">
        <f>$B$3*(1-'Reduction Targets'!I4)</f>
        <v>84.524000000000001</v>
      </c>
      <c r="J12" s="303">
        <f>$B$3*(1-'Reduction Targets'!J4)</f>
        <v>83.281000000000006</v>
      </c>
      <c r="K12" s="303">
        <f>$B$3*(1-'Reduction Targets'!K4)</f>
        <v>82.037999999999997</v>
      </c>
      <c r="L12" s="303">
        <f>$B$3*(1-'Reduction Targets'!L4)</f>
        <v>80.795000000000002</v>
      </c>
      <c r="M12" s="303">
        <f>$B$3*(1-'Reduction Targets'!M4)</f>
        <v>79.552000000000007</v>
      </c>
      <c r="N12" s="269"/>
      <c r="O12" s="269" t="s">
        <v>226</v>
      </c>
      <c r="P12" s="303">
        <f>$B$4*(1-'Reduction Targets'!B4)</f>
        <v>94.171875</v>
      </c>
      <c r="Q12" s="303">
        <f>$B$4*(1-'Reduction Targets'!C4)</f>
        <v>92.916250000000005</v>
      </c>
      <c r="R12" s="303">
        <f>$B$4*(1-'Reduction Targets'!D4)</f>
        <v>91.660624999999996</v>
      </c>
      <c r="S12" s="303">
        <f>$B$4*(1-'Reduction Targets'!E4)</f>
        <v>90.405000000000001</v>
      </c>
      <c r="T12" s="303">
        <f>$B$4*(1-'Reduction Targets'!F4)</f>
        <v>89.149374999999992</v>
      </c>
      <c r="U12" s="303">
        <f>$B$4*(1-'Reduction Targets'!G4)</f>
        <v>87.893749999999997</v>
      </c>
      <c r="V12" s="303">
        <f>$B$4*(1-'Reduction Targets'!H4)</f>
        <v>86.638125000000002</v>
      </c>
      <c r="W12" s="303">
        <f>$B$4*(1-'Reduction Targets'!I4)</f>
        <v>85.382499999999993</v>
      </c>
      <c r="X12" s="303">
        <f>$B$4*(1-'Reduction Targets'!J4)</f>
        <v>84.126874999999998</v>
      </c>
      <c r="Y12" s="303">
        <f>$B$4*(1-'Reduction Targets'!K4)</f>
        <v>82.871250000000003</v>
      </c>
      <c r="Z12" s="303">
        <f>$B$4*(1-'Reduction Targets'!L4)</f>
        <v>81.615625000000009</v>
      </c>
      <c r="AA12" s="303">
        <f>$B$4*(1-'Reduction Targets'!M4)</f>
        <v>80.360000000000014</v>
      </c>
    </row>
    <row r="13" spans="1:27" x14ac:dyDescent="0.25">
      <c r="A13" s="269" t="s">
        <v>227</v>
      </c>
      <c r="B13" s="303">
        <f>$B$3*(1-'Reduction Targets'!B5)</f>
        <v>92.810666666666663</v>
      </c>
      <c r="C13" s="303">
        <f>$B$3*(1-'Reduction Targets'!C5)</f>
        <v>91.153333333333322</v>
      </c>
      <c r="D13" s="303">
        <f>$B$3*(1-'Reduction Targets'!D5)</f>
        <v>89.495999999999995</v>
      </c>
      <c r="E13" s="303">
        <f>$B$3*(1-'Reduction Targets'!E5)</f>
        <v>87.838666666666668</v>
      </c>
      <c r="F13" s="303">
        <f>$B$3*(1-'Reduction Targets'!F5)</f>
        <v>86.181333333333328</v>
      </c>
      <c r="G13" s="303">
        <f>$B$3*(1-'Reduction Targets'!G5)</f>
        <v>84.524000000000001</v>
      </c>
      <c r="H13" s="303">
        <f>$B$3*(1-'Reduction Targets'!H5)</f>
        <v>82.866666666666674</v>
      </c>
      <c r="I13" s="303">
        <f>$B$3*(1-'Reduction Targets'!I5)</f>
        <v>81.209333333333333</v>
      </c>
      <c r="J13" s="303">
        <f>$B$3*(1-'Reduction Targets'!J5)</f>
        <v>79.552000000000007</v>
      </c>
      <c r="K13" s="303">
        <f>$B$3*(1-'Reduction Targets'!K5)</f>
        <v>77.894666666666666</v>
      </c>
      <c r="L13" s="303">
        <f>$B$3*(1-'Reduction Targets'!L5)</f>
        <v>76.237333333333339</v>
      </c>
      <c r="M13" s="303">
        <f>$B$3*(1-'Reduction Targets'!M5)</f>
        <v>74.58</v>
      </c>
      <c r="N13" s="269"/>
      <c r="O13" s="269" t="s">
        <v>227</v>
      </c>
      <c r="P13" s="303">
        <f>$B$4*(1-'Reduction Targets'!B5)</f>
        <v>93.753333333333345</v>
      </c>
      <c r="Q13" s="303">
        <f>$B$4*(1-'Reduction Targets'!C5)</f>
        <v>92.079166666666666</v>
      </c>
      <c r="R13" s="303">
        <f>$B$4*(1-'Reduction Targets'!D5)</f>
        <v>90.405000000000001</v>
      </c>
      <c r="S13" s="303">
        <f>$B$4*(1-'Reduction Targets'!E5)</f>
        <v>88.730833333333337</v>
      </c>
      <c r="T13" s="303">
        <f>$B$4*(1-'Reduction Targets'!F5)</f>
        <v>87.056666666666672</v>
      </c>
      <c r="U13" s="303">
        <f>$B$4*(1-'Reduction Targets'!G5)</f>
        <v>85.382499999999993</v>
      </c>
      <c r="V13" s="303">
        <f>$B$4*(1-'Reduction Targets'!H5)</f>
        <v>83.708333333333343</v>
      </c>
      <c r="W13" s="303">
        <f>$B$4*(1-'Reduction Targets'!I5)</f>
        <v>82.034166666666664</v>
      </c>
      <c r="X13" s="303">
        <f>$B$4*(1-'Reduction Targets'!J5)</f>
        <v>80.360000000000014</v>
      </c>
      <c r="Y13" s="303">
        <f>$B$4*(1-'Reduction Targets'!K5)</f>
        <v>78.685833333333335</v>
      </c>
      <c r="Z13" s="303">
        <f>$B$4*(1-'Reduction Targets'!L5)</f>
        <v>77.01166666666667</v>
      </c>
      <c r="AA13" s="303">
        <f>$B$4*(1-'Reduction Targets'!M5)</f>
        <v>75.337500000000006</v>
      </c>
    </row>
    <row r="14" spans="1:27" ht="15.75" thickBot="1" x14ac:dyDescent="0.3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</row>
    <row r="15" spans="1:27" ht="15.75" thickBot="1" x14ac:dyDescent="0.3">
      <c r="A15" s="223" t="s">
        <v>237</v>
      </c>
      <c r="B15" s="305">
        <v>2019</v>
      </c>
      <c r="C15" s="305">
        <v>2020</v>
      </c>
      <c r="D15" s="305">
        <v>2021</v>
      </c>
      <c r="E15" s="305">
        <v>2022</v>
      </c>
      <c r="F15" s="305">
        <v>2023</v>
      </c>
      <c r="G15" s="305">
        <v>2024</v>
      </c>
      <c r="H15" s="305">
        <v>2025</v>
      </c>
      <c r="I15" s="305">
        <v>2026</v>
      </c>
      <c r="J15" s="305">
        <v>2027</v>
      </c>
      <c r="K15" s="305">
        <v>2028</v>
      </c>
      <c r="L15" s="305">
        <v>2029</v>
      </c>
      <c r="M15" s="306">
        <v>2030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</row>
    <row r="16" spans="1:27" x14ac:dyDescent="0.25">
      <c r="A16" s="269" t="s">
        <v>235</v>
      </c>
      <c r="B16" s="311">
        <f>'Supply Scenarios'!E30</f>
        <v>150</v>
      </c>
      <c r="C16" s="311">
        <f>'Supply Scenarios'!F30</f>
        <v>200</v>
      </c>
      <c r="D16" s="311">
        <f>'Supply Scenarios'!G30</f>
        <v>200</v>
      </c>
      <c r="E16" s="311">
        <f>'Supply Scenarios'!H30</f>
        <v>200</v>
      </c>
      <c r="F16" s="311">
        <f>'Supply Scenarios'!I30</f>
        <v>150</v>
      </c>
      <c r="G16" s="311">
        <f>'Supply Scenarios'!J30</f>
        <v>150</v>
      </c>
      <c r="H16" s="311">
        <f>'Supply Scenarios'!K30</f>
        <v>100</v>
      </c>
      <c r="I16" s="311">
        <f>'Supply Scenarios'!L30</f>
        <v>75</v>
      </c>
      <c r="J16" s="311">
        <f>'Supply Scenarios'!M30</f>
        <v>50</v>
      </c>
      <c r="K16" s="311">
        <f>'Supply Scenarios'!N30</f>
        <v>25</v>
      </c>
      <c r="L16" s="311">
        <f>'Supply Scenarios'!O30</f>
        <v>25</v>
      </c>
      <c r="M16" s="311">
        <f>'Supply Scenarios'!P30</f>
        <v>25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</row>
    <row r="17" spans="1:27" x14ac:dyDescent="0.25">
      <c r="A17" s="269" t="s">
        <v>174</v>
      </c>
      <c r="B17" s="311">
        <f>'Supply Scenarios'!E138</f>
        <v>125</v>
      </c>
      <c r="C17" s="311">
        <f>'Supply Scenarios'!F138</f>
        <v>125</v>
      </c>
      <c r="D17" s="311">
        <f>'Supply Scenarios'!G138</f>
        <v>95</v>
      </c>
      <c r="E17" s="311">
        <f>'Supply Scenarios'!H138</f>
        <v>85</v>
      </c>
      <c r="F17" s="311">
        <f>'Supply Scenarios'!I138</f>
        <v>85</v>
      </c>
      <c r="G17" s="311">
        <f>'Supply Scenarios'!J138</f>
        <v>85</v>
      </c>
      <c r="H17" s="311">
        <f>'Supply Scenarios'!K138</f>
        <v>85</v>
      </c>
      <c r="I17" s="311">
        <f>'Supply Scenarios'!L138</f>
        <v>85</v>
      </c>
      <c r="J17" s="311">
        <f>'Supply Scenarios'!M138</f>
        <v>95</v>
      </c>
      <c r="K17" s="311">
        <f>'Supply Scenarios'!N138</f>
        <v>100</v>
      </c>
      <c r="L17" s="311">
        <f>'Supply Scenarios'!O138</f>
        <v>100</v>
      </c>
      <c r="M17" s="311">
        <f>'Supply Scenarios'!P138</f>
        <v>110</v>
      </c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</row>
    <row r="18" spans="1:27" x14ac:dyDescent="0.25">
      <c r="A18" s="269" t="s">
        <v>203</v>
      </c>
      <c r="B18" s="311">
        <f>'Supply Scenarios'!E273</f>
        <v>150</v>
      </c>
      <c r="C18" s="311">
        <f>'Supply Scenarios'!F273</f>
        <v>150</v>
      </c>
      <c r="D18" s="311">
        <f>'Supply Scenarios'!G273</f>
        <v>150</v>
      </c>
      <c r="E18" s="311">
        <f>'Supply Scenarios'!H273</f>
        <v>200</v>
      </c>
      <c r="F18" s="311">
        <f>'Supply Scenarios'!I273</f>
        <v>200</v>
      </c>
      <c r="G18" s="311">
        <f>'Supply Scenarios'!J273</f>
        <v>150</v>
      </c>
      <c r="H18" s="311">
        <f>'Supply Scenarios'!K273</f>
        <v>125</v>
      </c>
      <c r="I18" s="311">
        <f>'Supply Scenarios'!L273</f>
        <v>125</v>
      </c>
      <c r="J18" s="311">
        <f>'Supply Scenarios'!M273</f>
        <v>125</v>
      </c>
      <c r="K18" s="311">
        <f>'Supply Scenarios'!N273</f>
        <v>150</v>
      </c>
      <c r="L18" s="311">
        <f>'Supply Scenarios'!O273</f>
        <v>150</v>
      </c>
      <c r="M18" s="311">
        <f>'Supply Scenarios'!P273</f>
        <v>165</v>
      </c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</row>
    <row r="19" spans="1:27" x14ac:dyDescent="0.25">
      <c r="A19" s="269" t="s">
        <v>204</v>
      </c>
      <c r="B19" s="311">
        <f>'Supply Scenarios'!E246</f>
        <v>150</v>
      </c>
      <c r="C19" s="311">
        <f>'Supply Scenarios'!F246</f>
        <v>200</v>
      </c>
      <c r="D19" s="311">
        <f>'Supply Scenarios'!G246</f>
        <v>200</v>
      </c>
      <c r="E19" s="311">
        <f>'Supply Scenarios'!H246</f>
        <v>150</v>
      </c>
      <c r="F19" s="311">
        <f>'Supply Scenarios'!I246</f>
        <v>100</v>
      </c>
      <c r="G19" s="311">
        <f>'Supply Scenarios'!J246</f>
        <v>75</v>
      </c>
      <c r="H19" s="311">
        <f>'Supply Scenarios'!K246</f>
        <v>75</v>
      </c>
      <c r="I19" s="311">
        <f>'Supply Scenarios'!L246</f>
        <v>75</v>
      </c>
      <c r="J19" s="311">
        <f>'Supply Scenarios'!M246</f>
        <v>75</v>
      </c>
      <c r="K19" s="311">
        <f>'Supply Scenarios'!N246</f>
        <v>80</v>
      </c>
      <c r="L19" s="311">
        <f>'Supply Scenarios'!O246</f>
        <v>85</v>
      </c>
      <c r="M19" s="311">
        <f>'Supply Scenarios'!P246</f>
        <v>95</v>
      </c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</row>
    <row r="20" spans="1:27" x14ac:dyDescent="0.25">
      <c r="A20" s="269" t="s">
        <v>217</v>
      </c>
      <c r="B20" s="311">
        <f>'Supply Scenarios'!E57</f>
        <v>150</v>
      </c>
      <c r="C20" s="311">
        <f>'Supply Scenarios'!F57</f>
        <v>200</v>
      </c>
      <c r="D20" s="311">
        <f>'Supply Scenarios'!G57</f>
        <v>200</v>
      </c>
      <c r="E20" s="311">
        <f>'Supply Scenarios'!H57</f>
        <v>200</v>
      </c>
      <c r="F20" s="311">
        <f>'Supply Scenarios'!I57</f>
        <v>150</v>
      </c>
      <c r="G20" s="311">
        <f>'Supply Scenarios'!J57</f>
        <v>125</v>
      </c>
      <c r="H20" s="311">
        <f>'Supply Scenarios'!K57</f>
        <v>75</v>
      </c>
      <c r="I20" s="311">
        <f>'Supply Scenarios'!L57</f>
        <v>50</v>
      </c>
      <c r="J20" s="311">
        <f>'Supply Scenarios'!M57</f>
        <v>25</v>
      </c>
      <c r="K20" s="311">
        <f>'Supply Scenarios'!N57</f>
        <v>25</v>
      </c>
      <c r="L20" s="311">
        <f>'Supply Scenarios'!O57</f>
        <v>25</v>
      </c>
      <c r="M20" s="311">
        <f>'Supply Scenarios'!P57</f>
        <v>25</v>
      </c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</row>
    <row r="21" spans="1:27" x14ac:dyDescent="0.25">
      <c r="A21" s="269" t="s">
        <v>215</v>
      </c>
      <c r="B21" s="311">
        <f>'Supply Scenarios'!E165</f>
        <v>125</v>
      </c>
      <c r="C21" s="311">
        <f>'Supply Scenarios'!F165</f>
        <v>125</v>
      </c>
      <c r="D21" s="311">
        <f>'Supply Scenarios'!G165</f>
        <v>95</v>
      </c>
      <c r="E21" s="311">
        <f>'Supply Scenarios'!H165</f>
        <v>85</v>
      </c>
      <c r="F21" s="311">
        <f>'Supply Scenarios'!I165</f>
        <v>75</v>
      </c>
      <c r="G21" s="311">
        <f>'Supply Scenarios'!J165</f>
        <v>75</v>
      </c>
      <c r="H21" s="311">
        <f>'Supply Scenarios'!K165</f>
        <v>75</v>
      </c>
      <c r="I21" s="311">
        <f>'Supply Scenarios'!L165</f>
        <v>75</v>
      </c>
      <c r="J21" s="311">
        <f>'Supply Scenarios'!M165</f>
        <v>75</v>
      </c>
      <c r="K21" s="311">
        <f>'Supply Scenarios'!N165</f>
        <v>65</v>
      </c>
      <c r="L21" s="311">
        <f>'Supply Scenarios'!O165</f>
        <v>65</v>
      </c>
      <c r="M21" s="311">
        <f>'Supply Scenarios'!P165</f>
        <v>65</v>
      </c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</row>
    <row r="22" spans="1:27" x14ac:dyDescent="0.25">
      <c r="A22" s="269" t="s">
        <v>218</v>
      </c>
      <c r="B22" s="311">
        <f>'Supply Scenarios'!E84</f>
        <v>150</v>
      </c>
      <c r="C22" s="311">
        <f>'Supply Scenarios'!F84</f>
        <v>200</v>
      </c>
      <c r="D22" s="311">
        <f>'Supply Scenarios'!G84</f>
        <v>200</v>
      </c>
      <c r="E22" s="311">
        <f>'Supply Scenarios'!H84</f>
        <v>200</v>
      </c>
      <c r="F22" s="311">
        <f>'Supply Scenarios'!I84</f>
        <v>200</v>
      </c>
      <c r="G22" s="311">
        <f>'Supply Scenarios'!J84</f>
        <v>150</v>
      </c>
      <c r="H22" s="311">
        <f>'Supply Scenarios'!K84</f>
        <v>150</v>
      </c>
      <c r="I22" s="311">
        <f>'Supply Scenarios'!L84</f>
        <v>100</v>
      </c>
      <c r="J22" s="311">
        <f>'Supply Scenarios'!M84</f>
        <v>75</v>
      </c>
      <c r="K22" s="311">
        <f>'Supply Scenarios'!N84</f>
        <v>75</v>
      </c>
      <c r="L22" s="311">
        <f>'Supply Scenarios'!O84</f>
        <v>75</v>
      </c>
      <c r="M22" s="311">
        <f>'Supply Scenarios'!P84</f>
        <v>50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</row>
    <row r="23" spans="1:27" x14ac:dyDescent="0.25">
      <c r="A23" s="269" t="s">
        <v>216</v>
      </c>
      <c r="B23" s="311">
        <f>'Supply Scenarios'!E192</f>
        <v>150</v>
      </c>
      <c r="C23" s="311">
        <f>'Supply Scenarios'!F192</f>
        <v>150</v>
      </c>
      <c r="D23" s="311">
        <f>'Supply Scenarios'!G192</f>
        <v>150</v>
      </c>
      <c r="E23" s="311">
        <f>'Supply Scenarios'!H192</f>
        <v>100</v>
      </c>
      <c r="F23" s="311">
        <f>'Supply Scenarios'!I192</f>
        <v>95</v>
      </c>
      <c r="G23" s="311">
        <f>'Supply Scenarios'!J192</f>
        <v>95</v>
      </c>
      <c r="H23" s="311">
        <f>'Supply Scenarios'!K192</f>
        <v>100</v>
      </c>
      <c r="I23" s="311">
        <f>'Supply Scenarios'!L192</f>
        <v>100</v>
      </c>
      <c r="J23" s="311">
        <f>'Supply Scenarios'!M192</f>
        <v>110</v>
      </c>
      <c r="K23" s="311">
        <f>'Supply Scenarios'!N192</f>
        <v>120</v>
      </c>
      <c r="L23" s="311">
        <f>'Supply Scenarios'!O192</f>
        <v>150</v>
      </c>
      <c r="M23" s="311">
        <f>'Supply Scenarios'!P192</f>
        <v>150</v>
      </c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</row>
    <row r="24" spans="1:27" x14ac:dyDescent="0.25">
      <c r="A24" s="269" t="s">
        <v>219</v>
      </c>
      <c r="B24" s="311">
        <f>'Supply Scenarios'!E111</f>
        <v>150</v>
      </c>
      <c r="C24" s="311">
        <f>'Supply Scenarios'!F111</f>
        <v>200</v>
      </c>
      <c r="D24" s="311">
        <f>'Supply Scenarios'!G111</f>
        <v>200</v>
      </c>
      <c r="E24" s="311">
        <f>'Supply Scenarios'!H111</f>
        <v>200</v>
      </c>
      <c r="F24" s="311">
        <f>'Supply Scenarios'!I111</f>
        <v>200</v>
      </c>
      <c r="G24" s="311">
        <f>'Supply Scenarios'!J111</f>
        <v>150</v>
      </c>
      <c r="H24" s="311">
        <f>'Supply Scenarios'!K111</f>
        <v>150</v>
      </c>
      <c r="I24" s="311">
        <f>'Supply Scenarios'!L111</f>
        <v>85</v>
      </c>
      <c r="J24" s="311">
        <f>'Supply Scenarios'!M111</f>
        <v>25</v>
      </c>
      <c r="K24" s="311">
        <f>'Supply Scenarios'!N111</f>
        <v>25</v>
      </c>
      <c r="L24" s="311">
        <f>'Supply Scenarios'!O111</f>
        <v>25</v>
      </c>
      <c r="M24" s="311">
        <f>'Supply Scenarios'!P111</f>
        <v>25</v>
      </c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</row>
    <row r="25" spans="1:27" x14ac:dyDescent="0.25">
      <c r="A25" s="269" t="s">
        <v>220</v>
      </c>
      <c r="B25" s="311">
        <f>'Supply Scenarios'!E219</f>
        <v>150</v>
      </c>
      <c r="C25" s="311">
        <f>'Supply Scenarios'!F219</f>
        <v>150</v>
      </c>
      <c r="D25" s="311">
        <f>'Supply Scenarios'!G219</f>
        <v>150</v>
      </c>
      <c r="E25" s="311">
        <f>'Supply Scenarios'!H219</f>
        <v>100</v>
      </c>
      <c r="F25" s="311">
        <f>'Supply Scenarios'!I219</f>
        <v>85</v>
      </c>
      <c r="G25" s="311">
        <f>'Supply Scenarios'!J219</f>
        <v>85</v>
      </c>
      <c r="H25" s="311">
        <f>'Supply Scenarios'!K219</f>
        <v>85</v>
      </c>
      <c r="I25" s="311">
        <f>'Supply Scenarios'!L219</f>
        <v>100</v>
      </c>
      <c r="J25" s="311">
        <f>'Supply Scenarios'!M219</f>
        <v>100</v>
      </c>
      <c r="K25" s="311">
        <f>'Supply Scenarios'!N219</f>
        <v>110</v>
      </c>
      <c r="L25" s="311">
        <f>'Supply Scenarios'!O219</f>
        <v>110</v>
      </c>
      <c r="M25" s="311">
        <f>'Supply Scenarios'!P219</f>
        <v>110</v>
      </c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</row>
    <row r="26" spans="1:27" ht="15.75" thickBot="1" x14ac:dyDescent="0.3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</row>
    <row r="27" spans="1:27" ht="15.75" thickBot="1" x14ac:dyDescent="0.3">
      <c r="A27" s="223" t="s">
        <v>238</v>
      </c>
      <c r="B27" s="305">
        <v>2019</v>
      </c>
      <c r="C27" s="305">
        <v>2020</v>
      </c>
      <c r="D27" s="305">
        <v>2021</v>
      </c>
      <c r="E27" s="305">
        <v>2022</v>
      </c>
      <c r="F27" s="305">
        <v>2023</v>
      </c>
      <c r="G27" s="305">
        <v>2024</v>
      </c>
      <c r="H27" s="305">
        <v>2025</v>
      </c>
      <c r="I27" s="305">
        <v>2026</v>
      </c>
      <c r="J27" s="305">
        <v>2027</v>
      </c>
      <c r="K27" s="305">
        <v>2028</v>
      </c>
      <c r="L27" s="305">
        <v>2029</v>
      </c>
      <c r="M27" s="306">
        <v>2030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</row>
    <row r="28" spans="1:27" x14ac:dyDescent="0.25">
      <c r="A28" s="269" t="s">
        <v>234</v>
      </c>
      <c r="B28" s="269">
        <f>'Supply Scenarios'!E55</f>
        <v>0</v>
      </c>
      <c r="C28" s="269">
        <f>'Supply Scenarios'!F55</f>
        <v>0</v>
      </c>
      <c r="D28" s="269">
        <f>'Supply Scenarios'!G55</f>
        <v>0</v>
      </c>
      <c r="E28" s="269">
        <f>'Supply Scenarios'!H55</f>
        <v>0</v>
      </c>
      <c r="F28" s="269">
        <f>'Supply Scenarios'!I55</f>
        <v>0</v>
      </c>
      <c r="G28" s="269">
        <f>'Supply Scenarios'!J55</f>
        <v>0</v>
      </c>
      <c r="H28" s="269">
        <f>'Supply Scenarios'!K55</f>
        <v>0</v>
      </c>
      <c r="I28" s="269">
        <f>'Supply Scenarios'!L55</f>
        <v>0</v>
      </c>
      <c r="J28" s="269">
        <f>'Supply Scenarios'!M55</f>
        <v>0</v>
      </c>
      <c r="K28" s="269">
        <f>'Supply Scenarios'!N55</f>
        <v>0</v>
      </c>
      <c r="L28" s="269">
        <f>'Supply Scenarios'!O55</f>
        <v>0</v>
      </c>
      <c r="M28" s="269">
        <f>'Supply Scenarios'!P55</f>
        <v>0</v>
      </c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</row>
    <row r="29" spans="1:27" x14ac:dyDescent="0.25">
      <c r="A29" s="269" t="s">
        <v>236</v>
      </c>
      <c r="B29" s="308">
        <f>'Supply Scenarios'!E163</f>
        <v>0</v>
      </c>
      <c r="C29" s="308">
        <f>'Supply Scenarios'!F163</f>
        <v>0.28999999999999915</v>
      </c>
      <c r="D29" s="308">
        <f>'Supply Scenarios'!G163</f>
        <v>0.49000000000000021</v>
      </c>
      <c r="E29" s="308">
        <f>'Supply Scenarios'!H163</f>
        <v>0.75999999999999979</v>
      </c>
      <c r="F29" s="308">
        <f>'Supply Scenarios'!I163</f>
        <v>0.75999999999999979</v>
      </c>
      <c r="G29" s="308">
        <f>'Supply Scenarios'!J163</f>
        <v>0.75999999999999979</v>
      </c>
      <c r="H29" s="308">
        <f>'Supply Scenarios'!K163</f>
        <v>0.75999999999999979</v>
      </c>
      <c r="I29" s="308">
        <f>'Supply Scenarios'!L163</f>
        <v>0.75999999999999979</v>
      </c>
      <c r="J29" s="308">
        <f>'Supply Scenarios'!M163</f>
        <v>0.75999999999999979</v>
      </c>
      <c r="K29" s="308">
        <f>'Supply Scenarios'!N163</f>
        <v>0.75999999999999979</v>
      </c>
      <c r="L29" s="308">
        <f>'Supply Scenarios'!O163</f>
        <v>0.75999999999999979</v>
      </c>
      <c r="M29" s="308">
        <f>'Supply Scenarios'!P163</f>
        <v>0.75999999999999979</v>
      </c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</row>
    <row r="30" spans="1:27" ht="15.75" thickBot="1" x14ac:dyDescent="0.3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</row>
    <row r="31" spans="1:27" ht="15.75" thickBot="1" x14ac:dyDescent="0.3">
      <c r="A31" s="223" t="s">
        <v>240</v>
      </c>
      <c r="B31" s="305">
        <v>2019</v>
      </c>
      <c r="C31" s="305">
        <v>2020</v>
      </c>
      <c r="D31" s="305">
        <v>2021</v>
      </c>
      <c r="E31" s="305">
        <v>2022</v>
      </c>
      <c r="F31" s="305">
        <v>2023</v>
      </c>
      <c r="G31" s="305">
        <v>2024</v>
      </c>
      <c r="H31" s="305">
        <v>2025</v>
      </c>
      <c r="I31" s="305">
        <v>2026</v>
      </c>
      <c r="J31" s="305">
        <v>2027</v>
      </c>
      <c r="K31" s="305">
        <v>2028</v>
      </c>
      <c r="L31" s="305">
        <v>2029</v>
      </c>
      <c r="M31" s="306">
        <v>2030</v>
      </c>
      <c r="N31" s="269"/>
      <c r="O31" s="223" t="s">
        <v>241</v>
      </c>
      <c r="P31" s="305">
        <v>2019</v>
      </c>
      <c r="Q31" s="305">
        <v>2020</v>
      </c>
      <c r="R31" s="305">
        <v>2021</v>
      </c>
      <c r="S31" s="305">
        <v>2022</v>
      </c>
      <c r="T31" s="305">
        <v>2023</v>
      </c>
      <c r="U31" s="305">
        <v>2024</v>
      </c>
      <c r="V31" s="305">
        <v>2025</v>
      </c>
      <c r="W31" s="305">
        <v>2026</v>
      </c>
      <c r="X31" s="305">
        <v>2027</v>
      </c>
      <c r="Y31" s="305">
        <v>2028</v>
      </c>
      <c r="Z31" s="305">
        <v>2029</v>
      </c>
      <c r="AA31" s="306">
        <v>2030</v>
      </c>
    </row>
    <row r="32" spans="1:27" x14ac:dyDescent="0.25">
      <c r="A32" s="269" t="s">
        <v>235</v>
      </c>
      <c r="B32" s="304">
        <f>0.9*($D$2+B28-B10)*$B$5/$B$7*B16*$B$8</f>
        <v>14.031133638750001</v>
      </c>
      <c r="C32" s="304">
        <f t="shared" ref="C32:M32" si="0">0.9*($D$2+C28-C10)*$B$5/$B$7*C16*$B$8</f>
        <v>24.00473178</v>
      </c>
      <c r="D32" s="304">
        <f t="shared" si="0"/>
        <v>24.00473178</v>
      </c>
      <c r="E32" s="304">
        <f t="shared" si="0"/>
        <v>24.00473178</v>
      </c>
      <c r="F32" s="304">
        <f t="shared" si="0"/>
        <v>18.003548835</v>
      </c>
      <c r="G32" s="304">
        <f t="shared" si="0"/>
        <v>18.003548835</v>
      </c>
      <c r="H32" s="304">
        <f t="shared" si="0"/>
        <v>12.00236589</v>
      </c>
      <c r="I32" s="304">
        <f t="shared" si="0"/>
        <v>9.0017744175000001</v>
      </c>
      <c r="J32" s="304">
        <f t="shared" si="0"/>
        <v>6.001182945</v>
      </c>
      <c r="K32" s="304">
        <f t="shared" si="0"/>
        <v>3.0005914725</v>
      </c>
      <c r="L32" s="304">
        <f t="shared" si="0"/>
        <v>3.0005914725</v>
      </c>
      <c r="M32" s="304">
        <f t="shared" si="0"/>
        <v>3.0005914725</v>
      </c>
      <c r="N32" s="269"/>
      <c r="O32" s="269" t="s">
        <v>235</v>
      </c>
      <c r="P32" s="304">
        <f>($D$4+B28-P10)*$B$6*B16/$B$7*$B$8</f>
        <v>15.431945287500003</v>
      </c>
      <c r="Q32" s="304">
        <f t="shared" ref="Q32:AA32" si="1">($D$4+C28-Q10)*$B$6*C16/$B$7*$B$8</f>
        <v>27.434569399999987</v>
      </c>
      <c r="R32" s="304">
        <f t="shared" si="1"/>
        <v>27.434569399999987</v>
      </c>
      <c r="S32" s="304">
        <f t="shared" si="1"/>
        <v>27.434569399999987</v>
      </c>
      <c r="T32" s="304">
        <f t="shared" si="1"/>
        <v>20.575927049999986</v>
      </c>
      <c r="U32" s="304">
        <f t="shared" si="1"/>
        <v>20.575927049999986</v>
      </c>
      <c r="V32" s="304">
        <f t="shared" si="1"/>
        <v>13.717284699999993</v>
      </c>
      <c r="W32" s="304">
        <f t="shared" si="1"/>
        <v>10.287963524999993</v>
      </c>
      <c r="X32" s="304">
        <f t="shared" si="1"/>
        <v>6.8586423499999967</v>
      </c>
      <c r="Y32" s="304">
        <f t="shared" si="1"/>
        <v>3.4293211749999983</v>
      </c>
      <c r="Z32" s="304">
        <f t="shared" si="1"/>
        <v>3.4293211749999983</v>
      </c>
      <c r="AA32" s="304">
        <f t="shared" si="1"/>
        <v>3.4293211749999983</v>
      </c>
    </row>
    <row r="33" spans="1:27" x14ac:dyDescent="0.25">
      <c r="A33" s="269" t="s">
        <v>174</v>
      </c>
      <c r="B33" s="304">
        <f t="shared" ref="B33:M33" si="2">0.9*($B$2+B29-B12)*$B$5*B17/$B$7*$B$8</f>
        <v>10.213091437499999</v>
      </c>
      <c r="C33" s="304">
        <f t="shared" si="2"/>
        <v>12.27453569999998</v>
      </c>
      <c r="D33" s="304">
        <f t="shared" si="2"/>
        <v>10.803366436499998</v>
      </c>
      <c r="E33" s="304">
        <f t="shared" si="2"/>
        <v>11.049663978000005</v>
      </c>
      <c r="F33" s="304">
        <f t="shared" si="2"/>
        <v>12.186268771499998</v>
      </c>
      <c r="G33" s="304">
        <f t="shared" si="2"/>
        <v>13.322873565000007</v>
      </c>
      <c r="H33" s="304">
        <f t="shared" si="2"/>
        <v>14.459478358500002</v>
      </c>
      <c r="I33" s="304">
        <f t="shared" si="2"/>
        <v>15.596083151999999</v>
      </c>
      <c r="J33" s="304">
        <f t="shared" si="2"/>
        <v>18.701239468499992</v>
      </c>
      <c r="K33" s="304">
        <f t="shared" si="2"/>
        <v>21.022697340000001</v>
      </c>
      <c r="L33" s="304">
        <f t="shared" si="2"/>
        <v>22.359879449999998</v>
      </c>
      <c r="M33" s="304">
        <f t="shared" si="2"/>
        <v>26.06676771599999</v>
      </c>
      <c r="N33" s="269"/>
      <c r="O33" s="269" t="s">
        <v>174</v>
      </c>
      <c r="P33" s="304">
        <f t="shared" ref="P33:AA33" si="3">($B$4+B29-P12)*$B$6*B17/$B$7*$B$8</f>
        <v>10.552743359375004</v>
      </c>
      <c r="Q33" s="304">
        <f t="shared" si="3"/>
        <v>13.150745781250006</v>
      </c>
      <c r="R33" s="304">
        <f t="shared" si="3"/>
        <v>11.854076784375003</v>
      </c>
      <c r="S33" s="304">
        <f t="shared" si="3"/>
        <v>12.350060975000005</v>
      </c>
      <c r="T33" s="304">
        <f t="shared" si="3"/>
        <v>13.785234071875015</v>
      </c>
      <c r="U33" s="304">
        <f t="shared" si="3"/>
        <v>15.220407168750013</v>
      </c>
      <c r="V33" s="304">
        <f t="shared" si="3"/>
        <v>16.655580265625009</v>
      </c>
      <c r="W33" s="304">
        <f t="shared" si="3"/>
        <v>18.090753362500013</v>
      </c>
      <c r="X33" s="304">
        <f t="shared" si="3"/>
        <v>21.823094278125012</v>
      </c>
      <c r="Y33" s="304">
        <f t="shared" si="3"/>
        <v>24.66011712500001</v>
      </c>
      <c r="Z33" s="304">
        <f t="shared" si="3"/>
        <v>26.348556062500002</v>
      </c>
      <c r="AA33" s="304">
        <f t="shared" si="3"/>
        <v>30.840694499999987</v>
      </c>
    </row>
    <row r="34" spans="1:27" x14ac:dyDescent="0.25">
      <c r="A34" s="269" t="s">
        <v>203</v>
      </c>
      <c r="B34" s="304">
        <f t="shared" ref="B34:M34" si="4">0.9*($B$2+B29-B13)*$B$5*B18/$B$7*$B$8</f>
        <v>12.924300779999998</v>
      </c>
      <c r="C34" s="304">
        <f t="shared" si="4"/>
        <v>16.066624949999994</v>
      </c>
      <c r="D34" s="304">
        <f t="shared" si="4"/>
        <v>19.063720169999993</v>
      </c>
      <c r="E34" s="304">
        <f t="shared" si="4"/>
        <v>29.565028319999996</v>
      </c>
      <c r="F34" s="304">
        <f t="shared" si="4"/>
        <v>33.130847280000012</v>
      </c>
      <c r="G34" s="304">
        <f t="shared" si="4"/>
        <v>27.522499679999996</v>
      </c>
      <c r="H34" s="304">
        <f t="shared" si="4"/>
        <v>25.164053249999984</v>
      </c>
      <c r="I34" s="304">
        <f t="shared" si="4"/>
        <v>27.392690099999999</v>
      </c>
      <c r="J34" s="304">
        <f t="shared" si="4"/>
        <v>29.621326949999986</v>
      </c>
      <c r="K34" s="304">
        <f t="shared" si="4"/>
        <v>38.21995656</v>
      </c>
      <c r="L34" s="304">
        <f t="shared" si="4"/>
        <v>40.894320779999994</v>
      </c>
      <c r="M34" s="304">
        <f t="shared" si="4"/>
        <v>47.925553499999999</v>
      </c>
      <c r="N34" s="269"/>
      <c r="O34" s="269" t="s">
        <v>203</v>
      </c>
      <c r="P34" s="304">
        <f t="shared" ref="P34:AA34" si="5">($B$4+B29-P13)*$B$6*B18/$B$7*$B$8</f>
        <v>13.507511499999984</v>
      </c>
      <c r="Q34" s="304">
        <f t="shared" si="5"/>
        <v>17.469333875000022</v>
      </c>
      <c r="R34" s="304">
        <f t="shared" si="5"/>
        <v>21.249621749999996</v>
      </c>
      <c r="S34" s="304">
        <f t="shared" si="5"/>
        <v>33.561470833333352</v>
      </c>
      <c r="T34" s="304">
        <f t="shared" si="5"/>
        <v>38.063974666666674</v>
      </c>
      <c r="U34" s="304">
        <f t="shared" si="5"/>
        <v>31.924858875000027</v>
      </c>
      <c r="V34" s="304">
        <f t="shared" si="5"/>
        <v>29.418113958333336</v>
      </c>
      <c r="W34" s="304">
        <f t="shared" si="5"/>
        <v>32.232178854166683</v>
      </c>
      <c r="X34" s="304">
        <f t="shared" si="5"/>
        <v>35.046243749999988</v>
      </c>
      <c r="Y34" s="304">
        <f t="shared" si="5"/>
        <v>45.432370375000012</v>
      </c>
      <c r="Z34" s="304">
        <f t="shared" si="5"/>
        <v>48.809248250000003</v>
      </c>
      <c r="AA34" s="304">
        <f t="shared" si="5"/>
        <v>57.404738737500004</v>
      </c>
    </row>
    <row r="35" spans="1:27" x14ac:dyDescent="0.25">
      <c r="A35" s="269" t="s">
        <v>204</v>
      </c>
      <c r="B35" s="304">
        <f t="shared" ref="B35:M35" si="6">0.9*($B$2+B29-B11)*$B$5*B19/$B$7*$B$8</f>
        <v>14.261482889999991</v>
      </c>
      <c r="C35" s="304">
        <f t="shared" si="6"/>
        <v>24.987985559999977</v>
      </c>
      <c r="D35" s="304">
        <f t="shared" si="6"/>
        <v>25.418293559999988</v>
      </c>
      <c r="E35" s="304">
        <f t="shared" si="6"/>
        <v>19.499407020000007</v>
      </c>
      <c r="F35" s="304">
        <f t="shared" si="6"/>
        <v>14.069350368000002</v>
      </c>
      <c r="G35" s="304">
        <f t="shared" si="6"/>
        <v>11.354322042000002</v>
      </c>
      <c r="H35" s="304">
        <f t="shared" si="6"/>
        <v>12.156631308</v>
      </c>
      <c r="I35" s="304">
        <f t="shared" si="6"/>
        <v>12.958940574</v>
      </c>
      <c r="J35" s="304">
        <f t="shared" si="6"/>
        <v>13.761249839999998</v>
      </c>
      <c r="K35" s="304">
        <f t="shared" si="6"/>
        <v>15.534463046399999</v>
      </c>
      <c r="L35" s="304">
        <f t="shared" si="6"/>
        <v>17.414650821600013</v>
      </c>
      <c r="M35" s="304">
        <f t="shared" si="6"/>
        <v>20.479691674800009</v>
      </c>
      <c r="N35" s="269"/>
      <c r="O35" s="269" t="s">
        <v>204</v>
      </c>
      <c r="P35" s="304">
        <f t="shared" ref="P35:AA35" si="7">($B$4+B29-P11)*$B$6*B19/$B$7*$B$8</f>
        <v>15.195950437499997</v>
      </c>
      <c r="Q35" s="304">
        <f t="shared" si="7"/>
        <v>27.794949000000024</v>
      </c>
      <c r="R35" s="304">
        <f t="shared" si="7"/>
        <v>28.332828999999993</v>
      </c>
      <c r="S35" s="304">
        <f t="shared" si="7"/>
        <v>21.794225250000014</v>
      </c>
      <c r="T35" s="304">
        <f t="shared" si="7"/>
        <v>15.88023465</v>
      </c>
      <c r="U35" s="304">
        <f t="shared" si="7"/>
        <v>12.923239350000006</v>
      </c>
      <c r="V35" s="304">
        <f t="shared" si="7"/>
        <v>13.936302712499998</v>
      </c>
      <c r="W35" s="304">
        <f t="shared" si="7"/>
        <v>14.949366075000006</v>
      </c>
      <c r="X35" s="304">
        <f t="shared" si="7"/>
        <v>15.962429437500013</v>
      </c>
      <c r="Y35" s="304">
        <f t="shared" si="7"/>
        <v>18.107192320000006</v>
      </c>
      <c r="Z35" s="304">
        <f t="shared" si="7"/>
        <v>20.387030317500017</v>
      </c>
      <c r="AA35" s="304">
        <f t="shared" si="7"/>
        <v>24.068718065000009</v>
      </c>
    </row>
    <row r="36" spans="1:27" x14ac:dyDescent="0.25">
      <c r="A36" s="269" t="s">
        <v>217</v>
      </c>
      <c r="B36" s="304">
        <f>0.9*($D$2+B28-B10)*$B$5*B20/$B$7*$B$8</f>
        <v>14.031133638750001</v>
      </c>
      <c r="C36" s="304">
        <f t="shared" ref="C36:M36" si="8">0.9*($D$2+C28-C10)*$B$5*C20/$B$7*$B$8</f>
        <v>24.004731779999997</v>
      </c>
      <c r="D36" s="304">
        <f t="shared" si="8"/>
        <v>24.004731779999997</v>
      </c>
      <c r="E36" s="304">
        <f t="shared" si="8"/>
        <v>24.004731779999997</v>
      </c>
      <c r="F36" s="304">
        <f t="shared" si="8"/>
        <v>18.003548834999997</v>
      </c>
      <c r="G36" s="304">
        <f t="shared" si="8"/>
        <v>15.0029573625</v>
      </c>
      <c r="H36" s="304">
        <f t="shared" si="8"/>
        <v>9.0017744174999983</v>
      </c>
      <c r="I36" s="304">
        <f t="shared" si="8"/>
        <v>6.0011829449999992</v>
      </c>
      <c r="J36" s="304">
        <f t="shared" si="8"/>
        <v>3.0005914724999996</v>
      </c>
      <c r="K36" s="304">
        <f t="shared" si="8"/>
        <v>3.0005914724999996</v>
      </c>
      <c r="L36" s="304">
        <f t="shared" si="8"/>
        <v>3.0005914724999996</v>
      </c>
      <c r="M36" s="304">
        <f t="shared" si="8"/>
        <v>3.0005914724999996</v>
      </c>
      <c r="N36" s="269"/>
      <c r="O36" s="269" t="s">
        <v>217</v>
      </c>
      <c r="P36" s="304">
        <f>($D$4+B28-P10)*$B$6*B20/$B$7*$B$8</f>
        <v>15.431945287500003</v>
      </c>
      <c r="Q36" s="304">
        <f t="shared" ref="Q36:AA36" si="9">($D$4+C28-Q10)*$B$6*C20/$B$7*$B$8</f>
        <v>27.434569399999987</v>
      </c>
      <c r="R36" s="304">
        <f t="shared" si="9"/>
        <v>27.434569399999987</v>
      </c>
      <c r="S36" s="304">
        <f t="shared" si="9"/>
        <v>27.434569399999987</v>
      </c>
      <c r="T36" s="304">
        <f t="shared" si="9"/>
        <v>20.575927049999986</v>
      </c>
      <c r="U36" s="304">
        <f t="shared" si="9"/>
        <v>17.146605874999988</v>
      </c>
      <c r="V36" s="304">
        <f t="shared" si="9"/>
        <v>10.287963524999993</v>
      </c>
      <c r="W36" s="304">
        <f t="shared" si="9"/>
        <v>6.8586423499999967</v>
      </c>
      <c r="X36" s="304">
        <f t="shared" si="9"/>
        <v>3.4293211749999983</v>
      </c>
      <c r="Y36" s="304">
        <f t="shared" si="9"/>
        <v>3.4293211749999983</v>
      </c>
      <c r="Z36" s="304">
        <f t="shared" si="9"/>
        <v>3.4293211749999983</v>
      </c>
      <c r="AA36" s="304">
        <f t="shared" si="9"/>
        <v>3.4293211749999983</v>
      </c>
    </row>
    <row r="37" spans="1:27" x14ac:dyDescent="0.25">
      <c r="A37" s="269" t="s">
        <v>215</v>
      </c>
      <c r="B37" s="304">
        <f t="shared" ref="B37:M37" si="10">0.9*($B$2+B29-B12)*$B$5*B21/$B$7*$B$8</f>
        <v>10.213091437499999</v>
      </c>
      <c r="C37" s="304">
        <f t="shared" si="10"/>
        <v>12.27453569999998</v>
      </c>
      <c r="D37" s="304">
        <f t="shared" si="10"/>
        <v>10.803366436499998</v>
      </c>
      <c r="E37" s="304">
        <f t="shared" si="10"/>
        <v>11.049663978000005</v>
      </c>
      <c r="F37" s="304">
        <f t="shared" si="10"/>
        <v>10.7525900925</v>
      </c>
      <c r="G37" s="304">
        <f t="shared" si="10"/>
        <v>11.755476675000006</v>
      </c>
      <c r="H37" s="304">
        <f t="shared" si="10"/>
        <v>12.758363257500003</v>
      </c>
      <c r="I37" s="304">
        <f t="shared" si="10"/>
        <v>13.761249839999998</v>
      </c>
      <c r="J37" s="304">
        <f t="shared" si="10"/>
        <v>14.764136422499993</v>
      </c>
      <c r="K37" s="304">
        <f t="shared" si="10"/>
        <v>13.664753270999999</v>
      </c>
      <c r="L37" s="304">
        <f t="shared" si="10"/>
        <v>14.533921642499999</v>
      </c>
      <c r="M37" s="304">
        <f t="shared" si="10"/>
        <v>15.403090013999993</v>
      </c>
      <c r="N37" s="269"/>
      <c r="O37" s="269" t="s">
        <v>215</v>
      </c>
      <c r="P37" s="304">
        <f t="shared" ref="P37:AA37" si="11">($B$4+B29-P12)*$B$6*B21/$B$7*$B$8</f>
        <v>10.552743359375004</v>
      </c>
      <c r="Q37" s="304">
        <f t="shared" si="11"/>
        <v>13.150745781250006</v>
      </c>
      <c r="R37" s="304">
        <f t="shared" si="11"/>
        <v>11.854076784375003</v>
      </c>
      <c r="S37" s="304">
        <f t="shared" si="11"/>
        <v>12.350060975000005</v>
      </c>
      <c r="T37" s="304">
        <f t="shared" si="11"/>
        <v>12.163441828125016</v>
      </c>
      <c r="U37" s="304">
        <f t="shared" si="11"/>
        <v>13.429771031250009</v>
      </c>
      <c r="V37" s="304">
        <f t="shared" si="11"/>
        <v>14.696100234375006</v>
      </c>
      <c r="W37" s="304">
        <f t="shared" si="11"/>
        <v>15.962429437500013</v>
      </c>
      <c r="X37" s="304">
        <f t="shared" si="11"/>
        <v>17.22875864062501</v>
      </c>
      <c r="Y37" s="304">
        <f t="shared" si="11"/>
        <v>16.029076131250005</v>
      </c>
      <c r="Z37" s="304">
        <f t="shared" si="11"/>
        <v>17.126561440625</v>
      </c>
      <c r="AA37" s="304">
        <f t="shared" si="11"/>
        <v>18.224046749999996</v>
      </c>
    </row>
    <row r="38" spans="1:27" x14ac:dyDescent="0.25">
      <c r="A38" s="269" t="s">
        <v>218</v>
      </c>
      <c r="B38" s="304">
        <f>0.9*($D$2+B28-B10)*$B$5*B22/$B$7*$B$8</f>
        <v>14.031133638750001</v>
      </c>
      <c r="C38" s="304">
        <f t="shared" ref="C38:M38" si="12">0.9*($D$2+C28-C10)*$B$5*C22/$B$7*$B$8</f>
        <v>24.004731779999997</v>
      </c>
      <c r="D38" s="304">
        <f t="shared" si="12"/>
        <v>24.004731779999997</v>
      </c>
      <c r="E38" s="304">
        <f t="shared" si="12"/>
        <v>24.004731779999997</v>
      </c>
      <c r="F38" s="304">
        <f t="shared" si="12"/>
        <v>24.004731779999997</v>
      </c>
      <c r="G38" s="304">
        <f t="shared" si="12"/>
        <v>18.003548834999997</v>
      </c>
      <c r="H38" s="304">
        <f t="shared" si="12"/>
        <v>18.003548834999997</v>
      </c>
      <c r="I38" s="304">
        <f t="shared" si="12"/>
        <v>12.002365889999998</v>
      </c>
      <c r="J38" s="304">
        <f t="shared" si="12"/>
        <v>9.0017744174999983</v>
      </c>
      <c r="K38" s="304">
        <f t="shared" si="12"/>
        <v>9.0017744174999983</v>
      </c>
      <c r="L38" s="304">
        <f t="shared" si="12"/>
        <v>9.0017744174999983</v>
      </c>
      <c r="M38" s="304">
        <f t="shared" si="12"/>
        <v>6.0011829449999992</v>
      </c>
      <c r="N38" s="269"/>
      <c r="O38" s="269" t="s">
        <v>218</v>
      </c>
      <c r="P38" s="304">
        <f>($D$4+B28-P10)*$B$6*B22/$B$7*$B$8</f>
        <v>15.431945287500003</v>
      </c>
      <c r="Q38" s="304">
        <f t="shared" ref="Q38:AA38" si="13">($D$4+C28-Q10)*$B$6*C22/$B$7*$B$8</f>
        <v>27.434569399999987</v>
      </c>
      <c r="R38" s="304">
        <f t="shared" si="13"/>
        <v>27.434569399999987</v>
      </c>
      <c r="S38" s="304">
        <f t="shared" si="13"/>
        <v>27.434569399999987</v>
      </c>
      <c r="T38" s="304">
        <f t="shared" si="13"/>
        <v>27.434569399999987</v>
      </c>
      <c r="U38" s="304">
        <f t="shared" si="13"/>
        <v>20.575927049999986</v>
      </c>
      <c r="V38" s="304">
        <f t="shared" si="13"/>
        <v>20.575927049999986</v>
      </c>
      <c r="W38" s="304">
        <f t="shared" si="13"/>
        <v>13.717284699999993</v>
      </c>
      <c r="X38" s="304">
        <f t="shared" si="13"/>
        <v>10.287963524999993</v>
      </c>
      <c r="Y38" s="304">
        <f t="shared" si="13"/>
        <v>10.287963524999993</v>
      </c>
      <c r="Z38" s="304">
        <f t="shared" si="13"/>
        <v>10.287963524999993</v>
      </c>
      <c r="AA38" s="304">
        <f t="shared" si="13"/>
        <v>6.8586423499999967</v>
      </c>
    </row>
    <row r="39" spans="1:27" x14ac:dyDescent="0.25">
      <c r="A39" s="269" t="s">
        <v>216</v>
      </c>
      <c r="B39" s="304">
        <f t="shared" ref="B39:M39" si="14">0.9*($B$2+B29-B12)*$B$5*B23/$B$7*$B$8</f>
        <v>12.255709724999999</v>
      </c>
      <c r="C39" s="304">
        <f t="shared" si="14"/>
        <v>14.729442839999976</v>
      </c>
      <c r="D39" s="304">
        <f t="shared" si="14"/>
        <v>17.057947004999999</v>
      </c>
      <c r="E39" s="304">
        <f t="shared" si="14"/>
        <v>12.999604680000004</v>
      </c>
      <c r="F39" s="304">
        <f t="shared" si="14"/>
        <v>13.6199474505</v>
      </c>
      <c r="G39" s="304">
        <f t="shared" si="14"/>
        <v>14.890270455000007</v>
      </c>
      <c r="H39" s="304">
        <f t="shared" si="14"/>
        <v>17.011151010000003</v>
      </c>
      <c r="I39" s="304">
        <f t="shared" si="14"/>
        <v>18.348333119999999</v>
      </c>
      <c r="J39" s="304">
        <f t="shared" si="14"/>
        <v>21.654066752999992</v>
      </c>
      <c r="K39" s="304">
        <f t="shared" si="14"/>
        <v>25.227236807999997</v>
      </c>
      <c r="L39" s="304">
        <f t="shared" si="14"/>
        <v>33.539819175000005</v>
      </c>
      <c r="M39" s="304">
        <f t="shared" si="14"/>
        <v>35.545592339999985</v>
      </c>
      <c r="N39" s="269"/>
      <c r="O39" s="269" t="s">
        <v>216</v>
      </c>
      <c r="P39" s="304">
        <f t="shared" ref="P39:AA39" si="15">($B$4+B29-P12)*$B$6*B23/$B$7*$B$8</f>
        <v>12.663292031250004</v>
      </c>
      <c r="Q39" s="304">
        <f t="shared" si="15"/>
        <v>15.780894937500008</v>
      </c>
      <c r="R39" s="304">
        <f t="shared" si="15"/>
        <v>18.716963343750002</v>
      </c>
      <c r="S39" s="304">
        <f t="shared" si="15"/>
        <v>14.529483500000007</v>
      </c>
      <c r="T39" s="304">
        <f t="shared" si="15"/>
        <v>15.407026315625021</v>
      </c>
      <c r="U39" s="304">
        <f t="shared" si="15"/>
        <v>17.011043306250016</v>
      </c>
      <c r="V39" s="304">
        <f t="shared" si="15"/>
        <v>19.594800312500009</v>
      </c>
      <c r="W39" s="304">
        <f t="shared" si="15"/>
        <v>21.283239250000019</v>
      </c>
      <c r="X39" s="304">
        <f t="shared" si="15"/>
        <v>25.268846006250012</v>
      </c>
      <c r="Y39" s="304">
        <f t="shared" si="15"/>
        <v>29.592140550000007</v>
      </c>
      <c r="Z39" s="304">
        <f t="shared" si="15"/>
        <v>39.522834093749992</v>
      </c>
      <c r="AA39" s="304">
        <f t="shared" si="15"/>
        <v>42.055492499999986</v>
      </c>
    </row>
    <row r="40" spans="1:27" x14ac:dyDescent="0.25">
      <c r="A40" s="269" t="s">
        <v>219</v>
      </c>
      <c r="B40" s="304">
        <f>0.9*($D$2+B28-B10)*$B$5*B24/$B$7*$B$8</f>
        <v>14.031133638750001</v>
      </c>
      <c r="C40" s="304">
        <f t="shared" ref="C40:M40" si="16">0.9*($D$2+C28-C10)*$B$5*C24/$B$7*$B$8</f>
        <v>24.004731779999997</v>
      </c>
      <c r="D40" s="304">
        <f t="shared" si="16"/>
        <v>24.004731779999997</v>
      </c>
      <c r="E40" s="304">
        <f t="shared" si="16"/>
        <v>24.004731779999997</v>
      </c>
      <c r="F40" s="304">
        <f t="shared" si="16"/>
        <v>24.004731779999997</v>
      </c>
      <c r="G40" s="304">
        <f t="shared" si="16"/>
        <v>18.003548834999997</v>
      </c>
      <c r="H40" s="304">
        <f t="shared" si="16"/>
        <v>18.003548834999997</v>
      </c>
      <c r="I40" s="304">
        <f t="shared" si="16"/>
        <v>10.202011006499999</v>
      </c>
      <c r="J40" s="304">
        <f t="shared" si="16"/>
        <v>3.0005914724999996</v>
      </c>
      <c r="K40" s="304">
        <f t="shared" si="16"/>
        <v>3.0005914724999996</v>
      </c>
      <c r="L40" s="304">
        <f t="shared" si="16"/>
        <v>3.0005914724999996</v>
      </c>
      <c r="M40" s="304">
        <f t="shared" si="16"/>
        <v>3.0005914724999996</v>
      </c>
      <c r="N40" s="269"/>
      <c r="O40" s="269" t="s">
        <v>219</v>
      </c>
      <c r="P40" s="304">
        <f>($D$4+B28-P10)*$B$6*B24/$B$7*$B$8</f>
        <v>15.431945287500003</v>
      </c>
      <c r="Q40" s="304">
        <f t="shared" ref="Q40:AA40" si="17">($D$4+C28-Q10)*$B$6*C24/$B$7*$B$8</f>
        <v>27.434569399999987</v>
      </c>
      <c r="R40" s="304">
        <f t="shared" si="17"/>
        <v>27.434569399999987</v>
      </c>
      <c r="S40" s="304">
        <f t="shared" si="17"/>
        <v>27.434569399999987</v>
      </c>
      <c r="T40" s="304">
        <f t="shared" si="17"/>
        <v>27.434569399999987</v>
      </c>
      <c r="U40" s="304">
        <f t="shared" si="17"/>
        <v>20.575927049999986</v>
      </c>
      <c r="V40" s="304">
        <f t="shared" si="17"/>
        <v>20.575927049999986</v>
      </c>
      <c r="W40" s="304">
        <f t="shared" si="17"/>
        <v>11.659691994999992</v>
      </c>
      <c r="X40" s="304">
        <f t="shared" si="17"/>
        <v>3.4293211749999983</v>
      </c>
      <c r="Y40" s="304">
        <f t="shared" si="17"/>
        <v>3.4293211749999983</v>
      </c>
      <c r="Z40" s="304">
        <f t="shared" si="17"/>
        <v>3.4293211749999983</v>
      </c>
      <c r="AA40" s="304">
        <f t="shared" si="17"/>
        <v>3.4293211749999983</v>
      </c>
    </row>
    <row r="41" spans="1:27" x14ac:dyDescent="0.25">
      <c r="A41" s="269" t="s">
        <v>220</v>
      </c>
      <c r="B41" s="304">
        <f t="shared" ref="B41:M41" si="18">0.9*($B$2+B29-B12)*$B$5*B25/$B$7*$B$8</f>
        <v>12.255709724999999</v>
      </c>
      <c r="C41" s="304">
        <f t="shared" si="18"/>
        <v>14.729442839999976</v>
      </c>
      <c r="D41" s="304">
        <f t="shared" si="18"/>
        <v>17.057947004999999</v>
      </c>
      <c r="E41" s="304">
        <f t="shared" si="18"/>
        <v>12.999604680000004</v>
      </c>
      <c r="F41" s="304">
        <f t="shared" si="18"/>
        <v>12.186268771499998</v>
      </c>
      <c r="G41" s="304">
        <f t="shared" si="18"/>
        <v>13.322873565000007</v>
      </c>
      <c r="H41" s="304">
        <f t="shared" si="18"/>
        <v>14.459478358500002</v>
      </c>
      <c r="I41" s="304">
        <f t="shared" si="18"/>
        <v>18.348333119999999</v>
      </c>
      <c r="J41" s="304">
        <f t="shared" si="18"/>
        <v>19.685515229999993</v>
      </c>
      <c r="K41" s="304">
        <f t="shared" si="18"/>
        <v>23.124967074000001</v>
      </c>
      <c r="L41" s="304">
        <f t="shared" si="18"/>
        <v>24.595867394999999</v>
      </c>
      <c r="M41" s="304">
        <f t="shared" si="18"/>
        <v>26.06676771599999</v>
      </c>
      <c r="N41" s="269"/>
      <c r="O41" s="269" t="s">
        <v>220</v>
      </c>
      <c r="P41" s="304">
        <f t="shared" ref="P41:AA41" si="19">($B$4+B29-P12)*$B$6*B25/$B$7*$B$8</f>
        <v>12.663292031250004</v>
      </c>
      <c r="Q41" s="304">
        <f t="shared" si="19"/>
        <v>15.780894937500008</v>
      </c>
      <c r="R41" s="304">
        <f t="shared" si="19"/>
        <v>18.716963343750002</v>
      </c>
      <c r="S41" s="304">
        <f t="shared" si="19"/>
        <v>14.529483500000007</v>
      </c>
      <c r="T41" s="304">
        <f t="shared" si="19"/>
        <v>13.785234071875015</v>
      </c>
      <c r="U41" s="304">
        <f t="shared" si="19"/>
        <v>15.220407168750013</v>
      </c>
      <c r="V41" s="304">
        <f t="shared" si="19"/>
        <v>16.655580265625009</v>
      </c>
      <c r="W41" s="304">
        <f t="shared" si="19"/>
        <v>21.283239250000019</v>
      </c>
      <c r="X41" s="304">
        <f t="shared" si="19"/>
        <v>22.971678187500011</v>
      </c>
      <c r="Y41" s="304">
        <f t="shared" si="19"/>
        <v>27.126128837500008</v>
      </c>
      <c r="Z41" s="304">
        <f t="shared" si="19"/>
        <v>28.983411668749998</v>
      </c>
      <c r="AA41" s="304">
        <f t="shared" si="19"/>
        <v>30.840694499999987</v>
      </c>
    </row>
    <row r="42" spans="1:27" ht="15.75" thickBot="1" x14ac:dyDescent="0.3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</row>
    <row r="43" spans="1:27" ht="15.75" thickBot="1" x14ac:dyDescent="0.3">
      <c r="A43" s="223" t="s">
        <v>242</v>
      </c>
      <c r="B43" s="305">
        <v>2019</v>
      </c>
      <c r="C43" s="305">
        <v>2020</v>
      </c>
      <c r="D43" s="305">
        <v>2021</v>
      </c>
      <c r="E43" s="305">
        <v>2022</v>
      </c>
      <c r="F43" s="305">
        <v>2023</v>
      </c>
      <c r="G43" s="305">
        <v>2024</v>
      </c>
      <c r="H43" s="305">
        <v>2025</v>
      </c>
      <c r="I43" s="305">
        <v>2026</v>
      </c>
      <c r="J43" s="305">
        <v>2027</v>
      </c>
      <c r="K43" s="305">
        <v>2028</v>
      </c>
      <c r="L43" s="305">
        <v>2029</v>
      </c>
      <c r="M43" s="306">
        <v>2030</v>
      </c>
      <c r="N43" s="269"/>
      <c r="O43" s="223" t="s">
        <v>243</v>
      </c>
      <c r="P43" s="305">
        <v>2019</v>
      </c>
      <c r="Q43" s="305">
        <v>2020</v>
      </c>
      <c r="R43" s="305">
        <v>2021</v>
      </c>
      <c r="S43" s="305">
        <v>2022</v>
      </c>
      <c r="T43" s="305">
        <v>2023</v>
      </c>
      <c r="U43" s="305">
        <v>2024</v>
      </c>
      <c r="V43" s="305">
        <v>2025</v>
      </c>
      <c r="W43" s="305">
        <v>2026</v>
      </c>
      <c r="X43" s="305">
        <v>2027</v>
      </c>
      <c r="Y43" s="305">
        <v>2028</v>
      </c>
      <c r="Z43" s="305">
        <v>2029</v>
      </c>
      <c r="AA43" s="306">
        <v>2030</v>
      </c>
    </row>
    <row r="44" spans="1:27" x14ac:dyDescent="0.25">
      <c r="A44" s="269" t="s">
        <v>174</v>
      </c>
      <c r="B44" s="304">
        <f>B33-B32</f>
        <v>-3.8180422012500017</v>
      </c>
      <c r="C44" s="304">
        <f t="shared" ref="C44:M44" si="20">C33-C32</f>
        <v>-11.73019608000002</v>
      </c>
      <c r="D44" s="304">
        <f t="shared" si="20"/>
        <v>-13.201365343500003</v>
      </c>
      <c r="E44" s="304">
        <f t="shared" si="20"/>
        <v>-12.955067801999995</v>
      </c>
      <c r="F44" s="304">
        <f t="shared" si="20"/>
        <v>-5.8172800635000019</v>
      </c>
      <c r="G44" s="304">
        <f t="shared" si="20"/>
        <v>-4.6806752699999929</v>
      </c>
      <c r="H44" s="304">
        <f t="shared" si="20"/>
        <v>2.4571124685000019</v>
      </c>
      <c r="I44" s="304">
        <f t="shared" si="20"/>
        <v>6.5943087344999984</v>
      </c>
      <c r="J44" s="304">
        <f t="shared" si="20"/>
        <v>12.700056523499992</v>
      </c>
      <c r="K44" s="304">
        <f t="shared" si="20"/>
        <v>18.022105867500002</v>
      </c>
      <c r="L44" s="304">
        <f t="shared" si="20"/>
        <v>19.359287977499996</v>
      </c>
      <c r="M44" s="304">
        <f t="shared" si="20"/>
        <v>23.066176243499989</v>
      </c>
      <c r="N44" s="269"/>
      <c r="O44" s="269" t="s">
        <v>174</v>
      </c>
      <c r="P44" s="304">
        <f>P33-P32</f>
        <v>-4.8792019281249992</v>
      </c>
      <c r="Q44" s="304">
        <f t="shared" ref="Q44:AA44" si="21">Q33-Q32</f>
        <v>-14.283823618749981</v>
      </c>
      <c r="R44" s="304">
        <f t="shared" si="21"/>
        <v>-15.580492615624983</v>
      </c>
      <c r="S44" s="304">
        <f t="shared" si="21"/>
        <v>-15.084508424999981</v>
      </c>
      <c r="T44" s="304">
        <f t="shared" si="21"/>
        <v>-6.7906929781249712</v>
      </c>
      <c r="U44" s="304">
        <f t="shared" si="21"/>
        <v>-5.3555198812499736</v>
      </c>
      <c r="V44" s="304">
        <f t="shared" si="21"/>
        <v>2.9382955656250154</v>
      </c>
      <c r="W44" s="304">
        <f t="shared" si="21"/>
        <v>7.8027898375000202</v>
      </c>
      <c r="X44" s="304">
        <f t="shared" si="21"/>
        <v>14.964451928125015</v>
      </c>
      <c r="Y44" s="304">
        <f t="shared" si="21"/>
        <v>21.230795950000012</v>
      </c>
      <c r="Z44" s="304">
        <f t="shared" si="21"/>
        <v>22.919234887500004</v>
      </c>
      <c r="AA44" s="304">
        <f t="shared" si="21"/>
        <v>27.411373324999989</v>
      </c>
    </row>
    <row r="45" spans="1:27" x14ac:dyDescent="0.25">
      <c r="A45" s="269" t="s">
        <v>215</v>
      </c>
      <c r="B45" s="304">
        <f>B37-B36</f>
        <v>-3.8180422012500017</v>
      </c>
      <c r="C45" s="304">
        <f t="shared" ref="C45:M45" si="22">C37-C36</f>
        <v>-11.730196080000017</v>
      </c>
      <c r="D45" s="304">
        <f t="shared" si="22"/>
        <v>-13.201365343499999</v>
      </c>
      <c r="E45" s="304">
        <f t="shared" si="22"/>
        <v>-12.955067801999991</v>
      </c>
      <c r="F45" s="304">
        <f t="shared" si="22"/>
        <v>-7.2509587424999964</v>
      </c>
      <c r="G45" s="304">
        <f t="shared" si="22"/>
        <v>-3.2474806874999942</v>
      </c>
      <c r="H45" s="304">
        <f t="shared" si="22"/>
        <v>3.7565888400000045</v>
      </c>
      <c r="I45" s="304">
        <f t="shared" si="22"/>
        <v>7.7600668949999987</v>
      </c>
      <c r="J45" s="304">
        <f t="shared" si="22"/>
        <v>11.763544949999993</v>
      </c>
      <c r="K45" s="304">
        <f t="shared" si="22"/>
        <v>10.664161798499999</v>
      </c>
      <c r="L45" s="304">
        <f t="shared" si="22"/>
        <v>11.533330169999999</v>
      </c>
      <c r="M45" s="304">
        <f t="shared" si="22"/>
        <v>12.402498541499993</v>
      </c>
      <c r="N45" s="269"/>
      <c r="O45" s="269" t="s">
        <v>215</v>
      </c>
      <c r="P45" s="304">
        <f>P37-P36</f>
        <v>-4.8792019281249992</v>
      </c>
      <c r="Q45" s="304">
        <f t="shared" ref="Q45:AA45" si="23">Q37-Q36</f>
        <v>-14.283823618749981</v>
      </c>
      <c r="R45" s="304">
        <f t="shared" si="23"/>
        <v>-15.580492615624983</v>
      </c>
      <c r="S45" s="304">
        <f t="shared" si="23"/>
        <v>-15.084508424999981</v>
      </c>
      <c r="T45" s="304">
        <f t="shared" si="23"/>
        <v>-8.4124852218749702</v>
      </c>
      <c r="U45" s="304">
        <f t="shared" si="23"/>
        <v>-3.7168348437499787</v>
      </c>
      <c r="V45" s="304">
        <f t="shared" si="23"/>
        <v>4.4081367093750128</v>
      </c>
      <c r="W45" s="304">
        <f t="shared" si="23"/>
        <v>9.1037870875000166</v>
      </c>
      <c r="X45" s="304">
        <f t="shared" si="23"/>
        <v>13.799437465625012</v>
      </c>
      <c r="Y45" s="304">
        <f t="shared" si="23"/>
        <v>12.599754956250006</v>
      </c>
      <c r="Z45" s="304">
        <f t="shared" si="23"/>
        <v>13.697240265625002</v>
      </c>
      <c r="AA45" s="304">
        <f t="shared" si="23"/>
        <v>14.794725574999998</v>
      </c>
    </row>
    <row r="46" spans="1:27" x14ac:dyDescent="0.25">
      <c r="A46" s="269" t="s">
        <v>216</v>
      </c>
      <c r="B46" s="304">
        <f>B39-B38</f>
        <v>-1.7754239137500019</v>
      </c>
      <c r="C46" s="304">
        <f t="shared" ref="C46:M46" si="24">C39-C38</f>
        <v>-9.2752889400000207</v>
      </c>
      <c r="D46" s="304">
        <f t="shared" si="24"/>
        <v>-6.9467847749999976</v>
      </c>
      <c r="E46" s="304">
        <f t="shared" si="24"/>
        <v>-11.005127099999992</v>
      </c>
      <c r="F46" s="304">
        <f t="shared" si="24"/>
        <v>-10.384784329499997</v>
      </c>
      <c r="G46" s="304">
        <f t="shared" si="24"/>
        <v>-3.1132783799999899</v>
      </c>
      <c r="H46" s="304">
        <f t="shared" si="24"/>
        <v>-0.99239782499999407</v>
      </c>
      <c r="I46" s="304">
        <f t="shared" si="24"/>
        <v>6.3459672300000012</v>
      </c>
      <c r="J46" s="304">
        <f t="shared" si="24"/>
        <v>12.652292335499993</v>
      </c>
      <c r="K46" s="304">
        <f t="shared" si="24"/>
        <v>16.225462390499999</v>
      </c>
      <c r="L46" s="304">
        <f t="shared" si="24"/>
        <v>24.538044757500007</v>
      </c>
      <c r="M46" s="304">
        <f t="shared" si="24"/>
        <v>29.544409394999985</v>
      </c>
      <c r="N46" s="269"/>
      <c r="O46" s="269" t="s">
        <v>216</v>
      </c>
      <c r="P46" s="304">
        <f>P39-P38</f>
        <v>-2.7686532562499995</v>
      </c>
      <c r="Q46" s="304">
        <f t="shared" ref="Q46:AA46" si="25">Q39-Q38</f>
        <v>-11.653674462499978</v>
      </c>
      <c r="R46" s="304">
        <f t="shared" si="25"/>
        <v>-8.7176060562499842</v>
      </c>
      <c r="S46" s="304">
        <f t="shared" si="25"/>
        <v>-12.90508589999998</v>
      </c>
      <c r="T46" s="304">
        <f t="shared" si="25"/>
        <v>-12.027543084374965</v>
      </c>
      <c r="U46" s="304">
        <f t="shared" si="25"/>
        <v>-3.5648837437499701</v>
      </c>
      <c r="V46" s="304">
        <f t="shared" si="25"/>
        <v>-0.98112673749997725</v>
      </c>
      <c r="W46" s="304">
        <f t="shared" si="25"/>
        <v>7.5659545500000256</v>
      </c>
      <c r="X46" s="304">
        <f t="shared" si="25"/>
        <v>14.980882481250019</v>
      </c>
      <c r="Y46" s="304">
        <f t="shared" si="25"/>
        <v>19.304177025000016</v>
      </c>
      <c r="Z46" s="304">
        <f t="shared" si="25"/>
        <v>29.234870568749997</v>
      </c>
      <c r="AA46" s="304">
        <f t="shared" si="25"/>
        <v>35.196850149999989</v>
      </c>
    </row>
    <row r="47" spans="1:27" x14ac:dyDescent="0.25">
      <c r="A47" s="269" t="s">
        <v>220</v>
      </c>
      <c r="B47" s="304">
        <f>B41-B40</f>
        <v>-1.7754239137500019</v>
      </c>
      <c r="C47" s="304">
        <f t="shared" ref="C47:M47" si="26">C41-C40</f>
        <v>-9.2752889400000207</v>
      </c>
      <c r="D47" s="304">
        <f t="shared" si="26"/>
        <v>-6.9467847749999976</v>
      </c>
      <c r="E47" s="304">
        <f t="shared" si="26"/>
        <v>-11.005127099999992</v>
      </c>
      <c r="F47" s="304">
        <f t="shared" si="26"/>
        <v>-11.818463008499998</v>
      </c>
      <c r="G47" s="304">
        <f t="shared" si="26"/>
        <v>-4.6806752699999894</v>
      </c>
      <c r="H47" s="304">
        <f t="shared" si="26"/>
        <v>-3.5440704764999946</v>
      </c>
      <c r="I47" s="304">
        <f t="shared" si="26"/>
        <v>8.1463221135000001</v>
      </c>
      <c r="J47" s="304">
        <f t="shared" si="26"/>
        <v>16.684923757499995</v>
      </c>
      <c r="K47" s="304">
        <f t="shared" si="26"/>
        <v>20.124375601500002</v>
      </c>
      <c r="L47" s="304">
        <f t="shared" si="26"/>
        <v>21.595275922500001</v>
      </c>
      <c r="M47" s="304">
        <f t="shared" si="26"/>
        <v>23.066176243499992</v>
      </c>
      <c r="N47" s="269"/>
      <c r="O47" s="269" t="s">
        <v>220</v>
      </c>
      <c r="P47" s="304">
        <f>P41-P40</f>
        <v>-2.7686532562499995</v>
      </c>
      <c r="Q47" s="304">
        <f t="shared" ref="Q47:AA47" si="27">Q41-Q40</f>
        <v>-11.653674462499978</v>
      </c>
      <c r="R47" s="304">
        <f t="shared" si="27"/>
        <v>-8.7176060562499842</v>
      </c>
      <c r="S47" s="304">
        <f t="shared" si="27"/>
        <v>-12.90508589999998</v>
      </c>
      <c r="T47" s="304">
        <f t="shared" si="27"/>
        <v>-13.649335328124971</v>
      </c>
      <c r="U47" s="304">
        <f t="shared" si="27"/>
        <v>-5.3555198812499736</v>
      </c>
      <c r="V47" s="304">
        <f t="shared" si="27"/>
        <v>-3.9203467843749777</v>
      </c>
      <c r="W47" s="304">
        <f t="shared" si="27"/>
        <v>9.6235472550000267</v>
      </c>
      <c r="X47" s="304">
        <f t="shared" si="27"/>
        <v>19.542357012500013</v>
      </c>
      <c r="Y47" s="304">
        <f t="shared" si="27"/>
        <v>23.69680766250001</v>
      </c>
      <c r="Z47" s="304">
        <f t="shared" si="27"/>
        <v>25.55409049375</v>
      </c>
      <c r="AA47" s="304">
        <f t="shared" si="27"/>
        <v>27.411373324999989</v>
      </c>
    </row>
    <row r="48" spans="1:27" x14ac:dyDescent="0.2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</row>
    <row r="49" spans="1:27" x14ac:dyDescent="0.25">
      <c r="A49" s="302" t="s">
        <v>244</v>
      </c>
      <c r="B49" s="304">
        <f>MIN(B44:B46)</f>
        <v>-3.8180422012500017</v>
      </c>
      <c r="C49" s="304">
        <f t="shared" ref="C49:M49" si="28">MIN(C44:C46)</f>
        <v>-11.73019608000002</v>
      </c>
      <c r="D49" s="304">
        <f t="shared" si="28"/>
        <v>-13.201365343500003</v>
      </c>
      <c r="E49" s="304">
        <f t="shared" si="28"/>
        <v>-12.955067801999995</v>
      </c>
      <c r="F49" s="304">
        <f t="shared" si="28"/>
        <v>-10.384784329499997</v>
      </c>
      <c r="G49" s="304">
        <f t="shared" si="28"/>
        <v>-4.6806752699999929</v>
      </c>
      <c r="H49" s="304">
        <f t="shared" si="28"/>
        <v>-0.99239782499999407</v>
      </c>
      <c r="I49" s="304">
        <f t="shared" si="28"/>
        <v>6.3459672300000012</v>
      </c>
      <c r="J49" s="304">
        <f t="shared" si="28"/>
        <v>11.763544949999993</v>
      </c>
      <c r="K49" s="304">
        <f t="shared" si="28"/>
        <v>10.664161798499999</v>
      </c>
      <c r="L49" s="304">
        <f t="shared" si="28"/>
        <v>11.533330169999999</v>
      </c>
      <c r="M49" s="304">
        <f t="shared" si="28"/>
        <v>12.402498541499993</v>
      </c>
      <c r="N49" s="269"/>
      <c r="O49" s="302" t="s">
        <v>244</v>
      </c>
      <c r="P49" s="304">
        <f>MIN(P44:P46)</f>
        <v>-4.8792019281249992</v>
      </c>
      <c r="Q49" s="304">
        <f t="shared" ref="Q49:AA49" si="29">MIN(Q44:Q46)</f>
        <v>-14.283823618749981</v>
      </c>
      <c r="R49" s="304">
        <f t="shared" si="29"/>
        <v>-15.580492615624983</v>
      </c>
      <c r="S49" s="304">
        <f t="shared" si="29"/>
        <v>-15.084508424999981</v>
      </c>
      <c r="T49" s="304">
        <f t="shared" si="29"/>
        <v>-12.027543084374965</v>
      </c>
      <c r="U49" s="304">
        <f t="shared" si="29"/>
        <v>-5.3555198812499736</v>
      </c>
      <c r="V49" s="304">
        <f t="shared" si="29"/>
        <v>-0.98112673749997725</v>
      </c>
      <c r="W49" s="304">
        <f t="shared" si="29"/>
        <v>7.5659545500000256</v>
      </c>
      <c r="X49" s="304">
        <f t="shared" si="29"/>
        <v>13.799437465625012</v>
      </c>
      <c r="Y49" s="304">
        <f t="shared" si="29"/>
        <v>12.599754956250006</v>
      </c>
      <c r="Z49" s="304">
        <f t="shared" si="29"/>
        <v>13.697240265625002</v>
      </c>
      <c r="AA49" s="304">
        <f t="shared" si="29"/>
        <v>14.794725574999998</v>
      </c>
    </row>
    <row r="50" spans="1:27" x14ac:dyDescent="0.25">
      <c r="A50" s="302" t="s">
        <v>245</v>
      </c>
      <c r="B50" s="304">
        <f>MAX(B44:B46)</f>
        <v>-1.7754239137500019</v>
      </c>
      <c r="C50" s="304">
        <f t="shared" ref="C50:M50" si="30">MAX(C44:C46)</f>
        <v>-9.2752889400000207</v>
      </c>
      <c r="D50" s="304">
        <f t="shared" si="30"/>
        <v>-6.9467847749999976</v>
      </c>
      <c r="E50" s="304">
        <f t="shared" si="30"/>
        <v>-11.005127099999992</v>
      </c>
      <c r="F50" s="304">
        <f t="shared" si="30"/>
        <v>-5.8172800635000019</v>
      </c>
      <c r="G50" s="304">
        <f t="shared" si="30"/>
        <v>-3.1132783799999899</v>
      </c>
      <c r="H50" s="304">
        <f t="shared" si="30"/>
        <v>3.7565888400000045</v>
      </c>
      <c r="I50" s="304">
        <f t="shared" si="30"/>
        <v>7.7600668949999987</v>
      </c>
      <c r="J50" s="304">
        <f t="shared" si="30"/>
        <v>12.700056523499992</v>
      </c>
      <c r="K50" s="304">
        <f t="shared" si="30"/>
        <v>18.022105867500002</v>
      </c>
      <c r="L50" s="304">
        <f t="shared" si="30"/>
        <v>24.538044757500007</v>
      </c>
      <c r="M50" s="304">
        <f t="shared" si="30"/>
        <v>29.544409394999985</v>
      </c>
      <c r="N50" s="269"/>
      <c r="O50" s="302" t="s">
        <v>245</v>
      </c>
      <c r="P50" s="304">
        <f>MAX(P44:P46)</f>
        <v>-2.7686532562499995</v>
      </c>
      <c r="Q50" s="304">
        <f t="shared" ref="Q50:AA50" si="31">MAX(Q44:Q46)</f>
        <v>-11.653674462499978</v>
      </c>
      <c r="R50" s="304">
        <f t="shared" si="31"/>
        <v>-8.7176060562499842</v>
      </c>
      <c r="S50" s="304">
        <f t="shared" si="31"/>
        <v>-12.90508589999998</v>
      </c>
      <c r="T50" s="304">
        <f t="shared" si="31"/>
        <v>-6.7906929781249712</v>
      </c>
      <c r="U50" s="304">
        <f t="shared" si="31"/>
        <v>-3.5648837437499701</v>
      </c>
      <c r="V50" s="304">
        <f t="shared" si="31"/>
        <v>4.4081367093750128</v>
      </c>
      <c r="W50" s="304">
        <f t="shared" si="31"/>
        <v>9.1037870875000166</v>
      </c>
      <c r="X50" s="304">
        <f t="shared" si="31"/>
        <v>14.980882481250019</v>
      </c>
      <c r="Y50" s="304">
        <f t="shared" si="31"/>
        <v>21.230795950000012</v>
      </c>
      <c r="Z50" s="304">
        <f t="shared" si="31"/>
        <v>29.234870568749997</v>
      </c>
      <c r="AA50" s="304">
        <f t="shared" si="31"/>
        <v>35.196850149999989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Normal="100" workbookViewId="0"/>
  </sheetViews>
  <sheetFormatPr defaultColWidth="9.140625" defaultRowHeight="15" x14ac:dyDescent="0.25"/>
  <cols>
    <col min="1" max="1" width="10.7109375" style="15" customWidth="1"/>
    <col min="2" max="3" width="9.140625" style="15"/>
    <col min="4" max="4" width="21.28515625" style="15" customWidth="1"/>
    <col min="5" max="5" width="16.5703125" style="15" bestFit="1" customWidth="1"/>
    <col min="6" max="6" width="4.42578125" style="15" customWidth="1"/>
    <col min="7" max="7" width="9.140625" style="15"/>
    <col min="8" max="8" width="5.140625" style="15" customWidth="1"/>
    <col min="9" max="22" width="9.140625" style="15"/>
    <col min="23" max="23" width="14.28515625" style="15" customWidth="1"/>
    <col min="24" max="16384" width="9.140625" style="15"/>
  </cols>
  <sheetData>
    <row r="1" spans="1:16" ht="23.25" x14ac:dyDescent="0.35">
      <c r="A1" s="126" t="s">
        <v>135</v>
      </c>
      <c r="D1" s="15" t="s">
        <v>276</v>
      </c>
    </row>
    <row r="2" spans="1:16" ht="15.75" thickBot="1" x14ac:dyDescent="0.3">
      <c r="A2" s="137" t="s">
        <v>142</v>
      </c>
    </row>
    <row r="3" spans="1:16" ht="15.75" thickBot="1" x14ac:dyDescent="0.3">
      <c r="A3" s="98" t="s">
        <v>129</v>
      </c>
      <c r="C3" s="315" t="s">
        <v>176</v>
      </c>
      <c r="D3" s="316"/>
      <c r="G3"/>
    </row>
    <row r="4" spans="1:16" ht="15.75" thickBot="1" x14ac:dyDescent="0.3">
      <c r="A4" s="98" t="s">
        <v>148</v>
      </c>
      <c r="C4" s="315" t="s">
        <v>264</v>
      </c>
      <c r="D4" s="316"/>
      <c r="E4" s="15" t="s">
        <v>257</v>
      </c>
      <c r="F4" s="15" t="s">
        <v>258</v>
      </c>
      <c r="G4" s="140"/>
    </row>
    <row r="5" spans="1:16" ht="15.75" thickBot="1" x14ac:dyDescent="0.3">
      <c r="A5" s="98" t="s">
        <v>137</v>
      </c>
      <c r="C5" s="317">
        <v>0.2</v>
      </c>
      <c r="D5" s="316"/>
    </row>
    <row r="6" spans="1:16" x14ac:dyDescent="0.25">
      <c r="A6" s="98"/>
      <c r="C6" s="318"/>
      <c r="D6" s="318"/>
    </row>
    <row r="7" spans="1:16" ht="23.25" x14ac:dyDescent="0.35">
      <c r="B7" s="126" t="s">
        <v>138</v>
      </c>
      <c r="J7" s="126" t="s">
        <v>139</v>
      </c>
    </row>
    <row r="12" spans="1:16" x14ac:dyDescent="0.25">
      <c r="O12" s="98"/>
    </row>
    <row r="14" spans="1:16" x14ac:dyDescent="0.25">
      <c r="P14" s="145"/>
    </row>
    <row r="15" spans="1:16" x14ac:dyDescent="0.25">
      <c r="P15" s="145"/>
    </row>
    <row r="16" spans="1:16" x14ac:dyDescent="0.25">
      <c r="P16" s="145"/>
    </row>
    <row r="17" spans="16:16" x14ac:dyDescent="0.25">
      <c r="P17" s="145"/>
    </row>
    <row r="18" spans="16:16" x14ac:dyDescent="0.25">
      <c r="P18" s="145"/>
    </row>
    <row r="19" spans="16:16" x14ac:dyDescent="0.25">
      <c r="P19" s="145"/>
    </row>
    <row r="20" spans="16:16" x14ac:dyDescent="0.25">
      <c r="P20" s="145"/>
    </row>
    <row r="21" spans="16:16" x14ac:dyDescent="0.25">
      <c r="P21" s="145"/>
    </row>
    <row r="22" spans="16:16" x14ac:dyDescent="0.25">
      <c r="P22" s="145"/>
    </row>
    <row r="23" spans="16:16" x14ac:dyDescent="0.25">
      <c r="P23" s="145"/>
    </row>
    <row r="24" spans="16:16" x14ac:dyDescent="0.25">
      <c r="P24" s="145"/>
    </row>
    <row r="25" spans="16:16" x14ac:dyDescent="0.25">
      <c r="P25" s="145"/>
    </row>
    <row r="26" spans="16:16" x14ac:dyDescent="0.25">
      <c r="P26" s="145"/>
    </row>
    <row r="27" spans="16:16" x14ac:dyDescent="0.25">
      <c r="P27" s="145"/>
    </row>
    <row r="28" spans="16:16" hidden="1" x14ac:dyDescent="0.25">
      <c r="P28" s="145"/>
    </row>
    <row r="29" spans="16:16" hidden="1" x14ac:dyDescent="0.25">
      <c r="P29" s="145"/>
    </row>
    <row r="30" spans="16:16" hidden="1" x14ac:dyDescent="0.25">
      <c r="P30" s="145"/>
    </row>
    <row r="31" spans="16:16" hidden="1" x14ac:dyDescent="0.25"/>
    <row r="32" spans="16:16" hidden="1" x14ac:dyDescent="0.25"/>
    <row r="33" spans="1:21" hidden="1" x14ac:dyDescent="0.25"/>
    <row r="34" spans="1:21" hidden="1" x14ac:dyDescent="0.25"/>
    <row r="35" spans="1:21" hidden="1" x14ac:dyDescent="0.25"/>
    <row r="36" spans="1:21" hidden="1" x14ac:dyDescent="0.25"/>
    <row r="37" spans="1:21" ht="18.75" x14ac:dyDescent="0.3">
      <c r="A37" s="125" t="s">
        <v>136</v>
      </c>
    </row>
    <row r="45" spans="1:21" x14ac:dyDescent="0.25">
      <c r="U45" s="149"/>
    </row>
    <row r="52" spans="20:20" x14ac:dyDescent="0.25">
      <c r="T52" s="146"/>
    </row>
  </sheetData>
  <mergeCells count="4">
    <mergeCell ref="C3:D3"/>
    <mergeCell ref="C4:D4"/>
    <mergeCell ref="C5:D5"/>
    <mergeCell ref="C6:D6"/>
  </mergeCells>
  <pageMargins left="0.7" right="0.7" top="0.75" bottom="0.75" header="0.3" footer="0.3"/>
  <pageSetup orientation="landscape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'Reduction Targets'!$A$3:$A$7</xm:f>
          </x14:formula1>
          <xm:sqref>C5:D5</xm:sqref>
        </x14:dataValidation>
        <x14:dataValidation type="list" allowBlank="1" showInputMessage="1" showErrorMessage="1">
          <x14:formula1>
            <xm:f>'Demand Reduction Scenarios'!$E$25:$E$28</xm:f>
          </x14:formula1>
          <xm:sqref>C3:D3</xm:sqref>
        </x14:dataValidation>
        <x14:dataValidation type="list" allowBlank="1" showInputMessage="1" showErrorMessage="1">
          <x14:formula1>
            <xm:f>'Supply Scenarios'!$B$2:$M$2</xm:f>
          </x14:formula1>
          <xm:sqref>C4:D4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8"/>
  <sheetViews>
    <sheetView workbookViewId="0"/>
  </sheetViews>
  <sheetFormatPr defaultColWidth="8.85546875" defaultRowHeight="15" x14ac:dyDescent="0.25"/>
  <cols>
    <col min="1" max="1" width="16" style="15" customWidth="1"/>
    <col min="2" max="3" width="8.85546875" style="15"/>
    <col min="4" max="4" width="11.140625" style="15" bestFit="1" customWidth="1"/>
    <col min="5" max="16384" width="8.85546875" style="15"/>
  </cols>
  <sheetData>
    <row r="1" spans="1:14" ht="15.75" thickBot="1" x14ac:dyDescent="0.3">
      <c r="A1" s="15" t="s">
        <v>165</v>
      </c>
    </row>
    <row r="2" spans="1:14" ht="15.75" thickBot="1" x14ac:dyDescent="0.3">
      <c r="A2" s="186" t="s">
        <v>65</v>
      </c>
      <c r="B2" s="106">
        <v>2019</v>
      </c>
      <c r="C2" s="184">
        <v>2020</v>
      </c>
      <c r="D2" s="184">
        <v>2021</v>
      </c>
      <c r="E2" s="184">
        <v>2022</v>
      </c>
      <c r="F2" s="184">
        <v>2023</v>
      </c>
      <c r="G2" s="184">
        <v>2024</v>
      </c>
      <c r="H2" s="184">
        <v>2025</v>
      </c>
      <c r="I2" s="184">
        <v>2026</v>
      </c>
      <c r="J2" s="184">
        <v>2027</v>
      </c>
      <c r="K2" s="184">
        <v>2028</v>
      </c>
      <c r="L2" s="184">
        <v>2029</v>
      </c>
      <c r="M2" s="185">
        <v>2030</v>
      </c>
    </row>
    <row r="3" spans="1:14" x14ac:dyDescent="0.25">
      <c r="A3" s="187">
        <v>0.18</v>
      </c>
      <c r="B3" s="180">
        <v>7.4999999999999997E-2</v>
      </c>
      <c r="C3" s="181">
        <v>0.1</v>
      </c>
      <c r="D3" s="181">
        <v>0.1</v>
      </c>
      <c r="E3" s="181">
        <v>0.1</v>
      </c>
      <c r="F3" s="181">
        <f>0.08/($M$2-$E$2)+E3</f>
        <v>0.11</v>
      </c>
      <c r="G3" s="181">
        <f t="shared" ref="G3:M3" si="0">0.08/($M$2-$E$2)+F3</f>
        <v>0.12</v>
      </c>
      <c r="H3" s="181">
        <f t="shared" si="0"/>
        <v>0.13</v>
      </c>
      <c r="I3" s="181">
        <f t="shared" si="0"/>
        <v>0.14000000000000001</v>
      </c>
      <c r="J3" s="181">
        <f t="shared" si="0"/>
        <v>0.15000000000000002</v>
      </c>
      <c r="K3" s="181">
        <f t="shared" si="0"/>
        <v>0.16000000000000003</v>
      </c>
      <c r="L3" s="181">
        <f t="shared" si="0"/>
        <v>0.17000000000000004</v>
      </c>
      <c r="M3" s="182">
        <f t="shared" si="0"/>
        <v>0.18000000000000005</v>
      </c>
      <c r="N3" s="15" t="s">
        <v>250</v>
      </c>
    </row>
    <row r="4" spans="1:14" x14ac:dyDescent="0.25">
      <c r="A4" s="187">
        <v>0.2</v>
      </c>
      <c r="B4" s="183">
        <v>6.25E-2</v>
      </c>
      <c r="C4" s="179">
        <v>7.4999999999999997E-2</v>
      </c>
      <c r="D4" s="183">
        <v>8.7499999999999994E-2</v>
      </c>
      <c r="E4" s="179">
        <v>0.1</v>
      </c>
      <c r="F4" s="183">
        <v>0.1125</v>
      </c>
      <c r="G4" s="179">
        <v>0.125</v>
      </c>
      <c r="H4" s="183">
        <v>0.13750000000000001</v>
      </c>
      <c r="I4" s="179">
        <v>0.15</v>
      </c>
      <c r="J4" s="183">
        <v>0.16250000000000001</v>
      </c>
      <c r="K4" s="179">
        <v>0.17499999999999999</v>
      </c>
      <c r="L4" s="183">
        <v>0.1875</v>
      </c>
      <c r="M4" s="179">
        <v>0.2</v>
      </c>
      <c r="N4" s="15" t="s">
        <v>185</v>
      </c>
    </row>
    <row r="5" spans="1:14" x14ac:dyDescent="0.25">
      <c r="A5" s="187">
        <v>0.25</v>
      </c>
      <c r="B5" s="200">
        <f>0.05+(0.25-0.05)/12</f>
        <v>6.6666666666666666E-2</v>
      </c>
      <c r="C5" s="201">
        <f>B5+(0.25-0.05)/12</f>
        <v>8.3333333333333329E-2</v>
      </c>
      <c r="D5" s="201">
        <f t="shared" ref="D5:M5" si="1">C5+(0.25-0.05)/12</f>
        <v>9.9999999999999992E-2</v>
      </c>
      <c r="E5" s="201">
        <f t="shared" si="1"/>
        <v>0.11666666666666665</v>
      </c>
      <c r="F5" s="201">
        <f t="shared" si="1"/>
        <v>0.13333333333333333</v>
      </c>
      <c r="G5" s="201">
        <f t="shared" si="1"/>
        <v>0.15</v>
      </c>
      <c r="H5" s="201">
        <f t="shared" si="1"/>
        <v>0.16666666666666666</v>
      </c>
      <c r="I5" s="201">
        <f t="shared" si="1"/>
        <v>0.18333333333333332</v>
      </c>
      <c r="J5" s="201">
        <f t="shared" si="1"/>
        <v>0.19999999999999998</v>
      </c>
      <c r="K5" s="201">
        <f t="shared" si="1"/>
        <v>0.21666666666666665</v>
      </c>
      <c r="L5" s="201">
        <f t="shared" si="1"/>
        <v>0.23333333333333331</v>
      </c>
      <c r="M5" s="201">
        <f t="shared" si="1"/>
        <v>0.24999999999999997</v>
      </c>
      <c r="N5" s="15" t="s">
        <v>186</v>
      </c>
    </row>
    <row r="6" spans="1:14" x14ac:dyDescent="0.25">
      <c r="A6" s="205">
        <v>0.1</v>
      </c>
      <c r="B6" s="183">
        <v>7.4999999999999997E-2</v>
      </c>
      <c r="C6" s="179">
        <v>0.1</v>
      </c>
      <c r="D6" s="179">
        <v>0.1</v>
      </c>
      <c r="E6" s="179">
        <v>0.1</v>
      </c>
      <c r="F6" s="179">
        <v>0.1</v>
      </c>
      <c r="G6" s="179">
        <v>0.1</v>
      </c>
      <c r="H6" s="179">
        <v>0.1</v>
      </c>
      <c r="I6" s="179">
        <v>0.1</v>
      </c>
      <c r="J6" s="179">
        <v>0.1</v>
      </c>
      <c r="K6" s="179">
        <v>0.1</v>
      </c>
      <c r="L6" s="179">
        <v>0.1</v>
      </c>
      <c r="M6" s="199">
        <v>0.1</v>
      </c>
      <c r="N6" s="15" t="s">
        <v>184</v>
      </c>
    </row>
    <row r="7" spans="1:14" ht="15.75" thickBot="1" x14ac:dyDescent="0.3">
      <c r="A7" s="188" t="s">
        <v>152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1:14" x14ac:dyDescent="0.25">
      <c r="D8" s="175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36"/>
  <sheetViews>
    <sheetView workbookViewId="0"/>
  </sheetViews>
  <sheetFormatPr defaultColWidth="9.140625" defaultRowHeight="15" x14ac:dyDescent="0.25"/>
  <cols>
    <col min="1" max="1" width="9.140625" style="15"/>
    <col min="2" max="2" width="16.85546875" style="15" bestFit="1" customWidth="1"/>
    <col min="3" max="3" width="10.85546875" style="15" bestFit="1" customWidth="1"/>
    <col min="4" max="4" width="13.140625" style="15" customWidth="1"/>
    <col min="5" max="5" width="14.140625" style="15" customWidth="1"/>
    <col min="6" max="6" width="13" style="15" customWidth="1"/>
    <col min="7" max="10" width="9.140625" style="15"/>
    <col min="11" max="11" width="11.7109375" style="15" customWidth="1"/>
    <col min="12" max="16384" width="9.140625" style="15"/>
  </cols>
  <sheetData>
    <row r="1" spans="1:8" ht="15.75" thickBot="1" x14ac:dyDescent="0.3">
      <c r="A1" s="106" t="s">
        <v>176</v>
      </c>
      <c r="B1" s="108"/>
      <c r="D1" s="106" t="s">
        <v>175</v>
      </c>
      <c r="E1" s="108"/>
      <c r="G1" s="106" t="s">
        <v>152</v>
      </c>
      <c r="H1" s="108"/>
    </row>
    <row r="2" spans="1:8" x14ac:dyDescent="0.25">
      <c r="A2" s="117" t="s">
        <v>64</v>
      </c>
      <c r="B2" s="118" t="s">
        <v>62</v>
      </c>
      <c r="D2" s="117" t="s">
        <v>64</v>
      </c>
      <c r="E2" s="118" t="s">
        <v>62</v>
      </c>
      <c r="G2" s="117" t="s">
        <v>64</v>
      </c>
      <c r="H2" s="118" t="s">
        <v>62</v>
      </c>
    </row>
    <row r="3" spans="1:8" x14ac:dyDescent="0.25">
      <c r="A3" s="115">
        <v>0</v>
      </c>
      <c r="B3" s="112">
        <v>-9.5742200289256063E-3</v>
      </c>
      <c r="D3" s="174">
        <v>0</v>
      </c>
      <c r="E3" s="174">
        <v>0</v>
      </c>
      <c r="G3" s="242"/>
      <c r="H3" s="242"/>
    </row>
    <row r="4" spans="1:8" x14ac:dyDescent="0.25">
      <c r="A4" s="115">
        <v>-2.9266734936538731E-2</v>
      </c>
      <c r="B4" s="112">
        <v>-1.6992062668102204E-2</v>
      </c>
      <c r="D4" s="174">
        <v>-1.3555973003385513E-2</v>
      </c>
      <c r="E4" s="174">
        <v>-4.99580338172817E-3</v>
      </c>
      <c r="G4" s="242"/>
      <c r="H4" s="242"/>
    </row>
    <row r="5" spans="1:8" x14ac:dyDescent="0.25">
      <c r="A5" s="115">
        <v>-5.7223886710197631E-2</v>
      </c>
      <c r="B5" s="112">
        <v>-1.9645268516833635E-2</v>
      </c>
      <c r="D5" s="174">
        <v>-2.7734356795500514E-2</v>
      </c>
      <c r="E5" s="174">
        <v>-6.1714082951745408E-3</v>
      </c>
      <c r="G5" s="242"/>
      <c r="H5" s="242"/>
    </row>
    <row r="6" spans="1:8" x14ac:dyDescent="0.25">
      <c r="A6" s="115">
        <v>-8.4192291851255721E-2</v>
      </c>
      <c r="B6" s="112">
        <v>-1.7926040658865963E-2</v>
      </c>
      <c r="D6" s="174">
        <v>-4.4531704267913863E-2</v>
      </c>
      <c r="E6" s="174">
        <v>-1.1541082476084097E-2</v>
      </c>
      <c r="G6" s="242"/>
      <c r="H6" s="242"/>
    </row>
    <row r="7" spans="1:8" x14ac:dyDescent="0.25">
      <c r="A7" s="115">
        <v>-0.1108600008424394</v>
      </c>
      <c r="B7" s="112">
        <v>-7.9576828608570859E-3</v>
      </c>
      <c r="D7" s="174">
        <v>-5.7845653882674264E-2</v>
      </c>
      <c r="E7" s="174">
        <v>-1.4323282028325834E-2</v>
      </c>
      <c r="G7" s="242"/>
      <c r="H7" s="242"/>
    </row>
    <row r="8" spans="1:8" x14ac:dyDescent="0.25">
      <c r="A8" s="115">
        <v>-0.14090126040040232</v>
      </c>
      <c r="B8" s="112">
        <v>2.7632991533720927E-3</v>
      </c>
      <c r="D8" s="174">
        <v>-6.2840883809409054E-2</v>
      </c>
      <c r="E8" s="174">
        <v>-1.001646227541575E-2</v>
      </c>
      <c r="G8" s="242"/>
      <c r="H8" s="242"/>
    </row>
    <row r="9" spans="1:8" x14ac:dyDescent="0.25">
      <c r="A9" s="115">
        <v>-0.16859169474713201</v>
      </c>
      <c r="B9" s="112">
        <v>1.6401343383392681E-2</v>
      </c>
      <c r="D9" s="174">
        <v>-6.8371323897506942E-2</v>
      </c>
      <c r="E9" s="174">
        <v>-9.0785677398647624E-3</v>
      </c>
      <c r="G9" s="242"/>
      <c r="H9" s="242"/>
    </row>
    <row r="10" spans="1:8" x14ac:dyDescent="0.25">
      <c r="A10" s="115">
        <v>-0.19379036102340289</v>
      </c>
      <c r="B10" s="112">
        <v>1.4117786655919522E-2</v>
      </c>
      <c r="D10" s="174">
        <v>-8.0218882554374871E-2</v>
      </c>
      <c r="E10" s="174">
        <v>-6.2642317168245532E-3</v>
      </c>
      <c r="G10" s="242"/>
      <c r="H10" s="242"/>
    </row>
    <row r="11" spans="1:8" x14ac:dyDescent="0.25">
      <c r="A11" s="115">
        <v>-0.21940515236546926</v>
      </c>
      <c r="B11" s="112">
        <v>1.1205038272360766E-2</v>
      </c>
      <c r="D11" s="174">
        <v>-8.8168302362550965E-2</v>
      </c>
      <c r="E11" s="174">
        <v>-2.4891434510793675E-3</v>
      </c>
      <c r="G11" s="242"/>
      <c r="H11" s="242"/>
    </row>
    <row r="12" spans="1:8" x14ac:dyDescent="0.25">
      <c r="A12" s="115">
        <v>-0.24453956726852533</v>
      </c>
      <c r="B12" s="112">
        <v>8.7027601259244986E-3</v>
      </c>
      <c r="D12" s="174">
        <v>-9.0132484140611535E-2</v>
      </c>
      <c r="E12" s="174">
        <v>2.9906013472401627E-3</v>
      </c>
      <c r="G12" s="242"/>
      <c r="H12" s="242"/>
    </row>
    <row r="13" spans="1:8" x14ac:dyDescent="0.25">
      <c r="A13" s="115">
        <v>-0.26275183075381242</v>
      </c>
      <c r="B13" s="112">
        <v>8.1255558418996607E-3</v>
      </c>
      <c r="D13" s="174">
        <v>-9.8794688108841011E-2</v>
      </c>
      <c r="E13" s="174">
        <v>6.7658292655440322E-3</v>
      </c>
      <c r="G13" s="242"/>
      <c r="H13" s="242"/>
    </row>
    <row r="14" spans="1:8" x14ac:dyDescent="0.25">
      <c r="A14" s="115">
        <v>-0.27790308392075808</v>
      </c>
      <c r="B14" s="112">
        <v>8.6085585377676469E-3</v>
      </c>
      <c r="D14" s="174">
        <v>-0.10256126622322298</v>
      </c>
      <c r="E14" s="174">
        <v>1.3129150404033507E-2</v>
      </c>
      <c r="G14" s="242"/>
      <c r="H14" s="242"/>
    </row>
    <row r="15" spans="1:8" x14ac:dyDescent="0.25">
      <c r="A15" s="115">
        <v>-0.29042931513689335</v>
      </c>
      <c r="B15" s="112">
        <v>1.1511185546772121E-2</v>
      </c>
      <c r="D15" s="174">
        <v>-0.10832482107587438</v>
      </c>
      <c r="E15" s="174">
        <v>1.7273555479288216E-2</v>
      </c>
      <c r="G15" s="242"/>
      <c r="H15" s="242"/>
    </row>
    <row r="16" spans="1:8" ht="15.75" thickBot="1" x14ac:dyDescent="0.3">
      <c r="A16" s="116">
        <v>-0.30086324553170812</v>
      </c>
      <c r="B16" s="114">
        <v>1.5605828005332247E-2</v>
      </c>
      <c r="D16" s="174">
        <v>-0.11278656113103225</v>
      </c>
      <c r="E16" s="174">
        <v>2.2319322859826185E-2</v>
      </c>
      <c r="G16" s="242"/>
      <c r="H16" s="242"/>
    </row>
    <row r="17" spans="1:19" x14ac:dyDescent="0.25">
      <c r="B17" s="99"/>
      <c r="C17" s="99"/>
    </row>
    <row r="18" spans="1:19" ht="15.75" thickBot="1" x14ac:dyDescent="0.3">
      <c r="B18" s="99"/>
      <c r="C18" s="99"/>
    </row>
    <row r="19" spans="1:19" ht="15.75" thickBot="1" x14ac:dyDescent="0.3">
      <c r="A19" s="120" t="s">
        <v>128</v>
      </c>
      <c r="B19" s="121"/>
      <c r="C19" s="123" t="str">
        <f>Summary!C3</f>
        <v>Low Demand</v>
      </c>
      <c r="E19" s="106" t="s">
        <v>131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</row>
    <row r="20" spans="1:19" x14ac:dyDescent="0.25">
      <c r="A20" s="117" t="s">
        <v>65</v>
      </c>
      <c r="B20" s="119" t="s">
        <v>64</v>
      </c>
      <c r="C20" s="122" t="s">
        <v>62</v>
      </c>
      <c r="E20" s="100" t="s">
        <v>65</v>
      </c>
      <c r="F20" s="101">
        <v>2017</v>
      </c>
      <c r="G20" s="101">
        <v>2018</v>
      </c>
      <c r="H20" s="101">
        <v>2019</v>
      </c>
      <c r="I20" s="101">
        <v>2020</v>
      </c>
      <c r="J20" s="101">
        <v>2021</v>
      </c>
      <c r="K20" s="101">
        <v>2022</v>
      </c>
      <c r="L20" s="101">
        <v>2023</v>
      </c>
      <c r="M20" s="101">
        <v>2024</v>
      </c>
      <c r="N20" s="101">
        <v>2025</v>
      </c>
      <c r="O20" s="101">
        <v>2026</v>
      </c>
      <c r="P20" s="101">
        <v>2027</v>
      </c>
      <c r="Q20" s="101">
        <v>2028</v>
      </c>
      <c r="R20" s="101">
        <v>2029</v>
      </c>
      <c r="S20" s="102">
        <v>2030</v>
      </c>
    </row>
    <row r="21" spans="1:19" x14ac:dyDescent="0.25">
      <c r="A21" s="100">
        <v>2017</v>
      </c>
      <c r="B21" s="111">
        <f t="shared" ref="B21:B34" si="0">INDEX(3:3,MATCH($C$19,$1:$1,0))</f>
        <v>0</v>
      </c>
      <c r="C21" s="112">
        <f t="shared" ref="C21:C34" si="1">INDEX(3:3,MATCH($C$19,$1:$1,0)+1)</f>
        <v>-9.5742200289256063E-3</v>
      </c>
      <c r="E21" s="100" t="s">
        <v>64</v>
      </c>
      <c r="F21" s="101">
        <f>INDEX($B$21:$B$34,MATCH(F20,$A$21:$A$34,0))</f>
        <v>0</v>
      </c>
      <c r="G21" s="101">
        <f t="shared" ref="G21:S21" si="2">INDEX($B$21:$B$34,MATCH(G20,$A$21:$A$34,0))</f>
        <v>-2.9266734936538731E-2</v>
      </c>
      <c r="H21" s="101">
        <f t="shared" si="2"/>
        <v>-5.7223886710197631E-2</v>
      </c>
      <c r="I21" s="101">
        <f t="shared" si="2"/>
        <v>-8.4192291851255721E-2</v>
      </c>
      <c r="J21" s="101">
        <f t="shared" si="2"/>
        <v>-0.1108600008424394</v>
      </c>
      <c r="K21" s="101">
        <f t="shared" si="2"/>
        <v>-0.14090126040040232</v>
      </c>
      <c r="L21" s="101">
        <f t="shared" si="2"/>
        <v>-0.16859169474713201</v>
      </c>
      <c r="M21" s="101">
        <f t="shared" si="2"/>
        <v>-0.19379036102340289</v>
      </c>
      <c r="N21" s="101">
        <f t="shared" si="2"/>
        <v>-0.21940515236546926</v>
      </c>
      <c r="O21" s="101">
        <f t="shared" si="2"/>
        <v>-0.24453956726852533</v>
      </c>
      <c r="P21" s="101">
        <f t="shared" si="2"/>
        <v>-0.26275183075381242</v>
      </c>
      <c r="Q21" s="101">
        <f t="shared" si="2"/>
        <v>-0.27790308392075808</v>
      </c>
      <c r="R21" s="101">
        <f t="shared" si="2"/>
        <v>-0.29042931513689335</v>
      </c>
      <c r="S21" s="102">
        <f t="shared" si="2"/>
        <v>-0.30086324553170812</v>
      </c>
    </row>
    <row r="22" spans="1:19" ht="15.75" thickBot="1" x14ac:dyDescent="0.3">
      <c r="A22" s="100">
        <v>2018</v>
      </c>
      <c r="B22" s="111">
        <f t="shared" si="0"/>
        <v>-2.9266734936538731E-2</v>
      </c>
      <c r="C22" s="112">
        <f t="shared" si="1"/>
        <v>-1.6992062668102204E-2</v>
      </c>
      <c r="E22" s="103" t="s">
        <v>62</v>
      </c>
      <c r="F22" s="104">
        <f>INDEX($C$21:$C$34,MATCH(F20,$A$21:$A$34,0))</f>
        <v>-9.5742200289256063E-3</v>
      </c>
      <c r="G22" s="104">
        <f t="shared" ref="G22:S22" si="3">INDEX($C$21:$C$34,MATCH(G20,$A$21:$A$34,0))</f>
        <v>-1.6992062668102204E-2</v>
      </c>
      <c r="H22" s="104">
        <f t="shared" si="3"/>
        <v>-1.9645268516833635E-2</v>
      </c>
      <c r="I22" s="104">
        <f t="shared" si="3"/>
        <v>-1.7926040658865963E-2</v>
      </c>
      <c r="J22" s="104">
        <f t="shared" si="3"/>
        <v>-7.9576828608570859E-3</v>
      </c>
      <c r="K22" s="104">
        <f t="shared" si="3"/>
        <v>2.7632991533720927E-3</v>
      </c>
      <c r="L22" s="104">
        <f t="shared" si="3"/>
        <v>1.6401343383392681E-2</v>
      </c>
      <c r="M22" s="104">
        <f t="shared" si="3"/>
        <v>1.4117786655919522E-2</v>
      </c>
      <c r="N22" s="104">
        <f t="shared" si="3"/>
        <v>1.1205038272360766E-2</v>
      </c>
      <c r="O22" s="104">
        <f t="shared" si="3"/>
        <v>8.7027601259244986E-3</v>
      </c>
      <c r="P22" s="104">
        <f t="shared" si="3"/>
        <v>8.1255558418996607E-3</v>
      </c>
      <c r="Q22" s="104">
        <f t="shared" si="3"/>
        <v>8.6085585377676469E-3</v>
      </c>
      <c r="R22" s="104">
        <f t="shared" si="3"/>
        <v>1.1511185546772121E-2</v>
      </c>
      <c r="S22" s="105">
        <f t="shared" si="3"/>
        <v>1.5605828005332247E-2</v>
      </c>
    </row>
    <row r="23" spans="1:19" ht="15.75" thickBot="1" x14ac:dyDescent="0.3">
      <c r="A23" s="100">
        <v>2019</v>
      </c>
      <c r="B23" s="111">
        <f t="shared" si="0"/>
        <v>-5.7223886710197631E-2</v>
      </c>
      <c r="C23" s="112">
        <f t="shared" si="1"/>
        <v>-1.9645268516833635E-2</v>
      </c>
    </row>
    <row r="24" spans="1:19" ht="15.75" thickBot="1" x14ac:dyDescent="0.3">
      <c r="A24" s="100">
        <v>2020</v>
      </c>
      <c r="B24" s="111">
        <f t="shared" si="0"/>
        <v>-8.4192291851255721E-2</v>
      </c>
      <c r="C24" s="112">
        <f t="shared" si="1"/>
        <v>-1.7926040658865963E-2</v>
      </c>
      <c r="E24" s="110" t="s">
        <v>130</v>
      </c>
    </row>
    <row r="25" spans="1:19" x14ac:dyDescent="0.25">
      <c r="A25" s="100">
        <v>2021</v>
      </c>
      <c r="B25" s="111">
        <f t="shared" si="0"/>
        <v>-0.1108600008424394</v>
      </c>
      <c r="C25" s="112">
        <f t="shared" si="1"/>
        <v>-7.9576828608570859E-3</v>
      </c>
      <c r="E25" s="186" t="s">
        <v>176</v>
      </c>
    </row>
    <row r="26" spans="1:19" x14ac:dyDescent="0.25">
      <c r="A26" s="100">
        <v>2022</v>
      </c>
      <c r="B26" s="111">
        <f t="shared" si="0"/>
        <v>-0.14090126040040232</v>
      </c>
      <c r="C26" s="112">
        <f t="shared" si="1"/>
        <v>2.7632991533720927E-3</v>
      </c>
      <c r="E26" s="109" t="s">
        <v>175</v>
      </c>
    </row>
    <row r="27" spans="1:19" x14ac:dyDescent="0.25">
      <c r="A27" s="100">
        <v>2023</v>
      </c>
      <c r="B27" s="111">
        <f t="shared" si="0"/>
        <v>-0.16859169474713201</v>
      </c>
      <c r="C27" s="112">
        <f t="shared" si="1"/>
        <v>1.6401343383392681E-2</v>
      </c>
      <c r="E27" s="109" t="s">
        <v>152</v>
      </c>
    </row>
    <row r="28" spans="1:19" x14ac:dyDescent="0.25">
      <c r="A28" s="100">
        <v>2024</v>
      </c>
      <c r="B28" s="111">
        <f t="shared" si="0"/>
        <v>-0.19379036102340289</v>
      </c>
      <c r="C28" s="112">
        <f t="shared" si="1"/>
        <v>1.4117786655919522E-2</v>
      </c>
      <c r="E28" s="109"/>
    </row>
    <row r="29" spans="1:19" x14ac:dyDescent="0.25">
      <c r="A29" s="100">
        <v>2025</v>
      </c>
      <c r="B29" s="111">
        <f t="shared" si="0"/>
        <v>-0.21940515236546926</v>
      </c>
      <c r="C29" s="112">
        <f t="shared" si="1"/>
        <v>1.1205038272360766E-2</v>
      </c>
      <c r="E29" s="109"/>
    </row>
    <row r="30" spans="1:19" x14ac:dyDescent="0.25">
      <c r="A30" s="100">
        <v>2026</v>
      </c>
      <c r="B30" s="111">
        <f t="shared" si="0"/>
        <v>-0.24453956726852533</v>
      </c>
      <c r="C30" s="112">
        <f t="shared" si="1"/>
        <v>8.7027601259244986E-3</v>
      </c>
      <c r="E30" s="109"/>
    </row>
    <row r="31" spans="1:19" x14ac:dyDescent="0.25">
      <c r="A31" s="100">
        <v>2027</v>
      </c>
      <c r="B31" s="111">
        <f t="shared" si="0"/>
        <v>-0.26275183075381242</v>
      </c>
      <c r="C31" s="112">
        <f t="shared" si="1"/>
        <v>8.1255558418996607E-3</v>
      </c>
      <c r="E31" s="109"/>
    </row>
    <row r="32" spans="1:19" x14ac:dyDescent="0.25">
      <c r="A32" s="100">
        <v>2028</v>
      </c>
      <c r="B32" s="111">
        <f t="shared" si="0"/>
        <v>-0.27790308392075808</v>
      </c>
      <c r="C32" s="112">
        <f t="shared" si="1"/>
        <v>8.6085585377676469E-3</v>
      </c>
      <c r="E32" s="109"/>
    </row>
    <row r="33" spans="1:5" x14ac:dyDescent="0.25">
      <c r="A33" s="100">
        <v>2029</v>
      </c>
      <c r="B33" s="111">
        <f t="shared" si="0"/>
        <v>-0.29042931513689335</v>
      </c>
      <c r="C33" s="112">
        <f t="shared" si="1"/>
        <v>1.1511185546772121E-2</v>
      </c>
      <c r="E33" s="109"/>
    </row>
    <row r="34" spans="1:5" ht="15.75" thickBot="1" x14ac:dyDescent="0.3">
      <c r="A34" s="103">
        <v>2030</v>
      </c>
      <c r="B34" s="113">
        <f t="shared" si="0"/>
        <v>-0.30086324553170812</v>
      </c>
      <c r="C34" s="114">
        <f t="shared" si="1"/>
        <v>1.5605828005332247E-2</v>
      </c>
      <c r="E34" s="109"/>
    </row>
    <row r="35" spans="1:5" ht="15.75" thickBot="1" x14ac:dyDescent="0.3">
      <c r="B35" s="99"/>
      <c r="C35" s="99"/>
      <c r="E35" s="215"/>
    </row>
    <row r="36" spans="1:5" x14ac:dyDescent="0.25">
      <c r="B36" s="99"/>
      <c r="C36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301"/>
  <sheetViews>
    <sheetView zoomScale="80" zoomScaleNormal="80" workbookViewId="0"/>
  </sheetViews>
  <sheetFormatPr defaultColWidth="9.140625" defaultRowHeight="15" x14ac:dyDescent="0.25"/>
  <cols>
    <col min="1" max="1" width="45.7109375" style="15" customWidth="1"/>
    <col min="2" max="2" width="37.28515625" style="15" bestFit="1" customWidth="1"/>
    <col min="3" max="3" width="16.42578125" style="15" customWidth="1"/>
    <col min="4" max="4" width="12.140625" style="15" customWidth="1"/>
    <col min="5" max="7" width="9.140625" style="15"/>
    <col min="8" max="8" width="11.28515625" style="15" customWidth="1"/>
    <col min="9" max="9" width="11.85546875" style="15" customWidth="1"/>
    <col min="10" max="14" width="9.140625" style="15"/>
    <col min="15" max="15" width="9.28515625" style="15" customWidth="1"/>
    <col min="16" max="18" width="9.140625" style="15"/>
    <col min="19" max="21" width="10.28515625" style="15" bestFit="1" customWidth="1"/>
    <col min="22" max="16384" width="9.140625" style="15"/>
  </cols>
  <sheetData>
    <row r="1" spans="1:16" ht="18.75" x14ac:dyDescent="0.3">
      <c r="A1" s="125" t="s">
        <v>144</v>
      </c>
      <c r="B1" s="144">
        <f>MATCH(B2,A:A,0)</f>
        <v>4</v>
      </c>
    </row>
    <row r="2" spans="1:16" x14ac:dyDescent="0.25">
      <c r="A2" s="12" t="s">
        <v>146</v>
      </c>
      <c r="B2" s="150" t="s">
        <v>152</v>
      </c>
      <c r="C2" s="150" t="s">
        <v>177</v>
      </c>
      <c r="D2" s="275" t="s">
        <v>178</v>
      </c>
      <c r="E2" s="150" t="s">
        <v>179</v>
      </c>
      <c r="F2" s="150" t="s">
        <v>187</v>
      </c>
      <c r="G2" s="275" t="s">
        <v>264</v>
      </c>
      <c r="H2" s="275" t="s">
        <v>267</v>
      </c>
      <c r="I2" s="275" t="s">
        <v>269</v>
      </c>
      <c r="J2" s="275" t="s">
        <v>270</v>
      </c>
      <c r="K2" s="275" t="s">
        <v>272</v>
      </c>
      <c r="L2" s="275" t="s">
        <v>273</v>
      </c>
      <c r="M2" s="150"/>
    </row>
    <row r="3" spans="1:16" ht="19.5" thickBot="1" x14ac:dyDescent="0.35">
      <c r="A3" s="125"/>
    </row>
    <row r="4" spans="1:16" ht="15" customHeight="1" x14ac:dyDescent="0.25">
      <c r="A4" s="322" t="s">
        <v>152</v>
      </c>
      <c r="B4" s="74" t="s">
        <v>72</v>
      </c>
      <c r="C4" s="14" t="s">
        <v>15</v>
      </c>
      <c r="D4" s="141">
        <v>2018</v>
      </c>
      <c r="E4" s="141">
        <v>2019</v>
      </c>
      <c r="F4" s="141">
        <v>2020</v>
      </c>
      <c r="G4" s="141">
        <v>2021</v>
      </c>
      <c r="H4" s="141">
        <v>2022</v>
      </c>
      <c r="I4" s="141">
        <v>2023</v>
      </c>
      <c r="J4" s="141">
        <v>2024</v>
      </c>
      <c r="K4" s="141">
        <v>2025</v>
      </c>
      <c r="L4" s="142">
        <v>2026</v>
      </c>
      <c r="M4" s="142">
        <v>2027</v>
      </c>
      <c r="N4" s="142">
        <v>2028</v>
      </c>
      <c r="O4" s="142">
        <v>2029</v>
      </c>
      <c r="P4" s="142">
        <v>2030</v>
      </c>
    </row>
    <row r="5" spans="1:16" ht="15" customHeight="1" x14ac:dyDescent="0.25">
      <c r="A5" s="323"/>
      <c r="B5" s="74" t="s">
        <v>158</v>
      </c>
      <c r="C5" s="1" t="s">
        <v>18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6" ht="15" customHeight="1" x14ac:dyDescent="0.25">
      <c r="A6" s="323"/>
      <c r="B6" s="74" t="s">
        <v>17</v>
      </c>
      <c r="C6" s="1" t="s">
        <v>18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5" customHeight="1" x14ac:dyDescent="0.25">
      <c r="A7" s="323"/>
      <c r="B7" s="74" t="s">
        <v>124</v>
      </c>
      <c r="C7" s="1" t="s">
        <v>18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</row>
    <row r="8" spans="1:16" ht="15" customHeight="1" x14ac:dyDescent="0.25">
      <c r="A8" s="323"/>
      <c r="B8" s="76" t="s">
        <v>16</v>
      </c>
      <c r="C8" s="1" t="s">
        <v>18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ht="15" customHeight="1" x14ac:dyDescent="0.25">
      <c r="A9" s="323"/>
      <c r="B9" s="74" t="s">
        <v>5</v>
      </c>
      <c r="C9" s="1" t="s">
        <v>112</v>
      </c>
      <c r="D9" s="236"/>
      <c r="E9" s="236"/>
      <c r="F9" s="236"/>
      <c r="G9" s="236"/>
      <c r="H9" s="236"/>
      <c r="I9" s="236"/>
      <c r="J9" s="236"/>
      <c r="K9" s="236"/>
      <c r="L9" s="237"/>
      <c r="M9" s="237"/>
      <c r="N9" s="237"/>
      <c r="O9" s="237"/>
      <c r="P9" s="237"/>
    </row>
    <row r="10" spans="1:16" ht="15" customHeight="1" x14ac:dyDescent="0.25">
      <c r="A10" s="323"/>
      <c r="B10" s="74" t="s">
        <v>0</v>
      </c>
      <c r="C10" s="1" t="s">
        <v>19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1:16" ht="15" customHeight="1" x14ac:dyDescent="0.25">
      <c r="A11" s="323"/>
      <c r="B11" s="74" t="s">
        <v>38</v>
      </c>
      <c r="C11" s="1" t="s">
        <v>18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</row>
    <row r="12" spans="1:16" ht="15" customHeight="1" x14ac:dyDescent="0.25">
      <c r="A12" s="323"/>
      <c r="B12" s="74" t="s">
        <v>1</v>
      </c>
      <c r="C12" s="1" t="s">
        <v>18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</row>
    <row r="13" spans="1:16" ht="15" customHeight="1" x14ac:dyDescent="0.25">
      <c r="A13" s="323"/>
      <c r="B13" s="76" t="s">
        <v>82</v>
      </c>
      <c r="C13" s="1" t="s">
        <v>61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</row>
    <row r="14" spans="1:16" ht="15" customHeight="1" x14ac:dyDescent="0.25">
      <c r="A14" s="323"/>
      <c r="B14" s="74" t="s">
        <v>33</v>
      </c>
      <c r="C14" s="1" t="s">
        <v>61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</row>
    <row r="15" spans="1:16" ht="15" customHeight="1" x14ac:dyDescent="0.25">
      <c r="A15" s="323"/>
      <c r="B15" s="76" t="s">
        <v>103</v>
      </c>
      <c r="C15" s="4" t="s">
        <v>112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16" ht="15" customHeight="1" x14ac:dyDescent="0.25">
      <c r="A16" s="323"/>
      <c r="B16" s="74" t="s">
        <v>89</v>
      </c>
      <c r="C16" s="1" t="s">
        <v>19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</row>
    <row r="17" spans="1:16" ht="15" customHeight="1" x14ac:dyDescent="0.25">
      <c r="A17" s="323"/>
      <c r="B17" s="74" t="s">
        <v>119</v>
      </c>
      <c r="C17" s="1" t="s">
        <v>19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</row>
    <row r="18" spans="1:16" ht="15" customHeight="1" x14ac:dyDescent="0.25">
      <c r="A18" s="323"/>
      <c r="B18" s="153" t="s">
        <v>161</v>
      </c>
      <c r="C18" s="1" t="s">
        <v>157</v>
      </c>
      <c r="D18" s="241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  <row r="19" spans="1:16" ht="15.75" customHeight="1" x14ac:dyDescent="0.25">
      <c r="A19" s="323"/>
      <c r="B19" s="74" t="s">
        <v>68</v>
      </c>
      <c r="C19" s="1" t="s">
        <v>18</v>
      </c>
      <c r="D19" s="241"/>
      <c r="E19" s="237"/>
      <c r="F19" s="237"/>
      <c r="G19" s="237"/>
      <c r="H19" s="241"/>
      <c r="I19" s="241"/>
      <c r="J19" s="237"/>
      <c r="K19" s="237"/>
      <c r="L19" s="237"/>
      <c r="M19" s="237"/>
      <c r="N19" s="237"/>
      <c r="O19" s="237"/>
      <c r="P19" s="237"/>
    </row>
    <row r="20" spans="1:16" ht="14.1" customHeight="1" x14ac:dyDescent="0.25">
      <c r="A20" s="323"/>
      <c r="B20" s="79" t="s">
        <v>81</v>
      </c>
      <c r="C20" s="150" t="s">
        <v>43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</row>
    <row r="21" spans="1:16" ht="18" customHeight="1" x14ac:dyDescent="0.25">
      <c r="A21" s="323"/>
      <c r="B21" s="79" t="s">
        <v>54</v>
      </c>
      <c r="C21" s="150" t="s">
        <v>45</v>
      </c>
      <c r="D21" s="243"/>
      <c r="E21" s="243"/>
      <c r="F21" s="243"/>
      <c r="G21" s="243"/>
      <c r="H21" s="244"/>
      <c r="I21" s="244"/>
      <c r="J21" s="244"/>
      <c r="K21" s="244"/>
      <c r="L21" s="244"/>
      <c r="M21" s="244"/>
      <c r="N21" s="244"/>
      <c r="O21" s="244"/>
      <c r="P21" s="244"/>
    </row>
    <row r="22" spans="1:16" ht="18" customHeight="1" x14ac:dyDescent="0.25">
      <c r="A22" s="323"/>
      <c r="B22" s="79" t="s">
        <v>76</v>
      </c>
      <c r="C22" s="150" t="s">
        <v>45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1:16" ht="18" customHeight="1" x14ac:dyDescent="0.25">
      <c r="A23" s="323"/>
      <c r="B23" s="79" t="s">
        <v>56</v>
      </c>
      <c r="C23" s="150" t="s">
        <v>45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</row>
    <row r="24" spans="1:16" ht="18" customHeight="1" x14ac:dyDescent="0.25">
      <c r="A24" s="323"/>
      <c r="B24" s="159" t="s">
        <v>55</v>
      </c>
      <c r="C24" s="150" t="s">
        <v>45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</row>
    <row r="25" spans="1:16" ht="18" customHeight="1" x14ac:dyDescent="0.25">
      <c r="A25" s="323"/>
      <c r="B25" s="273" t="s">
        <v>266</v>
      </c>
      <c r="C25" s="150" t="s">
        <v>167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</row>
    <row r="26" spans="1:16" ht="18" customHeight="1" x14ac:dyDescent="0.25">
      <c r="A26" s="323"/>
      <c r="B26" s="79" t="s">
        <v>163</v>
      </c>
      <c r="C26" s="150" t="s">
        <v>167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1:16" ht="18" customHeight="1" x14ac:dyDescent="0.25">
      <c r="A27" s="323"/>
      <c r="B27" s="274" t="s">
        <v>104</v>
      </c>
      <c r="C27" s="275" t="s">
        <v>167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</row>
    <row r="28" spans="1:16" ht="18" customHeight="1" x14ac:dyDescent="0.25">
      <c r="A28" s="323"/>
      <c r="B28" s="79" t="s">
        <v>57</v>
      </c>
      <c r="C28" s="150" t="s">
        <v>167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16" s="270" customFormat="1" ht="18" customHeight="1" thickBot="1" x14ac:dyDescent="0.3">
      <c r="A29" s="324"/>
      <c r="B29" s="273" t="s">
        <v>261</v>
      </c>
      <c r="C29" s="275" t="s">
        <v>271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</row>
    <row r="30" spans="1:16" ht="15.75" thickBot="1" x14ac:dyDescent="0.3">
      <c r="D30" s="211">
        <v>125</v>
      </c>
      <c r="E30" s="211">
        <v>150</v>
      </c>
      <c r="F30" s="211">
        <v>200</v>
      </c>
      <c r="G30" s="211">
        <v>200</v>
      </c>
      <c r="H30" s="211">
        <v>200</v>
      </c>
      <c r="I30" s="211">
        <v>150</v>
      </c>
      <c r="J30" s="211">
        <v>150</v>
      </c>
      <c r="K30" s="211">
        <v>100</v>
      </c>
      <c r="L30" s="211">
        <v>75</v>
      </c>
      <c r="M30" s="211">
        <v>50</v>
      </c>
      <c r="N30" s="211">
        <v>25</v>
      </c>
      <c r="O30" s="211">
        <v>25</v>
      </c>
      <c r="P30" s="211">
        <v>25</v>
      </c>
    </row>
    <row r="31" spans="1:16" ht="14.1" customHeight="1" x14ac:dyDescent="0.25">
      <c r="A31" s="319" t="s">
        <v>177</v>
      </c>
      <c r="B31" s="76" t="s">
        <v>72</v>
      </c>
      <c r="C31" s="309" t="s">
        <v>15</v>
      </c>
      <c r="D31" s="198">
        <v>2018</v>
      </c>
      <c r="E31" s="198">
        <v>2019</v>
      </c>
      <c r="F31" s="198">
        <v>2020</v>
      </c>
      <c r="G31" s="198">
        <v>2021</v>
      </c>
      <c r="H31" s="198">
        <v>2022</v>
      </c>
      <c r="I31" s="198">
        <v>2023</v>
      </c>
      <c r="J31" s="198">
        <v>2024</v>
      </c>
      <c r="K31" s="198">
        <v>2025</v>
      </c>
      <c r="L31" s="4">
        <v>2026</v>
      </c>
      <c r="M31" s="4">
        <v>2027</v>
      </c>
      <c r="N31" s="4">
        <v>2028</v>
      </c>
      <c r="O31" s="4">
        <v>2029</v>
      </c>
      <c r="P31" s="4">
        <v>2030</v>
      </c>
    </row>
    <row r="32" spans="1:16" ht="14.1" customHeight="1" x14ac:dyDescent="0.25">
      <c r="A32" s="320"/>
      <c r="B32" s="76" t="s">
        <v>158</v>
      </c>
      <c r="C32" s="4" t="s">
        <v>18</v>
      </c>
      <c r="D32" s="219">
        <v>21.954198859999998</v>
      </c>
      <c r="E32" s="219">
        <v>25.79566213</v>
      </c>
      <c r="F32" s="219">
        <v>29.947523820000001</v>
      </c>
      <c r="G32" s="219">
        <v>34.409783930000003</v>
      </c>
      <c r="H32" s="219">
        <v>39.182442460000004</v>
      </c>
      <c r="I32" s="219">
        <v>44.265499409999997</v>
      </c>
      <c r="J32" s="219">
        <v>49.658954780000002</v>
      </c>
      <c r="K32" s="219">
        <v>55.362808569999999</v>
      </c>
      <c r="L32" s="219">
        <v>61.377060779999994</v>
      </c>
      <c r="M32" s="219">
        <v>67.701711410000001</v>
      </c>
      <c r="N32" s="219">
        <v>74.336760459999994</v>
      </c>
      <c r="O32" s="219">
        <v>81.282207929999998</v>
      </c>
      <c r="P32" s="219">
        <v>88.538053819999988</v>
      </c>
    </row>
    <row r="33" spans="1:16" ht="14.1" customHeight="1" x14ac:dyDescent="0.25">
      <c r="A33" s="320"/>
      <c r="B33" s="76" t="s">
        <v>17</v>
      </c>
      <c r="C33" s="4" t="s">
        <v>18</v>
      </c>
      <c r="D33" s="190">
        <v>2.0166397615795355</v>
      </c>
      <c r="E33" s="190">
        <v>4.033279523159071</v>
      </c>
      <c r="F33" s="190">
        <v>7.4866509375388048</v>
      </c>
      <c r="G33" s="190">
        <v>11.508297006019333</v>
      </c>
      <c r="H33" s="190">
        <v>16.249135193627929</v>
      </c>
      <c r="I33" s="190">
        <v>20</v>
      </c>
      <c r="J33" s="190">
        <v>24</v>
      </c>
      <c r="K33" s="190">
        <v>27</v>
      </c>
      <c r="L33" s="190">
        <v>27</v>
      </c>
      <c r="M33" s="190">
        <v>27</v>
      </c>
      <c r="N33" s="190">
        <v>27</v>
      </c>
      <c r="O33" s="190">
        <v>27</v>
      </c>
      <c r="P33" s="190">
        <v>27</v>
      </c>
    </row>
    <row r="34" spans="1:16" ht="14.1" customHeight="1" x14ac:dyDescent="0.25">
      <c r="A34" s="320"/>
      <c r="B34" s="76" t="s">
        <v>124</v>
      </c>
      <c r="C34" s="4" t="s">
        <v>18</v>
      </c>
      <c r="D34" s="190">
        <v>100</v>
      </c>
      <c r="E34" s="190">
        <v>150</v>
      </c>
      <c r="F34" s="190">
        <v>150</v>
      </c>
      <c r="G34" s="190">
        <v>150</v>
      </c>
      <c r="H34" s="190">
        <v>150</v>
      </c>
      <c r="I34" s="190">
        <v>150</v>
      </c>
      <c r="J34" s="190">
        <v>150</v>
      </c>
      <c r="K34" s="190">
        <v>100</v>
      </c>
      <c r="L34" s="190">
        <v>100</v>
      </c>
      <c r="M34" s="190">
        <v>50</v>
      </c>
      <c r="N34" s="190">
        <v>0</v>
      </c>
      <c r="O34" s="190">
        <v>0</v>
      </c>
      <c r="P34" s="202">
        <v>0</v>
      </c>
    </row>
    <row r="35" spans="1:16" ht="14.1" customHeight="1" x14ac:dyDescent="0.25">
      <c r="A35" s="320"/>
      <c r="B35" s="76" t="s">
        <v>16</v>
      </c>
      <c r="C35" s="4" t="s">
        <v>18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</row>
    <row r="36" spans="1:16" ht="14.1" customHeight="1" x14ac:dyDescent="0.25">
      <c r="A36" s="320"/>
      <c r="B36" s="76" t="s">
        <v>5</v>
      </c>
      <c r="C36" s="4" t="s">
        <v>112</v>
      </c>
      <c r="D36" s="220">
        <v>0.71909999999999996</v>
      </c>
      <c r="E36" s="220">
        <v>1.3375999999999999</v>
      </c>
      <c r="F36" s="220">
        <v>2.3818000000000001</v>
      </c>
      <c r="G36" s="220">
        <v>3.8589000000000002</v>
      </c>
      <c r="H36" s="220">
        <v>6.1199000000000003</v>
      </c>
      <c r="I36" s="220">
        <v>9.2230000000000008</v>
      </c>
      <c r="J36" s="220">
        <v>12.8797</v>
      </c>
      <c r="K36" s="220">
        <v>17.098500000000001</v>
      </c>
      <c r="L36" s="191">
        <v>21.6035</v>
      </c>
      <c r="M36" s="191">
        <v>26.108499999999999</v>
      </c>
      <c r="N36" s="191">
        <v>30.613499999999998</v>
      </c>
      <c r="O36" s="191">
        <v>35.118499999999997</v>
      </c>
      <c r="P36" s="191">
        <v>39.6235</v>
      </c>
    </row>
    <row r="37" spans="1:16" ht="14.1" customHeight="1" x14ac:dyDescent="0.25">
      <c r="A37" s="320"/>
      <c r="B37" s="76" t="s">
        <v>0</v>
      </c>
      <c r="C37" s="4" t="s">
        <v>19</v>
      </c>
      <c r="D37" s="221">
        <v>1193.638616</v>
      </c>
      <c r="E37" s="221">
        <v>1351.3739760000001</v>
      </c>
      <c r="F37" s="221">
        <v>1562.7517760000001</v>
      </c>
      <c r="G37" s="221">
        <v>1828.233696</v>
      </c>
      <c r="H37" s="221">
        <v>2124.219928</v>
      </c>
      <c r="I37" s="221">
        <v>2444.465056</v>
      </c>
      <c r="J37" s="221">
        <v>2794.8658479999999</v>
      </c>
      <c r="K37" s="221">
        <v>3173.8669199999999</v>
      </c>
      <c r="L37" s="221">
        <v>3567.0877359999999</v>
      </c>
      <c r="M37" s="221">
        <v>3960.308552</v>
      </c>
      <c r="N37" s="221">
        <v>4353.5293680000004</v>
      </c>
      <c r="O37" s="221">
        <v>4746.7501840000004</v>
      </c>
      <c r="P37" s="221">
        <v>5139.9709999999995</v>
      </c>
    </row>
    <row r="38" spans="1:16" ht="14.1" customHeight="1" x14ac:dyDescent="0.25">
      <c r="A38" s="320"/>
      <c r="B38" s="76" t="s">
        <v>38</v>
      </c>
      <c r="C38" s="4" t="s">
        <v>18</v>
      </c>
      <c r="D38" s="192">
        <v>200</v>
      </c>
      <c r="E38" s="192">
        <v>275</v>
      </c>
      <c r="F38" s="192">
        <v>350</v>
      </c>
      <c r="G38" s="192">
        <v>425</v>
      </c>
      <c r="H38" s="192">
        <v>500</v>
      </c>
      <c r="I38" s="192">
        <v>500</v>
      </c>
      <c r="J38" s="192">
        <v>500</v>
      </c>
      <c r="K38" s="192">
        <v>500</v>
      </c>
      <c r="L38" s="192">
        <v>500</v>
      </c>
      <c r="M38" s="192">
        <v>500</v>
      </c>
      <c r="N38" s="192">
        <v>500</v>
      </c>
      <c r="O38" s="192">
        <v>475</v>
      </c>
      <c r="P38" s="192">
        <v>450</v>
      </c>
    </row>
    <row r="39" spans="1:16" ht="14.1" customHeight="1" x14ac:dyDescent="0.25">
      <c r="A39" s="320"/>
      <c r="B39" s="76" t="s">
        <v>1</v>
      </c>
      <c r="C39" s="4" t="s">
        <v>18</v>
      </c>
      <c r="D39" s="192">
        <v>450</v>
      </c>
      <c r="E39" s="192">
        <v>550</v>
      </c>
      <c r="F39" s="192">
        <v>650</v>
      </c>
      <c r="G39" s="192">
        <v>750</v>
      </c>
      <c r="H39" s="192">
        <v>850</v>
      </c>
      <c r="I39" s="192">
        <v>950</v>
      </c>
      <c r="J39" s="192">
        <v>1050</v>
      </c>
      <c r="K39" s="192">
        <v>950</v>
      </c>
      <c r="L39" s="192">
        <v>800</v>
      </c>
      <c r="M39" s="192">
        <v>650</v>
      </c>
      <c r="N39" s="192">
        <v>550</v>
      </c>
      <c r="O39" s="192">
        <v>500</v>
      </c>
      <c r="P39" s="192">
        <v>450</v>
      </c>
    </row>
    <row r="40" spans="1:16" ht="14.1" customHeight="1" x14ac:dyDescent="0.25">
      <c r="A40" s="320"/>
      <c r="B40" s="76" t="s">
        <v>82</v>
      </c>
      <c r="C40" s="4" t="s">
        <v>61</v>
      </c>
      <c r="D40" s="191">
        <v>156.38432364096082</v>
      </c>
      <c r="E40" s="191">
        <v>173.07206068268016</v>
      </c>
      <c r="F40" s="191">
        <v>192.58570684911132</v>
      </c>
      <c r="G40" s="191">
        <v>212.6794080464044</v>
      </c>
      <c r="H40" s="191">
        <v>234.2083736149327</v>
      </c>
      <c r="I40" s="191">
        <v>255.00855209340375</v>
      </c>
      <c r="J40" s="191">
        <v>283.88488138618277</v>
      </c>
      <c r="K40" s="191">
        <v>288.06425224957241</v>
      </c>
      <c r="L40" s="191">
        <v>294.935673384398</v>
      </c>
      <c r="M40" s="191">
        <v>301.5839964304306</v>
      </c>
      <c r="N40" s="191">
        <v>307.39941994496911</v>
      </c>
      <c r="O40" s="191">
        <v>313.05867479735258</v>
      </c>
      <c r="P40" s="191">
        <v>319.1864356362014</v>
      </c>
    </row>
    <row r="41" spans="1:16" ht="14.1" customHeight="1" x14ac:dyDescent="0.25">
      <c r="A41" s="320"/>
      <c r="B41" s="76" t="s">
        <v>33</v>
      </c>
      <c r="C41" s="4" t="s">
        <v>61</v>
      </c>
      <c r="D41" s="191">
        <v>25</v>
      </c>
      <c r="E41" s="191">
        <v>0</v>
      </c>
      <c r="F41" s="191">
        <v>0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24</v>
      </c>
      <c r="O41" s="191">
        <v>24</v>
      </c>
      <c r="P41" s="191">
        <v>30</v>
      </c>
    </row>
    <row r="42" spans="1:16" ht="14.1" customHeight="1" x14ac:dyDescent="0.25">
      <c r="A42" s="320"/>
      <c r="B42" s="76" t="s">
        <v>103</v>
      </c>
      <c r="C42" s="4" t="s">
        <v>112</v>
      </c>
      <c r="D42" s="190">
        <v>4.2563122435700422E-2</v>
      </c>
      <c r="E42" s="190">
        <v>7.9221596798729643E-2</v>
      </c>
      <c r="F42" s="190">
        <v>0.12104481719249827</v>
      </c>
      <c r="G42" s="190">
        <v>0.1816060687387489</v>
      </c>
      <c r="H42" s="190">
        <v>0.27756822157499184</v>
      </c>
      <c r="I42" s="190">
        <v>0.37832792169431789</v>
      </c>
      <c r="J42" s="190">
        <v>0.5684160505621817</v>
      </c>
      <c r="K42" s="190">
        <v>0.80546664639454091</v>
      </c>
      <c r="L42" s="190">
        <v>1.1207288866548697</v>
      </c>
      <c r="M42" s="190">
        <v>1.5293722472561442</v>
      </c>
      <c r="N42" s="190">
        <v>2.0295901497354025</v>
      </c>
      <c r="O42" s="190">
        <v>2.6791165470450999</v>
      </c>
      <c r="P42" s="190">
        <v>3.5256743672802955</v>
      </c>
    </row>
    <row r="43" spans="1:16" ht="14.1" customHeight="1" x14ac:dyDescent="0.25">
      <c r="A43" s="320"/>
      <c r="B43" s="76" t="s">
        <v>89</v>
      </c>
      <c r="C43" s="4" t="s">
        <v>19</v>
      </c>
      <c r="D43" s="193">
        <v>10.402955513673991</v>
      </c>
      <c r="E43" s="193">
        <v>21.99355244200974</v>
      </c>
      <c r="F43" s="193">
        <v>38.824390017528302</v>
      </c>
      <c r="G43" s="193">
        <v>58.149856742870597</v>
      </c>
      <c r="H43" s="193">
        <v>97.3073839019399</v>
      </c>
      <c r="I43" s="193">
        <v>146.088656830633</v>
      </c>
      <c r="J43" s="193">
        <v>238.50207872244439</v>
      </c>
      <c r="K43" s="193">
        <v>350.525473011901</v>
      </c>
      <c r="L43" s="193">
        <v>483.18676801670301</v>
      </c>
      <c r="M43" s="193">
        <v>623.48797719434697</v>
      </c>
      <c r="N43" s="193">
        <v>756.11606245709004</v>
      </c>
      <c r="O43" s="193">
        <v>889.00870624910499</v>
      </c>
      <c r="P43" s="193">
        <v>1024.46109319377</v>
      </c>
    </row>
    <row r="44" spans="1:16" ht="14.1" customHeight="1" x14ac:dyDescent="0.25">
      <c r="A44" s="320"/>
      <c r="B44" s="76" t="s">
        <v>119</v>
      </c>
      <c r="C44" s="4" t="s">
        <v>19</v>
      </c>
      <c r="D44" s="190">
        <v>1412.18</v>
      </c>
      <c r="E44" s="190">
        <v>1412.18</v>
      </c>
      <c r="F44" s="190">
        <v>1412.18</v>
      </c>
      <c r="G44" s="190">
        <v>1412.18</v>
      </c>
      <c r="H44" s="190">
        <v>1412.18</v>
      </c>
      <c r="I44" s="190">
        <v>1412.18</v>
      </c>
      <c r="J44" s="190">
        <v>1412.18</v>
      </c>
      <c r="K44" s="190">
        <v>1412.18</v>
      </c>
      <c r="L44" s="190">
        <v>1412.18</v>
      </c>
      <c r="M44" s="190">
        <v>1412.18</v>
      </c>
      <c r="N44" s="190">
        <v>1412.18</v>
      </c>
      <c r="O44" s="190">
        <v>1412.18</v>
      </c>
      <c r="P44" s="190">
        <v>1412.18</v>
      </c>
    </row>
    <row r="45" spans="1:16" ht="14.1" customHeight="1" x14ac:dyDescent="0.25">
      <c r="A45" s="320"/>
      <c r="B45" s="76" t="s">
        <v>161</v>
      </c>
      <c r="C45" s="4" t="s">
        <v>157</v>
      </c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</row>
    <row r="46" spans="1:16" ht="15" customHeight="1" x14ac:dyDescent="0.25">
      <c r="A46" s="320"/>
      <c r="B46" s="76" t="s">
        <v>68</v>
      </c>
      <c r="C46" s="4" t="s">
        <v>18</v>
      </c>
      <c r="D46" s="194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</row>
    <row r="47" spans="1:16" ht="15" customHeight="1" x14ac:dyDescent="0.25">
      <c r="A47" s="320"/>
      <c r="B47" s="83" t="s">
        <v>81</v>
      </c>
      <c r="C47" s="26" t="s">
        <v>43</v>
      </c>
      <c r="D47" s="195">
        <v>1.4999999999999999E-2</v>
      </c>
      <c r="E47" s="195">
        <v>2.2499999999999999E-2</v>
      </c>
      <c r="F47" s="195">
        <v>2.5000000000000001E-2</v>
      </c>
      <c r="G47" s="195">
        <v>0.03</v>
      </c>
      <c r="H47" s="195">
        <v>0.03</v>
      </c>
      <c r="I47" s="195">
        <v>0.03</v>
      </c>
      <c r="J47" s="195">
        <v>0.03</v>
      </c>
      <c r="K47" s="195">
        <v>0.03</v>
      </c>
      <c r="L47" s="195">
        <v>0.03</v>
      </c>
      <c r="M47" s="195">
        <v>0.03</v>
      </c>
      <c r="N47" s="195">
        <v>0.03</v>
      </c>
      <c r="O47" s="195">
        <v>0.03</v>
      </c>
      <c r="P47" s="195">
        <v>0.03</v>
      </c>
    </row>
    <row r="48" spans="1:16" ht="15" customHeight="1" x14ac:dyDescent="0.25">
      <c r="A48" s="320"/>
      <c r="B48" s="83" t="s">
        <v>54</v>
      </c>
      <c r="C48" s="26" t="s">
        <v>45</v>
      </c>
      <c r="D48" s="26">
        <v>3.0000000000000001E-3</v>
      </c>
      <c r="E48" s="26">
        <v>0.02</v>
      </c>
      <c r="F48" s="26">
        <v>0.25</v>
      </c>
      <c r="G48" s="196">
        <v>0.35</v>
      </c>
      <c r="H48" s="196">
        <v>0.35</v>
      </c>
      <c r="I48" s="196">
        <v>0.35</v>
      </c>
      <c r="J48" s="196">
        <v>0.35</v>
      </c>
      <c r="K48" s="196">
        <v>0.35</v>
      </c>
      <c r="L48" s="196">
        <v>0.35</v>
      </c>
      <c r="M48" s="196">
        <v>0.35</v>
      </c>
      <c r="N48" s="196">
        <v>0.35</v>
      </c>
      <c r="O48" s="196">
        <v>0.35</v>
      </c>
      <c r="P48" s="196">
        <v>0.35</v>
      </c>
    </row>
    <row r="49" spans="1:32" ht="15" customHeight="1" x14ac:dyDescent="0.25">
      <c r="A49" s="320"/>
      <c r="B49" s="83" t="s">
        <v>76</v>
      </c>
      <c r="C49" s="26" t="s">
        <v>45</v>
      </c>
      <c r="D49" s="289">
        <v>0.154</v>
      </c>
      <c r="E49" s="289">
        <v>0.154</v>
      </c>
      <c r="F49" s="289">
        <v>0.154</v>
      </c>
      <c r="G49" s="289">
        <v>0.154</v>
      </c>
      <c r="H49" s="289">
        <v>0.154</v>
      </c>
      <c r="I49" s="289">
        <v>0.154</v>
      </c>
      <c r="J49" s="289">
        <v>0.154</v>
      </c>
      <c r="K49" s="289">
        <v>0.154</v>
      </c>
      <c r="L49" s="289">
        <v>0.154</v>
      </c>
      <c r="M49" s="289">
        <v>0.154</v>
      </c>
      <c r="N49" s="289">
        <v>0.154</v>
      </c>
      <c r="O49" s="289">
        <v>0.154</v>
      </c>
      <c r="P49" s="289">
        <v>0.154</v>
      </c>
    </row>
    <row r="50" spans="1:32" ht="15" customHeight="1" x14ac:dyDescent="0.25">
      <c r="A50" s="320"/>
      <c r="B50" s="83" t="s">
        <v>56</v>
      </c>
      <c r="C50" s="26" t="s">
        <v>45</v>
      </c>
      <c r="D50" s="197">
        <v>0</v>
      </c>
      <c r="E50" s="197">
        <v>0.1</v>
      </c>
      <c r="F50" s="197">
        <v>0.3</v>
      </c>
      <c r="G50" s="197">
        <v>0.6</v>
      </c>
      <c r="H50" s="197">
        <v>0.9</v>
      </c>
      <c r="I50" s="197">
        <v>1.2</v>
      </c>
      <c r="J50" s="197">
        <v>1.2</v>
      </c>
      <c r="K50" s="197">
        <v>0.9</v>
      </c>
      <c r="L50" s="197">
        <v>0.6</v>
      </c>
      <c r="M50" s="197">
        <v>0.3</v>
      </c>
      <c r="N50" s="197">
        <v>0</v>
      </c>
      <c r="O50" s="197">
        <v>0</v>
      </c>
      <c r="P50" s="197">
        <v>0</v>
      </c>
    </row>
    <row r="51" spans="1:32" ht="15.75" customHeight="1" x14ac:dyDescent="0.25">
      <c r="A51" s="320"/>
      <c r="B51" s="83" t="s">
        <v>55</v>
      </c>
      <c r="C51" s="26" t="s">
        <v>45</v>
      </c>
      <c r="D51" s="26">
        <v>0.01</v>
      </c>
      <c r="E51" s="289">
        <v>8.3749999999999991E-2</v>
      </c>
      <c r="F51" s="289">
        <v>0.16749999999999998</v>
      </c>
      <c r="G51" s="289">
        <v>0.16749999999999998</v>
      </c>
      <c r="H51" s="289">
        <v>0.17749999999999999</v>
      </c>
      <c r="I51" s="289">
        <v>0.25750000000000001</v>
      </c>
      <c r="J51" s="289">
        <v>0.27666666666666667</v>
      </c>
      <c r="K51" s="289">
        <v>0.34</v>
      </c>
      <c r="L51" s="289">
        <v>0.34250000000000003</v>
      </c>
      <c r="M51" s="289">
        <v>0.34499999999999997</v>
      </c>
      <c r="N51" s="289">
        <v>0.35916666666666663</v>
      </c>
      <c r="O51" s="289">
        <v>0.35916666666666663</v>
      </c>
      <c r="P51" s="289">
        <v>0.35916666666666663</v>
      </c>
      <c r="R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</row>
    <row r="52" spans="1:32" ht="15.75" customHeight="1" x14ac:dyDescent="0.25">
      <c r="A52" s="320"/>
      <c r="B52" s="83" t="s">
        <v>266</v>
      </c>
      <c r="C52" s="26" t="s">
        <v>167</v>
      </c>
      <c r="D52" s="289">
        <v>0</v>
      </c>
      <c r="E52" s="289">
        <v>0</v>
      </c>
      <c r="F52" s="289">
        <v>0</v>
      </c>
      <c r="G52" s="289">
        <v>0</v>
      </c>
      <c r="H52" s="289">
        <v>0</v>
      </c>
      <c r="I52" s="289">
        <v>0</v>
      </c>
      <c r="J52" s="289">
        <v>0</v>
      </c>
      <c r="K52" s="289">
        <v>0</v>
      </c>
      <c r="L52" s="289">
        <v>0</v>
      </c>
      <c r="M52" s="289">
        <v>0</v>
      </c>
      <c r="N52" s="289">
        <v>0</v>
      </c>
      <c r="O52" s="289">
        <v>0</v>
      </c>
      <c r="P52" s="289">
        <v>0</v>
      </c>
      <c r="R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</row>
    <row r="53" spans="1:32" ht="15.75" customHeight="1" x14ac:dyDescent="0.25">
      <c r="A53" s="320"/>
      <c r="B53" s="83" t="s">
        <v>163</v>
      </c>
      <c r="C53" s="26" t="s">
        <v>167</v>
      </c>
      <c r="D53" s="289">
        <v>30.929411764705883</v>
      </c>
      <c r="E53" s="289">
        <v>30.929411764705883</v>
      </c>
      <c r="F53" s="289">
        <v>30.929411764705883</v>
      </c>
      <c r="G53" s="289">
        <v>30.929411764705883</v>
      </c>
      <c r="H53" s="289">
        <v>30.929411764705883</v>
      </c>
      <c r="I53" s="289">
        <v>30.929411764705883</v>
      </c>
      <c r="J53" s="289">
        <v>30.929411764705883</v>
      </c>
      <c r="K53" s="289">
        <v>30.929411764705883</v>
      </c>
      <c r="L53" s="289">
        <v>30.929411764705883</v>
      </c>
      <c r="M53" s="289">
        <v>30.929411764705883</v>
      </c>
      <c r="N53" s="289">
        <v>30.929411764705883</v>
      </c>
      <c r="O53" s="289">
        <v>30.929411764705883</v>
      </c>
      <c r="P53" s="289">
        <v>30.929411764705883</v>
      </c>
      <c r="R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</row>
    <row r="54" spans="1:32" ht="15.75" customHeight="1" x14ac:dyDescent="0.25">
      <c r="A54" s="320"/>
      <c r="B54" s="81" t="s">
        <v>104</v>
      </c>
      <c r="C54" s="26" t="s">
        <v>167</v>
      </c>
      <c r="D54" s="26">
        <f>40</f>
        <v>40</v>
      </c>
      <c r="E54" s="26">
        <f>40</f>
        <v>40</v>
      </c>
      <c r="F54" s="26">
        <f>40</f>
        <v>40</v>
      </c>
      <c r="G54" s="26">
        <v>40</v>
      </c>
      <c r="H54" s="26">
        <v>40</v>
      </c>
      <c r="I54" s="26">
        <v>40</v>
      </c>
      <c r="J54" s="26">
        <v>40</v>
      </c>
      <c r="K54" s="26">
        <v>40</v>
      </c>
      <c r="L54" s="26">
        <v>40</v>
      </c>
      <c r="M54" s="26">
        <v>40</v>
      </c>
      <c r="N54" s="26">
        <v>40</v>
      </c>
      <c r="O54" s="26">
        <v>40</v>
      </c>
      <c r="P54" s="26">
        <v>40</v>
      </c>
      <c r="R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</row>
    <row r="55" spans="1:32" ht="15.75" customHeight="1" x14ac:dyDescent="0.25">
      <c r="A55" s="320"/>
      <c r="B55" s="83" t="s">
        <v>57</v>
      </c>
      <c r="C55" s="26" t="s">
        <v>167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R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</row>
    <row r="56" spans="1:32" s="270" customFormat="1" ht="15.75" thickBot="1" x14ac:dyDescent="0.3">
      <c r="A56" s="321"/>
      <c r="B56" s="83" t="s">
        <v>261</v>
      </c>
      <c r="C56" s="26" t="s">
        <v>271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R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</row>
    <row r="57" spans="1:32" ht="15.75" thickBot="1" x14ac:dyDescent="0.3">
      <c r="A57" s="269"/>
      <c r="B57" s="269"/>
      <c r="C57" s="269"/>
      <c r="D57" s="211">
        <v>125</v>
      </c>
      <c r="E57" s="211">
        <v>150</v>
      </c>
      <c r="F57" s="211">
        <v>200</v>
      </c>
      <c r="G57" s="211">
        <v>200</v>
      </c>
      <c r="H57" s="211">
        <v>200</v>
      </c>
      <c r="I57" s="211">
        <v>150</v>
      </c>
      <c r="J57" s="211">
        <v>125</v>
      </c>
      <c r="K57" s="211">
        <v>75</v>
      </c>
      <c r="L57" s="211">
        <v>50</v>
      </c>
      <c r="M57" s="211">
        <v>25</v>
      </c>
      <c r="N57" s="211">
        <v>25</v>
      </c>
      <c r="O57" s="211">
        <v>25</v>
      </c>
      <c r="P57" s="211">
        <v>25</v>
      </c>
      <c r="R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</row>
    <row r="58" spans="1:32" ht="15" customHeight="1" x14ac:dyDescent="0.25">
      <c r="A58" s="319" t="s">
        <v>178</v>
      </c>
      <c r="B58" s="76" t="s">
        <v>72</v>
      </c>
      <c r="C58" s="309" t="s">
        <v>15</v>
      </c>
      <c r="D58" s="198">
        <v>2018</v>
      </c>
      <c r="E58" s="198">
        <v>2019</v>
      </c>
      <c r="F58" s="198">
        <v>2020</v>
      </c>
      <c r="G58" s="198">
        <v>2021</v>
      </c>
      <c r="H58" s="198">
        <v>2022</v>
      </c>
      <c r="I58" s="198">
        <v>2023</v>
      </c>
      <c r="J58" s="198">
        <v>2024</v>
      </c>
      <c r="K58" s="198">
        <v>2025</v>
      </c>
      <c r="L58" s="4">
        <v>2026</v>
      </c>
      <c r="M58" s="4">
        <v>2027</v>
      </c>
      <c r="N58" s="4">
        <v>2028</v>
      </c>
      <c r="O58" s="4">
        <v>2029</v>
      </c>
      <c r="P58" s="4">
        <v>2030</v>
      </c>
      <c r="R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</row>
    <row r="59" spans="1:32" ht="15" customHeight="1" x14ac:dyDescent="0.25">
      <c r="A59" s="320"/>
      <c r="B59" s="76" t="s">
        <v>158</v>
      </c>
      <c r="C59" s="4" t="s">
        <v>18</v>
      </c>
      <c r="D59" s="219">
        <v>21.954198859999998</v>
      </c>
      <c r="E59" s="219">
        <v>25.79566213</v>
      </c>
      <c r="F59" s="219">
        <v>29.947523820000001</v>
      </c>
      <c r="G59" s="219">
        <v>34.409783930000003</v>
      </c>
      <c r="H59" s="219">
        <v>39.182442460000004</v>
      </c>
      <c r="I59" s="219">
        <v>44.265499409999997</v>
      </c>
      <c r="J59" s="219">
        <v>49.658954780000002</v>
      </c>
      <c r="K59" s="219">
        <v>55.362808569999999</v>
      </c>
      <c r="L59" s="219">
        <v>61.377060779999994</v>
      </c>
      <c r="M59" s="219">
        <v>67.701711410000001</v>
      </c>
      <c r="N59" s="219">
        <v>74.336760459999994</v>
      </c>
      <c r="O59" s="219">
        <v>81.282207929999998</v>
      </c>
      <c r="P59" s="219">
        <v>88.538053819999988</v>
      </c>
      <c r="R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32" ht="15" customHeight="1" x14ac:dyDescent="0.25">
      <c r="A60" s="320"/>
      <c r="B60" s="76" t="s">
        <v>17</v>
      </c>
      <c r="C60" s="4" t="s">
        <v>18</v>
      </c>
      <c r="D60" s="190">
        <v>2.0166397615795355</v>
      </c>
      <c r="E60" s="190">
        <v>4.033279523159071</v>
      </c>
      <c r="F60" s="190">
        <v>7.4866509375388048</v>
      </c>
      <c r="G60" s="190">
        <v>11.508297006019333</v>
      </c>
      <c r="H60" s="190">
        <v>16.249135193627929</v>
      </c>
      <c r="I60" s="190">
        <v>20</v>
      </c>
      <c r="J60" s="190">
        <v>24</v>
      </c>
      <c r="K60" s="190">
        <v>27</v>
      </c>
      <c r="L60" s="190">
        <v>27</v>
      </c>
      <c r="M60" s="190">
        <v>27</v>
      </c>
      <c r="N60" s="190">
        <v>27</v>
      </c>
      <c r="O60" s="190">
        <v>27</v>
      </c>
      <c r="P60" s="190">
        <v>27</v>
      </c>
      <c r="R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</row>
    <row r="61" spans="1:32" ht="15" customHeight="1" x14ac:dyDescent="0.25">
      <c r="A61" s="320"/>
      <c r="B61" s="76" t="s">
        <v>124</v>
      </c>
      <c r="C61" s="4" t="s">
        <v>18</v>
      </c>
      <c r="D61" s="190">
        <v>100</v>
      </c>
      <c r="E61" s="190">
        <v>150</v>
      </c>
      <c r="F61" s="190">
        <v>150</v>
      </c>
      <c r="G61" s="190">
        <v>150</v>
      </c>
      <c r="H61" s="190">
        <v>150</v>
      </c>
      <c r="I61" s="190">
        <v>150</v>
      </c>
      <c r="J61" s="190">
        <v>100</v>
      </c>
      <c r="K61" s="190">
        <v>50</v>
      </c>
      <c r="L61" s="190">
        <v>0</v>
      </c>
      <c r="M61" s="190">
        <v>0</v>
      </c>
      <c r="N61" s="190">
        <v>0</v>
      </c>
      <c r="O61" s="190">
        <v>0</v>
      </c>
      <c r="P61" s="202">
        <v>0</v>
      </c>
      <c r="R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</row>
    <row r="62" spans="1:32" ht="15" customHeight="1" x14ac:dyDescent="0.25">
      <c r="A62" s="320"/>
      <c r="B62" s="76" t="s">
        <v>16</v>
      </c>
      <c r="C62" s="4" t="s">
        <v>18</v>
      </c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  <c r="P62" s="190">
        <v>0</v>
      </c>
      <c r="R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</row>
    <row r="63" spans="1:32" ht="15" customHeight="1" x14ac:dyDescent="0.25">
      <c r="A63" s="320"/>
      <c r="B63" s="76" t="s">
        <v>5</v>
      </c>
      <c r="C63" s="4" t="s">
        <v>112</v>
      </c>
      <c r="D63" s="220">
        <v>0.71909999999999996</v>
      </c>
      <c r="E63" s="220">
        <v>1.3375999999999999</v>
      </c>
      <c r="F63" s="220">
        <v>2.3818000000000001</v>
      </c>
      <c r="G63" s="220">
        <v>3.8589000000000002</v>
      </c>
      <c r="H63" s="220">
        <v>6.1199000000000003</v>
      </c>
      <c r="I63" s="220">
        <v>12.969796448400741</v>
      </c>
      <c r="J63" s="220">
        <v>23.844189345202228</v>
      </c>
      <c r="K63" s="220">
        <v>34.718582242003706</v>
      </c>
      <c r="L63" s="191">
        <v>46.503340140812966</v>
      </c>
      <c r="M63" s="191">
        <v>60.43963971087399</v>
      </c>
      <c r="N63" s="191">
        <v>76.90295046180654</v>
      </c>
      <c r="O63" s="191">
        <v>95.924299289722157</v>
      </c>
      <c r="P63" s="191">
        <v>117.46945822516899</v>
      </c>
      <c r="R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</row>
    <row r="64" spans="1:32" ht="15" customHeight="1" x14ac:dyDescent="0.25">
      <c r="A64" s="320"/>
      <c r="B64" s="76" t="s">
        <v>0</v>
      </c>
      <c r="C64" s="4" t="s">
        <v>19</v>
      </c>
      <c r="D64" s="221">
        <v>1193.638616</v>
      </c>
      <c r="E64" s="221">
        <v>1351.3739760000001</v>
      </c>
      <c r="F64" s="221">
        <v>1562.7517760000001</v>
      </c>
      <c r="G64" s="221">
        <v>1828.233696</v>
      </c>
      <c r="H64" s="221">
        <v>2124.219928</v>
      </c>
      <c r="I64" s="221">
        <v>2685.1889290279537</v>
      </c>
      <c r="J64" s="221">
        <v>3502.6569310838604</v>
      </c>
      <c r="K64" s="221">
        <v>4320.1249331397676</v>
      </c>
      <c r="L64" s="221">
        <v>5190.3348290815702</v>
      </c>
      <c r="M64" s="221">
        <v>6204.5862699682757</v>
      </c>
      <c r="N64" s="221">
        <v>7406.3858761759302</v>
      </c>
      <c r="O64" s="221">
        <v>8799.450102282628</v>
      </c>
      <c r="P64" s="221">
        <v>10381.371019384236</v>
      </c>
      <c r="R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</row>
    <row r="65" spans="1:32" ht="15" customHeight="1" x14ac:dyDescent="0.25">
      <c r="A65" s="320"/>
      <c r="B65" s="76" t="s">
        <v>38</v>
      </c>
      <c r="C65" s="4" t="s">
        <v>18</v>
      </c>
      <c r="D65" s="192">
        <v>200</v>
      </c>
      <c r="E65" s="192">
        <v>275</v>
      </c>
      <c r="F65" s="192">
        <v>350</v>
      </c>
      <c r="G65" s="192">
        <v>425</v>
      </c>
      <c r="H65" s="192">
        <v>500</v>
      </c>
      <c r="I65" s="192">
        <v>500</v>
      </c>
      <c r="J65" s="192">
        <v>500</v>
      </c>
      <c r="K65" s="192">
        <v>500</v>
      </c>
      <c r="L65" s="192">
        <v>500</v>
      </c>
      <c r="M65" s="192">
        <v>500</v>
      </c>
      <c r="N65" s="192">
        <v>425</v>
      </c>
      <c r="O65" s="192">
        <v>350</v>
      </c>
      <c r="P65" s="192">
        <v>275</v>
      </c>
      <c r="R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</row>
    <row r="66" spans="1:32" ht="15" customHeight="1" x14ac:dyDescent="0.25">
      <c r="A66" s="320"/>
      <c r="B66" s="76" t="s">
        <v>1</v>
      </c>
      <c r="C66" s="4" t="s">
        <v>18</v>
      </c>
      <c r="D66" s="192">
        <v>450</v>
      </c>
      <c r="E66" s="192">
        <v>550</v>
      </c>
      <c r="F66" s="192">
        <v>650</v>
      </c>
      <c r="G66" s="192">
        <v>750</v>
      </c>
      <c r="H66" s="192">
        <v>850</v>
      </c>
      <c r="I66" s="192">
        <v>950</v>
      </c>
      <c r="J66" s="192">
        <v>1050</v>
      </c>
      <c r="K66" s="192">
        <v>800</v>
      </c>
      <c r="L66" s="192">
        <v>600</v>
      </c>
      <c r="M66" s="192">
        <v>500</v>
      </c>
      <c r="N66" s="192">
        <v>400</v>
      </c>
      <c r="O66" s="192">
        <v>300</v>
      </c>
      <c r="P66" s="192">
        <v>200</v>
      </c>
      <c r="R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</row>
    <row r="67" spans="1:32" ht="15" customHeight="1" x14ac:dyDescent="0.25">
      <c r="A67" s="320"/>
      <c r="B67" s="76" t="s">
        <v>82</v>
      </c>
      <c r="C67" s="4" t="s">
        <v>61</v>
      </c>
      <c r="D67" s="191">
        <v>156.38432364096082</v>
      </c>
      <c r="E67" s="191">
        <v>173.07206068268016</v>
      </c>
      <c r="F67" s="191">
        <v>192.58570684911132</v>
      </c>
      <c r="G67" s="191">
        <v>212.6794080464044</v>
      </c>
      <c r="H67" s="191">
        <v>234.2083736149327</v>
      </c>
      <c r="I67" s="191">
        <v>255.00855209340375</v>
      </c>
      <c r="J67" s="191">
        <v>283.88488138618277</v>
      </c>
      <c r="K67" s="191">
        <v>288.06425224957241</v>
      </c>
      <c r="L67" s="191">
        <v>294.935673384398</v>
      </c>
      <c r="M67" s="191">
        <v>301.5839964304306</v>
      </c>
      <c r="N67" s="191">
        <v>307.39941994496911</v>
      </c>
      <c r="O67" s="191">
        <v>313.05867479735258</v>
      </c>
      <c r="P67" s="191">
        <v>319.1864356362014</v>
      </c>
      <c r="R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</row>
    <row r="68" spans="1:32" ht="15" customHeight="1" x14ac:dyDescent="0.25">
      <c r="A68" s="320"/>
      <c r="B68" s="76" t="s">
        <v>33</v>
      </c>
      <c r="C68" s="4" t="s">
        <v>61</v>
      </c>
      <c r="D68" s="191">
        <v>25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  <c r="N68" s="191">
        <v>24</v>
      </c>
      <c r="O68" s="191">
        <v>24</v>
      </c>
      <c r="P68" s="191">
        <v>30</v>
      </c>
      <c r="R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2" ht="15" customHeight="1" x14ac:dyDescent="0.25">
      <c r="A69" s="320"/>
      <c r="B69" s="76" t="s">
        <v>103</v>
      </c>
      <c r="C69" s="4" t="s">
        <v>112</v>
      </c>
      <c r="D69" s="190">
        <v>4.2563122435700422E-2</v>
      </c>
      <c r="E69" s="190">
        <v>7.9221596798729643E-2</v>
      </c>
      <c r="F69" s="190">
        <v>0.12104481719249827</v>
      </c>
      <c r="G69" s="190">
        <v>0.1816060687387489</v>
      </c>
      <c r="H69" s="190">
        <v>0.27756822157499184</v>
      </c>
      <c r="I69" s="190">
        <v>0.37832792169431789</v>
      </c>
      <c r="J69" s="190">
        <v>0.5684160505621817</v>
      </c>
      <c r="K69" s="190">
        <v>0.80546664639454091</v>
      </c>
      <c r="L69" s="190">
        <v>1.1207288866548697</v>
      </c>
      <c r="M69" s="190">
        <v>1.5293722472561442</v>
      </c>
      <c r="N69" s="190">
        <v>2.0295901497354025</v>
      </c>
      <c r="O69" s="190">
        <v>2.6791165470450999</v>
      </c>
      <c r="P69" s="190">
        <v>3.5256743672802955</v>
      </c>
      <c r="R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</row>
    <row r="70" spans="1:32" ht="15" customHeight="1" x14ac:dyDescent="0.25">
      <c r="A70" s="320"/>
      <c r="B70" s="76" t="s">
        <v>89</v>
      </c>
      <c r="C70" s="4" t="s">
        <v>19</v>
      </c>
      <c r="D70" s="193">
        <v>10.402955513673991</v>
      </c>
      <c r="E70" s="193">
        <v>21.99355244200974</v>
      </c>
      <c r="F70" s="193">
        <v>38.824390017528302</v>
      </c>
      <c r="G70" s="193">
        <v>58.149856742870597</v>
      </c>
      <c r="H70" s="193">
        <v>97.3073839019399</v>
      </c>
      <c r="I70" s="193">
        <v>146.088656830633</v>
      </c>
      <c r="J70" s="193">
        <v>238.50207872244439</v>
      </c>
      <c r="K70" s="193">
        <v>350.525473011901</v>
      </c>
      <c r="L70" s="193">
        <v>483.18676801670301</v>
      </c>
      <c r="M70" s="193">
        <v>623.48797719434697</v>
      </c>
      <c r="N70" s="193">
        <v>756.11606245709004</v>
      </c>
      <c r="O70" s="193">
        <v>889.00870624910499</v>
      </c>
      <c r="P70" s="193">
        <v>1024.46109319377</v>
      </c>
      <c r="R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</row>
    <row r="71" spans="1:32" ht="15" customHeight="1" x14ac:dyDescent="0.25">
      <c r="A71" s="320"/>
      <c r="B71" s="76" t="s">
        <v>119</v>
      </c>
      <c r="C71" s="4" t="s">
        <v>19</v>
      </c>
      <c r="D71" s="190">
        <v>1412</v>
      </c>
      <c r="E71" s="190">
        <v>1412</v>
      </c>
      <c r="F71" s="190">
        <v>1412</v>
      </c>
      <c r="G71" s="190">
        <v>1412</v>
      </c>
      <c r="H71" s="190">
        <v>1412</v>
      </c>
      <c r="I71" s="190">
        <v>1412</v>
      </c>
      <c r="J71" s="190">
        <v>1412</v>
      </c>
      <c r="K71" s="190">
        <v>1412</v>
      </c>
      <c r="L71" s="190">
        <v>1412</v>
      </c>
      <c r="M71" s="190">
        <v>1412</v>
      </c>
      <c r="N71" s="190">
        <v>1412</v>
      </c>
      <c r="O71" s="190">
        <v>1412</v>
      </c>
      <c r="P71" s="190">
        <v>1412</v>
      </c>
      <c r="R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</row>
    <row r="72" spans="1:32" ht="15" customHeight="1" x14ac:dyDescent="0.25">
      <c r="A72" s="320"/>
      <c r="B72" s="76" t="s">
        <v>161</v>
      </c>
      <c r="C72" s="4" t="s">
        <v>157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0">
        <v>0</v>
      </c>
      <c r="N72" s="190">
        <v>0</v>
      </c>
      <c r="O72" s="190">
        <v>0</v>
      </c>
      <c r="P72" s="190">
        <v>0</v>
      </c>
      <c r="R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2" ht="15" customHeight="1" x14ac:dyDescent="0.25">
      <c r="A73" s="320"/>
      <c r="B73" s="76" t="s">
        <v>68</v>
      </c>
      <c r="C73" s="4" t="s">
        <v>18</v>
      </c>
      <c r="D73" s="194">
        <v>0</v>
      </c>
      <c r="E73" s="191">
        <v>0</v>
      </c>
      <c r="F73" s="191">
        <v>0</v>
      </c>
      <c r="G73" s="191">
        <v>0</v>
      </c>
      <c r="H73" s="191">
        <v>0</v>
      </c>
      <c r="I73" s="191">
        <v>0</v>
      </c>
      <c r="J73" s="191">
        <v>0</v>
      </c>
      <c r="K73" s="191">
        <v>0</v>
      </c>
      <c r="L73" s="191">
        <v>0</v>
      </c>
      <c r="M73" s="191">
        <v>0</v>
      </c>
      <c r="N73" s="191">
        <v>0</v>
      </c>
      <c r="O73" s="191">
        <v>0</v>
      </c>
      <c r="P73" s="191">
        <v>0</v>
      </c>
      <c r="R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</row>
    <row r="74" spans="1:32" ht="15" customHeight="1" x14ac:dyDescent="0.25">
      <c r="A74" s="320"/>
      <c r="B74" s="83" t="s">
        <v>81</v>
      </c>
      <c r="C74" s="26" t="s">
        <v>43</v>
      </c>
      <c r="D74" s="195">
        <v>1.4999999999999999E-2</v>
      </c>
      <c r="E74" s="195">
        <v>2.2499999999999999E-2</v>
      </c>
      <c r="F74" s="195">
        <v>2.5000000000000001E-2</v>
      </c>
      <c r="G74" s="195">
        <v>0.03</v>
      </c>
      <c r="H74" s="195">
        <v>0.03</v>
      </c>
      <c r="I74" s="195">
        <v>0.03</v>
      </c>
      <c r="J74" s="195">
        <v>0.03</v>
      </c>
      <c r="K74" s="195">
        <v>0.03</v>
      </c>
      <c r="L74" s="195">
        <v>0.03</v>
      </c>
      <c r="M74" s="195">
        <v>0.03</v>
      </c>
      <c r="N74" s="195">
        <v>0.03</v>
      </c>
      <c r="O74" s="195">
        <v>0.03</v>
      </c>
      <c r="P74" s="195">
        <v>0.03</v>
      </c>
      <c r="R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</row>
    <row r="75" spans="1:32" ht="15" customHeight="1" x14ac:dyDescent="0.25">
      <c r="A75" s="320"/>
      <c r="B75" s="83" t="s">
        <v>54</v>
      </c>
      <c r="C75" s="26" t="s">
        <v>45</v>
      </c>
      <c r="D75" s="26">
        <v>3.0000000000000001E-3</v>
      </c>
      <c r="E75" s="26">
        <v>0.02</v>
      </c>
      <c r="F75" s="26">
        <v>0.25</v>
      </c>
      <c r="G75" s="196">
        <v>0.35</v>
      </c>
      <c r="H75" s="196">
        <v>0.35</v>
      </c>
      <c r="I75" s="196">
        <v>0.35</v>
      </c>
      <c r="J75" s="196">
        <v>0.35</v>
      </c>
      <c r="K75" s="196">
        <v>0.35</v>
      </c>
      <c r="L75" s="196">
        <v>0.35</v>
      </c>
      <c r="M75" s="196">
        <v>0.35</v>
      </c>
      <c r="N75" s="196">
        <v>0.35</v>
      </c>
      <c r="O75" s="196">
        <v>0.35</v>
      </c>
      <c r="P75" s="196">
        <v>0.35</v>
      </c>
      <c r="R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</row>
    <row r="76" spans="1:32" ht="15" customHeight="1" x14ac:dyDescent="0.25">
      <c r="A76" s="320"/>
      <c r="B76" s="83" t="s">
        <v>76</v>
      </c>
      <c r="C76" s="26" t="s">
        <v>45</v>
      </c>
      <c r="D76" s="289">
        <v>0.154</v>
      </c>
      <c r="E76" s="289">
        <v>0.154</v>
      </c>
      <c r="F76" s="289">
        <v>0.154</v>
      </c>
      <c r="G76" s="289">
        <v>0.154</v>
      </c>
      <c r="H76" s="289">
        <v>0.154</v>
      </c>
      <c r="I76" s="289">
        <v>0.154</v>
      </c>
      <c r="J76" s="289">
        <v>0.154</v>
      </c>
      <c r="K76" s="289">
        <v>0.154</v>
      </c>
      <c r="L76" s="289">
        <v>0.154</v>
      </c>
      <c r="M76" s="289">
        <v>0.154</v>
      </c>
      <c r="N76" s="289">
        <v>0.154</v>
      </c>
      <c r="O76" s="289">
        <v>0.154</v>
      </c>
      <c r="P76" s="289">
        <v>0.154</v>
      </c>
      <c r="R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</row>
    <row r="77" spans="1:32" ht="15" customHeight="1" x14ac:dyDescent="0.25">
      <c r="A77" s="320"/>
      <c r="B77" s="83" t="s">
        <v>56</v>
      </c>
      <c r="C77" s="26" t="s">
        <v>45</v>
      </c>
      <c r="D77" s="197">
        <v>0</v>
      </c>
      <c r="E77" s="197">
        <v>0.1</v>
      </c>
      <c r="F77" s="197">
        <v>0.3</v>
      </c>
      <c r="G77" s="197">
        <v>0.6</v>
      </c>
      <c r="H77" s="197">
        <v>0.9</v>
      </c>
      <c r="I77" s="197">
        <v>1.2</v>
      </c>
      <c r="J77" s="197">
        <v>0.9</v>
      </c>
      <c r="K77" s="197">
        <v>0.6</v>
      </c>
      <c r="L77" s="197">
        <v>0.3</v>
      </c>
      <c r="M77" s="197">
        <v>0</v>
      </c>
      <c r="N77" s="197">
        <v>0</v>
      </c>
      <c r="O77" s="197">
        <v>0</v>
      </c>
      <c r="P77" s="197">
        <v>0</v>
      </c>
      <c r="R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</row>
    <row r="78" spans="1:32" ht="15" customHeight="1" x14ac:dyDescent="0.25">
      <c r="A78" s="320"/>
      <c r="B78" s="83" t="s">
        <v>55</v>
      </c>
      <c r="C78" s="26" t="s">
        <v>45</v>
      </c>
      <c r="D78" s="26">
        <v>0.01</v>
      </c>
      <c r="E78" s="289">
        <v>8.3749999999999991E-2</v>
      </c>
      <c r="F78" s="289">
        <v>0.16749999999999998</v>
      </c>
      <c r="G78" s="289">
        <v>0.16749999999999998</v>
      </c>
      <c r="H78" s="289">
        <v>0.17749999999999999</v>
      </c>
      <c r="I78" s="289">
        <v>0.25750000000000001</v>
      </c>
      <c r="J78" s="289">
        <v>0.27666666666666667</v>
      </c>
      <c r="K78" s="289">
        <v>0.34</v>
      </c>
      <c r="L78" s="289">
        <v>0.34250000000000003</v>
      </c>
      <c r="M78" s="289">
        <v>0.34499999999999997</v>
      </c>
      <c r="N78" s="289">
        <v>0.35916666666666663</v>
      </c>
      <c r="O78" s="289">
        <v>0.35916666666666663</v>
      </c>
      <c r="P78" s="289">
        <v>0.35916666666666663</v>
      </c>
      <c r="R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</row>
    <row r="79" spans="1:32" ht="15.75" customHeight="1" x14ac:dyDescent="0.25">
      <c r="A79" s="320"/>
      <c r="B79" s="83" t="s">
        <v>266</v>
      </c>
      <c r="C79" s="26" t="s">
        <v>167</v>
      </c>
      <c r="D79" s="289">
        <v>0</v>
      </c>
      <c r="E79" s="289">
        <v>0</v>
      </c>
      <c r="F79" s="289">
        <v>0</v>
      </c>
      <c r="G79" s="289">
        <v>0</v>
      </c>
      <c r="H79" s="289">
        <v>0</v>
      </c>
      <c r="I79" s="289">
        <v>0</v>
      </c>
      <c r="J79" s="289">
        <v>0</v>
      </c>
      <c r="K79" s="289">
        <v>0</v>
      </c>
      <c r="L79" s="289">
        <v>0</v>
      </c>
      <c r="M79" s="289">
        <v>0</v>
      </c>
      <c r="N79" s="289">
        <v>0</v>
      </c>
      <c r="O79" s="289">
        <v>0</v>
      </c>
      <c r="P79" s="289">
        <v>0</v>
      </c>
      <c r="R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</row>
    <row r="80" spans="1:32" ht="15.75" customHeight="1" x14ac:dyDescent="0.25">
      <c r="A80" s="320"/>
      <c r="B80" s="83" t="s">
        <v>163</v>
      </c>
      <c r="C80" s="26" t="s">
        <v>167</v>
      </c>
      <c r="D80" s="289">
        <v>30.929411764705883</v>
      </c>
      <c r="E80" s="289">
        <v>30.929411764705883</v>
      </c>
      <c r="F80" s="289">
        <v>30.929411764705883</v>
      </c>
      <c r="G80" s="289">
        <v>30.929411764705883</v>
      </c>
      <c r="H80" s="289">
        <v>30.929411764705883</v>
      </c>
      <c r="I80" s="289">
        <v>30.929411764705883</v>
      </c>
      <c r="J80" s="289">
        <v>30.929411764705883</v>
      </c>
      <c r="K80" s="289">
        <v>30.929411764705883</v>
      </c>
      <c r="L80" s="289">
        <v>30.929411764705883</v>
      </c>
      <c r="M80" s="289">
        <v>30.929411764705883</v>
      </c>
      <c r="N80" s="289">
        <v>30.929411764705883</v>
      </c>
      <c r="O80" s="289">
        <v>30.929411764705883</v>
      </c>
      <c r="P80" s="289">
        <v>30.929411764705883</v>
      </c>
      <c r="R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</row>
    <row r="81" spans="1:32" ht="15.75" customHeight="1" x14ac:dyDescent="0.25">
      <c r="A81" s="320"/>
      <c r="B81" s="81" t="s">
        <v>104</v>
      </c>
      <c r="C81" s="26" t="s">
        <v>167</v>
      </c>
      <c r="D81" s="26">
        <f>40</f>
        <v>40</v>
      </c>
      <c r="E81" s="26">
        <f>40</f>
        <v>40</v>
      </c>
      <c r="F81" s="26">
        <f>40</f>
        <v>40</v>
      </c>
      <c r="G81" s="26">
        <v>40</v>
      </c>
      <c r="H81" s="26">
        <v>40</v>
      </c>
      <c r="I81" s="26">
        <v>40</v>
      </c>
      <c r="J81" s="26">
        <v>40</v>
      </c>
      <c r="K81" s="26">
        <v>40</v>
      </c>
      <c r="L81" s="26">
        <v>40</v>
      </c>
      <c r="M81" s="26">
        <v>40</v>
      </c>
      <c r="N81" s="26">
        <v>40</v>
      </c>
      <c r="O81" s="26">
        <v>40</v>
      </c>
      <c r="P81" s="26">
        <v>40</v>
      </c>
      <c r="R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</row>
    <row r="82" spans="1:32" ht="15.75" customHeight="1" x14ac:dyDescent="0.25">
      <c r="A82" s="320"/>
      <c r="B82" s="83" t="s">
        <v>57</v>
      </c>
      <c r="C82" s="26" t="s">
        <v>167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R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</row>
    <row r="83" spans="1:32" s="270" customFormat="1" ht="15.75" thickBot="1" x14ac:dyDescent="0.3">
      <c r="A83" s="321"/>
      <c r="B83" s="83" t="s">
        <v>261</v>
      </c>
      <c r="C83" s="26" t="s">
        <v>271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R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</row>
    <row r="84" spans="1:32" ht="15.75" thickBot="1" x14ac:dyDescent="0.3">
      <c r="A84" s="269"/>
      <c r="B84" s="269"/>
      <c r="C84" s="269"/>
      <c r="D84" s="211">
        <v>125</v>
      </c>
      <c r="E84" s="211">
        <v>150</v>
      </c>
      <c r="F84" s="211">
        <v>200</v>
      </c>
      <c r="G84" s="211">
        <v>200</v>
      </c>
      <c r="H84" s="211">
        <v>200</v>
      </c>
      <c r="I84" s="211">
        <v>200</v>
      </c>
      <c r="J84" s="211">
        <v>150</v>
      </c>
      <c r="K84" s="211">
        <v>150</v>
      </c>
      <c r="L84" s="211">
        <v>100</v>
      </c>
      <c r="M84" s="211">
        <v>75</v>
      </c>
      <c r="N84" s="211">
        <v>75</v>
      </c>
      <c r="O84" s="211">
        <v>75</v>
      </c>
      <c r="P84" s="211">
        <v>50</v>
      </c>
      <c r="R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</row>
    <row r="85" spans="1:32" ht="15" customHeight="1" x14ac:dyDescent="0.25">
      <c r="A85" s="319" t="s">
        <v>179</v>
      </c>
      <c r="B85" s="76" t="s">
        <v>72</v>
      </c>
      <c r="C85" s="309" t="s">
        <v>15</v>
      </c>
      <c r="D85" s="198">
        <v>2018</v>
      </c>
      <c r="E85" s="198">
        <v>2019</v>
      </c>
      <c r="F85" s="198">
        <v>2020</v>
      </c>
      <c r="G85" s="198">
        <v>2021</v>
      </c>
      <c r="H85" s="198">
        <v>2022</v>
      </c>
      <c r="I85" s="198">
        <v>2023</v>
      </c>
      <c r="J85" s="198">
        <v>2024</v>
      </c>
      <c r="K85" s="198">
        <v>2025</v>
      </c>
      <c r="L85" s="4">
        <v>2026</v>
      </c>
      <c r="M85" s="4">
        <v>2027</v>
      </c>
      <c r="N85" s="4">
        <v>2028</v>
      </c>
      <c r="O85" s="4">
        <v>2029</v>
      </c>
      <c r="P85" s="4">
        <v>2030</v>
      </c>
      <c r="R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</row>
    <row r="86" spans="1:32" ht="15" customHeight="1" x14ac:dyDescent="0.25">
      <c r="A86" s="320"/>
      <c r="B86" s="76" t="s">
        <v>158</v>
      </c>
      <c r="C86" s="4" t="s">
        <v>18</v>
      </c>
      <c r="D86" s="219">
        <v>21.954198859999998</v>
      </c>
      <c r="E86" s="219">
        <v>25.79566213</v>
      </c>
      <c r="F86" s="219">
        <v>29.947523820000001</v>
      </c>
      <c r="G86" s="219">
        <v>34.409783930000003</v>
      </c>
      <c r="H86" s="219">
        <v>39.182442460000004</v>
      </c>
      <c r="I86" s="219">
        <v>44.265499409999997</v>
      </c>
      <c r="J86" s="219">
        <v>49.658954780000002</v>
      </c>
      <c r="K86" s="219">
        <v>55.362808569999999</v>
      </c>
      <c r="L86" s="219">
        <v>61.377060779999994</v>
      </c>
      <c r="M86" s="219">
        <v>67.701711410000001</v>
      </c>
      <c r="N86" s="219">
        <v>74.336760459999994</v>
      </c>
      <c r="O86" s="219">
        <v>81.282207929999998</v>
      </c>
      <c r="P86" s="219">
        <v>88.538053819999988</v>
      </c>
      <c r="R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</row>
    <row r="87" spans="1:32" ht="15" customHeight="1" x14ac:dyDescent="0.25">
      <c r="A87" s="320"/>
      <c r="B87" s="76" t="s">
        <v>17</v>
      </c>
      <c r="C87" s="4" t="s">
        <v>18</v>
      </c>
      <c r="D87" s="190">
        <v>2.0166397615795355</v>
      </c>
      <c r="E87" s="190">
        <v>4.033279523159071</v>
      </c>
      <c r="F87" s="190">
        <v>7.4866509375388048</v>
      </c>
      <c r="G87" s="190">
        <v>11.508297006019333</v>
      </c>
      <c r="H87" s="190">
        <v>16.249135193627929</v>
      </c>
      <c r="I87" s="190">
        <v>22.164050263776673</v>
      </c>
      <c r="J87" s="190">
        <v>30.406059853470754</v>
      </c>
      <c r="K87" s="190">
        <v>41.012873049381184</v>
      </c>
      <c r="L87" s="190">
        <v>51.043503456268887</v>
      </c>
      <c r="M87" s="190">
        <v>70</v>
      </c>
      <c r="N87" s="190">
        <v>70</v>
      </c>
      <c r="O87" s="190">
        <v>70</v>
      </c>
      <c r="P87" s="190">
        <v>70</v>
      </c>
      <c r="R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</row>
    <row r="88" spans="1:32" ht="15" customHeight="1" x14ac:dyDescent="0.25">
      <c r="A88" s="320"/>
      <c r="B88" s="76" t="s">
        <v>124</v>
      </c>
      <c r="C88" s="4" t="s">
        <v>18</v>
      </c>
      <c r="D88" s="190">
        <v>100</v>
      </c>
      <c r="E88" s="190">
        <v>150</v>
      </c>
      <c r="F88" s="190">
        <v>150</v>
      </c>
      <c r="G88" s="190">
        <v>150</v>
      </c>
      <c r="H88" s="190">
        <v>150</v>
      </c>
      <c r="I88" s="190">
        <v>150</v>
      </c>
      <c r="J88" s="190">
        <v>150</v>
      </c>
      <c r="K88" s="190">
        <v>150</v>
      </c>
      <c r="L88" s="190">
        <v>100</v>
      </c>
      <c r="M88" s="190">
        <v>50</v>
      </c>
      <c r="N88" s="190">
        <v>0</v>
      </c>
      <c r="O88" s="190">
        <v>0</v>
      </c>
      <c r="P88" s="202">
        <v>0</v>
      </c>
      <c r="R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</row>
    <row r="89" spans="1:32" ht="15" customHeight="1" x14ac:dyDescent="0.25">
      <c r="A89" s="320"/>
      <c r="B89" s="76" t="s">
        <v>16</v>
      </c>
      <c r="C89" s="4" t="s">
        <v>18</v>
      </c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  <c r="P89" s="190">
        <v>0</v>
      </c>
      <c r="R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</row>
    <row r="90" spans="1:32" ht="15" customHeight="1" x14ac:dyDescent="0.25">
      <c r="A90" s="320"/>
      <c r="B90" s="76" t="s">
        <v>5</v>
      </c>
      <c r="C90" s="4" t="s">
        <v>112</v>
      </c>
      <c r="D90" s="220">
        <v>0.71909999999999996</v>
      </c>
      <c r="E90" s="220">
        <v>1.3375999999999999</v>
      </c>
      <c r="F90" s="220">
        <v>2.3818000000000001</v>
      </c>
      <c r="G90" s="220">
        <v>3.8589000000000002</v>
      </c>
      <c r="H90" s="220">
        <v>6.1199000000000003</v>
      </c>
      <c r="I90" s="220">
        <v>9.2230000000000008</v>
      </c>
      <c r="J90" s="220">
        <v>12.8797</v>
      </c>
      <c r="K90" s="220">
        <v>17.098500000000001</v>
      </c>
      <c r="L90" s="191">
        <v>21.6035</v>
      </c>
      <c r="M90" s="191">
        <v>26.108499999999999</v>
      </c>
      <c r="N90" s="191">
        <v>30.613499999999998</v>
      </c>
      <c r="O90" s="191">
        <v>35.118499999999997</v>
      </c>
      <c r="P90" s="191">
        <v>39.6235</v>
      </c>
      <c r="R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</row>
    <row r="91" spans="1:32" ht="15" customHeight="1" x14ac:dyDescent="0.25">
      <c r="A91" s="320"/>
      <c r="B91" s="76" t="s">
        <v>0</v>
      </c>
      <c r="C91" s="4" t="s">
        <v>19</v>
      </c>
      <c r="D91" s="221">
        <v>1193.638616</v>
      </c>
      <c r="E91" s="221">
        <v>1351.3739760000001</v>
      </c>
      <c r="F91" s="221">
        <v>1562.7517760000001</v>
      </c>
      <c r="G91" s="221">
        <v>1828.233696</v>
      </c>
      <c r="H91" s="221">
        <v>2124.219928</v>
      </c>
      <c r="I91" s="221">
        <v>2444.465056</v>
      </c>
      <c r="J91" s="221">
        <v>2794.8658479999999</v>
      </c>
      <c r="K91" s="221">
        <v>3173.8669199999999</v>
      </c>
      <c r="L91" s="221">
        <v>3567.0877359999999</v>
      </c>
      <c r="M91" s="221">
        <v>3960.308552</v>
      </c>
      <c r="N91" s="221">
        <v>4353.5293680000004</v>
      </c>
      <c r="O91" s="221">
        <v>4746.7501840000004</v>
      </c>
      <c r="P91" s="221">
        <v>5139.9709999999995</v>
      </c>
      <c r="R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</row>
    <row r="92" spans="1:32" ht="15" customHeight="1" x14ac:dyDescent="0.25">
      <c r="A92" s="320"/>
      <c r="B92" s="76" t="s">
        <v>38</v>
      </c>
      <c r="C92" s="4" t="s">
        <v>18</v>
      </c>
      <c r="D92" s="192">
        <v>200</v>
      </c>
      <c r="E92" s="192">
        <v>275</v>
      </c>
      <c r="F92" s="192">
        <v>350</v>
      </c>
      <c r="G92" s="192">
        <v>425</v>
      </c>
      <c r="H92" s="192">
        <v>500</v>
      </c>
      <c r="I92" s="192">
        <v>500</v>
      </c>
      <c r="J92" s="192">
        <v>500</v>
      </c>
      <c r="K92" s="192">
        <v>500</v>
      </c>
      <c r="L92" s="192">
        <v>500</v>
      </c>
      <c r="M92" s="192">
        <v>500</v>
      </c>
      <c r="N92" s="192">
        <v>500</v>
      </c>
      <c r="O92" s="192">
        <v>500</v>
      </c>
      <c r="P92" s="192">
        <v>500</v>
      </c>
      <c r="R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</row>
    <row r="93" spans="1:32" ht="15" customHeight="1" x14ac:dyDescent="0.25">
      <c r="A93" s="320"/>
      <c r="B93" s="76" t="s">
        <v>1</v>
      </c>
      <c r="C93" s="4" t="s">
        <v>18</v>
      </c>
      <c r="D93" s="192">
        <v>450</v>
      </c>
      <c r="E93" s="192">
        <v>550</v>
      </c>
      <c r="F93" s="192">
        <v>650</v>
      </c>
      <c r="G93" s="192">
        <v>750</v>
      </c>
      <c r="H93" s="192">
        <v>850</v>
      </c>
      <c r="I93" s="192">
        <v>950</v>
      </c>
      <c r="J93" s="192">
        <v>1050</v>
      </c>
      <c r="K93" s="192">
        <v>1150</v>
      </c>
      <c r="L93" s="192">
        <v>1000</v>
      </c>
      <c r="M93" s="192">
        <v>800</v>
      </c>
      <c r="N93" s="192">
        <v>800</v>
      </c>
      <c r="O93" s="192">
        <v>800</v>
      </c>
      <c r="P93" s="192">
        <v>550</v>
      </c>
      <c r="R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</row>
    <row r="94" spans="1:32" ht="15" customHeight="1" x14ac:dyDescent="0.25">
      <c r="A94" s="320"/>
      <c r="B94" s="76" t="s">
        <v>82</v>
      </c>
      <c r="C94" s="4" t="s">
        <v>61</v>
      </c>
      <c r="D94" s="191">
        <v>156.38432364096082</v>
      </c>
      <c r="E94" s="191">
        <v>173.07206068268016</v>
      </c>
      <c r="F94" s="191">
        <v>192.58570684911132</v>
      </c>
      <c r="G94" s="191">
        <v>212.6794080464044</v>
      </c>
      <c r="H94" s="191">
        <v>234.2083736149327</v>
      </c>
      <c r="I94" s="191">
        <v>255.00855209340375</v>
      </c>
      <c r="J94" s="191">
        <v>283.88488138618277</v>
      </c>
      <c r="K94" s="191">
        <v>288.06425224957241</v>
      </c>
      <c r="L94" s="191">
        <v>294.935673384398</v>
      </c>
      <c r="M94" s="191">
        <v>301.5839964304306</v>
      </c>
      <c r="N94" s="191">
        <v>307.39941994496911</v>
      </c>
      <c r="O94" s="191">
        <v>313.05867479735258</v>
      </c>
      <c r="P94" s="191">
        <v>319.1864356362014</v>
      </c>
      <c r="R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</row>
    <row r="95" spans="1:32" ht="15" customHeight="1" x14ac:dyDescent="0.25">
      <c r="A95" s="320"/>
      <c r="B95" s="76" t="s">
        <v>33</v>
      </c>
      <c r="C95" s="4" t="s">
        <v>61</v>
      </c>
      <c r="D95" s="191">
        <v>25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91">
        <v>0</v>
      </c>
      <c r="K95" s="191">
        <v>0</v>
      </c>
      <c r="L95" s="191">
        <v>0</v>
      </c>
      <c r="M95" s="191">
        <v>0</v>
      </c>
      <c r="N95" s="191">
        <v>0</v>
      </c>
      <c r="O95" s="191">
        <v>0</v>
      </c>
      <c r="P95" s="191">
        <v>0</v>
      </c>
      <c r="R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</row>
    <row r="96" spans="1:32" ht="15" customHeight="1" x14ac:dyDescent="0.25">
      <c r="A96" s="320"/>
      <c r="B96" s="76" t="s">
        <v>103</v>
      </c>
      <c r="C96" s="4" t="s">
        <v>112</v>
      </c>
      <c r="D96" s="190">
        <v>4.2563122435700422E-2</v>
      </c>
      <c r="E96" s="190">
        <v>7.9221596798729643E-2</v>
      </c>
      <c r="F96" s="190">
        <v>0.12104481719249827</v>
      </c>
      <c r="G96" s="190">
        <v>0.1816060687387489</v>
      </c>
      <c r="H96" s="190">
        <v>0.27756822157499184</v>
      </c>
      <c r="I96" s="190">
        <v>0.37832792169431789</v>
      </c>
      <c r="J96" s="190">
        <v>0.5684160505621817</v>
      </c>
      <c r="K96" s="190">
        <v>0.80546664639454091</v>
      </c>
      <c r="L96" s="190">
        <v>1.1207288866548697</v>
      </c>
      <c r="M96" s="190">
        <v>1.5293722472561442</v>
      </c>
      <c r="N96" s="190">
        <v>2.0295901497354025</v>
      </c>
      <c r="O96" s="190">
        <v>2.6791165470450999</v>
      </c>
      <c r="P96" s="190">
        <v>3.5256743672802955</v>
      </c>
      <c r="R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</row>
    <row r="97" spans="1:32" ht="15" customHeight="1" x14ac:dyDescent="0.25">
      <c r="A97" s="320"/>
      <c r="B97" s="76" t="s">
        <v>89</v>
      </c>
      <c r="C97" s="4" t="s">
        <v>19</v>
      </c>
      <c r="D97" s="193">
        <v>10.402955513673991</v>
      </c>
      <c r="E97" s="193">
        <v>21.99355244200974</v>
      </c>
      <c r="F97" s="193">
        <v>38.824390017528302</v>
      </c>
      <c r="G97" s="193">
        <v>58.149856742870597</v>
      </c>
      <c r="H97" s="193">
        <v>97.3073839019399</v>
      </c>
      <c r="I97" s="193">
        <v>146.088656830633</v>
      </c>
      <c r="J97" s="193">
        <v>238.50207872244439</v>
      </c>
      <c r="K97" s="193">
        <v>350.525473011901</v>
      </c>
      <c r="L97" s="193">
        <v>483.18676801670301</v>
      </c>
      <c r="M97" s="193">
        <v>623.48797719434697</v>
      </c>
      <c r="N97" s="193">
        <v>756.11606245709004</v>
      </c>
      <c r="O97" s="193">
        <v>889.00870624910499</v>
      </c>
      <c r="P97" s="193">
        <v>1024.46109319377</v>
      </c>
      <c r="R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</row>
    <row r="98" spans="1:32" ht="15" customHeight="1" x14ac:dyDescent="0.25">
      <c r="A98" s="320"/>
      <c r="B98" s="76" t="s">
        <v>119</v>
      </c>
      <c r="C98" s="4" t="s">
        <v>19</v>
      </c>
      <c r="D98" s="190">
        <v>1412</v>
      </c>
      <c r="E98" s="190">
        <v>1412</v>
      </c>
      <c r="F98" s="190">
        <v>1412</v>
      </c>
      <c r="G98" s="190">
        <v>1412</v>
      </c>
      <c r="H98" s="190">
        <v>1412</v>
      </c>
      <c r="I98" s="190">
        <v>1412</v>
      </c>
      <c r="J98" s="190">
        <v>1412</v>
      </c>
      <c r="K98" s="190">
        <v>1412</v>
      </c>
      <c r="L98" s="190">
        <v>1412</v>
      </c>
      <c r="M98" s="190">
        <v>1412</v>
      </c>
      <c r="N98" s="190">
        <v>1412</v>
      </c>
      <c r="O98" s="190">
        <v>1412</v>
      </c>
      <c r="P98" s="190">
        <v>1412</v>
      </c>
      <c r="R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</row>
    <row r="99" spans="1:32" ht="15" customHeight="1" x14ac:dyDescent="0.25">
      <c r="A99" s="320"/>
      <c r="B99" s="76" t="s">
        <v>161</v>
      </c>
      <c r="C99" s="4" t="s">
        <v>157</v>
      </c>
      <c r="D99" s="190">
        <v>0</v>
      </c>
      <c r="E99" s="190">
        <v>0</v>
      </c>
      <c r="F99" s="190">
        <v>0</v>
      </c>
      <c r="G99" s="190">
        <v>0</v>
      </c>
      <c r="H99" s="190">
        <v>0</v>
      </c>
      <c r="I99" s="190">
        <v>0</v>
      </c>
      <c r="J99" s="190">
        <v>0</v>
      </c>
      <c r="K99" s="190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R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</row>
    <row r="100" spans="1:32" ht="15" customHeight="1" x14ac:dyDescent="0.25">
      <c r="A100" s="320"/>
      <c r="B100" s="76" t="s">
        <v>68</v>
      </c>
      <c r="C100" s="4" t="s">
        <v>18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194">
        <v>0</v>
      </c>
      <c r="N100" s="194">
        <v>0</v>
      </c>
      <c r="O100" s="194">
        <v>0</v>
      </c>
      <c r="P100" s="194">
        <v>0</v>
      </c>
      <c r="R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</row>
    <row r="101" spans="1:32" ht="15" customHeight="1" x14ac:dyDescent="0.25">
      <c r="A101" s="320"/>
      <c r="B101" s="83" t="s">
        <v>81</v>
      </c>
      <c r="C101" s="26" t="s">
        <v>43</v>
      </c>
      <c r="D101" s="195">
        <v>1.4999999999999999E-2</v>
      </c>
      <c r="E101" s="195">
        <v>2.2499999999999999E-2</v>
      </c>
      <c r="F101" s="195">
        <v>0.03</v>
      </c>
      <c r="G101" s="195">
        <v>0.04</v>
      </c>
      <c r="H101" s="195">
        <v>0.06</v>
      </c>
      <c r="I101" s="195">
        <v>0.06</v>
      </c>
      <c r="J101" s="195">
        <v>0.06</v>
      </c>
      <c r="K101" s="195">
        <v>0.06</v>
      </c>
      <c r="L101" s="195">
        <v>0.06</v>
      </c>
      <c r="M101" s="195">
        <v>0.06</v>
      </c>
      <c r="N101" s="195">
        <v>0.06</v>
      </c>
      <c r="O101" s="195">
        <v>0.06</v>
      </c>
      <c r="P101" s="195">
        <v>0.06</v>
      </c>
      <c r="R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</row>
    <row r="102" spans="1:32" ht="15" customHeight="1" x14ac:dyDescent="0.25">
      <c r="A102" s="320"/>
      <c r="B102" s="83" t="s">
        <v>54</v>
      </c>
      <c r="C102" s="26" t="s">
        <v>45</v>
      </c>
      <c r="D102" s="26">
        <v>3.0000000000000001E-3</v>
      </c>
      <c r="E102" s="26">
        <v>0.02</v>
      </c>
      <c r="F102" s="26">
        <v>0.25</v>
      </c>
      <c r="G102" s="196">
        <v>0.375</v>
      </c>
      <c r="H102" s="196">
        <v>0.5</v>
      </c>
      <c r="I102" s="196">
        <v>0.625</v>
      </c>
      <c r="J102" s="196">
        <v>0.75</v>
      </c>
      <c r="K102" s="196">
        <v>0.75</v>
      </c>
      <c r="L102" s="196">
        <v>0.75</v>
      </c>
      <c r="M102" s="196">
        <v>0.75</v>
      </c>
      <c r="N102" s="196">
        <v>0.75</v>
      </c>
      <c r="O102" s="196">
        <v>0.75</v>
      </c>
      <c r="P102" s="196">
        <v>0.75</v>
      </c>
      <c r="R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</row>
    <row r="103" spans="1:32" ht="15" customHeight="1" x14ac:dyDescent="0.25">
      <c r="A103" s="320"/>
      <c r="B103" s="83" t="s">
        <v>76</v>
      </c>
      <c r="C103" s="26" t="s">
        <v>45</v>
      </c>
      <c r="D103" s="289">
        <v>0.154</v>
      </c>
      <c r="E103" s="289">
        <v>0.154</v>
      </c>
      <c r="F103" s="289">
        <v>0.154</v>
      </c>
      <c r="G103" s="289">
        <v>0.154</v>
      </c>
      <c r="H103" s="289">
        <v>0.154</v>
      </c>
      <c r="I103" s="289">
        <v>0.154</v>
      </c>
      <c r="J103" s="289">
        <v>0.154</v>
      </c>
      <c r="K103" s="289">
        <v>0.154</v>
      </c>
      <c r="L103" s="289">
        <v>0.154</v>
      </c>
      <c r="M103" s="289">
        <v>0.154</v>
      </c>
      <c r="N103" s="289">
        <v>0.154</v>
      </c>
      <c r="O103" s="289">
        <v>0.154</v>
      </c>
      <c r="P103" s="289">
        <v>0.154</v>
      </c>
      <c r="R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</row>
    <row r="104" spans="1:32" ht="15" customHeight="1" x14ac:dyDescent="0.25">
      <c r="A104" s="320"/>
      <c r="B104" s="83" t="s">
        <v>56</v>
      </c>
      <c r="C104" s="26" t="s">
        <v>45</v>
      </c>
      <c r="D104" s="197">
        <v>0</v>
      </c>
      <c r="E104" s="197">
        <v>0.1</v>
      </c>
      <c r="F104" s="197">
        <v>0.3</v>
      </c>
      <c r="G104" s="197">
        <v>0.6</v>
      </c>
      <c r="H104" s="197">
        <v>0.9</v>
      </c>
      <c r="I104" s="197">
        <v>1.2</v>
      </c>
      <c r="J104" s="197">
        <v>1.5</v>
      </c>
      <c r="K104" s="197">
        <v>1.5</v>
      </c>
      <c r="L104" s="197">
        <v>1.2</v>
      </c>
      <c r="M104" s="197">
        <v>0.9</v>
      </c>
      <c r="N104" s="197">
        <v>0.6</v>
      </c>
      <c r="O104" s="197">
        <v>0.3</v>
      </c>
      <c r="P104" s="197">
        <v>0</v>
      </c>
      <c r="R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</row>
    <row r="105" spans="1:32" ht="15" customHeight="1" x14ac:dyDescent="0.25">
      <c r="A105" s="320"/>
      <c r="B105" s="83" t="s">
        <v>55</v>
      </c>
      <c r="C105" s="26" t="s">
        <v>45</v>
      </c>
      <c r="D105" s="26">
        <v>0.01</v>
      </c>
      <c r="E105" s="289">
        <v>8.3749999999999991E-2</v>
      </c>
      <c r="F105" s="289">
        <v>0.16749999999999998</v>
      </c>
      <c r="G105" s="289">
        <v>0.16749999999999998</v>
      </c>
      <c r="H105" s="289">
        <v>0.17749999999999999</v>
      </c>
      <c r="I105" s="289">
        <v>0.25750000000000001</v>
      </c>
      <c r="J105" s="289">
        <v>0.27666666666666667</v>
      </c>
      <c r="K105" s="289">
        <v>0.34</v>
      </c>
      <c r="L105" s="289">
        <v>0.34250000000000003</v>
      </c>
      <c r="M105" s="289">
        <v>0.34499999999999997</v>
      </c>
      <c r="N105" s="289">
        <v>0.35916666666666663</v>
      </c>
      <c r="O105" s="289">
        <v>0.35916666666666663</v>
      </c>
      <c r="P105" s="289">
        <v>0.35916666666666663</v>
      </c>
      <c r="R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</row>
    <row r="106" spans="1:32" ht="15.75" customHeight="1" x14ac:dyDescent="0.25">
      <c r="A106" s="320"/>
      <c r="B106" s="83" t="s">
        <v>266</v>
      </c>
      <c r="C106" s="26" t="s">
        <v>167</v>
      </c>
      <c r="D106" s="289">
        <v>0</v>
      </c>
      <c r="E106" s="289">
        <v>0</v>
      </c>
      <c r="F106" s="289">
        <v>0</v>
      </c>
      <c r="G106" s="289">
        <v>0</v>
      </c>
      <c r="H106" s="289">
        <v>0</v>
      </c>
      <c r="I106" s="289">
        <v>0</v>
      </c>
      <c r="J106" s="289">
        <v>0</v>
      </c>
      <c r="K106" s="289">
        <v>0</v>
      </c>
      <c r="L106" s="289">
        <v>0</v>
      </c>
      <c r="M106" s="289">
        <v>0</v>
      </c>
      <c r="N106" s="289">
        <v>0</v>
      </c>
      <c r="O106" s="289">
        <v>0</v>
      </c>
      <c r="P106" s="289">
        <v>0</v>
      </c>
      <c r="R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</row>
    <row r="107" spans="1:32" ht="15.75" customHeight="1" x14ac:dyDescent="0.25">
      <c r="A107" s="320"/>
      <c r="B107" s="83" t="s">
        <v>163</v>
      </c>
      <c r="C107" s="26" t="s">
        <v>167</v>
      </c>
      <c r="D107" s="289">
        <v>30.929411764705883</v>
      </c>
      <c r="E107" s="289">
        <v>30.929411764705883</v>
      </c>
      <c r="F107" s="289">
        <v>30.929411764705883</v>
      </c>
      <c r="G107" s="289">
        <v>30.929411764705883</v>
      </c>
      <c r="H107" s="289">
        <v>30.929411764705883</v>
      </c>
      <c r="I107" s="289">
        <v>30.929411764705883</v>
      </c>
      <c r="J107" s="289">
        <v>30.929411764705883</v>
      </c>
      <c r="K107" s="289">
        <v>30.929411764705883</v>
      </c>
      <c r="L107" s="289">
        <v>30.929411764705883</v>
      </c>
      <c r="M107" s="289">
        <v>30.929411764705883</v>
      </c>
      <c r="N107" s="289">
        <v>30.929411764705883</v>
      </c>
      <c r="O107" s="289">
        <v>30.929411764705883</v>
      </c>
      <c r="P107" s="289">
        <v>30.929411764705883</v>
      </c>
      <c r="R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</row>
    <row r="108" spans="1:32" ht="15.75" customHeight="1" x14ac:dyDescent="0.25">
      <c r="A108" s="320"/>
      <c r="B108" s="81" t="s">
        <v>104</v>
      </c>
      <c r="C108" s="26" t="s">
        <v>167</v>
      </c>
      <c r="D108" s="26">
        <f>40</f>
        <v>40</v>
      </c>
      <c r="E108" s="26">
        <f>40</f>
        <v>40</v>
      </c>
      <c r="F108" s="26">
        <f>40</f>
        <v>40</v>
      </c>
      <c r="G108" s="26">
        <v>40</v>
      </c>
      <c r="H108" s="26">
        <v>40</v>
      </c>
      <c r="I108" s="26">
        <v>40</v>
      </c>
      <c r="J108" s="26">
        <v>40</v>
      </c>
      <c r="K108" s="26">
        <v>40</v>
      </c>
      <c r="L108" s="26">
        <v>40</v>
      </c>
      <c r="M108" s="26">
        <v>40</v>
      </c>
      <c r="N108" s="26">
        <v>40</v>
      </c>
      <c r="O108" s="26">
        <v>40</v>
      </c>
      <c r="P108" s="26">
        <v>40</v>
      </c>
      <c r="R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</row>
    <row r="109" spans="1:32" ht="15.75" customHeight="1" x14ac:dyDescent="0.25">
      <c r="A109" s="320"/>
      <c r="B109" s="83" t="s">
        <v>57</v>
      </c>
      <c r="C109" s="26" t="s">
        <v>167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R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</row>
    <row r="110" spans="1:32" s="270" customFormat="1" ht="15.75" thickBot="1" x14ac:dyDescent="0.3">
      <c r="A110" s="321"/>
      <c r="B110" s="83" t="s">
        <v>261</v>
      </c>
      <c r="C110" s="26" t="s">
        <v>271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R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</row>
    <row r="111" spans="1:32" ht="15.75" thickBot="1" x14ac:dyDescent="0.3">
      <c r="A111" s="269"/>
      <c r="B111" s="269"/>
      <c r="C111" s="269"/>
      <c r="D111" s="211">
        <v>125</v>
      </c>
      <c r="E111" s="211">
        <v>150</v>
      </c>
      <c r="F111" s="211">
        <v>200</v>
      </c>
      <c r="G111" s="211">
        <v>200</v>
      </c>
      <c r="H111" s="211">
        <v>200</v>
      </c>
      <c r="I111" s="211">
        <v>200</v>
      </c>
      <c r="J111" s="211">
        <v>150</v>
      </c>
      <c r="K111" s="211">
        <v>150</v>
      </c>
      <c r="L111" s="211">
        <v>85</v>
      </c>
      <c r="M111" s="211">
        <v>25</v>
      </c>
      <c r="N111" s="211">
        <v>25</v>
      </c>
      <c r="O111" s="211">
        <v>25</v>
      </c>
      <c r="P111" s="211">
        <v>25</v>
      </c>
      <c r="R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</row>
    <row r="112" spans="1:32" ht="15" customHeight="1" x14ac:dyDescent="0.25">
      <c r="A112" s="319" t="s">
        <v>187</v>
      </c>
      <c r="B112" s="76" t="s">
        <v>72</v>
      </c>
      <c r="C112" s="309" t="s">
        <v>15</v>
      </c>
      <c r="D112" s="198">
        <v>2018</v>
      </c>
      <c r="E112" s="198">
        <v>2019</v>
      </c>
      <c r="F112" s="198">
        <v>2020</v>
      </c>
      <c r="G112" s="198">
        <v>2021</v>
      </c>
      <c r="H112" s="198">
        <v>2022</v>
      </c>
      <c r="I112" s="198">
        <v>2023</v>
      </c>
      <c r="J112" s="198">
        <v>2024</v>
      </c>
      <c r="K112" s="198">
        <v>2025</v>
      </c>
      <c r="L112" s="4">
        <v>2026</v>
      </c>
      <c r="M112" s="4">
        <v>2027</v>
      </c>
      <c r="N112" s="4">
        <v>2028</v>
      </c>
      <c r="O112" s="4">
        <v>2029</v>
      </c>
      <c r="P112" s="4">
        <v>2030</v>
      </c>
      <c r="R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</row>
    <row r="113" spans="1:32" ht="15" customHeight="1" x14ac:dyDescent="0.25">
      <c r="A113" s="320"/>
      <c r="B113" s="76" t="s">
        <v>158</v>
      </c>
      <c r="C113" s="4" t="s">
        <v>18</v>
      </c>
      <c r="D113" s="219">
        <v>21.954198859999998</v>
      </c>
      <c r="E113" s="219">
        <v>25.79566213</v>
      </c>
      <c r="F113" s="219">
        <v>29.947523820000001</v>
      </c>
      <c r="G113" s="219">
        <v>34.409783930000003</v>
      </c>
      <c r="H113" s="219">
        <v>39.182442460000004</v>
      </c>
      <c r="I113" s="219">
        <v>44.265499409999997</v>
      </c>
      <c r="J113" s="219">
        <v>49.658954780000002</v>
      </c>
      <c r="K113" s="219">
        <v>55.362808569999999</v>
      </c>
      <c r="L113" s="219">
        <v>61.377060779999994</v>
      </c>
      <c r="M113" s="219">
        <v>67.701711410000001</v>
      </c>
      <c r="N113" s="219">
        <v>74.336760459999994</v>
      </c>
      <c r="O113" s="219">
        <v>81.282207929999998</v>
      </c>
      <c r="P113" s="219">
        <v>88.538053819999988</v>
      </c>
      <c r="R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</row>
    <row r="114" spans="1:32" ht="15" customHeight="1" x14ac:dyDescent="0.25">
      <c r="A114" s="320"/>
      <c r="B114" s="76" t="s">
        <v>17</v>
      </c>
      <c r="C114" s="4" t="s">
        <v>18</v>
      </c>
      <c r="D114" s="190">
        <v>2.0166397615795355</v>
      </c>
      <c r="E114" s="190">
        <v>4.033279523159071</v>
      </c>
      <c r="F114" s="190">
        <v>7.4866509375388048</v>
      </c>
      <c r="G114" s="190">
        <v>11.508297006019333</v>
      </c>
      <c r="H114" s="190">
        <v>16.249135193627929</v>
      </c>
      <c r="I114" s="190">
        <v>20</v>
      </c>
      <c r="J114" s="190">
        <v>24</v>
      </c>
      <c r="K114" s="190">
        <v>27</v>
      </c>
      <c r="L114" s="190">
        <v>27</v>
      </c>
      <c r="M114" s="190">
        <v>27</v>
      </c>
      <c r="N114" s="190">
        <v>27</v>
      </c>
      <c r="O114" s="190">
        <v>27</v>
      </c>
      <c r="P114" s="190">
        <v>27</v>
      </c>
      <c r="R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</row>
    <row r="115" spans="1:32" ht="15" customHeight="1" x14ac:dyDescent="0.25">
      <c r="A115" s="320"/>
      <c r="B115" s="76" t="s">
        <v>124</v>
      </c>
      <c r="C115" s="4" t="s">
        <v>18</v>
      </c>
      <c r="D115" s="190">
        <v>100</v>
      </c>
      <c r="E115" s="190">
        <v>150</v>
      </c>
      <c r="F115" s="190">
        <v>150</v>
      </c>
      <c r="G115" s="190">
        <v>150</v>
      </c>
      <c r="H115" s="190">
        <v>150</v>
      </c>
      <c r="I115" s="190">
        <v>150</v>
      </c>
      <c r="J115" s="190">
        <v>150</v>
      </c>
      <c r="K115" s="190">
        <v>150</v>
      </c>
      <c r="L115" s="190">
        <v>50</v>
      </c>
      <c r="M115" s="190">
        <v>0</v>
      </c>
      <c r="N115" s="190">
        <v>0</v>
      </c>
      <c r="O115" s="190">
        <v>0</v>
      </c>
      <c r="P115" s="202">
        <v>0</v>
      </c>
      <c r="R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</row>
    <row r="116" spans="1:32" ht="15" customHeight="1" x14ac:dyDescent="0.25">
      <c r="A116" s="320"/>
      <c r="B116" s="76" t="s">
        <v>16</v>
      </c>
      <c r="C116" s="4" t="s">
        <v>18</v>
      </c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90">
        <v>0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R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</row>
    <row r="117" spans="1:32" ht="15" customHeight="1" x14ac:dyDescent="0.25">
      <c r="A117" s="320"/>
      <c r="B117" s="76" t="s">
        <v>5</v>
      </c>
      <c r="C117" s="4" t="s">
        <v>112</v>
      </c>
      <c r="D117" s="220">
        <v>0.71909999999999996</v>
      </c>
      <c r="E117" s="220">
        <v>1.3375999999999999</v>
      </c>
      <c r="F117" s="220">
        <v>2.3818000000000001</v>
      </c>
      <c r="G117" s="220">
        <v>3.8589000000000002</v>
      </c>
      <c r="H117" s="220">
        <v>6.1199000000000003</v>
      </c>
      <c r="I117" s="220">
        <v>12.969796448400741</v>
      </c>
      <c r="J117" s="220">
        <v>23.844189345202228</v>
      </c>
      <c r="K117" s="220">
        <v>34.718582242003706</v>
      </c>
      <c r="L117" s="191">
        <v>46.503340140812966</v>
      </c>
      <c r="M117" s="191">
        <v>60.43963971087399</v>
      </c>
      <c r="N117" s="191">
        <v>76.90295046180654</v>
      </c>
      <c r="O117" s="191">
        <v>95.924299289722157</v>
      </c>
      <c r="P117" s="191">
        <v>117.46945822516899</v>
      </c>
      <c r="R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</row>
    <row r="118" spans="1:32" ht="15" customHeight="1" x14ac:dyDescent="0.25">
      <c r="A118" s="320"/>
      <c r="B118" s="76" t="s">
        <v>0</v>
      </c>
      <c r="C118" s="4" t="s">
        <v>19</v>
      </c>
      <c r="D118" s="221">
        <v>1193.638616</v>
      </c>
      <c r="E118" s="221">
        <v>1351.3739760000001</v>
      </c>
      <c r="F118" s="221">
        <v>1562.7517760000001</v>
      </c>
      <c r="G118" s="221">
        <v>1828.233696</v>
      </c>
      <c r="H118" s="221">
        <v>2124.219928</v>
      </c>
      <c r="I118" s="221">
        <v>2685.1889290279537</v>
      </c>
      <c r="J118" s="221">
        <v>3502.6569310838604</v>
      </c>
      <c r="K118" s="221">
        <v>4320.1249331397676</v>
      </c>
      <c r="L118" s="221">
        <v>5190.3348290815702</v>
      </c>
      <c r="M118" s="221">
        <v>6204.5862699682757</v>
      </c>
      <c r="N118" s="221">
        <v>7406.3858761759302</v>
      </c>
      <c r="O118" s="221">
        <v>8799.450102282628</v>
      </c>
      <c r="P118" s="221">
        <v>10381.371019384236</v>
      </c>
      <c r="R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</row>
    <row r="119" spans="1:32" ht="15" customHeight="1" x14ac:dyDescent="0.25">
      <c r="A119" s="320"/>
      <c r="B119" s="76" t="s">
        <v>38</v>
      </c>
      <c r="C119" s="4" t="s">
        <v>18</v>
      </c>
      <c r="D119" s="192">
        <v>200</v>
      </c>
      <c r="E119" s="192">
        <v>275</v>
      </c>
      <c r="F119" s="192">
        <v>350</v>
      </c>
      <c r="G119" s="192">
        <v>425</v>
      </c>
      <c r="H119" s="192">
        <v>500</v>
      </c>
      <c r="I119" s="192">
        <v>500</v>
      </c>
      <c r="J119" s="192">
        <v>500</v>
      </c>
      <c r="K119" s="192">
        <v>500</v>
      </c>
      <c r="L119" s="192">
        <v>500</v>
      </c>
      <c r="M119" s="192">
        <v>500</v>
      </c>
      <c r="N119" s="192">
        <v>425</v>
      </c>
      <c r="O119" s="192">
        <v>350</v>
      </c>
      <c r="P119" s="192">
        <v>275</v>
      </c>
      <c r="R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</row>
    <row r="120" spans="1:32" ht="15" customHeight="1" x14ac:dyDescent="0.25">
      <c r="A120" s="320"/>
      <c r="B120" s="76" t="s">
        <v>1</v>
      </c>
      <c r="C120" s="4" t="s">
        <v>18</v>
      </c>
      <c r="D120" s="192">
        <v>450</v>
      </c>
      <c r="E120" s="192">
        <v>550</v>
      </c>
      <c r="F120" s="192">
        <v>650</v>
      </c>
      <c r="G120" s="192">
        <v>750</v>
      </c>
      <c r="H120" s="192">
        <v>850</v>
      </c>
      <c r="I120" s="192">
        <v>950</v>
      </c>
      <c r="J120" s="192">
        <v>1050</v>
      </c>
      <c r="K120" s="192">
        <v>1150</v>
      </c>
      <c r="L120" s="192">
        <v>900</v>
      </c>
      <c r="M120" s="192">
        <v>600</v>
      </c>
      <c r="N120" s="192">
        <v>500</v>
      </c>
      <c r="O120" s="192">
        <v>400</v>
      </c>
      <c r="P120" s="192">
        <v>300</v>
      </c>
      <c r="R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</row>
    <row r="121" spans="1:32" ht="15" customHeight="1" x14ac:dyDescent="0.25">
      <c r="A121" s="320"/>
      <c r="B121" s="76" t="s">
        <v>82</v>
      </c>
      <c r="C121" s="4" t="s">
        <v>61</v>
      </c>
      <c r="D121" s="191">
        <v>156.38432364096082</v>
      </c>
      <c r="E121" s="191">
        <v>173.07206068268016</v>
      </c>
      <c r="F121" s="191">
        <v>192.58570684911132</v>
      </c>
      <c r="G121" s="191">
        <v>212.6794080464044</v>
      </c>
      <c r="H121" s="191">
        <v>234.2083736149327</v>
      </c>
      <c r="I121" s="191">
        <v>255.00855209340375</v>
      </c>
      <c r="J121" s="191">
        <v>283.88488138618277</v>
      </c>
      <c r="K121" s="191">
        <v>288.06425224957241</v>
      </c>
      <c r="L121" s="191">
        <v>294.935673384398</v>
      </c>
      <c r="M121" s="191">
        <v>301.5839964304306</v>
      </c>
      <c r="N121" s="191">
        <v>307.39941994496911</v>
      </c>
      <c r="O121" s="191">
        <v>313.05867479735258</v>
      </c>
      <c r="P121" s="191">
        <v>319.1864356362014</v>
      </c>
      <c r="R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</row>
    <row r="122" spans="1:32" ht="15" customHeight="1" x14ac:dyDescent="0.25">
      <c r="A122" s="320"/>
      <c r="B122" s="76" t="s">
        <v>33</v>
      </c>
      <c r="C122" s="4" t="s">
        <v>61</v>
      </c>
      <c r="D122" s="191">
        <v>25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1">
        <v>0</v>
      </c>
      <c r="M122" s="191">
        <v>0</v>
      </c>
      <c r="N122" s="191">
        <v>0</v>
      </c>
      <c r="O122" s="191">
        <v>0</v>
      </c>
      <c r="P122" s="191">
        <v>0</v>
      </c>
      <c r="R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</row>
    <row r="123" spans="1:32" ht="15" customHeight="1" x14ac:dyDescent="0.25">
      <c r="A123" s="320"/>
      <c r="B123" s="76" t="s">
        <v>103</v>
      </c>
      <c r="C123" s="4" t="s">
        <v>112</v>
      </c>
      <c r="D123" s="190">
        <v>4.2563122435700422E-2</v>
      </c>
      <c r="E123" s="190">
        <v>7.9221596798729643E-2</v>
      </c>
      <c r="F123" s="190">
        <v>0.12104481719249827</v>
      </c>
      <c r="G123" s="190">
        <v>0.1816060687387489</v>
      </c>
      <c r="H123" s="190">
        <v>0.27756822157499184</v>
      </c>
      <c r="I123" s="190">
        <v>0.37832792169431789</v>
      </c>
      <c r="J123" s="190">
        <v>0.5684160505621817</v>
      </c>
      <c r="K123" s="190">
        <v>0.80546664639454091</v>
      </c>
      <c r="L123" s="190">
        <v>1.1207288866548697</v>
      </c>
      <c r="M123" s="190">
        <v>1.5293722472561442</v>
      </c>
      <c r="N123" s="190">
        <v>2.0295901497354025</v>
      </c>
      <c r="O123" s="190">
        <v>2.6791165470450999</v>
      </c>
      <c r="P123" s="190">
        <v>3.5256743672802955</v>
      </c>
      <c r="R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</row>
    <row r="124" spans="1:32" ht="15" customHeight="1" x14ac:dyDescent="0.25">
      <c r="A124" s="320"/>
      <c r="B124" s="76" t="s">
        <v>89</v>
      </c>
      <c r="C124" s="4" t="s">
        <v>19</v>
      </c>
      <c r="D124" s="193">
        <v>10.402955513673991</v>
      </c>
      <c r="E124" s="193">
        <v>21.99355244200974</v>
      </c>
      <c r="F124" s="193">
        <v>38.824390017528302</v>
      </c>
      <c r="G124" s="193">
        <v>58.149856742870597</v>
      </c>
      <c r="H124" s="193">
        <v>97.3073839019399</v>
      </c>
      <c r="I124" s="193">
        <v>146.088656830633</v>
      </c>
      <c r="J124" s="193">
        <v>238.50207872244439</v>
      </c>
      <c r="K124" s="193">
        <v>350.525473011901</v>
      </c>
      <c r="L124" s="193">
        <v>483.18676801670301</v>
      </c>
      <c r="M124" s="193">
        <v>623.48797719434697</v>
      </c>
      <c r="N124" s="193">
        <v>756.11606245709004</v>
      </c>
      <c r="O124" s="193">
        <v>889.00870624910499</v>
      </c>
      <c r="P124" s="193">
        <v>1024.46109319377</v>
      </c>
      <c r="R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</row>
    <row r="125" spans="1:32" ht="15" customHeight="1" x14ac:dyDescent="0.25">
      <c r="A125" s="320"/>
      <c r="B125" s="76" t="s">
        <v>119</v>
      </c>
      <c r="C125" s="4" t="s">
        <v>19</v>
      </c>
      <c r="D125" s="190">
        <v>1412</v>
      </c>
      <c r="E125" s="190">
        <v>1412</v>
      </c>
      <c r="F125" s="190">
        <v>1412</v>
      </c>
      <c r="G125" s="190">
        <v>1412</v>
      </c>
      <c r="H125" s="190">
        <v>1412</v>
      </c>
      <c r="I125" s="190">
        <v>1412</v>
      </c>
      <c r="J125" s="190">
        <v>1412</v>
      </c>
      <c r="K125" s="190">
        <v>1412</v>
      </c>
      <c r="L125" s="190">
        <v>1412</v>
      </c>
      <c r="M125" s="190">
        <v>1412</v>
      </c>
      <c r="N125" s="190">
        <v>1412</v>
      </c>
      <c r="O125" s="190">
        <v>1412</v>
      </c>
      <c r="P125" s="190">
        <v>1412</v>
      </c>
      <c r="R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</row>
    <row r="126" spans="1:32" ht="15" customHeight="1" x14ac:dyDescent="0.25">
      <c r="A126" s="320"/>
      <c r="B126" s="76" t="s">
        <v>161</v>
      </c>
      <c r="C126" s="4" t="s">
        <v>157</v>
      </c>
      <c r="D126" s="190">
        <v>0</v>
      </c>
      <c r="E126" s="190">
        <v>0</v>
      </c>
      <c r="F126" s="190">
        <v>0</v>
      </c>
      <c r="G126" s="190">
        <v>0</v>
      </c>
      <c r="H126" s="190">
        <v>0</v>
      </c>
      <c r="I126" s="190">
        <v>0</v>
      </c>
      <c r="J126" s="190">
        <v>0</v>
      </c>
      <c r="K126" s="190">
        <v>0</v>
      </c>
      <c r="L126" s="190">
        <v>0</v>
      </c>
      <c r="M126" s="190">
        <v>0</v>
      </c>
      <c r="N126" s="190">
        <v>0</v>
      </c>
      <c r="O126" s="190">
        <v>0</v>
      </c>
      <c r="P126" s="190">
        <v>0</v>
      </c>
      <c r="R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</row>
    <row r="127" spans="1:32" ht="15" customHeight="1" x14ac:dyDescent="0.25">
      <c r="A127" s="320"/>
      <c r="B127" s="76" t="s">
        <v>68</v>
      </c>
      <c r="C127" s="4" t="s">
        <v>18</v>
      </c>
      <c r="D127" s="194">
        <v>0</v>
      </c>
      <c r="E127" s="191">
        <v>0</v>
      </c>
      <c r="F127" s="191">
        <v>0</v>
      </c>
      <c r="G127" s="191">
        <v>0</v>
      </c>
      <c r="H127" s="191">
        <v>0</v>
      </c>
      <c r="I127" s="191">
        <v>0</v>
      </c>
      <c r="J127" s="191">
        <v>0</v>
      </c>
      <c r="K127" s="191">
        <v>0</v>
      </c>
      <c r="L127" s="191">
        <v>0</v>
      </c>
      <c r="M127" s="191">
        <v>0</v>
      </c>
      <c r="N127" s="191">
        <v>0</v>
      </c>
      <c r="O127" s="191">
        <v>0</v>
      </c>
      <c r="P127" s="191">
        <v>0</v>
      </c>
      <c r="R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</row>
    <row r="128" spans="1:32" ht="15" customHeight="1" x14ac:dyDescent="0.25">
      <c r="A128" s="320"/>
      <c r="B128" s="83" t="s">
        <v>81</v>
      </c>
      <c r="C128" s="26" t="s">
        <v>43</v>
      </c>
      <c r="D128" s="195">
        <v>1.4999999999999999E-2</v>
      </c>
      <c r="E128" s="195">
        <v>2.2499999999999999E-2</v>
      </c>
      <c r="F128" s="195">
        <v>2.5000000000000001E-2</v>
      </c>
      <c r="G128" s="195">
        <v>0.03</v>
      </c>
      <c r="H128" s="195">
        <v>0.03</v>
      </c>
      <c r="I128" s="195">
        <v>0.03</v>
      </c>
      <c r="J128" s="195">
        <v>0.03</v>
      </c>
      <c r="K128" s="195">
        <v>0.03</v>
      </c>
      <c r="L128" s="195">
        <v>0.03</v>
      </c>
      <c r="M128" s="195">
        <v>0.03</v>
      </c>
      <c r="N128" s="195">
        <v>0.03</v>
      </c>
      <c r="O128" s="195">
        <v>0.03</v>
      </c>
      <c r="P128" s="195">
        <v>0.03</v>
      </c>
      <c r="R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</row>
    <row r="129" spans="1:32" ht="15" customHeight="1" x14ac:dyDescent="0.25">
      <c r="A129" s="320"/>
      <c r="B129" s="83" t="s">
        <v>54</v>
      </c>
      <c r="C129" s="26" t="s">
        <v>45</v>
      </c>
      <c r="D129" s="26">
        <v>3.0000000000000001E-3</v>
      </c>
      <c r="E129" s="26">
        <v>0.02</v>
      </c>
      <c r="F129" s="26">
        <v>0.25</v>
      </c>
      <c r="G129" s="196">
        <v>0.375</v>
      </c>
      <c r="H129" s="196">
        <v>0.5</v>
      </c>
      <c r="I129" s="196">
        <v>0.625</v>
      </c>
      <c r="J129" s="196">
        <v>0.75</v>
      </c>
      <c r="K129" s="196">
        <v>0.75</v>
      </c>
      <c r="L129" s="196">
        <v>0.75</v>
      </c>
      <c r="M129" s="196">
        <v>0.75</v>
      </c>
      <c r="N129" s="196">
        <v>0.75</v>
      </c>
      <c r="O129" s="196">
        <v>0.75</v>
      </c>
      <c r="P129" s="196">
        <v>0.75</v>
      </c>
      <c r="R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</row>
    <row r="130" spans="1:32" ht="15" customHeight="1" x14ac:dyDescent="0.25">
      <c r="A130" s="320"/>
      <c r="B130" s="83" t="s">
        <v>76</v>
      </c>
      <c r="C130" s="26" t="s">
        <v>45</v>
      </c>
      <c r="D130" s="289">
        <v>0.154</v>
      </c>
      <c r="E130" s="289">
        <v>0.154</v>
      </c>
      <c r="F130" s="289">
        <v>0.154</v>
      </c>
      <c r="G130" s="289">
        <v>0.154</v>
      </c>
      <c r="H130" s="289">
        <v>0.154</v>
      </c>
      <c r="I130" s="289">
        <v>0.154</v>
      </c>
      <c r="J130" s="289">
        <v>0.154</v>
      </c>
      <c r="K130" s="289">
        <v>0.154</v>
      </c>
      <c r="L130" s="289">
        <v>0.154</v>
      </c>
      <c r="M130" s="289">
        <v>0.154</v>
      </c>
      <c r="N130" s="289">
        <v>0.154</v>
      </c>
      <c r="O130" s="289">
        <v>0.154</v>
      </c>
      <c r="P130" s="289">
        <v>0.154</v>
      </c>
      <c r="R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</row>
    <row r="131" spans="1:32" ht="15" customHeight="1" x14ac:dyDescent="0.25">
      <c r="A131" s="320"/>
      <c r="B131" s="83" t="s">
        <v>56</v>
      </c>
      <c r="C131" s="26" t="s">
        <v>45</v>
      </c>
      <c r="D131" s="197">
        <v>0</v>
      </c>
      <c r="E131" s="197">
        <v>0.1</v>
      </c>
      <c r="F131" s="197">
        <v>0.3</v>
      </c>
      <c r="G131" s="197">
        <v>0.6</v>
      </c>
      <c r="H131" s="197">
        <v>0.9</v>
      </c>
      <c r="I131" s="197">
        <v>1.2</v>
      </c>
      <c r="J131" s="197">
        <v>1.5</v>
      </c>
      <c r="K131" s="197">
        <v>1.5</v>
      </c>
      <c r="L131" s="197">
        <v>1.2</v>
      </c>
      <c r="M131" s="197">
        <v>0.9</v>
      </c>
      <c r="N131" s="197">
        <v>0.6</v>
      </c>
      <c r="O131" s="197">
        <v>0.3</v>
      </c>
      <c r="P131" s="197">
        <v>0</v>
      </c>
      <c r="R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</row>
    <row r="132" spans="1:32" ht="15" customHeight="1" x14ac:dyDescent="0.25">
      <c r="A132" s="320"/>
      <c r="B132" s="83" t="s">
        <v>55</v>
      </c>
      <c r="C132" s="26" t="s">
        <v>45</v>
      </c>
      <c r="D132" s="26">
        <v>0.01</v>
      </c>
      <c r="E132" s="289">
        <v>8.3749999999999991E-2</v>
      </c>
      <c r="F132" s="289">
        <v>0.16749999999999998</v>
      </c>
      <c r="G132" s="289">
        <v>0.16749999999999998</v>
      </c>
      <c r="H132" s="289">
        <v>0.17749999999999999</v>
      </c>
      <c r="I132" s="289">
        <v>0.25750000000000001</v>
      </c>
      <c r="J132" s="289">
        <v>0.27666666666666667</v>
      </c>
      <c r="K132" s="289">
        <v>0.34</v>
      </c>
      <c r="L132" s="289">
        <v>0.34250000000000003</v>
      </c>
      <c r="M132" s="289">
        <v>0.34499999999999997</v>
      </c>
      <c r="N132" s="289">
        <v>0.35916666666666663</v>
      </c>
      <c r="O132" s="289">
        <v>0.35916666666666663</v>
      </c>
      <c r="P132" s="289">
        <v>0.35916666666666663</v>
      </c>
      <c r="R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</row>
    <row r="133" spans="1:32" ht="15" customHeight="1" x14ac:dyDescent="0.25">
      <c r="A133" s="320"/>
      <c r="B133" s="83" t="s">
        <v>266</v>
      </c>
      <c r="C133" s="26" t="s">
        <v>167</v>
      </c>
      <c r="D133" s="289">
        <v>0</v>
      </c>
      <c r="E133" s="289">
        <v>0</v>
      </c>
      <c r="F133" s="289">
        <v>0</v>
      </c>
      <c r="G133" s="289">
        <v>0</v>
      </c>
      <c r="H133" s="289">
        <v>0</v>
      </c>
      <c r="I133" s="289">
        <v>0</v>
      </c>
      <c r="J133" s="289">
        <v>0</v>
      </c>
      <c r="K133" s="289">
        <v>0</v>
      </c>
      <c r="L133" s="289">
        <v>0</v>
      </c>
      <c r="M133" s="289">
        <v>0</v>
      </c>
      <c r="N133" s="289">
        <v>0</v>
      </c>
      <c r="O133" s="289">
        <v>0</v>
      </c>
      <c r="P133" s="289">
        <v>0</v>
      </c>
      <c r="R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</row>
    <row r="134" spans="1:32" ht="15" customHeight="1" x14ac:dyDescent="0.25">
      <c r="A134" s="320"/>
      <c r="B134" s="83" t="s">
        <v>163</v>
      </c>
      <c r="C134" s="26" t="s">
        <v>167</v>
      </c>
      <c r="D134" s="289">
        <v>30.929411764705883</v>
      </c>
      <c r="E134" s="289">
        <v>30.929411764705883</v>
      </c>
      <c r="F134" s="289">
        <v>30.929411764705883</v>
      </c>
      <c r="G134" s="289">
        <v>30.929411764705883</v>
      </c>
      <c r="H134" s="289">
        <v>30.929411764705883</v>
      </c>
      <c r="I134" s="289">
        <v>30.929411764705883</v>
      </c>
      <c r="J134" s="289">
        <v>30.929411764705883</v>
      </c>
      <c r="K134" s="289">
        <v>30.929411764705883</v>
      </c>
      <c r="L134" s="289">
        <v>30.929411764705883</v>
      </c>
      <c r="M134" s="289">
        <v>30.929411764705883</v>
      </c>
      <c r="N134" s="289">
        <v>30.929411764705883</v>
      </c>
      <c r="O134" s="289">
        <v>30.929411764705883</v>
      </c>
      <c r="P134" s="289">
        <v>30.929411764705883</v>
      </c>
      <c r="R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</row>
    <row r="135" spans="1:32" ht="15.75" customHeight="1" x14ac:dyDescent="0.25">
      <c r="A135" s="320"/>
      <c r="B135" s="81" t="s">
        <v>104</v>
      </c>
      <c r="C135" s="26" t="s">
        <v>167</v>
      </c>
      <c r="D135" s="26">
        <f>40</f>
        <v>40</v>
      </c>
      <c r="E135" s="26">
        <f>40</f>
        <v>40</v>
      </c>
      <c r="F135" s="26">
        <f>40</f>
        <v>40</v>
      </c>
      <c r="G135" s="26">
        <v>40</v>
      </c>
      <c r="H135" s="26">
        <v>40</v>
      </c>
      <c r="I135" s="26">
        <v>40</v>
      </c>
      <c r="J135" s="26">
        <v>40</v>
      </c>
      <c r="K135" s="26">
        <v>40</v>
      </c>
      <c r="L135" s="26">
        <v>40</v>
      </c>
      <c r="M135" s="26">
        <v>40</v>
      </c>
      <c r="N135" s="26">
        <v>40</v>
      </c>
      <c r="O135" s="26">
        <v>40</v>
      </c>
      <c r="P135" s="26">
        <v>40</v>
      </c>
      <c r="R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</row>
    <row r="136" spans="1:32" ht="15.75" customHeight="1" x14ac:dyDescent="0.25">
      <c r="A136" s="320"/>
      <c r="B136" s="83" t="s">
        <v>57</v>
      </c>
      <c r="C136" s="26" t="s">
        <v>167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R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</row>
    <row r="137" spans="1:32" s="270" customFormat="1" ht="15.75" thickBot="1" x14ac:dyDescent="0.3">
      <c r="A137" s="321"/>
      <c r="B137" s="83" t="s">
        <v>261</v>
      </c>
      <c r="C137" s="26" t="s">
        <v>271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R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</row>
    <row r="138" spans="1:32" ht="15.75" thickBot="1" x14ac:dyDescent="0.3">
      <c r="A138" s="269"/>
      <c r="B138" s="269"/>
      <c r="C138" s="269"/>
      <c r="D138" s="211">
        <v>125</v>
      </c>
      <c r="E138" s="211">
        <v>125</v>
      </c>
      <c r="F138" s="211">
        <v>125</v>
      </c>
      <c r="G138" s="211">
        <v>95</v>
      </c>
      <c r="H138" s="211">
        <v>85</v>
      </c>
      <c r="I138" s="211">
        <v>85</v>
      </c>
      <c r="J138" s="211">
        <v>85</v>
      </c>
      <c r="K138" s="211">
        <v>85</v>
      </c>
      <c r="L138" s="211">
        <v>85</v>
      </c>
      <c r="M138" s="211">
        <v>95</v>
      </c>
      <c r="N138" s="211">
        <v>100</v>
      </c>
      <c r="O138" s="211">
        <v>100</v>
      </c>
      <c r="P138" s="211">
        <v>110</v>
      </c>
    </row>
    <row r="139" spans="1:32" ht="15" customHeight="1" x14ac:dyDescent="0.25">
      <c r="A139" s="319" t="s">
        <v>264</v>
      </c>
      <c r="B139" s="76" t="s">
        <v>72</v>
      </c>
      <c r="C139" s="309" t="s">
        <v>15</v>
      </c>
      <c r="D139" s="198">
        <v>2018</v>
      </c>
      <c r="E139" s="198">
        <v>2019</v>
      </c>
      <c r="F139" s="198">
        <v>2020</v>
      </c>
      <c r="G139" s="198">
        <v>2021</v>
      </c>
      <c r="H139" s="198">
        <v>2022</v>
      </c>
      <c r="I139" s="198">
        <v>2023</v>
      </c>
      <c r="J139" s="198">
        <v>2024</v>
      </c>
      <c r="K139" s="198">
        <v>2025</v>
      </c>
      <c r="L139" s="4">
        <v>2026</v>
      </c>
      <c r="M139" s="4">
        <v>2027</v>
      </c>
      <c r="N139" s="4">
        <v>2028</v>
      </c>
      <c r="O139" s="4">
        <v>2029</v>
      </c>
      <c r="P139" s="4">
        <v>2030</v>
      </c>
    </row>
    <row r="140" spans="1:32" ht="15" customHeight="1" x14ac:dyDescent="0.25">
      <c r="A140" s="320"/>
      <c r="B140" s="76" t="s">
        <v>158</v>
      </c>
      <c r="C140" s="4" t="s">
        <v>18</v>
      </c>
      <c r="D140" s="219">
        <v>21.954198859999998</v>
      </c>
      <c r="E140" s="219">
        <v>25.79566213</v>
      </c>
      <c r="F140" s="219">
        <v>29.947523820000001</v>
      </c>
      <c r="G140" s="219">
        <v>34.409783930000003</v>
      </c>
      <c r="H140" s="219">
        <v>39.182442460000004</v>
      </c>
      <c r="I140" s="219">
        <v>44.265499409999997</v>
      </c>
      <c r="J140" s="219">
        <v>49.658954780000002</v>
      </c>
      <c r="K140" s="219">
        <v>55.362808569999999</v>
      </c>
      <c r="L140" s="219">
        <v>61.377060779999994</v>
      </c>
      <c r="M140" s="219">
        <v>67.701711410000001</v>
      </c>
      <c r="N140" s="219">
        <v>74.336760459999994</v>
      </c>
      <c r="O140" s="219">
        <v>81.282207929999998</v>
      </c>
      <c r="P140" s="219">
        <v>88.538053819999988</v>
      </c>
    </row>
    <row r="141" spans="1:32" ht="15" customHeight="1" x14ac:dyDescent="0.25">
      <c r="A141" s="320"/>
      <c r="B141" s="76" t="s">
        <v>17</v>
      </c>
      <c r="C141" s="4" t="s">
        <v>18</v>
      </c>
      <c r="D141" s="190">
        <v>2.0166397615795355</v>
      </c>
      <c r="E141" s="190">
        <v>4.033279523159071</v>
      </c>
      <c r="F141" s="190">
        <v>7.4866509375388048</v>
      </c>
      <c r="G141" s="190">
        <v>11.508297006019333</v>
      </c>
      <c r="H141" s="190">
        <v>16.249135193627929</v>
      </c>
      <c r="I141" s="190">
        <v>22.164050263776673</v>
      </c>
      <c r="J141" s="190">
        <v>30.406059853470754</v>
      </c>
      <c r="K141" s="190">
        <v>41.012873049381184</v>
      </c>
      <c r="L141" s="190">
        <v>51.043503456268887</v>
      </c>
      <c r="M141" s="190">
        <v>70</v>
      </c>
      <c r="N141" s="190">
        <v>95</v>
      </c>
      <c r="O141" s="190">
        <v>110</v>
      </c>
      <c r="P141" s="190">
        <v>125</v>
      </c>
    </row>
    <row r="142" spans="1:32" ht="15" customHeight="1" x14ac:dyDescent="0.25">
      <c r="A142" s="320"/>
      <c r="B142" s="76" t="s">
        <v>124</v>
      </c>
      <c r="C142" s="4" t="s">
        <v>18</v>
      </c>
      <c r="D142" s="190">
        <v>100</v>
      </c>
      <c r="E142" s="190">
        <v>150</v>
      </c>
      <c r="F142" s="190">
        <v>150</v>
      </c>
      <c r="G142" s="190">
        <v>100</v>
      </c>
      <c r="H142" s="190">
        <v>50</v>
      </c>
      <c r="I142" s="190">
        <v>0</v>
      </c>
      <c r="J142" s="190">
        <v>0</v>
      </c>
      <c r="K142" s="190">
        <v>0</v>
      </c>
      <c r="L142" s="190">
        <v>0</v>
      </c>
      <c r="M142" s="190">
        <v>0</v>
      </c>
      <c r="N142" s="190">
        <v>0</v>
      </c>
      <c r="O142" s="190">
        <v>0</v>
      </c>
      <c r="P142" s="190">
        <v>0</v>
      </c>
    </row>
    <row r="143" spans="1:32" ht="15" customHeight="1" x14ac:dyDescent="0.25">
      <c r="A143" s="320"/>
      <c r="B143" s="76" t="s">
        <v>16</v>
      </c>
      <c r="C143" s="4" t="s">
        <v>18</v>
      </c>
      <c r="D143" s="190">
        <v>0</v>
      </c>
      <c r="E143" s="190">
        <v>0</v>
      </c>
      <c r="F143" s="190">
        <v>0</v>
      </c>
      <c r="G143" s="190">
        <v>0</v>
      </c>
      <c r="H143" s="190">
        <v>0</v>
      </c>
      <c r="I143" s="190">
        <v>0</v>
      </c>
      <c r="J143" s="190">
        <v>0</v>
      </c>
      <c r="K143" s="190">
        <v>0</v>
      </c>
      <c r="L143" s="190">
        <v>0</v>
      </c>
      <c r="M143" s="190">
        <v>0</v>
      </c>
      <c r="N143" s="190">
        <v>0</v>
      </c>
      <c r="O143" s="190">
        <v>0</v>
      </c>
      <c r="P143" s="190">
        <v>0</v>
      </c>
    </row>
    <row r="144" spans="1:32" ht="15" customHeight="1" x14ac:dyDescent="0.25">
      <c r="A144" s="320"/>
      <c r="B144" s="76" t="s">
        <v>5</v>
      </c>
      <c r="C144" s="4" t="s">
        <v>112</v>
      </c>
      <c r="D144" s="220">
        <v>0.71909999999999996</v>
      </c>
      <c r="E144" s="220">
        <v>1.3375999999999999</v>
      </c>
      <c r="F144" s="220">
        <v>2.3818000000000001</v>
      </c>
      <c r="G144" s="220">
        <v>3.8589000000000002</v>
      </c>
      <c r="H144" s="220">
        <v>6.1199000000000003</v>
      </c>
      <c r="I144" s="220">
        <v>9.2230000000000008</v>
      </c>
      <c r="J144" s="220">
        <v>12.8797</v>
      </c>
      <c r="K144" s="220">
        <v>17.098500000000001</v>
      </c>
      <c r="L144" s="191">
        <v>21.6035</v>
      </c>
      <c r="M144" s="191">
        <v>26.108499999999999</v>
      </c>
      <c r="N144" s="191">
        <v>30.613499999999998</v>
      </c>
      <c r="O144" s="191">
        <v>35.118499999999997</v>
      </c>
      <c r="P144" s="191">
        <v>39.6235</v>
      </c>
    </row>
    <row r="145" spans="1:27" ht="15" customHeight="1" x14ac:dyDescent="0.25">
      <c r="A145" s="320"/>
      <c r="B145" s="76" t="s">
        <v>0</v>
      </c>
      <c r="C145" s="4" t="s">
        <v>19</v>
      </c>
      <c r="D145" s="221">
        <v>1193.638616</v>
      </c>
      <c r="E145" s="221">
        <v>1351.3739760000001</v>
      </c>
      <c r="F145" s="221">
        <v>1562.7517760000001</v>
      </c>
      <c r="G145" s="221">
        <v>1828.233696</v>
      </c>
      <c r="H145" s="221">
        <v>2124.219928</v>
      </c>
      <c r="I145" s="221">
        <v>2444.465056</v>
      </c>
      <c r="J145" s="221">
        <v>2794.8658479999999</v>
      </c>
      <c r="K145" s="221">
        <v>3173.8669199999999</v>
      </c>
      <c r="L145" s="221">
        <v>3567.0877359999999</v>
      </c>
      <c r="M145" s="221">
        <v>3960.308552</v>
      </c>
      <c r="N145" s="221">
        <v>4353.5293680000004</v>
      </c>
      <c r="O145" s="221">
        <v>4746.7501840000004</v>
      </c>
      <c r="P145" s="221">
        <v>5139.9709999999995</v>
      </c>
      <c r="R145" s="203"/>
    </row>
    <row r="146" spans="1:27" ht="15" customHeight="1" x14ac:dyDescent="0.25">
      <c r="A146" s="320"/>
      <c r="B146" s="76" t="s">
        <v>38</v>
      </c>
      <c r="C146" s="4" t="s">
        <v>18</v>
      </c>
      <c r="D146" s="192">
        <v>200</v>
      </c>
      <c r="E146" s="192">
        <v>275</v>
      </c>
      <c r="F146" s="192">
        <v>350</v>
      </c>
      <c r="G146" s="192">
        <v>425</v>
      </c>
      <c r="H146" s="192">
        <v>500</v>
      </c>
      <c r="I146" s="192">
        <v>500</v>
      </c>
      <c r="J146" s="192">
        <v>500</v>
      </c>
      <c r="K146" s="192">
        <v>500</v>
      </c>
      <c r="L146" s="192">
        <v>500</v>
      </c>
      <c r="M146" s="192">
        <v>500</v>
      </c>
      <c r="N146" s="192">
        <v>500</v>
      </c>
      <c r="O146" s="192">
        <v>500</v>
      </c>
      <c r="P146" s="192">
        <v>500</v>
      </c>
    </row>
    <row r="147" spans="1:27" ht="15" customHeight="1" x14ac:dyDescent="0.25">
      <c r="A147" s="320"/>
      <c r="B147" s="76" t="s">
        <v>1</v>
      </c>
      <c r="C147" s="4" t="s">
        <v>18</v>
      </c>
      <c r="D147" s="192">
        <v>450</v>
      </c>
      <c r="E147" s="192">
        <v>550</v>
      </c>
      <c r="F147" s="192">
        <v>650</v>
      </c>
      <c r="G147" s="192">
        <v>750</v>
      </c>
      <c r="H147" s="192">
        <v>850</v>
      </c>
      <c r="I147" s="192">
        <v>900</v>
      </c>
      <c r="J147" s="192">
        <v>900</v>
      </c>
      <c r="K147" s="192">
        <v>900</v>
      </c>
      <c r="L147" s="192">
        <v>900</v>
      </c>
      <c r="M147" s="192">
        <v>950</v>
      </c>
      <c r="N147" s="192">
        <v>1000</v>
      </c>
      <c r="O147" s="192">
        <v>1000</v>
      </c>
      <c r="P147" s="192">
        <v>1100</v>
      </c>
    </row>
    <row r="148" spans="1:27" ht="15" customHeight="1" x14ac:dyDescent="0.25">
      <c r="A148" s="320"/>
      <c r="B148" s="76" t="s">
        <v>82</v>
      </c>
      <c r="C148" s="4" t="s">
        <v>61</v>
      </c>
      <c r="D148" s="191">
        <v>162</v>
      </c>
      <c r="E148" s="191">
        <v>173.07206068268016</v>
      </c>
      <c r="F148" s="191">
        <v>192.58570684911132</v>
      </c>
      <c r="G148" s="191">
        <v>212.6794080464044</v>
      </c>
      <c r="H148" s="191">
        <v>234.2083736149327</v>
      </c>
      <c r="I148" s="191">
        <v>255.00855209340375</v>
      </c>
      <c r="J148" s="191">
        <v>283.88488138618277</v>
      </c>
      <c r="K148" s="191">
        <v>288.06425224957241</v>
      </c>
      <c r="L148" s="191">
        <v>294.935673384398</v>
      </c>
      <c r="M148" s="191">
        <v>301.5839964304306</v>
      </c>
      <c r="N148" s="191">
        <v>307.39941994496911</v>
      </c>
      <c r="O148" s="191">
        <v>313.05867479735258</v>
      </c>
      <c r="P148" s="191">
        <v>319.1864356362014</v>
      </c>
      <c r="R148" s="203"/>
    </row>
    <row r="149" spans="1:27" ht="15" customHeight="1" x14ac:dyDescent="0.25">
      <c r="A149" s="320"/>
      <c r="B149" s="76" t="s">
        <v>33</v>
      </c>
      <c r="C149" s="4" t="s">
        <v>61</v>
      </c>
      <c r="D149" s="191">
        <v>25</v>
      </c>
      <c r="E149" s="191">
        <v>0</v>
      </c>
      <c r="F149" s="191">
        <v>0</v>
      </c>
      <c r="G149" s="191">
        <v>0</v>
      </c>
      <c r="H149" s="191">
        <v>0</v>
      </c>
      <c r="I149" s="191">
        <v>0</v>
      </c>
      <c r="J149" s="191">
        <v>0</v>
      </c>
      <c r="K149" s="191">
        <v>0</v>
      </c>
      <c r="L149" s="191">
        <v>0</v>
      </c>
      <c r="M149" s="191">
        <v>0</v>
      </c>
      <c r="N149" s="191">
        <v>0</v>
      </c>
      <c r="O149" s="191">
        <v>0</v>
      </c>
      <c r="P149" s="191">
        <v>0</v>
      </c>
    </row>
    <row r="150" spans="1:27" ht="15" customHeight="1" x14ac:dyDescent="0.25">
      <c r="A150" s="320"/>
      <c r="B150" s="76" t="s">
        <v>103</v>
      </c>
      <c r="C150" s="4" t="s">
        <v>112</v>
      </c>
      <c r="D150" s="190">
        <v>4.2563122435700422E-2</v>
      </c>
      <c r="E150" s="190">
        <v>7.9221596798729643E-2</v>
      </c>
      <c r="F150" s="190">
        <v>0.12104481719249827</v>
      </c>
      <c r="G150" s="190">
        <v>0.1816060687387489</v>
      </c>
      <c r="H150" s="190">
        <v>0.27756822157499184</v>
      </c>
      <c r="I150" s="190">
        <v>0.37832792169431789</v>
      </c>
      <c r="J150" s="190">
        <v>0.5684160505621817</v>
      </c>
      <c r="K150" s="190">
        <v>0.80546664639454091</v>
      </c>
      <c r="L150" s="190">
        <v>1.1207288866548697</v>
      </c>
      <c r="M150" s="190">
        <v>1.5293722472561442</v>
      </c>
      <c r="N150" s="190">
        <v>2.0295901497354025</v>
      </c>
      <c r="O150" s="190">
        <v>2.6791165470450999</v>
      </c>
      <c r="P150" s="190">
        <v>3.5256743672802955</v>
      </c>
    </row>
    <row r="151" spans="1:27" ht="15" customHeight="1" x14ac:dyDescent="0.25">
      <c r="A151" s="320"/>
      <c r="B151" s="76" t="s">
        <v>89</v>
      </c>
      <c r="C151" s="4" t="s">
        <v>19</v>
      </c>
      <c r="D151" s="190">
        <v>10.402955513673991</v>
      </c>
      <c r="E151" s="190">
        <v>21.99355244200974</v>
      </c>
      <c r="F151" s="190">
        <v>38.824390017528302</v>
      </c>
      <c r="G151" s="190">
        <v>58.149856742870597</v>
      </c>
      <c r="H151" s="190">
        <v>97.3073839019399</v>
      </c>
      <c r="I151" s="190">
        <v>146.088656830633</v>
      </c>
      <c r="J151" s="190">
        <v>238.50207872244439</v>
      </c>
      <c r="K151" s="190">
        <v>350.525473011901</v>
      </c>
      <c r="L151" s="190">
        <v>483.18676801670301</v>
      </c>
      <c r="M151" s="190">
        <v>623.48797719434697</v>
      </c>
      <c r="N151" s="190">
        <v>756.11606245709004</v>
      </c>
      <c r="O151" s="190">
        <v>889.00870624910499</v>
      </c>
      <c r="P151" s="190">
        <v>1024.46109319377</v>
      </c>
      <c r="R151" s="203"/>
    </row>
    <row r="152" spans="1:27" ht="15" customHeight="1" x14ac:dyDescent="0.25">
      <c r="A152" s="320"/>
      <c r="B152" s="76" t="s">
        <v>119</v>
      </c>
      <c r="C152" s="4" t="s">
        <v>19</v>
      </c>
      <c r="D152" s="190">
        <v>1412</v>
      </c>
      <c r="E152" s="190">
        <v>1412</v>
      </c>
      <c r="F152" s="190">
        <v>1412</v>
      </c>
      <c r="G152" s="190">
        <v>1412</v>
      </c>
      <c r="H152" s="190">
        <v>1412</v>
      </c>
      <c r="I152" s="190">
        <v>1412</v>
      </c>
      <c r="J152" s="190">
        <v>1412</v>
      </c>
      <c r="K152" s="190">
        <v>1412</v>
      </c>
      <c r="L152" s="190">
        <v>1412</v>
      </c>
      <c r="M152" s="190">
        <v>1412</v>
      </c>
      <c r="N152" s="190">
        <v>1412</v>
      </c>
      <c r="O152" s="190">
        <v>1412</v>
      </c>
      <c r="P152" s="190">
        <v>1412</v>
      </c>
      <c r="R152" s="203"/>
    </row>
    <row r="153" spans="1:27" ht="15" customHeight="1" x14ac:dyDescent="0.25">
      <c r="A153" s="320"/>
      <c r="B153" s="76" t="s">
        <v>161</v>
      </c>
      <c r="C153" s="4" t="s">
        <v>157</v>
      </c>
      <c r="D153" s="194">
        <v>0</v>
      </c>
      <c r="E153" s="190">
        <v>27.82</v>
      </c>
      <c r="F153" s="190">
        <v>27.82</v>
      </c>
      <c r="G153" s="190">
        <v>27.82</v>
      </c>
      <c r="H153" s="190">
        <v>27.82</v>
      </c>
      <c r="I153" s="190">
        <v>27.82</v>
      </c>
      <c r="J153" s="190">
        <v>27.82</v>
      </c>
      <c r="K153" s="190">
        <v>27.82</v>
      </c>
      <c r="L153" s="190">
        <v>27.82</v>
      </c>
      <c r="M153" s="190">
        <v>27.82</v>
      </c>
      <c r="N153" s="190">
        <v>27.82</v>
      </c>
      <c r="O153" s="190">
        <v>27.82</v>
      </c>
      <c r="P153" s="190">
        <v>27.82</v>
      </c>
    </row>
    <row r="154" spans="1:27" ht="15" customHeight="1" x14ac:dyDescent="0.25">
      <c r="A154" s="320"/>
      <c r="B154" s="76" t="s">
        <v>68</v>
      </c>
      <c r="C154" s="4" t="s">
        <v>18</v>
      </c>
      <c r="D154" s="194">
        <v>0</v>
      </c>
      <c r="E154" s="191">
        <v>20</v>
      </c>
      <c r="F154" s="191">
        <v>40</v>
      </c>
      <c r="G154" s="191">
        <v>80</v>
      </c>
      <c r="H154" s="194">
        <v>150</v>
      </c>
      <c r="I154" s="194">
        <v>175</v>
      </c>
      <c r="J154" s="194">
        <v>175</v>
      </c>
      <c r="K154" s="194">
        <v>175</v>
      </c>
      <c r="L154" s="191">
        <v>175</v>
      </c>
      <c r="M154" s="191">
        <v>175</v>
      </c>
      <c r="N154" s="191">
        <v>200</v>
      </c>
      <c r="O154" s="191">
        <v>200</v>
      </c>
      <c r="P154" s="191">
        <v>225</v>
      </c>
    </row>
    <row r="155" spans="1:27" ht="15" customHeight="1" x14ac:dyDescent="0.25">
      <c r="A155" s="320"/>
      <c r="B155" s="83" t="s">
        <v>81</v>
      </c>
      <c r="C155" s="26" t="s">
        <v>43</v>
      </c>
      <c r="D155" s="195">
        <v>1.4999999999999999E-2</v>
      </c>
      <c r="E155" s="195">
        <v>2.2499999999999999E-2</v>
      </c>
      <c r="F155" s="195">
        <v>0.03</v>
      </c>
      <c r="G155" s="195">
        <v>0.04</v>
      </c>
      <c r="H155" s="195">
        <v>0.06</v>
      </c>
      <c r="I155" s="195">
        <v>0.08</v>
      </c>
      <c r="J155" s="195">
        <v>0.1</v>
      </c>
      <c r="K155" s="195">
        <v>0.12</v>
      </c>
      <c r="L155" s="195">
        <v>0.14000000000000001</v>
      </c>
      <c r="M155" s="195">
        <v>0.16</v>
      </c>
      <c r="N155" s="195">
        <v>0.18</v>
      </c>
      <c r="O155" s="195">
        <v>0.22</v>
      </c>
      <c r="P155" s="195">
        <v>0.24</v>
      </c>
    </row>
    <row r="156" spans="1:27" ht="15" customHeight="1" x14ac:dyDescent="0.25">
      <c r="A156" s="320"/>
      <c r="B156" s="83" t="s">
        <v>54</v>
      </c>
      <c r="C156" s="26" t="s">
        <v>45</v>
      </c>
      <c r="D156" s="26">
        <v>3.0000000000000001E-3</v>
      </c>
      <c r="E156" s="26">
        <v>0.02</v>
      </c>
      <c r="F156" s="26">
        <v>0.25</v>
      </c>
      <c r="G156" s="26">
        <v>0.375</v>
      </c>
      <c r="H156" s="26">
        <v>0.5</v>
      </c>
      <c r="I156" s="26">
        <v>0.625</v>
      </c>
      <c r="J156" s="26">
        <v>0.75</v>
      </c>
      <c r="K156" s="26">
        <v>0.875</v>
      </c>
      <c r="L156" s="26">
        <v>1</v>
      </c>
      <c r="M156" s="26">
        <v>1.125</v>
      </c>
      <c r="N156" s="26">
        <v>1.25</v>
      </c>
      <c r="O156" s="26">
        <v>1.375</v>
      </c>
      <c r="P156" s="26">
        <v>1.5</v>
      </c>
    </row>
    <row r="157" spans="1:27" ht="15" customHeight="1" x14ac:dyDescent="0.25">
      <c r="A157" s="320"/>
      <c r="B157" s="83" t="s">
        <v>76</v>
      </c>
      <c r="C157" s="26" t="s">
        <v>45</v>
      </c>
      <c r="D157" s="289">
        <v>0.154</v>
      </c>
      <c r="E157" s="289">
        <v>0.154</v>
      </c>
      <c r="F157" s="289">
        <v>0.154</v>
      </c>
      <c r="G157" s="289">
        <v>0.154</v>
      </c>
      <c r="H157" s="289">
        <v>0.154</v>
      </c>
      <c r="I157" s="289">
        <v>0.154</v>
      </c>
      <c r="J157" s="289">
        <v>0.154</v>
      </c>
      <c r="K157" s="289">
        <v>0.154</v>
      </c>
      <c r="L157" s="289">
        <v>0.154</v>
      </c>
      <c r="M157" s="289">
        <v>0.154</v>
      </c>
      <c r="N157" s="289">
        <v>0.154</v>
      </c>
      <c r="O157" s="289">
        <v>0.154</v>
      </c>
      <c r="P157" s="289">
        <v>0.154</v>
      </c>
    </row>
    <row r="158" spans="1:27" ht="15" customHeight="1" x14ac:dyDescent="0.25">
      <c r="A158" s="320"/>
      <c r="B158" s="83" t="s">
        <v>56</v>
      </c>
      <c r="C158" s="26" t="s">
        <v>45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197">
        <v>0</v>
      </c>
      <c r="K158" s="197">
        <v>0</v>
      </c>
      <c r="L158" s="197">
        <v>0</v>
      </c>
      <c r="M158" s="197">
        <v>0</v>
      </c>
      <c r="N158" s="197">
        <v>0</v>
      </c>
      <c r="O158" s="197">
        <v>0</v>
      </c>
      <c r="P158" s="197">
        <v>0</v>
      </c>
    </row>
    <row r="159" spans="1:27" ht="15" customHeight="1" x14ac:dyDescent="0.25">
      <c r="A159" s="320"/>
      <c r="B159" s="83" t="s">
        <v>55</v>
      </c>
      <c r="C159" s="26" t="s">
        <v>45</v>
      </c>
      <c r="D159" s="26">
        <v>0.01</v>
      </c>
      <c r="E159" s="289">
        <v>0.16749999999999998</v>
      </c>
      <c r="F159" s="289">
        <v>0.33499999999999996</v>
      </c>
      <c r="G159" s="289">
        <v>0.33499999999999996</v>
      </c>
      <c r="H159" s="289">
        <v>0.35499999999999998</v>
      </c>
      <c r="I159" s="289">
        <v>0.51500000000000001</v>
      </c>
      <c r="J159" s="289">
        <v>0.55333333333333334</v>
      </c>
      <c r="K159" s="289">
        <v>0.68</v>
      </c>
      <c r="L159" s="289">
        <v>0.68500000000000005</v>
      </c>
      <c r="M159" s="289">
        <v>0.69</v>
      </c>
      <c r="N159" s="289">
        <v>0.71833333333333327</v>
      </c>
      <c r="O159" s="289">
        <v>0.71833333333333327</v>
      </c>
      <c r="P159" s="289">
        <v>0.71833333333333327</v>
      </c>
    </row>
    <row r="160" spans="1:27" ht="15" customHeight="1" x14ac:dyDescent="0.25">
      <c r="A160" s="320"/>
      <c r="B160" s="83" t="s">
        <v>266</v>
      </c>
      <c r="C160" s="26" t="s">
        <v>167</v>
      </c>
      <c r="D160" s="289">
        <v>0</v>
      </c>
      <c r="E160" s="289">
        <v>0</v>
      </c>
      <c r="F160" s="289">
        <v>0</v>
      </c>
      <c r="G160" s="289">
        <v>-3.55</v>
      </c>
      <c r="H160" s="289">
        <v>-6.92</v>
      </c>
      <c r="I160" s="289">
        <v>-10.119999999999999</v>
      </c>
      <c r="J160" s="289">
        <v>-13.16</v>
      </c>
      <c r="K160" s="289">
        <v>-16.05</v>
      </c>
      <c r="L160" s="289">
        <v>-18.8</v>
      </c>
      <c r="M160" s="289">
        <v>-21.41</v>
      </c>
      <c r="N160" s="289">
        <v>-25.13</v>
      </c>
      <c r="O160" s="289">
        <v>-26</v>
      </c>
      <c r="P160" s="289">
        <v>-26</v>
      </c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</row>
    <row r="161" spans="1:16" ht="15" customHeight="1" x14ac:dyDescent="0.25">
      <c r="A161" s="320"/>
      <c r="B161" s="83" t="s">
        <v>163</v>
      </c>
      <c r="C161" s="26" t="s">
        <v>167</v>
      </c>
      <c r="D161" s="289">
        <v>30.929411764705883</v>
      </c>
      <c r="E161" s="289">
        <v>25</v>
      </c>
      <c r="F161" s="289">
        <v>20</v>
      </c>
      <c r="G161" s="289">
        <v>15</v>
      </c>
      <c r="H161" s="289">
        <v>10</v>
      </c>
      <c r="I161" s="289">
        <v>10</v>
      </c>
      <c r="J161" s="289">
        <v>10</v>
      </c>
      <c r="K161" s="289">
        <v>10</v>
      </c>
      <c r="L161" s="289">
        <v>10</v>
      </c>
      <c r="M161" s="289">
        <v>10</v>
      </c>
      <c r="N161" s="289">
        <v>10</v>
      </c>
      <c r="O161" s="289">
        <v>10</v>
      </c>
      <c r="P161" s="289">
        <v>10</v>
      </c>
    </row>
    <row r="162" spans="1:16" ht="15" customHeight="1" x14ac:dyDescent="0.25">
      <c r="A162" s="320"/>
      <c r="B162" s="81" t="s">
        <v>104</v>
      </c>
      <c r="C162" s="26" t="s">
        <v>167</v>
      </c>
      <c r="D162" s="26">
        <v>40</v>
      </c>
      <c r="E162" s="26">
        <v>40</v>
      </c>
      <c r="F162" s="26">
        <v>40</v>
      </c>
      <c r="G162" s="26">
        <v>40</v>
      </c>
      <c r="H162" s="26">
        <v>40</v>
      </c>
      <c r="I162" s="26">
        <v>40</v>
      </c>
      <c r="J162" s="26">
        <v>40</v>
      </c>
      <c r="K162" s="26">
        <v>40</v>
      </c>
      <c r="L162" s="26">
        <v>40</v>
      </c>
      <c r="M162" s="26">
        <v>40</v>
      </c>
      <c r="N162" s="26">
        <v>40</v>
      </c>
      <c r="O162" s="26">
        <v>40</v>
      </c>
      <c r="P162" s="26">
        <v>40</v>
      </c>
    </row>
    <row r="163" spans="1:16" ht="15.75" customHeight="1" x14ac:dyDescent="0.25">
      <c r="A163" s="320"/>
      <c r="B163" s="83" t="s">
        <v>57</v>
      </c>
      <c r="C163" s="26" t="s">
        <v>167</v>
      </c>
      <c r="D163" s="26">
        <v>0</v>
      </c>
      <c r="E163" s="26">
        <v>0</v>
      </c>
      <c r="F163" s="26">
        <v>0.28999999999999915</v>
      </c>
      <c r="G163" s="26">
        <v>0.49000000000000021</v>
      </c>
      <c r="H163" s="26">
        <v>0.75999999999999979</v>
      </c>
      <c r="I163" s="26">
        <v>0.75999999999999979</v>
      </c>
      <c r="J163" s="26">
        <v>0.75999999999999979</v>
      </c>
      <c r="K163" s="26">
        <v>0.75999999999999979</v>
      </c>
      <c r="L163" s="26">
        <v>0.75999999999999979</v>
      </c>
      <c r="M163" s="26">
        <v>0.75999999999999979</v>
      </c>
      <c r="N163" s="26">
        <v>0.75999999999999979</v>
      </c>
      <c r="O163" s="26">
        <v>0.75999999999999979</v>
      </c>
      <c r="P163" s="26">
        <v>0.75999999999999979</v>
      </c>
    </row>
    <row r="164" spans="1:16" ht="15.75" thickBot="1" x14ac:dyDescent="0.3">
      <c r="A164" s="321"/>
      <c r="B164" s="83" t="s">
        <v>261</v>
      </c>
      <c r="C164" s="26" t="s">
        <v>271</v>
      </c>
      <c r="D164" s="26">
        <v>0</v>
      </c>
      <c r="E164" s="195">
        <v>5.0000000000000001E-3</v>
      </c>
      <c r="F164" s="195">
        <v>0.01</v>
      </c>
      <c r="G164" s="195">
        <v>0.02</v>
      </c>
      <c r="H164" s="195">
        <v>0.03</v>
      </c>
      <c r="I164" s="195">
        <v>0.04</v>
      </c>
      <c r="J164" s="195">
        <v>0.05</v>
      </c>
      <c r="K164" s="195">
        <v>0.05</v>
      </c>
      <c r="L164" s="195">
        <v>0.05</v>
      </c>
      <c r="M164" s="195">
        <v>4.4999999999999998E-2</v>
      </c>
      <c r="N164" s="195">
        <v>0.04</v>
      </c>
      <c r="O164" s="195">
        <v>0.03</v>
      </c>
      <c r="P164" s="195">
        <v>0.02</v>
      </c>
    </row>
    <row r="165" spans="1:16" ht="15.75" thickBot="1" x14ac:dyDescent="0.3">
      <c r="A165" s="269"/>
      <c r="B165" s="269"/>
      <c r="C165" s="269"/>
      <c r="D165" s="211">
        <v>125</v>
      </c>
      <c r="E165" s="211">
        <v>125</v>
      </c>
      <c r="F165" s="211">
        <v>125</v>
      </c>
      <c r="G165" s="211">
        <v>95</v>
      </c>
      <c r="H165" s="211">
        <v>85</v>
      </c>
      <c r="I165" s="211">
        <v>75</v>
      </c>
      <c r="J165" s="211">
        <v>75</v>
      </c>
      <c r="K165" s="211">
        <v>75</v>
      </c>
      <c r="L165" s="211">
        <v>75</v>
      </c>
      <c r="M165" s="211">
        <v>75</v>
      </c>
      <c r="N165" s="211">
        <v>65</v>
      </c>
      <c r="O165" s="211">
        <v>65</v>
      </c>
      <c r="P165" s="211">
        <v>65</v>
      </c>
    </row>
    <row r="166" spans="1:16" x14ac:dyDescent="0.25">
      <c r="A166" s="319" t="s">
        <v>267</v>
      </c>
      <c r="B166" s="76" t="s">
        <v>72</v>
      </c>
      <c r="C166" s="309" t="s">
        <v>15</v>
      </c>
      <c r="D166" s="198">
        <v>2018</v>
      </c>
      <c r="E166" s="198">
        <v>2019</v>
      </c>
      <c r="F166" s="198">
        <v>2020</v>
      </c>
      <c r="G166" s="198">
        <v>2021</v>
      </c>
      <c r="H166" s="198">
        <v>2022</v>
      </c>
      <c r="I166" s="198">
        <v>2023</v>
      </c>
      <c r="J166" s="198">
        <v>2024</v>
      </c>
      <c r="K166" s="198">
        <v>2025</v>
      </c>
      <c r="L166" s="4">
        <v>2026</v>
      </c>
      <c r="M166" s="4">
        <v>2027</v>
      </c>
      <c r="N166" s="4">
        <v>2028</v>
      </c>
      <c r="O166" s="4">
        <v>2029</v>
      </c>
      <c r="P166" s="4">
        <v>2030</v>
      </c>
    </row>
    <row r="167" spans="1:16" x14ac:dyDescent="0.25">
      <c r="A167" s="320"/>
      <c r="B167" s="76" t="s">
        <v>158</v>
      </c>
      <c r="C167" s="4" t="s">
        <v>18</v>
      </c>
      <c r="D167" s="219">
        <v>21.954198859999998</v>
      </c>
      <c r="E167" s="219">
        <v>25.79566213</v>
      </c>
      <c r="F167" s="219">
        <v>29.947523820000001</v>
      </c>
      <c r="G167" s="219">
        <v>34.409783930000003</v>
      </c>
      <c r="H167" s="219">
        <v>39.182442460000004</v>
      </c>
      <c r="I167" s="219">
        <v>44.265499409999997</v>
      </c>
      <c r="J167" s="219">
        <v>49.658954780000002</v>
      </c>
      <c r="K167" s="219">
        <v>55.362808569999999</v>
      </c>
      <c r="L167" s="219">
        <v>61.377060779999994</v>
      </c>
      <c r="M167" s="219">
        <v>67.701711410000001</v>
      </c>
      <c r="N167" s="219">
        <v>74.336760459999994</v>
      </c>
      <c r="O167" s="219">
        <v>81.282207929999998</v>
      </c>
      <c r="P167" s="219">
        <v>88.538053819999988</v>
      </c>
    </row>
    <row r="168" spans="1:16" x14ac:dyDescent="0.25">
      <c r="A168" s="320"/>
      <c r="B168" s="76" t="s">
        <v>17</v>
      </c>
      <c r="C168" s="4" t="s">
        <v>18</v>
      </c>
      <c r="D168" s="190">
        <v>2.0166397615795355</v>
      </c>
      <c r="E168" s="190">
        <v>4.033279523159071</v>
      </c>
      <c r="F168" s="190">
        <v>7.4866509375388048</v>
      </c>
      <c r="G168" s="190">
        <v>11.508297006019333</v>
      </c>
      <c r="H168" s="190">
        <v>16.249135193627929</v>
      </c>
      <c r="I168" s="190">
        <v>22.164050263776673</v>
      </c>
      <c r="J168" s="190">
        <v>30.406059853470754</v>
      </c>
      <c r="K168" s="190">
        <v>41.012873049381184</v>
      </c>
      <c r="L168" s="190">
        <v>51.043503456268887</v>
      </c>
      <c r="M168" s="190">
        <v>61</v>
      </c>
      <c r="N168" s="190">
        <v>71</v>
      </c>
      <c r="O168" s="190">
        <v>81</v>
      </c>
      <c r="P168" s="190">
        <v>90</v>
      </c>
    </row>
    <row r="169" spans="1:16" x14ac:dyDescent="0.25">
      <c r="A169" s="320"/>
      <c r="B169" s="76" t="s">
        <v>124</v>
      </c>
      <c r="C169" s="4" t="s">
        <v>18</v>
      </c>
      <c r="D169" s="190">
        <v>100</v>
      </c>
      <c r="E169" s="190">
        <v>150</v>
      </c>
      <c r="F169" s="190">
        <v>150</v>
      </c>
      <c r="G169" s="190">
        <v>100</v>
      </c>
      <c r="H169" s="190">
        <v>50</v>
      </c>
      <c r="I169" s="190">
        <v>0</v>
      </c>
      <c r="J169" s="190">
        <v>0</v>
      </c>
      <c r="K169" s="190">
        <v>0</v>
      </c>
      <c r="L169" s="190">
        <v>0</v>
      </c>
      <c r="M169" s="190">
        <v>0</v>
      </c>
      <c r="N169" s="190">
        <v>0</v>
      </c>
      <c r="O169" s="190">
        <v>0</v>
      </c>
      <c r="P169" s="190">
        <v>0</v>
      </c>
    </row>
    <row r="170" spans="1:16" x14ac:dyDescent="0.25">
      <c r="A170" s="320"/>
      <c r="B170" s="76" t="s">
        <v>16</v>
      </c>
      <c r="C170" s="4" t="s">
        <v>18</v>
      </c>
      <c r="D170" s="190">
        <v>0</v>
      </c>
      <c r="E170" s="190">
        <v>0</v>
      </c>
      <c r="F170" s="190">
        <v>0</v>
      </c>
      <c r="G170" s="190">
        <v>0</v>
      </c>
      <c r="H170" s="190">
        <v>0</v>
      </c>
      <c r="I170" s="190">
        <v>0</v>
      </c>
      <c r="J170" s="190">
        <v>0</v>
      </c>
      <c r="K170" s="190">
        <v>0</v>
      </c>
      <c r="L170" s="190">
        <v>0</v>
      </c>
      <c r="M170" s="190">
        <v>0</v>
      </c>
      <c r="N170" s="190">
        <v>0</v>
      </c>
      <c r="O170" s="190">
        <v>0</v>
      </c>
      <c r="P170" s="190">
        <v>0</v>
      </c>
    </row>
    <row r="171" spans="1:16" x14ac:dyDescent="0.25">
      <c r="A171" s="320"/>
      <c r="B171" s="76" t="s">
        <v>5</v>
      </c>
      <c r="C171" s="4" t="s">
        <v>112</v>
      </c>
      <c r="D171" s="220">
        <v>0.71909999999999996</v>
      </c>
      <c r="E171" s="220">
        <v>1.3375999999999999</v>
      </c>
      <c r="F171" s="220">
        <v>2.3818000000000001</v>
      </c>
      <c r="G171" s="220">
        <v>3.8589000000000002</v>
      </c>
      <c r="H171" s="220">
        <v>6.1199000000000003</v>
      </c>
      <c r="I171" s="220">
        <v>12.969796448400741</v>
      </c>
      <c r="J171" s="220">
        <v>23.844189345202228</v>
      </c>
      <c r="K171" s="220">
        <v>34.718582242003706</v>
      </c>
      <c r="L171" s="191">
        <v>46.503340140812966</v>
      </c>
      <c r="M171" s="191">
        <v>60.43963971087399</v>
      </c>
      <c r="N171" s="191">
        <v>76.90295046180654</v>
      </c>
      <c r="O171" s="191">
        <v>95.924299289722157</v>
      </c>
      <c r="P171" s="191">
        <v>117.46945822516899</v>
      </c>
    </row>
    <row r="172" spans="1:16" x14ac:dyDescent="0.25">
      <c r="A172" s="320"/>
      <c r="B172" s="76" t="s">
        <v>0</v>
      </c>
      <c r="C172" s="4" t="s">
        <v>19</v>
      </c>
      <c r="D172" s="221">
        <v>1193.638616</v>
      </c>
      <c r="E172" s="221">
        <v>1351.3739760000001</v>
      </c>
      <c r="F172" s="221">
        <v>1562.7517760000001</v>
      </c>
      <c r="G172" s="221">
        <v>1828.233696</v>
      </c>
      <c r="H172" s="221">
        <v>2124.219928</v>
      </c>
      <c r="I172" s="221">
        <v>2685.1889290279537</v>
      </c>
      <c r="J172" s="221">
        <v>3502.6569310838604</v>
      </c>
      <c r="K172" s="221">
        <v>4320.1249331397676</v>
      </c>
      <c r="L172" s="221">
        <v>5190.3348290815702</v>
      </c>
      <c r="M172" s="221">
        <v>6204.5862699682757</v>
      </c>
      <c r="N172" s="221">
        <v>7406.3858761759302</v>
      </c>
      <c r="O172" s="221">
        <v>8799.450102282628</v>
      </c>
      <c r="P172" s="221">
        <v>10381.371019384236</v>
      </c>
    </row>
    <row r="173" spans="1:16" x14ac:dyDescent="0.25">
      <c r="A173" s="320"/>
      <c r="B173" s="76" t="s">
        <v>38</v>
      </c>
      <c r="C173" s="4" t="s">
        <v>18</v>
      </c>
      <c r="D173" s="192">
        <v>200</v>
      </c>
      <c r="E173" s="192">
        <v>275</v>
      </c>
      <c r="F173" s="192">
        <v>350</v>
      </c>
      <c r="G173" s="192">
        <v>425</v>
      </c>
      <c r="H173" s="192">
        <v>500</v>
      </c>
      <c r="I173" s="192">
        <v>500</v>
      </c>
      <c r="J173" s="192">
        <v>500</v>
      </c>
      <c r="K173" s="192">
        <v>500</v>
      </c>
      <c r="L173" s="192">
        <v>500</v>
      </c>
      <c r="M173" s="192">
        <v>500</v>
      </c>
      <c r="N173" s="192">
        <v>500</v>
      </c>
      <c r="O173" s="192">
        <v>500</v>
      </c>
      <c r="P173" s="192">
        <v>500</v>
      </c>
    </row>
    <row r="174" spans="1:16" x14ac:dyDescent="0.25">
      <c r="A174" s="320"/>
      <c r="B174" s="76" t="s">
        <v>1</v>
      </c>
      <c r="C174" s="4" t="s">
        <v>18</v>
      </c>
      <c r="D174" s="192">
        <v>450</v>
      </c>
      <c r="E174" s="192">
        <v>550</v>
      </c>
      <c r="F174" s="192">
        <v>650</v>
      </c>
      <c r="G174" s="192">
        <v>750</v>
      </c>
      <c r="H174" s="192">
        <v>850</v>
      </c>
      <c r="I174" s="192">
        <v>800</v>
      </c>
      <c r="J174" s="192">
        <v>800</v>
      </c>
      <c r="K174" s="192">
        <v>800</v>
      </c>
      <c r="L174" s="192">
        <v>800</v>
      </c>
      <c r="M174" s="192">
        <v>800</v>
      </c>
      <c r="N174" s="192">
        <v>700</v>
      </c>
      <c r="O174" s="192">
        <v>700</v>
      </c>
      <c r="P174" s="192">
        <v>700</v>
      </c>
    </row>
    <row r="175" spans="1:16" x14ac:dyDescent="0.25">
      <c r="A175" s="320"/>
      <c r="B175" s="76" t="s">
        <v>82</v>
      </c>
      <c r="C175" s="4" t="s">
        <v>61</v>
      </c>
      <c r="D175" s="191">
        <v>162</v>
      </c>
      <c r="E175" s="191">
        <v>173.07206068268016</v>
      </c>
      <c r="F175" s="191">
        <v>192.58570684911132</v>
      </c>
      <c r="G175" s="191">
        <v>212.6794080464044</v>
      </c>
      <c r="H175" s="191">
        <v>234.2083736149327</v>
      </c>
      <c r="I175" s="191">
        <v>255.00855209340375</v>
      </c>
      <c r="J175" s="191">
        <v>283.88488138618277</v>
      </c>
      <c r="K175" s="191">
        <v>288.06425224957241</v>
      </c>
      <c r="L175" s="191">
        <v>294.935673384398</v>
      </c>
      <c r="M175" s="191">
        <v>301.5839964304306</v>
      </c>
      <c r="N175" s="191">
        <v>307.39941994496911</v>
      </c>
      <c r="O175" s="191">
        <v>313.05867479735258</v>
      </c>
      <c r="P175" s="191">
        <v>319.1864356362014</v>
      </c>
    </row>
    <row r="176" spans="1:16" x14ac:dyDescent="0.25">
      <c r="A176" s="320"/>
      <c r="B176" s="76" t="s">
        <v>33</v>
      </c>
      <c r="C176" s="4" t="s">
        <v>61</v>
      </c>
      <c r="D176" s="191">
        <v>25</v>
      </c>
      <c r="E176" s="191">
        <v>0</v>
      </c>
      <c r="F176" s="191">
        <v>0</v>
      </c>
      <c r="G176" s="191">
        <v>0</v>
      </c>
      <c r="H176" s="191">
        <v>0</v>
      </c>
      <c r="I176" s="191">
        <v>0</v>
      </c>
      <c r="J176" s="191">
        <v>0</v>
      </c>
      <c r="K176" s="191">
        <v>0</v>
      </c>
      <c r="L176" s="191">
        <v>0</v>
      </c>
      <c r="M176" s="191">
        <v>0</v>
      </c>
      <c r="N176" s="191">
        <v>0</v>
      </c>
      <c r="O176" s="191">
        <v>0</v>
      </c>
      <c r="P176" s="191">
        <v>0</v>
      </c>
    </row>
    <row r="177" spans="1:30" x14ac:dyDescent="0.25">
      <c r="A177" s="320"/>
      <c r="B177" s="76" t="s">
        <v>103</v>
      </c>
      <c r="C177" s="4" t="s">
        <v>112</v>
      </c>
      <c r="D177" s="190">
        <v>4.2563122435700422E-2</v>
      </c>
      <c r="E177" s="190">
        <v>7.9221596798729643E-2</v>
      </c>
      <c r="F177" s="190">
        <v>0.12104481719249827</v>
      </c>
      <c r="G177" s="190">
        <v>0.1816060687387489</v>
      </c>
      <c r="H177" s="190">
        <v>0.27756822157499184</v>
      </c>
      <c r="I177" s="190">
        <v>0.37832792169431789</v>
      </c>
      <c r="J177" s="190">
        <v>0.5684160505621817</v>
      </c>
      <c r="K177" s="190">
        <v>0.80546664639454091</v>
      </c>
      <c r="L177" s="190">
        <v>1.1207288866548697</v>
      </c>
      <c r="M177" s="190">
        <v>1.5293722472561442</v>
      </c>
      <c r="N177" s="190">
        <v>2.0295901497354025</v>
      </c>
      <c r="O177" s="190">
        <v>2.6791165470450999</v>
      </c>
      <c r="P177" s="190">
        <v>3.5256743672802955</v>
      </c>
    </row>
    <row r="178" spans="1:30" x14ac:dyDescent="0.25">
      <c r="A178" s="320"/>
      <c r="B178" s="76" t="s">
        <v>89</v>
      </c>
      <c r="C178" s="4" t="s">
        <v>19</v>
      </c>
      <c r="D178" s="190">
        <v>10.402955513673991</v>
      </c>
      <c r="E178" s="190">
        <v>21.99355244200974</v>
      </c>
      <c r="F178" s="190">
        <v>38.824390017528302</v>
      </c>
      <c r="G178" s="190">
        <v>58.149856742870597</v>
      </c>
      <c r="H178" s="190">
        <v>97.3073839019399</v>
      </c>
      <c r="I178" s="190">
        <v>146.088656830633</v>
      </c>
      <c r="J178" s="190">
        <v>238.50207872244439</v>
      </c>
      <c r="K178" s="190">
        <v>350.525473011901</v>
      </c>
      <c r="L178" s="190">
        <v>483.18676801670301</v>
      </c>
      <c r="M178" s="190">
        <v>623.48797719434697</v>
      </c>
      <c r="N178" s="190">
        <v>756.11606245709004</v>
      </c>
      <c r="O178" s="190">
        <v>889.00870624910499</v>
      </c>
      <c r="P178" s="190">
        <v>1024.46109319377</v>
      </c>
    </row>
    <row r="179" spans="1:30" x14ac:dyDescent="0.25">
      <c r="A179" s="320"/>
      <c r="B179" s="76" t="s">
        <v>119</v>
      </c>
      <c r="C179" s="4" t="s">
        <v>19</v>
      </c>
      <c r="D179" s="190">
        <v>1412</v>
      </c>
      <c r="E179" s="190">
        <v>1412</v>
      </c>
      <c r="F179" s="190">
        <v>1412</v>
      </c>
      <c r="G179" s="190">
        <v>1412</v>
      </c>
      <c r="H179" s="190">
        <v>1412</v>
      </c>
      <c r="I179" s="190">
        <v>1412</v>
      </c>
      <c r="J179" s="190">
        <v>1412</v>
      </c>
      <c r="K179" s="190">
        <v>1412</v>
      </c>
      <c r="L179" s="190">
        <v>1412</v>
      </c>
      <c r="M179" s="190">
        <v>1412</v>
      </c>
      <c r="N179" s="190">
        <v>1412</v>
      </c>
      <c r="O179" s="190">
        <v>1412</v>
      </c>
      <c r="P179" s="190">
        <v>1412</v>
      </c>
    </row>
    <row r="180" spans="1:30" x14ac:dyDescent="0.25">
      <c r="A180" s="320"/>
      <c r="B180" s="76" t="s">
        <v>161</v>
      </c>
      <c r="C180" s="4" t="s">
        <v>157</v>
      </c>
      <c r="D180" s="194">
        <v>0</v>
      </c>
      <c r="E180" s="190">
        <v>27.82</v>
      </c>
      <c r="F180" s="190">
        <v>27.82</v>
      </c>
      <c r="G180" s="190">
        <v>27.82</v>
      </c>
      <c r="H180" s="190">
        <v>27.82</v>
      </c>
      <c r="I180" s="190">
        <v>27.82</v>
      </c>
      <c r="J180" s="190">
        <v>27.82</v>
      </c>
      <c r="K180" s="190">
        <v>27.82</v>
      </c>
      <c r="L180" s="190">
        <v>27.82</v>
      </c>
      <c r="M180" s="190">
        <v>27.82</v>
      </c>
      <c r="N180" s="190">
        <v>27.82</v>
      </c>
      <c r="O180" s="190">
        <v>27.82</v>
      </c>
      <c r="P180" s="190">
        <v>27.82</v>
      </c>
    </row>
    <row r="181" spans="1:30" x14ac:dyDescent="0.25">
      <c r="A181" s="320"/>
      <c r="B181" s="76" t="s">
        <v>68</v>
      </c>
      <c r="C181" s="4" t="s">
        <v>18</v>
      </c>
      <c r="D181" s="194">
        <v>0</v>
      </c>
      <c r="E181" s="194">
        <v>20</v>
      </c>
      <c r="F181" s="194">
        <v>40</v>
      </c>
      <c r="G181" s="194">
        <v>80</v>
      </c>
      <c r="H181" s="194">
        <v>150</v>
      </c>
      <c r="I181" s="194">
        <v>150</v>
      </c>
      <c r="J181" s="194">
        <v>150</v>
      </c>
      <c r="K181" s="194">
        <v>150</v>
      </c>
      <c r="L181" s="194">
        <v>150</v>
      </c>
      <c r="M181" s="194">
        <v>150</v>
      </c>
      <c r="N181" s="194">
        <v>125</v>
      </c>
      <c r="O181" s="194">
        <v>125</v>
      </c>
      <c r="P181" s="194">
        <v>125</v>
      </c>
    </row>
    <row r="182" spans="1:30" x14ac:dyDescent="0.25">
      <c r="A182" s="320"/>
      <c r="B182" s="83" t="s">
        <v>81</v>
      </c>
      <c r="C182" s="26" t="s">
        <v>43</v>
      </c>
      <c r="D182" s="195">
        <v>1.4999999999999999E-2</v>
      </c>
      <c r="E182" s="195">
        <v>2.2499999999999999E-2</v>
      </c>
      <c r="F182" s="195">
        <v>0.03</v>
      </c>
      <c r="G182" s="195">
        <v>0.04</v>
      </c>
      <c r="H182" s="195">
        <v>0.06</v>
      </c>
      <c r="I182" s="195">
        <v>0.08</v>
      </c>
      <c r="J182" s="195">
        <v>0.1</v>
      </c>
      <c r="K182" s="195">
        <v>0.11</v>
      </c>
      <c r="L182" s="195">
        <v>0.11</v>
      </c>
      <c r="M182" s="195">
        <v>0.11</v>
      </c>
      <c r="N182" s="195">
        <v>0.11</v>
      </c>
      <c r="O182" s="195">
        <v>0.11</v>
      </c>
      <c r="P182" s="195">
        <v>0.11</v>
      </c>
    </row>
    <row r="183" spans="1:30" x14ac:dyDescent="0.25">
      <c r="A183" s="320"/>
      <c r="B183" s="83" t="s">
        <v>54</v>
      </c>
      <c r="C183" s="26" t="s">
        <v>45</v>
      </c>
      <c r="D183" s="26">
        <v>3.0000000000000001E-3</v>
      </c>
      <c r="E183" s="26">
        <v>0.02</v>
      </c>
      <c r="F183" s="26">
        <v>0.25</v>
      </c>
      <c r="G183" s="26">
        <v>0.375</v>
      </c>
      <c r="H183" s="26">
        <v>0.5</v>
      </c>
      <c r="I183" s="26">
        <v>0.625</v>
      </c>
      <c r="J183" s="26">
        <v>0.75</v>
      </c>
      <c r="K183" s="26">
        <v>0.875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</row>
    <row r="184" spans="1:30" x14ac:dyDescent="0.25">
      <c r="A184" s="320"/>
      <c r="B184" s="83" t="s">
        <v>76</v>
      </c>
      <c r="C184" s="26" t="s">
        <v>45</v>
      </c>
      <c r="D184" s="289">
        <v>0.154</v>
      </c>
      <c r="E184" s="289">
        <v>0.154</v>
      </c>
      <c r="F184" s="289">
        <v>0.154</v>
      </c>
      <c r="G184" s="289">
        <v>0.154</v>
      </c>
      <c r="H184" s="289">
        <v>0.154</v>
      </c>
      <c r="I184" s="289">
        <v>0.154</v>
      </c>
      <c r="J184" s="289">
        <v>0.154</v>
      </c>
      <c r="K184" s="289">
        <v>0.154</v>
      </c>
      <c r="L184" s="289">
        <v>0.154</v>
      </c>
      <c r="M184" s="289">
        <v>0.154</v>
      </c>
      <c r="N184" s="289">
        <v>0.154</v>
      </c>
      <c r="O184" s="289">
        <v>0.154</v>
      </c>
      <c r="P184" s="289">
        <v>0.154</v>
      </c>
    </row>
    <row r="185" spans="1:30" x14ac:dyDescent="0.25">
      <c r="A185" s="320"/>
      <c r="B185" s="83" t="s">
        <v>56</v>
      </c>
      <c r="C185" s="26" t="s">
        <v>45</v>
      </c>
      <c r="D185" s="197">
        <v>0</v>
      </c>
      <c r="E185" s="197">
        <v>0</v>
      </c>
      <c r="F185" s="197">
        <v>0</v>
      </c>
      <c r="G185" s="197">
        <v>0</v>
      </c>
      <c r="H185" s="197">
        <v>0</v>
      </c>
      <c r="I185" s="197">
        <v>0</v>
      </c>
      <c r="J185" s="197">
        <v>0</v>
      </c>
      <c r="K185" s="197">
        <v>0</v>
      </c>
      <c r="L185" s="197">
        <v>0</v>
      </c>
      <c r="M185" s="197">
        <v>0</v>
      </c>
      <c r="N185" s="197">
        <v>0</v>
      </c>
      <c r="O185" s="197">
        <v>0</v>
      </c>
      <c r="P185" s="197">
        <v>0</v>
      </c>
      <c r="T185" s="270"/>
      <c r="U185" s="270"/>
      <c r="V185" s="270"/>
      <c r="W185" s="270"/>
      <c r="X185" s="270"/>
      <c r="Y185" s="270"/>
      <c r="Z185" s="270"/>
      <c r="AA185" s="270"/>
    </row>
    <row r="186" spans="1:30" x14ac:dyDescent="0.25">
      <c r="A186" s="320"/>
      <c r="B186" s="83" t="s">
        <v>55</v>
      </c>
      <c r="C186" s="26" t="s">
        <v>45</v>
      </c>
      <c r="D186" s="26">
        <v>0.01</v>
      </c>
      <c r="E186" s="289">
        <v>0.12562499999999999</v>
      </c>
      <c r="F186" s="289">
        <v>0.25124999999999997</v>
      </c>
      <c r="G186" s="289">
        <v>0.25124999999999997</v>
      </c>
      <c r="H186" s="289">
        <v>0.26624999999999999</v>
      </c>
      <c r="I186" s="289">
        <v>0.38624999999999998</v>
      </c>
      <c r="J186" s="289">
        <v>0.41499999999999998</v>
      </c>
      <c r="K186" s="289">
        <v>0.51</v>
      </c>
      <c r="L186" s="289">
        <v>0.51375000000000004</v>
      </c>
      <c r="M186" s="289">
        <v>0.51749999999999996</v>
      </c>
      <c r="N186" s="289">
        <v>0.53874999999999995</v>
      </c>
      <c r="O186" s="289">
        <v>0.53874999999999995</v>
      </c>
      <c r="P186" s="289">
        <v>0.53874999999999995</v>
      </c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</row>
    <row r="187" spans="1:30" x14ac:dyDescent="0.25">
      <c r="A187" s="320"/>
      <c r="B187" s="83" t="s">
        <v>266</v>
      </c>
      <c r="C187" s="26" t="s">
        <v>167</v>
      </c>
      <c r="D187" s="289">
        <v>0</v>
      </c>
      <c r="E187" s="289">
        <v>0</v>
      </c>
      <c r="F187" s="289">
        <v>0</v>
      </c>
      <c r="G187" s="289">
        <v>-3.55</v>
      </c>
      <c r="H187" s="289">
        <v>-6.92</v>
      </c>
      <c r="I187" s="289">
        <v>-10.119999999999999</v>
      </c>
      <c r="J187" s="289">
        <v>-13.16</v>
      </c>
      <c r="K187" s="289">
        <v>-16.05</v>
      </c>
      <c r="L187" s="289">
        <v>-18.8</v>
      </c>
      <c r="M187" s="289">
        <v>-21.41</v>
      </c>
      <c r="N187" s="289">
        <v>-23.89</v>
      </c>
      <c r="O187" s="289">
        <v>-26</v>
      </c>
      <c r="P187" s="289">
        <v>-26</v>
      </c>
      <c r="Q187" s="136"/>
      <c r="R187" s="136"/>
      <c r="S187" s="136"/>
      <c r="T187" s="136"/>
      <c r="U187" s="136"/>
      <c r="V187" s="136"/>
      <c r="W187" s="136"/>
      <c r="X187" s="136"/>
      <c r="Y187" s="136"/>
    </row>
    <row r="188" spans="1:30" x14ac:dyDescent="0.25">
      <c r="A188" s="320"/>
      <c r="B188" s="83" t="s">
        <v>163</v>
      </c>
      <c r="C188" s="26" t="s">
        <v>167</v>
      </c>
      <c r="D188" s="289">
        <v>30.929411764705883</v>
      </c>
      <c r="E188" s="289">
        <v>25</v>
      </c>
      <c r="F188" s="289">
        <v>20</v>
      </c>
      <c r="G188" s="289">
        <v>15</v>
      </c>
      <c r="H188" s="289">
        <v>10</v>
      </c>
      <c r="I188" s="289">
        <v>10</v>
      </c>
      <c r="J188" s="289">
        <v>10</v>
      </c>
      <c r="K188" s="289">
        <v>10</v>
      </c>
      <c r="L188" s="289">
        <v>10</v>
      </c>
      <c r="M188" s="289">
        <v>10</v>
      </c>
      <c r="N188" s="289">
        <v>10</v>
      </c>
      <c r="O188" s="289">
        <v>10</v>
      </c>
      <c r="P188" s="289">
        <v>10</v>
      </c>
    </row>
    <row r="189" spans="1:30" x14ac:dyDescent="0.25">
      <c r="A189" s="320"/>
      <c r="B189" s="81" t="s">
        <v>104</v>
      </c>
      <c r="C189" s="26" t="s">
        <v>167</v>
      </c>
      <c r="D189" s="26">
        <v>40</v>
      </c>
      <c r="E189" s="26">
        <v>40</v>
      </c>
      <c r="F189" s="26">
        <v>40</v>
      </c>
      <c r="G189" s="26">
        <v>40</v>
      </c>
      <c r="H189" s="26">
        <v>40</v>
      </c>
      <c r="I189" s="26">
        <v>40</v>
      </c>
      <c r="J189" s="26">
        <v>40</v>
      </c>
      <c r="K189" s="26">
        <v>40</v>
      </c>
      <c r="L189" s="26">
        <v>40</v>
      </c>
      <c r="M189" s="26">
        <v>40</v>
      </c>
      <c r="N189" s="26">
        <v>40</v>
      </c>
      <c r="O189" s="26">
        <v>40</v>
      </c>
      <c r="P189" s="26">
        <v>40</v>
      </c>
    </row>
    <row r="190" spans="1:30" x14ac:dyDescent="0.25">
      <c r="A190" s="320"/>
      <c r="B190" s="83" t="s">
        <v>57</v>
      </c>
      <c r="C190" s="26" t="s">
        <v>167</v>
      </c>
      <c r="D190" s="26">
        <v>0</v>
      </c>
      <c r="E190" s="26">
        <v>0</v>
      </c>
      <c r="F190" s="26">
        <v>0.28999999999999915</v>
      </c>
      <c r="G190" s="26">
        <v>0.49000000000000021</v>
      </c>
      <c r="H190" s="26">
        <v>0.75999999999999979</v>
      </c>
      <c r="I190" s="26">
        <v>0.75999999999999979</v>
      </c>
      <c r="J190" s="26">
        <v>0.75999999999999979</v>
      </c>
      <c r="K190" s="26">
        <v>0.75999999999999979</v>
      </c>
      <c r="L190" s="26">
        <v>0.75999999999999979</v>
      </c>
      <c r="M190" s="26">
        <v>0.75999999999999979</v>
      </c>
      <c r="N190" s="26">
        <v>0.75999999999999979</v>
      </c>
      <c r="O190" s="26">
        <v>0.75999999999999979</v>
      </c>
      <c r="P190" s="26">
        <v>0.75999999999999979</v>
      </c>
    </row>
    <row r="191" spans="1:30" ht="15.75" thickBot="1" x14ac:dyDescent="0.3">
      <c r="A191" s="321"/>
      <c r="B191" s="83" t="s">
        <v>261</v>
      </c>
      <c r="C191" s="26" t="s">
        <v>271</v>
      </c>
      <c r="D191" s="26">
        <v>0</v>
      </c>
      <c r="E191" s="195">
        <v>5.0000000000000001E-3</v>
      </c>
      <c r="F191" s="195">
        <v>0.01</v>
      </c>
      <c r="G191" s="195">
        <v>0.02</v>
      </c>
      <c r="H191" s="195">
        <v>0.03</v>
      </c>
      <c r="I191" s="195">
        <v>0.04</v>
      </c>
      <c r="J191" s="195">
        <v>0.05</v>
      </c>
      <c r="K191" s="195">
        <v>0.05</v>
      </c>
      <c r="L191" s="195">
        <v>0.05</v>
      </c>
      <c r="M191" s="195">
        <v>4.4999999999999998E-2</v>
      </c>
      <c r="N191" s="195">
        <v>0.04</v>
      </c>
      <c r="O191" s="195">
        <v>0.03</v>
      </c>
      <c r="P191" s="195">
        <v>0.02</v>
      </c>
    </row>
    <row r="192" spans="1:30" ht="15.75" thickBot="1" x14ac:dyDescent="0.3">
      <c r="A192" s="269"/>
      <c r="B192" s="269"/>
      <c r="C192" s="269"/>
      <c r="D192" s="211">
        <v>125</v>
      </c>
      <c r="E192" s="211">
        <v>150</v>
      </c>
      <c r="F192" s="211">
        <v>150</v>
      </c>
      <c r="G192" s="211">
        <v>150</v>
      </c>
      <c r="H192" s="211">
        <v>100</v>
      </c>
      <c r="I192" s="211">
        <v>95</v>
      </c>
      <c r="J192" s="211">
        <v>95</v>
      </c>
      <c r="K192" s="211">
        <v>100</v>
      </c>
      <c r="L192" s="211">
        <v>100</v>
      </c>
      <c r="M192" s="211">
        <v>110</v>
      </c>
      <c r="N192" s="211">
        <v>120</v>
      </c>
      <c r="O192" s="211">
        <v>150</v>
      </c>
      <c r="P192" s="211">
        <v>150</v>
      </c>
    </row>
    <row r="193" spans="1:16" ht="15" customHeight="1" x14ac:dyDescent="0.25">
      <c r="A193" s="319" t="s">
        <v>269</v>
      </c>
      <c r="B193" s="76" t="s">
        <v>72</v>
      </c>
      <c r="C193" s="309" t="s">
        <v>15</v>
      </c>
      <c r="D193" s="198">
        <v>2018</v>
      </c>
      <c r="E193" s="198">
        <v>2019</v>
      </c>
      <c r="F193" s="198">
        <v>2020</v>
      </c>
      <c r="G193" s="198">
        <v>2021</v>
      </c>
      <c r="H193" s="198">
        <v>2022</v>
      </c>
      <c r="I193" s="198">
        <v>2023</v>
      </c>
      <c r="J193" s="198">
        <v>2024</v>
      </c>
      <c r="K193" s="198">
        <v>2025</v>
      </c>
      <c r="L193" s="4">
        <v>2026</v>
      </c>
      <c r="M193" s="4">
        <v>2027</v>
      </c>
      <c r="N193" s="4">
        <v>2028</v>
      </c>
      <c r="O193" s="4">
        <v>2029</v>
      </c>
      <c r="P193" s="4">
        <v>2030</v>
      </c>
    </row>
    <row r="194" spans="1:16" ht="15" customHeight="1" x14ac:dyDescent="0.25">
      <c r="A194" s="320"/>
      <c r="B194" s="76" t="s">
        <v>158</v>
      </c>
      <c r="C194" s="4" t="s">
        <v>18</v>
      </c>
      <c r="D194" s="219">
        <v>21.954198859999998</v>
      </c>
      <c r="E194" s="219">
        <v>25.79566213</v>
      </c>
      <c r="F194" s="219">
        <v>29.947523820000001</v>
      </c>
      <c r="G194" s="219">
        <v>34.409783930000003</v>
      </c>
      <c r="H194" s="219">
        <v>39.182442460000004</v>
      </c>
      <c r="I194" s="219">
        <v>44.265499409999997</v>
      </c>
      <c r="J194" s="219">
        <v>49.658954780000002</v>
      </c>
      <c r="K194" s="219">
        <v>55.362808569999999</v>
      </c>
      <c r="L194" s="219">
        <v>61.377060779999994</v>
      </c>
      <c r="M194" s="219">
        <v>67.701711410000001</v>
      </c>
      <c r="N194" s="219">
        <v>74.336760459999994</v>
      </c>
      <c r="O194" s="219">
        <v>81.282207929999998</v>
      </c>
      <c r="P194" s="219">
        <v>88.538053819999988</v>
      </c>
    </row>
    <row r="195" spans="1:16" ht="15" customHeight="1" x14ac:dyDescent="0.25">
      <c r="A195" s="320"/>
      <c r="B195" s="76" t="s">
        <v>17</v>
      </c>
      <c r="C195" s="4" t="s">
        <v>18</v>
      </c>
      <c r="D195" s="190">
        <v>2.0166397615795355</v>
      </c>
      <c r="E195" s="190">
        <v>4.033279523159071</v>
      </c>
      <c r="F195" s="190">
        <v>7.4866509375388048</v>
      </c>
      <c r="G195" s="190">
        <v>11.508297006019333</v>
      </c>
      <c r="H195" s="190">
        <v>16.249135193627929</v>
      </c>
      <c r="I195" s="190">
        <v>22.164050263776673</v>
      </c>
      <c r="J195" s="190">
        <v>30.406059853470754</v>
      </c>
      <c r="K195" s="190">
        <v>41.012873049381184</v>
      </c>
      <c r="L195" s="190">
        <v>51.043503456268887</v>
      </c>
      <c r="M195" s="190">
        <v>70</v>
      </c>
      <c r="N195" s="190">
        <v>95</v>
      </c>
      <c r="O195" s="190">
        <v>120</v>
      </c>
      <c r="P195" s="190">
        <v>150</v>
      </c>
    </row>
    <row r="196" spans="1:16" ht="15" customHeight="1" x14ac:dyDescent="0.25">
      <c r="A196" s="320"/>
      <c r="B196" s="76" t="s">
        <v>124</v>
      </c>
      <c r="C196" s="4" t="s">
        <v>18</v>
      </c>
      <c r="D196" s="190">
        <v>100</v>
      </c>
      <c r="E196" s="190">
        <v>150</v>
      </c>
      <c r="F196" s="190">
        <v>150</v>
      </c>
      <c r="G196" s="190">
        <v>150</v>
      </c>
      <c r="H196" s="190">
        <v>100</v>
      </c>
      <c r="I196" s="190">
        <v>50</v>
      </c>
      <c r="J196" s="190">
        <v>0</v>
      </c>
      <c r="K196" s="190">
        <v>0</v>
      </c>
      <c r="L196" s="190">
        <v>0</v>
      </c>
      <c r="M196" s="190">
        <v>0</v>
      </c>
      <c r="N196" s="190">
        <v>0</v>
      </c>
      <c r="O196" s="190">
        <v>50</v>
      </c>
      <c r="P196" s="190">
        <v>100</v>
      </c>
    </row>
    <row r="197" spans="1:16" ht="15" customHeight="1" x14ac:dyDescent="0.25">
      <c r="A197" s="320"/>
      <c r="B197" s="76" t="s">
        <v>16</v>
      </c>
      <c r="C197" s="4" t="s">
        <v>18</v>
      </c>
      <c r="D197" s="190">
        <v>0</v>
      </c>
      <c r="E197" s="190">
        <v>0</v>
      </c>
      <c r="F197" s="190">
        <v>0</v>
      </c>
      <c r="G197" s="190">
        <v>0</v>
      </c>
      <c r="H197" s="190">
        <v>0</v>
      </c>
      <c r="I197" s="190">
        <v>0</v>
      </c>
      <c r="J197" s="190">
        <v>0</v>
      </c>
      <c r="K197" s="190">
        <v>0</v>
      </c>
      <c r="L197" s="190">
        <v>0</v>
      </c>
      <c r="M197" s="190">
        <v>0</v>
      </c>
      <c r="N197" s="190">
        <v>0</v>
      </c>
      <c r="O197" s="190">
        <v>0</v>
      </c>
      <c r="P197" s="190">
        <v>0</v>
      </c>
    </row>
    <row r="198" spans="1:16" ht="15" customHeight="1" x14ac:dyDescent="0.25">
      <c r="A198" s="320"/>
      <c r="B198" s="76" t="s">
        <v>5</v>
      </c>
      <c r="C198" s="4" t="s">
        <v>112</v>
      </c>
      <c r="D198" s="220">
        <v>0.71909999999999996</v>
      </c>
      <c r="E198" s="220">
        <v>1.3375999999999999</v>
      </c>
      <c r="F198" s="220">
        <v>2.3818000000000001</v>
      </c>
      <c r="G198" s="220">
        <v>3.8589000000000002</v>
      </c>
      <c r="H198" s="220">
        <v>6.1199000000000003</v>
      </c>
      <c r="I198" s="220">
        <v>9.2230000000000008</v>
      </c>
      <c r="J198" s="220">
        <v>12.8797</v>
      </c>
      <c r="K198" s="220">
        <v>17.098500000000001</v>
      </c>
      <c r="L198" s="191">
        <v>21.6035</v>
      </c>
      <c r="M198" s="191">
        <v>26.108499999999999</v>
      </c>
      <c r="N198" s="191">
        <v>30.613499999999998</v>
      </c>
      <c r="O198" s="191">
        <v>35.118499999999997</v>
      </c>
      <c r="P198" s="191">
        <v>39.6235</v>
      </c>
    </row>
    <row r="199" spans="1:16" ht="15" customHeight="1" x14ac:dyDescent="0.25">
      <c r="A199" s="320"/>
      <c r="B199" s="76" t="s">
        <v>0</v>
      </c>
      <c r="C199" s="4" t="s">
        <v>19</v>
      </c>
      <c r="D199" s="221">
        <v>1193.638616</v>
      </c>
      <c r="E199" s="221">
        <v>1351.3739760000001</v>
      </c>
      <c r="F199" s="221">
        <v>1562.7517760000001</v>
      </c>
      <c r="G199" s="221">
        <v>1828.233696</v>
      </c>
      <c r="H199" s="221">
        <v>2124.219928</v>
      </c>
      <c r="I199" s="221">
        <v>2444.465056</v>
      </c>
      <c r="J199" s="221">
        <v>2794.8658479999999</v>
      </c>
      <c r="K199" s="221">
        <v>3173.8669199999999</v>
      </c>
      <c r="L199" s="221">
        <v>3567.0877359999999</v>
      </c>
      <c r="M199" s="221">
        <v>3960.308552</v>
      </c>
      <c r="N199" s="221">
        <v>4353.5293680000004</v>
      </c>
      <c r="O199" s="221">
        <v>4746.7501840000004</v>
      </c>
      <c r="P199" s="221">
        <v>5139.9709999999995</v>
      </c>
    </row>
    <row r="200" spans="1:16" ht="15" customHeight="1" x14ac:dyDescent="0.25">
      <c r="A200" s="320"/>
      <c r="B200" s="76" t="s">
        <v>38</v>
      </c>
      <c r="C200" s="4" t="s">
        <v>18</v>
      </c>
      <c r="D200" s="192">
        <v>200</v>
      </c>
      <c r="E200" s="192">
        <v>275</v>
      </c>
      <c r="F200" s="192">
        <v>350</v>
      </c>
      <c r="G200" s="192">
        <v>425</v>
      </c>
      <c r="H200" s="192">
        <v>500</v>
      </c>
      <c r="I200" s="192">
        <v>500</v>
      </c>
      <c r="J200" s="192">
        <v>500</v>
      </c>
      <c r="K200" s="192">
        <v>500</v>
      </c>
      <c r="L200" s="192">
        <v>500</v>
      </c>
      <c r="M200" s="192">
        <v>500</v>
      </c>
      <c r="N200" s="192">
        <v>500</v>
      </c>
      <c r="O200" s="192">
        <v>500</v>
      </c>
      <c r="P200" s="192">
        <v>500</v>
      </c>
    </row>
    <row r="201" spans="1:16" ht="15" customHeight="1" x14ac:dyDescent="0.25">
      <c r="A201" s="320"/>
      <c r="B201" s="76" t="s">
        <v>1</v>
      </c>
      <c r="C201" s="4" t="s">
        <v>18</v>
      </c>
      <c r="D201" s="192">
        <v>450</v>
      </c>
      <c r="E201" s="192">
        <v>550</v>
      </c>
      <c r="F201" s="192">
        <v>650</v>
      </c>
      <c r="G201" s="192">
        <v>750</v>
      </c>
      <c r="H201" s="192">
        <v>850</v>
      </c>
      <c r="I201" s="192">
        <v>950</v>
      </c>
      <c r="J201" s="192">
        <v>950</v>
      </c>
      <c r="K201" s="192">
        <v>1000</v>
      </c>
      <c r="L201" s="192">
        <v>1000</v>
      </c>
      <c r="M201" s="192">
        <v>1100</v>
      </c>
      <c r="N201" s="192">
        <v>1200</v>
      </c>
      <c r="O201" s="192">
        <v>1350</v>
      </c>
      <c r="P201" s="192">
        <v>1500</v>
      </c>
    </row>
    <row r="202" spans="1:16" ht="15" customHeight="1" x14ac:dyDescent="0.25">
      <c r="A202" s="320"/>
      <c r="B202" s="76" t="s">
        <v>82</v>
      </c>
      <c r="C202" s="4" t="s">
        <v>61</v>
      </c>
      <c r="D202" s="191">
        <v>156.38432364096082</v>
      </c>
      <c r="E202" s="191">
        <v>173.07206068268016</v>
      </c>
      <c r="F202" s="191">
        <v>192.58570684911132</v>
      </c>
      <c r="G202" s="191">
        <v>212.6794080464044</v>
      </c>
      <c r="H202" s="191">
        <v>234.2083736149327</v>
      </c>
      <c r="I202" s="191">
        <v>255.00855209340375</v>
      </c>
      <c r="J202" s="191">
        <v>283.88488138618277</v>
      </c>
      <c r="K202" s="191">
        <v>288.06425224957241</v>
      </c>
      <c r="L202" s="191">
        <v>294.935673384398</v>
      </c>
      <c r="M202" s="191">
        <v>301.5839964304306</v>
      </c>
      <c r="N202" s="191">
        <v>307.39941994496911</v>
      </c>
      <c r="O202" s="191">
        <v>313.05867479735258</v>
      </c>
      <c r="P202" s="191">
        <v>319.1864356362014</v>
      </c>
    </row>
    <row r="203" spans="1:16" ht="15" customHeight="1" x14ac:dyDescent="0.25">
      <c r="A203" s="320"/>
      <c r="B203" s="76" t="s">
        <v>33</v>
      </c>
      <c r="C203" s="4" t="s">
        <v>61</v>
      </c>
      <c r="D203" s="191">
        <v>25</v>
      </c>
      <c r="E203" s="191">
        <v>0</v>
      </c>
      <c r="F203" s="191">
        <v>0</v>
      </c>
      <c r="G203" s="191">
        <v>0</v>
      </c>
      <c r="H203" s="191">
        <v>0</v>
      </c>
      <c r="I203" s="191">
        <v>0</v>
      </c>
      <c r="J203" s="191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</row>
    <row r="204" spans="1:16" ht="15" customHeight="1" x14ac:dyDescent="0.25">
      <c r="A204" s="320"/>
      <c r="B204" s="76" t="s">
        <v>103</v>
      </c>
      <c r="C204" s="4" t="s">
        <v>112</v>
      </c>
      <c r="D204" s="190">
        <v>4.2563122435700422E-2</v>
      </c>
      <c r="E204" s="190">
        <v>7.9221596798729643E-2</v>
      </c>
      <c r="F204" s="190">
        <v>0.12104481719249827</v>
      </c>
      <c r="G204" s="190">
        <v>0.1816060687387489</v>
      </c>
      <c r="H204" s="190">
        <v>0.27756822157499184</v>
      </c>
      <c r="I204" s="190">
        <v>0.37832792169431789</v>
      </c>
      <c r="J204" s="190">
        <v>0.5684160505621817</v>
      </c>
      <c r="K204" s="190">
        <v>0.80546664639454091</v>
      </c>
      <c r="L204" s="190">
        <v>1.1207288866548697</v>
      </c>
      <c r="M204" s="190">
        <v>1.5293722472561442</v>
      </c>
      <c r="N204" s="190">
        <v>2.0295901497354025</v>
      </c>
      <c r="O204" s="190">
        <v>2.6791165470450999</v>
      </c>
      <c r="P204" s="190">
        <v>3.5256743672802955</v>
      </c>
    </row>
    <row r="205" spans="1:16" ht="15" customHeight="1" x14ac:dyDescent="0.25">
      <c r="A205" s="320"/>
      <c r="B205" s="76" t="s">
        <v>89</v>
      </c>
      <c r="C205" s="4" t="s">
        <v>19</v>
      </c>
      <c r="D205" s="190">
        <v>10.402955513673991</v>
      </c>
      <c r="E205" s="190">
        <v>21.99355244200974</v>
      </c>
      <c r="F205" s="190">
        <v>38.824390017528302</v>
      </c>
      <c r="G205" s="190">
        <v>58.149856742870597</v>
      </c>
      <c r="H205" s="190">
        <v>97.3073839019399</v>
      </c>
      <c r="I205" s="190">
        <v>146.088656830633</v>
      </c>
      <c r="J205" s="190">
        <v>238.50207872244439</v>
      </c>
      <c r="K205" s="190">
        <v>350.525473011901</v>
      </c>
      <c r="L205" s="190">
        <v>483.18676801670301</v>
      </c>
      <c r="M205" s="190">
        <v>623.48797719434697</v>
      </c>
      <c r="N205" s="190">
        <v>756.11606245709004</v>
      </c>
      <c r="O205" s="190">
        <v>889.00870624910499</v>
      </c>
      <c r="P205" s="190">
        <v>1024.46109319377</v>
      </c>
    </row>
    <row r="206" spans="1:16" ht="15" customHeight="1" x14ac:dyDescent="0.25">
      <c r="A206" s="320"/>
      <c r="B206" s="76" t="s">
        <v>119</v>
      </c>
      <c r="C206" s="4" t="s">
        <v>19</v>
      </c>
      <c r="D206" s="190">
        <v>1412</v>
      </c>
      <c r="E206" s="190">
        <v>1412</v>
      </c>
      <c r="F206" s="190">
        <v>1412</v>
      </c>
      <c r="G206" s="190">
        <v>1412</v>
      </c>
      <c r="H206" s="190">
        <v>1412</v>
      </c>
      <c r="I206" s="190">
        <v>1412</v>
      </c>
      <c r="J206" s="190">
        <v>1412</v>
      </c>
      <c r="K206" s="190">
        <v>1412</v>
      </c>
      <c r="L206" s="190">
        <v>1412</v>
      </c>
      <c r="M206" s="190">
        <v>1412</v>
      </c>
      <c r="N206" s="190">
        <v>1412</v>
      </c>
      <c r="O206" s="190">
        <v>1412</v>
      </c>
      <c r="P206" s="190">
        <v>1412</v>
      </c>
    </row>
    <row r="207" spans="1:16" ht="15" customHeight="1" x14ac:dyDescent="0.25">
      <c r="A207" s="320"/>
      <c r="B207" s="76" t="s">
        <v>161</v>
      </c>
      <c r="C207" s="4" t="s">
        <v>157</v>
      </c>
      <c r="D207" s="190">
        <v>0</v>
      </c>
      <c r="E207" s="190">
        <v>27.82</v>
      </c>
      <c r="F207" s="190">
        <v>27.82</v>
      </c>
      <c r="G207" s="190">
        <v>27.82</v>
      </c>
      <c r="H207" s="190">
        <v>27.82</v>
      </c>
      <c r="I207" s="190">
        <v>27.82</v>
      </c>
      <c r="J207" s="190">
        <v>27.82</v>
      </c>
      <c r="K207" s="190">
        <v>27.82</v>
      </c>
      <c r="L207" s="190">
        <v>27.82</v>
      </c>
      <c r="M207" s="190">
        <v>27.82</v>
      </c>
      <c r="N207" s="190">
        <v>27.82</v>
      </c>
      <c r="O207" s="190">
        <v>27.82</v>
      </c>
      <c r="P207" s="190">
        <v>27.82</v>
      </c>
    </row>
    <row r="208" spans="1:16" ht="15" customHeight="1" x14ac:dyDescent="0.25">
      <c r="A208" s="320"/>
      <c r="B208" s="76" t="s">
        <v>68</v>
      </c>
      <c r="C208" s="4" t="s">
        <v>18</v>
      </c>
      <c r="D208" s="194">
        <v>0</v>
      </c>
      <c r="E208" s="191">
        <v>20</v>
      </c>
      <c r="F208" s="191">
        <v>40</v>
      </c>
      <c r="G208" s="191">
        <v>80</v>
      </c>
      <c r="H208" s="191">
        <v>150</v>
      </c>
      <c r="I208" s="191">
        <v>175</v>
      </c>
      <c r="J208" s="191">
        <v>175</v>
      </c>
      <c r="K208" s="191">
        <v>200</v>
      </c>
      <c r="L208" s="191">
        <v>200</v>
      </c>
      <c r="M208" s="191">
        <v>200</v>
      </c>
      <c r="N208" s="191">
        <v>225</v>
      </c>
      <c r="O208" s="191">
        <v>250</v>
      </c>
      <c r="P208" s="191">
        <v>275</v>
      </c>
    </row>
    <row r="209" spans="1:25" ht="15" customHeight="1" x14ac:dyDescent="0.25">
      <c r="A209" s="320"/>
      <c r="B209" s="83" t="s">
        <v>81</v>
      </c>
      <c r="C209" s="26" t="s">
        <v>43</v>
      </c>
      <c r="D209" s="195">
        <v>1.4999999999999999E-2</v>
      </c>
      <c r="E209" s="195">
        <v>2.2499999999999999E-2</v>
      </c>
      <c r="F209" s="195">
        <v>0.03</v>
      </c>
      <c r="G209" s="195">
        <v>0.04</v>
      </c>
      <c r="H209" s="195">
        <v>0.06</v>
      </c>
      <c r="I209" s="195">
        <v>0.09</v>
      </c>
      <c r="J209" s="195">
        <v>0.12</v>
      </c>
      <c r="K209" s="195">
        <v>0.16</v>
      </c>
      <c r="L209" s="195">
        <v>0.2</v>
      </c>
      <c r="M209" s="195">
        <v>0.24</v>
      </c>
      <c r="N209" s="195">
        <v>0.28000000000000003</v>
      </c>
      <c r="O209" s="195">
        <v>0.32</v>
      </c>
      <c r="P209" s="195">
        <v>0.32</v>
      </c>
    </row>
    <row r="210" spans="1:25" ht="15" customHeight="1" x14ac:dyDescent="0.25">
      <c r="A210" s="320"/>
      <c r="B210" s="83" t="s">
        <v>54</v>
      </c>
      <c r="C210" s="26" t="s">
        <v>45</v>
      </c>
      <c r="D210" s="26">
        <v>3.0000000000000001E-3</v>
      </c>
      <c r="E210" s="26">
        <v>0.02</v>
      </c>
      <c r="F210" s="26">
        <v>0.25</v>
      </c>
      <c r="G210" s="26">
        <v>0.375</v>
      </c>
      <c r="H210" s="26">
        <v>0.5</v>
      </c>
      <c r="I210" s="26">
        <v>0.75</v>
      </c>
      <c r="J210" s="26">
        <v>1</v>
      </c>
      <c r="K210" s="26">
        <v>1.25</v>
      </c>
      <c r="L210" s="26">
        <v>1.5</v>
      </c>
      <c r="M210" s="26">
        <v>1.75</v>
      </c>
      <c r="N210" s="26">
        <v>1.75</v>
      </c>
      <c r="O210" s="26">
        <v>1.75</v>
      </c>
      <c r="P210" s="26">
        <v>1.75</v>
      </c>
      <c r="S210" s="270"/>
      <c r="T210" s="270"/>
      <c r="U210" s="270"/>
      <c r="V210" s="270"/>
      <c r="W210" s="270"/>
      <c r="X210" s="270"/>
    </row>
    <row r="211" spans="1:25" ht="15" customHeight="1" x14ac:dyDescent="0.25">
      <c r="A211" s="320"/>
      <c r="B211" s="83" t="s">
        <v>76</v>
      </c>
      <c r="C211" s="26" t="s">
        <v>45</v>
      </c>
      <c r="D211" s="289">
        <v>0.154</v>
      </c>
      <c r="E211" s="289">
        <v>0.154</v>
      </c>
      <c r="F211" s="289">
        <v>0.154</v>
      </c>
      <c r="G211" s="289">
        <v>0.154</v>
      </c>
      <c r="H211" s="289">
        <v>0.154</v>
      </c>
      <c r="I211" s="289">
        <v>0.154</v>
      </c>
      <c r="J211" s="289">
        <v>0.154</v>
      </c>
      <c r="K211" s="289">
        <v>0.154</v>
      </c>
      <c r="L211" s="289">
        <v>0.154</v>
      </c>
      <c r="M211" s="289">
        <v>0.154</v>
      </c>
      <c r="N211" s="289">
        <v>0.154</v>
      </c>
      <c r="O211" s="289">
        <v>0.154</v>
      </c>
      <c r="P211" s="289">
        <v>0.154</v>
      </c>
      <c r="S211" s="312"/>
      <c r="T211" s="312"/>
      <c r="U211" s="312"/>
      <c r="W211" s="270"/>
    </row>
    <row r="212" spans="1:25" ht="15" customHeight="1" x14ac:dyDescent="0.25">
      <c r="A212" s="320"/>
      <c r="B212" s="83" t="s">
        <v>56</v>
      </c>
      <c r="C212" s="26" t="s">
        <v>45</v>
      </c>
      <c r="D212" s="197">
        <v>0</v>
      </c>
      <c r="E212" s="197">
        <v>0.1</v>
      </c>
      <c r="F212" s="197">
        <v>0.3</v>
      </c>
      <c r="G212" s="197">
        <v>0.6</v>
      </c>
      <c r="H212" s="197">
        <v>0.3</v>
      </c>
      <c r="I212" s="197">
        <v>0</v>
      </c>
      <c r="J212" s="197">
        <v>0</v>
      </c>
      <c r="K212" s="197">
        <v>0</v>
      </c>
      <c r="L212" s="197">
        <v>0</v>
      </c>
      <c r="M212" s="197">
        <v>0</v>
      </c>
      <c r="N212" s="197">
        <v>0</v>
      </c>
      <c r="O212" s="197">
        <v>0.3</v>
      </c>
      <c r="P212" s="197">
        <v>0.6</v>
      </c>
      <c r="S212" s="270"/>
      <c r="T212" s="270"/>
      <c r="U212" s="270"/>
      <c r="V212" s="270"/>
      <c r="W212" s="270"/>
      <c r="X212" s="270"/>
    </row>
    <row r="213" spans="1:25" ht="15" customHeight="1" x14ac:dyDescent="0.25">
      <c r="A213" s="320"/>
      <c r="B213" s="83" t="s">
        <v>55</v>
      </c>
      <c r="C213" s="26" t="s">
        <v>45</v>
      </c>
      <c r="D213" s="26">
        <v>0.01</v>
      </c>
      <c r="E213" s="289">
        <v>0.25124999999999997</v>
      </c>
      <c r="F213" s="289">
        <v>0.50249999999999995</v>
      </c>
      <c r="G213" s="289">
        <v>0.50249999999999995</v>
      </c>
      <c r="H213" s="289">
        <v>0.53249999999999997</v>
      </c>
      <c r="I213" s="289">
        <v>0.77249999999999996</v>
      </c>
      <c r="J213" s="289">
        <v>0.83</v>
      </c>
      <c r="K213" s="289">
        <v>1.02</v>
      </c>
      <c r="L213" s="289">
        <v>1.0275000000000001</v>
      </c>
      <c r="M213" s="289">
        <v>1.0349999999999999</v>
      </c>
      <c r="N213" s="289">
        <v>1.0774999999999999</v>
      </c>
      <c r="O213" s="289">
        <v>1.26541666666667</v>
      </c>
      <c r="P213" s="289">
        <v>1.35819696969697</v>
      </c>
      <c r="S213" s="136"/>
    </row>
    <row r="214" spans="1:25" ht="15" customHeight="1" x14ac:dyDescent="0.25">
      <c r="A214" s="320"/>
      <c r="B214" s="83" t="s">
        <v>266</v>
      </c>
      <c r="C214" s="26" t="s">
        <v>167</v>
      </c>
      <c r="D214" s="289">
        <v>0</v>
      </c>
      <c r="E214" s="289">
        <v>0</v>
      </c>
      <c r="F214" s="289">
        <v>0</v>
      </c>
      <c r="G214" s="289">
        <v>-5.3250000000000028</v>
      </c>
      <c r="H214" s="289">
        <v>-10.250624999999999</v>
      </c>
      <c r="I214" s="289">
        <v>-13.288093750000002</v>
      </c>
      <c r="J214" s="289">
        <v>-16.173689062500003</v>
      </c>
      <c r="K214" s="289">
        <v>-20.285662382812504</v>
      </c>
      <c r="L214" s="289">
        <v>-24.089237704101564</v>
      </c>
      <c r="M214" s="289">
        <v>-26</v>
      </c>
      <c r="N214" s="289">
        <v>-26</v>
      </c>
      <c r="O214" s="289">
        <v>-26</v>
      </c>
      <c r="P214" s="289">
        <v>-26</v>
      </c>
      <c r="Q214" s="136"/>
      <c r="R214" s="136"/>
      <c r="S214" s="136"/>
      <c r="T214" s="136"/>
      <c r="U214" s="136"/>
      <c r="V214" s="136"/>
      <c r="W214" s="136"/>
      <c r="X214" s="136"/>
      <c r="Y214" s="136"/>
    </row>
    <row r="215" spans="1:25" ht="15" customHeight="1" x14ac:dyDescent="0.25">
      <c r="A215" s="320"/>
      <c r="B215" s="83" t="s">
        <v>163</v>
      </c>
      <c r="C215" s="26" t="s">
        <v>167</v>
      </c>
      <c r="D215" s="289">
        <v>30.929411764705883</v>
      </c>
      <c r="E215" s="289">
        <v>25</v>
      </c>
      <c r="F215" s="289">
        <v>20</v>
      </c>
      <c r="G215" s="289">
        <v>15</v>
      </c>
      <c r="H215" s="289">
        <v>10</v>
      </c>
      <c r="I215" s="289">
        <v>10</v>
      </c>
      <c r="J215" s="289">
        <v>10</v>
      </c>
      <c r="K215" s="289">
        <v>10</v>
      </c>
      <c r="L215" s="289">
        <v>10</v>
      </c>
      <c r="M215" s="289">
        <v>10</v>
      </c>
      <c r="N215" s="289">
        <v>10</v>
      </c>
      <c r="O215" s="289">
        <v>10</v>
      </c>
      <c r="P215" s="289">
        <v>10</v>
      </c>
    </row>
    <row r="216" spans="1:25" ht="15" customHeight="1" x14ac:dyDescent="0.25">
      <c r="A216" s="320"/>
      <c r="B216" s="81" t="s">
        <v>104</v>
      </c>
      <c r="C216" s="26" t="s">
        <v>167</v>
      </c>
      <c r="D216" s="26">
        <f>40</f>
        <v>40</v>
      </c>
      <c r="E216" s="26">
        <f>40</f>
        <v>40</v>
      </c>
      <c r="F216" s="26">
        <f>40</f>
        <v>40</v>
      </c>
      <c r="G216" s="26">
        <f>40</f>
        <v>40</v>
      </c>
      <c r="H216" s="26">
        <f>40</f>
        <v>40</v>
      </c>
      <c r="I216" s="26">
        <f>40</f>
        <v>40</v>
      </c>
      <c r="J216" s="26">
        <f>40</f>
        <v>40</v>
      </c>
      <c r="K216" s="26">
        <f>40</f>
        <v>40</v>
      </c>
      <c r="L216" s="26">
        <f>40</f>
        <v>40</v>
      </c>
      <c r="M216" s="26">
        <f>40</f>
        <v>40</v>
      </c>
      <c r="N216" s="26">
        <f>40</f>
        <v>40</v>
      </c>
      <c r="O216" s="26">
        <f>40</f>
        <v>40</v>
      </c>
      <c r="P216" s="26">
        <f>40</f>
        <v>40</v>
      </c>
      <c r="S216" s="136"/>
    </row>
    <row r="217" spans="1:25" ht="15" customHeight="1" x14ac:dyDescent="0.25">
      <c r="A217" s="320"/>
      <c r="B217" s="83" t="s">
        <v>57</v>
      </c>
      <c r="C217" s="26" t="s">
        <v>167</v>
      </c>
      <c r="D217" s="26">
        <v>0</v>
      </c>
      <c r="E217" s="26">
        <v>0</v>
      </c>
      <c r="F217" s="26">
        <v>0.28999999999999915</v>
      </c>
      <c r="G217" s="26">
        <v>0.49000000000000021</v>
      </c>
      <c r="H217" s="26">
        <v>0.75999999999999979</v>
      </c>
      <c r="I217" s="26">
        <v>0.75999999999999979</v>
      </c>
      <c r="J217" s="26">
        <v>0.75999999999999979</v>
      </c>
      <c r="K217" s="26">
        <v>0.75999999999999979</v>
      </c>
      <c r="L217" s="26">
        <v>0.75999999999999979</v>
      </c>
      <c r="M217" s="26">
        <v>0.75999999999999979</v>
      </c>
      <c r="N217" s="26">
        <v>0.75999999999999979</v>
      </c>
      <c r="O217" s="26">
        <v>0.75999999999999979</v>
      </c>
      <c r="P217" s="26">
        <v>0.75999999999999979</v>
      </c>
    </row>
    <row r="218" spans="1:25" ht="15.75" customHeight="1" thickBot="1" x14ac:dyDescent="0.3">
      <c r="A218" s="321"/>
      <c r="B218" s="83" t="s">
        <v>261</v>
      </c>
      <c r="C218" s="26" t="s">
        <v>271</v>
      </c>
      <c r="D218" s="26">
        <v>0</v>
      </c>
      <c r="E218" s="195">
        <v>5.0000000000000001E-3</v>
      </c>
      <c r="F218" s="195">
        <v>0.01</v>
      </c>
      <c r="G218" s="195">
        <v>0.02</v>
      </c>
      <c r="H218" s="195">
        <v>0.03</v>
      </c>
      <c r="I218" s="195">
        <v>0.04</v>
      </c>
      <c r="J218" s="195">
        <v>0.05</v>
      </c>
      <c r="K218" s="195">
        <v>0.05</v>
      </c>
      <c r="L218" s="195">
        <v>0.05</v>
      </c>
      <c r="M218" s="195">
        <v>4.4999999999999998E-2</v>
      </c>
      <c r="N218" s="195">
        <v>0.04</v>
      </c>
      <c r="O218" s="195">
        <v>0.03</v>
      </c>
      <c r="P218" s="195">
        <v>0.02</v>
      </c>
    </row>
    <row r="219" spans="1:25" ht="15.75" thickBot="1" x14ac:dyDescent="0.3">
      <c r="A219" s="269"/>
      <c r="B219" s="269"/>
      <c r="C219" s="269"/>
      <c r="D219" s="211">
        <v>125</v>
      </c>
      <c r="E219" s="211">
        <v>150</v>
      </c>
      <c r="F219" s="211">
        <v>150</v>
      </c>
      <c r="G219" s="211">
        <v>150</v>
      </c>
      <c r="H219" s="211">
        <v>100</v>
      </c>
      <c r="I219" s="211">
        <v>85</v>
      </c>
      <c r="J219" s="211">
        <v>85</v>
      </c>
      <c r="K219" s="211">
        <v>85</v>
      </c>
      <c r="L219" s="211">
        <v>100</v>
      </c>
      <c r="M219" s="211">
        <v>100</v>
      </c>
      <c r="N219" s="211">
        <v>110</v>
      </c>
      <c r="O219" s="211">
        <v>110</v>
      </c>
      <c r="P219" s="211">
        <v>110</v>
      </c>
    </row>
    <row r="220" spans="1:25" x14ac:dyDescent="0.25">
      <c r="A220" s="319" t="s">
        <v>268</v>
      </c>
      <c r="B220" s="76" t="s">
        <v>72</v>
      </c>
      <c r="C220" s="309" t="s">
        <v>15</v>
      </c>
      <c r="D220" s="198">
        <v>2018</v>
      </c>
      <c r="E220" s="198">
        <v>2019</v>
      </c>
      <c r="F220" s="198">
        <v>2020</v>
      </c>
      <c r="G220" s="198">
        <v>2021</v>
      </c>
      <c r="H220" s="198">
        <v>2022</v>
      </c>
      <c r="I220" s="198">
        <v>2023</v>
      </c>
      <c r="J220" s="198">
        <v>2024</v>
      </c>
      <c r="K220" s="198">
        <v>2025</v>
      </c>
      <c r="L220" s="4">
        <v>2026</v>
      </c>
      <c r="M220" s="4">
        <v>2027</v>
      </c>
      <c r="N220" s="4">
        <v>2028</v>
      </c>
      <c r="O220" s="4">
        <v>2029</v>
      </c>
      <c r="P220" s="4">
        <v>2030</v>
      </c>
    </row>
    <row r="221" spans="1:25" x14ac:dyDescent="0.25">
      <c r="A221" s="320"/>
      <c r="B221" s="76" t="s">
        <v>158</v>
      </c>
      <c r="C221" s="4" t="s">
        <v>18</v>
      </c>
      <c r="D221" s="219">
        <v>21.954198859999998</v>
      </c>
      <c r="E221" s="219">
        <v>25.79566213</v>
      </c>
      <c r="F221" s="219">
        <v>29.947523820000001</v>
      </c>
      <c r="G221" s="219">
        <v>34.409783930000003</v>
      </c>
      <c r="H221" s="219">
        <v>39.182442460000004</v>
      </c>
      <c r="I221" s="219">
        <v>44.265499409999997</v>
      </c>
      <c r="J221" s="219">
        <v>49.658954780000002</v>
      </c>
      <c r="K221" s="219">
        <v>55.362808569999999</v>
      </c>
      <c r="L221" s="219">
        <v>61.377060779999994</v>
      </c>
      <c r="M221" s="219">
        <v>67.701711410000001</v>
      </c>
      <c r="N221" s="219">
        <v>74.336760459999994</v>
      </c>
      <c r="O221" s="219">
        <v>81.282207929999998</v>
      </c>
      <c r="P221" s="219">
        <v>88.538053819999988</v>
      </c>
    </row>
    <row r="222" spans="1:25" x14ac:dyDescent="0.25">
      <c r="A222" s="320"/>
      <c r="B222" s="76" t="s">
        <v>17</v>
      </c>
      <c r="C222" s="4" t="s">
        <v>18</v>
      </c>
      <c r="D222" s="190">
        <v>2.0166397615795355</v>
      </c>
      <c r="E222" s="190">
        <v>4.033279523159071</v>
      </c>
      <c r="F222" s="190">
        <v>7.4866509375388048</v>
      </c>
      <c r="G222" s="190">
        <v>11.508297006019333</v>
      </c>
      <c r="H222" s="190">
        <v>16.249135193627929</v>
      </c>
      <c r="I222" s="190">
        <v>22.164050263776673</v>
      </c>
      <c r="J222" s="190">
        <v>30.406059853470754</v>
      </c>
      <c r="K222" s="190">
        <v>41.012873049381184</v>
      </c>
      <c r="L222" s="190">
        <v>51.043503456268887</v>
      </c>
      <c r="M222" s="190">
        <v>70</v>
      </c>
      <c r="N222" s="190">
        <v>95</v>
      </c>
      <c r="O222" s="190">
        <v>110</v>
      </c>
      <c r="P222" s="190">
        <v>125</v>
      </c>
    </row>
    <row r="223" spans="1:25" x14ac:dyDescent="0.25">
      <c r="A223" s="320"/>
      <c r="B223" s="76" t="s">
        <v>124</v>
      </c>
      <c r="C223" s="4" t="s">
        <v>18</v>
      </c>
      <c r="D223" s="190">
        <v>100</v>
      </c>
      <c r="E223" s="190">
        <v>150</v>
      </c>
      <c r="F223" s="190">
        <v>150</v>
      </c>
      <c r="G223" s="190">
        <v>150</v>
      </c>
      <c r="H223" s="190">
        <v>100</v>
      </c>
      <c r="I223" s="190">
        <v>50</v>
      </c>
      <c r="J223" s="190">
        <v>0</v>
      </c>
      <c r="K223" s="190">
        <v>0</v>
      </c>
      <c r="L223" s="190">
        <v>0</v>
      </c>
      <c r="M223" s="190">
        <v>0</v>
      </c>
      <c r="N223" s="190">
        <v>0</v>
      </c>
      <c r="O223" s="190">
        <v>0</v>
      </c>
      <c r="P223" s="190">
        <v>0</v>
      </c>
    </row>
    <row r="224" spans="1:25" x14ac:dyDescent="0.25">
      <c r="A224" s="320"/>
      <c r="B224" s="76" t="s">
        <v>16</v>
      </c>
      <c r="C224" s="4" t="s">
        <v>18</v>
      </c>
      <c r="D224" s="190">
        <v>0</v>
      </c>
      <c r="E224" s="190">
        <v>0</v>
      </c>
      <c r="F224" s="190">
        <v>0</v>
      </c>
      <c r="G224" s="190">
        <v>0</v>
      </c>
      <c r="H224" s="190">
        <v>0</v>
      </c>
      <c r="I224" s="190">
        <v>0</v>
      </c>
      <c r="J224" s="190">
        <v>0</v>
      </c>
      <c r="K224" s="190">
        <v>0</v>
      </c>
      <c r="L224" s="190">
        <v>0</v>
      </c>
      <c r="M224" s="190">
        <v>0</v>
      </c>
      <c r="N224" s="190">
        <v>0</v>
      </c>
      <c r="O224" s="190">
        <v>0</v>
      </c>
      <c r="P224" s="190">
        <v>0</v>
      </c>
    </row>
    <row r="225" spans="1:27" x14ac:dyDescent="0.25">
      <c r="A225" s="320"/>
      <c r="B225" s="76" t="s">
        <v>5</v>
      </c>
      <c r="C225" s="4" t="s">
        <v>112</v>
      </c>
      <c r="D225" s="220">
        <v>0.71909999999999996</v>
      </c>
      <c r="E225" s="220">
        <v>1.3375999999999999</v>
      </c>
      <c r="F225" s="220">
        <v>2.3818000000000001</v>
      </c>
      <c r="G225" s="220">
        <v>3.8589000000000002</v>
      </c>
      <c r="H225" s="220">
        <v>6.1199000000000003</v>
      </c>
      <c r="I225" s="220">
        <v>12.969796448400741</v>
      </c>
      <c r="J225" s="220">
        <v>23.844189345202228</v>
      </c>
      <c r="K225" s="220">
        <v>34.718582242003706</v>
      </c>
      <c r="L225" s="191">
        <v>46.503340140812966</v>
      </c>
      <c r="M225" s="191">
        <v>60.43963971087399</v>
      </c>
      <c r="N225" s="191">
        <v>76.90295046180654</v>
      </c>
      <c r="O225" s="191">
        <v>95.924299289722157</v>
      </c>
      <c r="P225" s="191">
        <v>117.46945822516899</v>
      </c>
    </row>
    <row r="226" spans="1:27" x14ac:dyDescent="0.25">
      <c r="A226" s="320"/>
      <c r="B226" s="76" t="s">
        <v>0</v>
      </c>
      <c r="C226" s="4" t="s">
        <v>19</v>
      </c>
      <c r="D226" s="221">
        <v>1193.638616</v>
      </c>
      <c r="E226" s="221">
        <v>1351.3739760000001</v>
      </c>
      <c r="F226" s="221">
        <v>1562.7517760000001</v>
      </c>
      <c r="G226" s="221">
        <v>1828.233696</v>
      </c>
      <c r="H226" s="221">
        <v>2124.219928</v>
      </c>
      <c r="I226" s="221">
        <v>2685.1889290279537</v>
      </c>
      <c r="J226" s="221">
        <v>3502.6569310838604</v>
      </c>
      <c r="K226" s="221">
        <v>4320.1249331397676</v>
      </c>
      <c r="L226" s="221">
        <v>5190.3348290815702</v>
      </c>
      <c r="M226" s="221">
        <v>6204.5862699682757</v>
      </c>
      <c r="N226" s="221">
        <v>7406.3858761759302</v>
      </c>
      <c r="O226" s="221">
        <v>8799.450102282628</v>
      </c>
      <c r="P226" s="221">
        <v>10381.371019384236</v>
      </c>
    </row>
    <row r="227" spans="1:27" x14ac:dyDescent="0.25">
      <c r="A227" s="320"/>
      <c r="B227" s="76" t="s">
        <v>38</v>
      </c>
      <c r="C227" s="4" t="s">
        <v>18</v>
      </c>
      <c r="D227" s="192">
        <v>200</v>
      </c>
      <c r="E227" s="192">
        <v>275</v>
      </c>
      <c r="F227" s="192">
        <v>350</v>
      </c>
      <c r="G227" s="192">
        <v>425</v>
      </c>
      <c r="H227" s="192">
        <v>500</v>
      </c>
      <c r="I227" s="192">
        <v>500</v>
      </c>
      <c r="J227" s="192">
        <v>500</v>
      </c>
      <c r="K227" s="192">
        <v>500</v>
      </c>
      <c r="L227" s="192">
        <v>500</v>
      </c>
      <c r="M227" s="192">
        <v>500</v>
      </c>
      <c r="N227" s="192">
        <v>500</v>
      </c>
      <c r="O227" s="192">
        <v>500</v>
      </c>
      <c r="P227" s="192">
        <v>500</v>
      </c>
    </row>
    <row r="228" spans="1:27" x14ac:dyDescent="0.25">
      <c r="A228" s="320"/>
      <c r="B228" s="76" t="s">
        <v>1</v>
      </c>
      <c r="C228" s="4" t="s">
        <v>18</v>
      </c>
      <c r="D228" s="192">
        <v>450</v>
      </c>
      <c r="E228" s="192">
        <v>550</v>
      </c>
      <c r="F228" s="192">
        <v>650</v>
      </c>
      <c r="G228" s="192">
        <v>750</v>
      </c>
      <c r="H228" s="192">
        <v>850</v>
      </c>
      <c r="I228" s="192">
        <v>900</v>
      </c>
      <c r="J228" s="192">
        <v>900</v>
      </c>
      <c r="K228" s="192">
        <v>900</v>
      </c>
      <c r="L228" s="192">
        <v>1000</v>
      </c>
      <c r="M228" s="192">
        <v>1000</v>
      </c>
      <c r="N228" s="192">
        <v>1100</v>
      </c>
      <c r="O228" s="192">
        <v>1100</v>
      </c>
      <c r="P228" s="192">
        <v>1100</v>
      </c>
    </row>
    <row r="229" spans="1:27" x14ac:dyDescent="0.25">
      <c r="A229" s="320"/>
      <c r="B229" s="76" t="s">
        <v>82</v>
      </c>
      <c r="C229" s="4" t="s">
        <v>61</v>
      </c>
      <c r="D229" s="191">
        <v>156.38432364096082</v>
      </c>
      <c r="E229" s="191">
        <v>173.07206068268016</v>
      </c>
      <c r="F229" s="191">
        <v>192.58570684911132</v>
      </c>
      <c r="G229" s="191">
        <v>212.6794080464044</v>
      </c>
      <c r="H229" s="191">
        <v>234.2083736149327</v>
      </c>
      <c r="I229" s="191">
        <v>255.00855209340375</v>
      </c>
      <c r="J229" s="191">
        <v>283.88488138618277</v>
      </c>
      <c r="K229" s="191">
        <v>288.06425224957241</v>
      </c>
      <c r="L229" s="191">
        <v>294.935673384398</v>
      </c>
      <c r="M229" s="191">
        <v>301.5839964304306</v>
      </c>
      <c r="N229" s="191">
        <v>307.39941994496911</v>
      </c>
      <c r="O229" s="191">
        <v>313.05867479735258</v>
      </c>
      <c r="P229" s="191">
        <v>319.1864356362014</v>
      </c>
    </row>
    <row r="230" spans="1:27" x14ac:dyDescent="0.25">
      <c r="A230" s="320"/>
      <c r="B230" s="76" t="s">
        <v>33</v>
      </c>
      <c r="C230" s="4" t="s">
        <v>61</v>
      </c>
      <c r="D230" s="191">
        <v>25</v>
      </c>
      <c r="E230" s="191">
        <v>0</v>
      </c>
      <c r="F230" s="191">
        <v>0</v>
      </c>
      <c r="G230" s="191">
        <v>0</v>
      </c>
      <c r="H230" s="191">
        <v>0</v>
      </c>
      <c r="I230" s="191">
        <v>0</v>
      </c>
      <c r="J230" s="191">
        <v>0</v>
      </c>
      <c r="K230" s="191">
        <v>0</v>
      </c>
      <c r="L230" s="191">
        <v>0</v>
      </c>
      <c r="M230" s="191">
        <v>0</v>
      </c>
      <c r="N230" s="191">
        <v>0</v>
      </c>
      <c r="O230" s="191">
        <v>0</v>
      </c>
      <c r="P230" s="191">
        <v>0</v>
      </c>
    </row>
    <row r="231" spans="1:27" x14ac:dyDescent="0.25">
      <c r="A231" s="320"/>
      <c r="B231" s="76" t="s">
        <v>103</v>
      </c>
      <c r="C231" s="4" t="s">
        <v>112</v>
      </c>
      <c r="D231" s="190">
        <v>4.2563122435700422E-2</v>
      </c>
      <c r="E231" s="190">
        <v>7.9221596798729643E-2</v>
      </c>
      <c r="F231" s="190">
        <v>0.12104481719249827</v>
      </c>
      <c r="G231" s="190">
        <v>0.1816060687387489</v>
      </c>
      <c r="H231" s="190">
        <v>0.27756822157499184</v>
      </c>
      <c r="I231" s="190">
        <v>0.37832792169431789</v>
      </c>
      <c r="J231" s="190">
        <v>0.5684160505621817</v>
      </c>
      <c r="K231" s="190">
        <v>0.80546664639454091</v>
      </c>
      <c r="L231" s="190">
        <v>1.1207288866548697</v>
      </c>
      <c r="M231" s="190">
        <v>1.5293722472561442</v>
      </c>
      <c r="N231" s="190">
        <v>2.0295901497354025</v>
      </c>
      <c r="O231" s="190">
        <v>2.6791165470450999</v>
      </c>
      <c r="P231" s="190">
        <v>3.5256743672802955</v>
      </c>
    </row>
    <row r="232" spans="1:27" x14ac:dyDescent="0.25">
      <c r="A232" s="320"/>
      <c r="B232" s="76" t="s">
        <v>89</v>
      </c>
      <c r="C232" s="4" t="s">
        <v>19</v>
      </c>
      <c r="D232" s="190">
        <v>10.402955513673991</v>
      </c>
      <c r="E232" s="190">
        <v>21.99355244200974</v>
      </c>
      <c r="F232" s="190">
        <v>38.824390017528302</v>
      </c>
      <c r="G232" s="190">
        <v>58.149856742870597</v>
      </c>
      <c r="H232" s="190">
        <v>97.3073839019399</v>
      </c>
      <c r="I232" s="190">
        <v>146.088656830633</v>
      </c>
      <c r="J232" s="190">
        <v>238.50207872244439</v>
      </c>
      <c r="K232" s="190">
        <v>350.525473011901</v>
      </c>
      <c r="L232" s="190">
        <v>483.18676801670301</v>
      </c>
      <c r="M232" s="190">
        <v>623.48797719434697</v>
      </c>
      <c r="N232" s="190">
        <v>756.11606245709004</v>
      </c>
      <c r="O232" s="190">
        <v>889.00870624910499</v>
      </c>
      <c r="P232" s="190">
        <v>1024.46109319377</v>
      </c>
    </row>
    <row r="233" spans="1:27" x14ac:dyDescent="0.25">
      <c r="A233" s="320"/>
      <c r="B233" s="76" t="s">
        <v>119</v>
      </c>
      <c r="C233" s="4" t="s">
        <v>19</v>
      </c>
      <c r="D233" s="190">
        <v>1412</v>
      </c>
      <c r="E233" s="190">
        <v>1412</v>
      </c>
      <c r="F233" s="190">
        <v>1412</v>
      </c>
      <c r="G233" s="190">
        <v>1412</v>
      </c>
      <c r="H233" s="190">
        <v>1412</v>
      </c>
      <c r="I233" s="190">
        <v>1412</v>
      </c>
      <c r="J233" s="190">
        <v>1412</v>
      </c>
      <c r="K233" s="190">
        <v>1412</v>
      </c>
      <c r="L233" s="190">
        <v>1412</v>
      </c>
      <c r="M233" s="190">
        <v>1412</v>
      </c>
      <c r="N233" s="190">
        <v>1412</v>
      </c>
      <c r="O233" s="190">
        <v>1412</v>
      </c>
      <c r="P233" s="190">
        <v>1412</v>
      </c>
    </row>
    <row r="234" spans="1:27" x14ac:dyDescent="0.25">
      <c r="A234" s="320"/>
      <c r="B234" s="76" t="s">
        <v>161</v>
      </c>
      <c r="C234" s="4" t="s">
        <v>157</v>
      </c>
      <c r="D234" s="190">
        <v>0</v>
      </c>
      <c r="E234" s="190">
        <v>27.82</v>
      </c>
      <c r="F234" s="190">
        <v>27.82</v>
      </c>
      <c r="G234" s="190">
        <v>27.82</v>
      </c>
      <c r="H234" s="190">
        <v>27.82</v>
      </c>
      <c r="I234" s="190">
        <v>27.82</v>
      </c>
      <c r="J234" s="190">
        <v>27.82</v>
      </c>
      <c r="K234" s="190">
        <v>27.82</v>
      </c>
      <c r="L234" s="190">
        <v>27.82</v>
      </c>
      <c r="M234" s="190">
        <v>27.82</v>
      </c>
      <c r="N234" s="190">
        <v>27.82</v>
      </c>
      <c r="O234" s="190">
        <v>27.82</v>
      </c>
      <c r="P234" s="190">
        <v>27.82</v>
      </c>
    </row>
    <row r="235" spans="1:27" x14ac:dyDescent="0.25">
      <c r="A235" s="320"/>
      <c r="B235" s="76" t="s">
        <v>68</v>
      </c>
      <c r="C235" s="4" t="s">
        <v>18</v>
      </c>
      <c r="D235" s="194">
        <v>0</v>
      </c>
      <c r="E235" s="191">
        <v>20</v>
      </c>
      <c r="F235" s="191">
        <v>40</v>
      </c>
      <c r="G235" s="191">
        <v>80</v>
      </c>
      <c r="H235" s="191">
        <v>150</v>
      </c>
      <c r="I235" s="191">
        <v>175</v>
      </c>
      <c r="J235" s="191">
        <v>175</v>
      </c>
      <c r="K235" s="191">
        <v>175</v>
      </c>
      <c r="L235" s="191">
        <v>200</v>
      </c>
      <c r="M235" s="191">
        <v>200</v>
      </c>
      <c r="N235" s="191">
        <v>200</v>
      </c>
      <c r="O235" s="191">
        <v>225</v>
      </c>
      <c r="P235" s="191">
        <v>225</v>
      </c>
    </row>
    <row r="236" spans="1:27" x14ac:dyDescent="0.25">
      <c r="A236" s="320"/>
      <c r="B236" s="83" t="s">
        <v>81</v>
      </c>
      <c r="C236" s="26" t="s">
        <v>43</v>
      </c>
      <c r="D236" s="195">
        <v>1.4999999999999999E-2</v>
      </c>
      <c r="E236" s="195">
        <v>2.2499999999999999E-2</v>
      </c>
      <c r="F236" s="195">
        <v>0.03</v>
      </c>
      <c r="G236" s="195">
        <v>0.04</v>
      </c>
      <c r="H236" s="195">
        <v>0.06</v>
      </c>
      <c r="I236" s="195">
        <v>0.08</v>
      </c>
      <c r="J236" s="195">
        <v>0.1</v>
      </c>
      <c r="K236" s="195">
        <v>0.12</v>
      </c>
      <c r="L236" s="195">
        <v>0.14000000000000001</v>
      </c>
      <c r="M236" s="195">
        <v>0.16</v>
      </c>
      <c r="N236" s="195">
        <v>0.18</v>
      </c>
      <c r="O236" s="195">
        <v>0.22</v>
      </c>
      <c r="P236" s="195">
        <v>0.24</v>
      </c>
    </row>
    <row r="237" spans="1:27" x14ac:dyDescent="0.25">
      <c r="A237" s="320"/>
      <c r="B237" s="83" t="s">
        <v>54</v>
      </c>
      <c r="C237" s="26" t="s">
        <v>45</v>
      </c>
      <c r="D237" s="26">
        <v>3.0000000000000001E-3</v>
      </c>
      <c r="E237" s="26">
        <v>0.02</v>
      </c>
      <c r="F237" s="26">
        <v>0.25</v>
      </c>
      <c r="G237" s="26">
        <v>0.375</v>
      </c>
      <c r="H237" s="218">
        <v>0.5</v>
      </c>
      <c r="I237" s="218">
        <v>0.625</v>
      </c>
      <c r="J237" s="218">
        <v>0.75</v>
      </c>
      <c r="K237" s="218">
        <v>0.875</v>
      </c>
      <c r="L237" s="218">
        <v>1</v>
      </c>
      <c r="M237" s="218">
        <v>1.125</v>
      </c>
      <c r="N237" s="218">
        <v>1.25</v>
      </c>
      <c r="O237" s="218">
        <v>1.375</v>
      </c>
      <c r="P237" s="218">
        <v>1.5</v>
      </c>
      <c r="V237" s="270"/>
      <c r="W237" s="270"/>
      <c r="X237" s="270"/>
      <c r="Y237" s="270"/>
      <c r="Z237" s="270"/>
      <c r="AA237" s="270"/>
    </row>
    <row r="238" spans="1:27" x14ac:dyDescent="0.25">
      <c r="A238" s="320"/>
      <c r="B238" s="83" t="s">
        <v>76</v>
      </c>
      <c r="C238" s="26" t="s">
        <v>45</v>
      </c>
      <c r="D238" s="289">
        <v>0.154</v>
      </c>
      <c r="E238" s="289">
        <v>0.154</v>
      </c>
      <c r="F238" s="289">
        <v>0.154</v>
      </c>
      <c r="G238" s="289">
        <v>0.154</v>
      </c>
      <c r="H238" s="289">
        <v>0.154</v>
      </c>
      <c r="I238" s="289">
        <v>0.154</v>
      </c>
      <c r="J238" s="289">
        <v>0.154</v>
      </c>
      <c r="K238" s="289">
        <v>0.154</v>
      </c>
      <c r="L238" s="289">
        <v>0.154</v>
      </c>
      <c r="M238" s="289">
        <v>0.154</v>
      </c>
      <c r="N238" s="289">
        <v>0.154</v>
      </c>
      <c r="O238" s="289">
        <v>0.154</v>
      </c>
      <c r="P238" s="289">
        <v>0.154</v>
      </c>
      <c r="U238" s="270"/>
      <c r="V238" s="270"/>
      <c r="W238" s="270"/>
      <c r="X238" s="270"/>
      <c r="Y238" s="270"/>
      <c r="Z238" s="270"/>
      <c r="AA238" s="270"/>
    </row>
    <row r="239" spans="1:27" x14ac:dyDescent="0.25">
      <c r="A239" s="320"/>
      <c r="B239" s="83" t="s">
        <v>56</v>
      </c>
      <c r="C239" s="26" t="s">
        <v>45</v>
      </c>
      <c r="D239" s="197">
        <v>0</v>
      </c>
      <c r="E239" s="197">
        <v>0.1</v>
      </c>
      <c r="F239" s="197">
        <v>0.3</v>
      </c>
      <c r="G239" s="197">
        <v>0.6</v>
      </c>
      <c r="H239" s="197">
        <v>0.3</v>
      </c>
      <c r="I239" s="197">
        <v>0</v>
      </c>
      <c r="J239" s="197">
        <v>0</v>
      </c>
      <c r="K239" s="197">
        <v>0</v>
      </c>
      <c r="L239" s="197">
        <v>0</v>
      </c>
      <c r="M239" s="197">
        <v>0</v>
      </c>
      <c r="N239" s="197">
        <v>0</v>
      </c>
      <c r="O239" s="197">
        <v>0</v>
      </c>
      <c r="P239" s="197">
        <v>0</v>
      </c>
      <c r="U239" s="270"/>
      <c r="V239" s="270"/>
      <c r="W239" s="270"/>
      <c r="X239" s="270"/>
      <c r="Z239" s="270"/>
      <c r="AA239" s="270"/>
    </row>
    <row r="240" spans="1:27" x14ac:dyDescent="0.25">
      <c r="A240" s="320"/>
      <c r="B240" s="83" t="s">
        <v>55</v>
      </c>
      <c r="C240" s="26" t="s">
        <v>45</v>
      </c>
      <c r="D240" s="26">
        <v>0.01</v>
      </c>
      <c r="E240" s="289">
        <v>0.16749999999999998</v>
      </c>
      <c r="F240" s="289">
        <v>0.33499999999999996</v>
      </c>
      <c r="G240" s="289">
        <v>0.33499999999999996</v>
      </c>
      <c r="H240" s="289">
        <v>0.35499999999999998</v>
      </c>
      <c r="I240" s="289">
        <v>0.51500000000000001</v>
      </c>
      <c r="J240" s="289">
        <v>0.55333333333333334</v>
      </c>
      <c r="K240" s="289">
        <v>0.68</v>
      </c>
      <c r="L240" s="289">
        <v>0.68500000000000005</v>
      </c>
      <c r="M240" s="289">
        <v>0.69</v>
      </c>
      <c r="N240" s="289">
        <v>0.71833333333333327</v>
      </c>
      <c r="O240" s="289">
        <v>0.71833333333333327</v>
      </c>
      <c r="P240" s="289">
        <v>0.71833333333333327</v>
      </c>
      <c r="T240" s="270"/>
    </row>
    <row r="241" spans="1:20" x14ac:dyDescent="0.25">
      <c r="A241" s="320"/>
      <c r="B241" s="83" t="s">
        <v>266</v>
      </c>
      <c r="C241" s="26" t="s">
        <v>167</v>
      </c>
      <c r="D241" s="289">
        <v>0</v>
      </c>
      <c r="E241" s="289">
        <v>0</v>
      </c>
      <c r="F241" s="289">
        <v>0</v>
      </c>
      <c r="G241" s="289">
        <v>-5.3250000000000028</v>
      </c>
      <c r="H241" s="289">
        <v>-10.250624999999999</v>
      </c>
      <c r="I241" s="289">
        <v>-13.288093750000002</v>
      </c>
      <c r="J241" s="289">
        <v>-16.173689062500003</v>
      </c>
      <c r="K241" s="289">
        <v>-18.915004609375003</v>
      </c>
      <c r="L241" s="289">
        <v>-22.821379263671879</v>
      </c>
      <c r="M241" s="289">
        <v>-26</v>
      </c>
      <c r="N241" s="289">
        <v>-26</v>
      </c>
      <c r="O241" s="289">
        <v>-26</v>
      </c>
      <c r="P241" s="289">
        <v>-26</v>
      </c>
      <c r="R241" s="136"/>
      <c r="T241" s="270"/>
    </row>
    <row r="242" spans="1:20" x14ac:dyDescent="0.25">
      <c r="A242" s="320"/>
      <c r="B242" s="83" t="s">
        <v>163</v>
      </c>
      <c r="C242" s="26" t="s">
        <v>167</v>
      </c>
      <c r="D242" s="289">
        <v>30.929411764705883</v>
      </c>
      <c r="E242" s="289">
        <v>25</v>
      </c>
      <c r="F242" s="289">
        <v>20</v>
      </c>
      <c r="G242" s="289">
        <v>15</v>
      </c>
      <c r="H242" s="289">
        <v>10</v>
      </c>
      <c r="I242" s="289">
        <v>10</v>
      </c>
      <c r="J242" s="289">
        <v>10</v>
      </c>
      <c r="K242" s="289">
        <v>10</v>
      </c>
      <c r="L242" s="289">
        <v>10</v>
      </c>
      <c r="M242" s="289">
        <v>10</v>
      </c>
      <c r="N242" s="289">
        <v>10</v>
      </c>
      <c r="O242" s="289">
        <v>10</v>
      </c>
      <c r="P242" s="289">
        <v>10</v>
      </c>
    </row>
    <row r="243" spans="1:20" x14ac:dyDescent="0.25">
      <c r="A243" s="320"/>
      <c r="B243" s="81" t="s">
        <v>104</v>
      </c>
      <c r="C243" s="26" t="s">
        <v>167</v>
      </c>
      <c r="D243" s="26">
        <f>40</f>
        <v>40</v>
      </c>
      <c r="E243" s="26">
        <f>40</f>
        <v>40</v>
      </c>
      <c r="F243" s="26">
        <f>40</f>
        <v>40</v>
      </c>
      <c r="G243" s="26">
        <f>40</f>
        <v>40</v>
      </c>
      <c r="H243" s="26">
        <f>40</f>
        <v>40</v>
      </c>
      <c r="I243" s="26">
        <f>40</f>
        <v>40</v>
      </c>
      <c r="J243" s="26">
        <f>40</f>
        <v>40</v>
      </c>
      <c r="K243" s="26">
        <f>40</f>
        <v>40</v>
      </c>
      <c r="L243" s="26">
        <f>40</f>
        <v>40</v>
      </c>
      <c r="M243" s="26">
        <f>40</f>
        <v>40</v>
      </c>
      <c r="N243" s="26">
        <f>40</f>
        <v>40</v>
      </c>
      <c r="O243" s="26">
        <f>40</f>
        <v>40</v>
      </c>
      <c r="P243" s="26">
        <f>40</f>
        <v>40</v>
      </c>
    </row>
    <row r="244" spans="1:20" x14ac:dyDescent="0.25">
      <c r="A244" s="320"/>
      <c r="B244" s="83" t="s">
        <v>57</v>
      </c>
      <c r="C244" s="26" t="s">
        <v>167</v>
      </c>
      <c r="D244" s="26">
        <v>0</v>
      </c>
      <c r="E244" s="26">
        <v>0</v>
      </c>
      <c r="F244" s="26">
        <v>0.28999999999999915</v>
      </c>
      <c r="G244" s="26">
        <v>0.49000000000000021</v>
      </c>
      <c r="H244" s="26">
        <v>0.75999999999999979</v>
      </c>
      <c r="I244" s="26">
        <v>0.75999999999999979</v>
      </c>
      <c r="J244" s="26">
        <v>0.75999999999999979</v>
      </c>
      <c r="K244" s="26">
        <v>0.75999999999999979</v>
      </c>
      <c r="L244" s="26">
        <v>0.75999999999999979</v>
      </c>
      <c r="M244" s="26">
        <v>0.75999999999999979</v>
      </c>
      <c r="N244" s="26">
        <v>0.75999999999999979</v>
      </c>
      <c r="O244" s="26">
        <v>0.75999999999999979</v>
      </c>
      <c r="P244" s="26">
        <v>0.75999999999999979</v>
      </c>
    </row>
    <row r="245" spans="1:20" ht="15.75" thickBot="1" x14ac:dyDescent="0.3">
      <c r="A245" s="321"/>
      <c r="B245" s="83" t="s">
        <v>261</v>
      </c>
      <c r="C245" s="26" t="s">
        <v>271</v>
      </c>
      <c r="D245" s="26">
        <v>0</v>
      </c>
      <c r="E245" s="195">
        <v>5.0000000000000001E-3</v>
      </c>
      <c r="F245" s="195">
        <v>0.01</v>
      </c>
      <c r="G245" s="195">
        <v>0.02</v>
      </c>
      <c r="H245" s="195">
        <v>0.03</v>
      </c>
      <c r="I245" s="195">
        <v>0.04</v>
      </c>
      <c r="J245" s="195">
        <v>0.05</v>
      </c>
      <c r="K245" s="195">
        <v>0.05</v>
      </c>
      <c r="L245" s="195">
        <v>0.05</v>
      </c>
      <c r="M245" s="195">
        <v>4.4999999999999998E-2</v>
      </c>
      <c r="N245" s="195">
        <v>0.04</v>
      </c>
      <c r="O245" s="195">
        <v>0.03</v>
      </c>
      <c r="P245" s="195">
        <v>0.02</v>
      </c>
    </row>
    <row r="246" spans="1:20" ht="15.75" thickBot="1" x14ac:dyDescent="0.3">
      <c r="A246" s="269"/>
      <c r="B246" s="269"/>
      <c r="C246" s="269"/>
      <c r="D246" s="211">
        <v>125</v>
      </c>
      <c r="E246" s="211">
        <v>150</v>
      </c>
      <c r="F246" s="211">
        <v>200</v>
      </c>
      <c r="G246" s="211">
        <v>200</v>
      </c>
      <c r="H246" s="211">
        <v>150</v>
      </c>
      <c r="I246" s="211">
        <v>100</v>
      </c>
      <c r="J246" s="211">
        <v>75</v>
      </c>
      <c r="K246" s="211">
        <v>75</v>
      </c>
      <c r="L246" s="211">
        <v>75</v>
      </c>
      <c r="M246" s="211">
        <v>75</v>
      </c>
      <c r="N246" s="211">
        <v>80</v>
      </c>
      <c r="O246" s="211">
        <v>85</v>
      </c>
      <c r="P246" s="211">
        <v>95</v>
      </c>
    </row>
    <row r="247" spans="1:20" ht="15" customHeight="1" x14ac:dyDescent="0.25">
      <c r="A247" s="319" t="s">
        <v>272</v>
      </c>
      <c r="B247" s="76" t="s">
        <v>72</v>
      </c>
      <c r="C247" s="309" t="s">
        <v>15</v>
      </c>
      <c r="D247" s="198">
        <v>2018</v>
      </c>
      <c r="E247" s="198">
        <v>2019</v>
      </c>
      <c r="F247" s="198">
        <v>2020</v>
      </c>
      <c r="G247" s="198">
        <v>2021</v>
      </c>
      <c r="H247" s="198">
        <v>2022</v>
      </c>
      <c r="I247" s="198">
        <v>2023</v>
      </c>
      <c r="J247" s="198">
        <v>2024</v>
      </c>
      <c r="K247" s="198">
        <v>2025</v>
      </c>
      <c r="L247" s="4">
        <v>2026</v>
      </c>
      <c r="M247" s="4">
        <v>2027</v>
      </c>
      <c r="N247" s="4">
        <v>2028</v>
      </c>
      <c r="O247" s="4">
        <v>2029</v>
      </c>
      <c r="P247" s="4">
        <v>2030</v>
      </c>
    </row>
    <row r="248" spans="1:20" ht="15" customHeight="1" x14ac:dyDescent="0.25">
      <c r="A248" s="320"/>
      <c r="B248" s="76" t="s">
        <v>158</v>
      </c>
      <c r="C248" s="4" t="s">
        <v>18</v>
      </c>
      <c r="D248" s="219">
        <v>21.954198859999998</v>
      </c>
      <c r="E248" s="219">
        <v>25.79566213</v>
      </c>
      <c r="F248" s="219">
        <v>29.947523820000001</v>
      </c>
      <c r="G248" s="219">
        <v>34.409783930000003</v>
      </c>
      <c r="H248" s="219">
        <v>39.182442460000004</v>
      </c>
      <c r="I248" s="219">
        <v>44.265499409999997</v>
      </c>
      <c r="J248" s="219">
        <v>49.658954780000002</v>
      </c>
      <c r="K248" s="219">
        <v>55.362808569999999</v>
      </c>
      <c r="L248" s="219">
        <v>61.377060779999994</v>
      </c>
      <c r="M248" s="219">
        <v>67.701711410000001</v>
      </c>
      <c r="N248" s="219">
        <v>74.336760459999994</v>
      </c>
      <c r="O248" s="219">
        <v>81.282207929999998</v>
      </c>
      <c r="P248" s="219">
        <v>88.538053819999988</v>
      </c>
    </row>
    <row r="249" spans="1:20" ht="15" customHeight="1" x14ac:dyDescent="0.25">
      <c r="A249" s="320"/>
      <c r="B249" s="76" t="s">
        <v>17</v>
      </c>
      <c r="C249" s="4" t="s">
        <v>18</v>
      </c>
      <c r="D249" s="190">
        <v>2.0166397615795355</v>
      </c>
      <c r="E249" s="190">
        <v>4.033279523159071</v>
      </c>
      <c r="F249" s="190">
        <v>7.4866509375388048</v>
      </c>
      <c r="G249" s="190">
        <v>11.508297006019333</v>
      </c>
      <c r="H249" s="190">
        <v>16.249135193627929</v>
      </c>
      <c r="I249" s="190">
        <v>22.164050263776673</v>
      </c>
      <c r="J249" s="190">
        <v>30.406059853470754</v>
      </c>
      <c r="K249" s="190">
        <v>41.012873049381184</v>
      </c>
      <c r="L249" s="190">
        <v>51.043503456268887</v>
      </c>
      <c r="M249" s="190">
        <v>70</v>
      </c>
      <c r="N249" s="190">
        <v>95</v>
      </c>
      <c r="O249" s="190">
        <v>100</v>
      </c>
      <c r="P249" s="190">
        <v>115</v>
      </c>
    </row>
    <row r="250" spans="1:20" ht="15" customHeight="1" x14ac:dyDescent="0.25">
      <c r="A250" s="320"/>
      <c r="B250" s="76" t="s">
        <v>124</v>
      </c>
      <c r="C250" s="4" t="s">
        <v>18</v>
      </c>
      <c r="D250" s="190">
        <v>100</v>
      </c>
      <c r="E250" s="190">
        <v>150</v>
      </c>
      <c r="F250" s="190">
        <v>150</v>
      </c>
      <c r="G250" s="190">
        <v>150</v>
      </c>
      <c r="H250" s="190">
        <v>150</v>
      </c>
      <c r="I250" s="190">
        <v>100</v>
      </c>
      <c r="J250" s="190">
        <v>50</v>
      </c>
      <c r="K250" s="190">
        <v>0</v>
      </c>
      <c r="L250" s="190">
        <v>0</v>
      </c>
      <c r="M250" s="190">
        <v>0</v>
      </c>
      <c r="N250" s="190">
        <v>0</v>
      </c>
      <c r="O250" s="190">
        <v>0</v>
      </c>
      <c r="P250" s="190">
        <v>0</v>
      </c>
    </row>
    <row r="251" spans="1:20" ht="15" customHeight="1" x14ac:dyDescent="0.25">
      <c r="A251" s="320"/>
      <c r="B251" s="76" t="s">
        <v>16</v>
      </c>
      <c r="C251" s="4" t="s">
        <v>18</v>
      </c>
      <c r="D251" s="190">
        <v>0</v>
      </c>
      <c r="E251" s="190">
        <v>0</v>
      </c>
      <c r="F251" s="190">
        <v>0</v>
      </c>
      <c r="G251" s="190">
        <v>0</v>
      </c>
      <c r="H251" s="190">
        <v>0</v>
      </c>
      <c r="I251" s="190">
        <v>0</v>
      </c>
      <c r="J251" s="190">
        <v>0</v>
      </c>
      <c r="K251" s="190">
        <v>0</v>
      </c>
      <c r="L251" s="190">
        <v>0</v>
      </c>
      <c r="M251" s="190">
        <v>0</v>
      </c>
      <c r="N251" s="190">
        <v>0</v>
      </c>
      <c r="O251" s="190">
        <v>0</v>
      </c>
      <c r="P251" s="190">
        <v>0</v>
      </c>
    </row>
    <row r="252" spans="1:20" ht="15" customHeight="1" x14ac:dyDescent="0.25">
      <c r="A252" s="320"/>
      <c r="B252" s="76" t="s">
        <v>5</v>
      </c>
      <c r="C252" s="4" t="s">
        <v>112</v>
      </c>
      <c r="D252" s="220">
        <v>0.71909999999999996</v>
      </c>
      <c r="E252" s="220">
        <v>1.3375999999999999</v>
      </c>
      <c r="F252" s="220">
        <v>2.3818000000000001</v>
      </c>
      <c r="G252" s="220">
        <v>3.8589000000000002</v>
      </c>
      <c r="H252" s="220">
        <v>6.1199000000000003</v>
      </c>
      <c r="I252" s="220">
        <v>9.2230000000000008</v>
      </c>
      <c r="J252" s="220">
        <v>12.8797</v>
      </c>
      <c r="K252" s="220">
        <v>17.098500000000001</v>
      </c>
      <c r="L252" s="191">
        <v>21.6035</v>
      </c>
      <c r="M252" s="191">
        <v>26.108499999999999</v>
      </c>
      <c r="N252" s="191">
        <v>30.613499999999998</v>
      </c>
      <c r="O252" s="191">
        <v>35.118499999999997</v>
      </c>
      <c r="P252" s="191">
        <v>39.6235</v>
      </c>
    </row>
    <row r="253" spans="1:20" ht="15" customHeight="1" x14ac:dyDescent="0.25">
      <c r="A253" s="320"/>
      <c r="B253" s="76" t="s">
        <v>0</v>
      </c>
      <c r="C253" s="4" t="s">
        <v>19</v>
      </c>
      <c r="D253" s="221">
        <v>1193.638616</v>
      </c>
      <c r="E253" s="221">
        <v>1351.3739760000001</v>
      </c>
      <c r="F253" s="221">
        <v>1562.7517760000001</v>
      </c>
      <c r="G253" s="221">
        <v>1828.233696</v>
      </c>
      <c r="H253" s="221">
        <v>2124.219928</v>
      </c>
      <c r="I253" s="221">
        <v>2444.465056</v>
      </c>
      <c r="J253" s="221">
        <v>2794.8658479999999</v>
      </c>
      <c r="K253" s="221">
        <v>3173.8669199999999</v>
      </c>
      <c r="L253" s="221">
        <v>3567.0877359999999</v>
      </c>
      <c r="M253" s="221">
        <v>3960.308552</v>
      </c>
      <c r="N253" s="221">
        <v>4353.5293680000004</v>
      </c>
      <c r="O253" s="221">
        <v>4746.7501840000004</v>
      </c>
      <c r="P253" s="221">
        <v>5139.9709999999995</v>
      </c>
    </row>
    <row r="254" spans="1:20" ht="15" customHeight="1" x14ac:dyDescent="0.25">
      <c r="A254" s="320"/>
      <c r="B254" s="76" t="s">
        <v>38</v>
      </c>
      <c r="C254" s="4" t="s">
        <v>18</v>
      </c>
      <c r="D254" s="192">
        <v>200</v>
      </c>
      <c r="E254" s="192">
        <v>275</v>
      </c>
      <c r="F254" s="192">
        <v>350</v>
      </c>
      <c r="G254" s="192">
        <v>425</v>
      </c>
      <c r="H254" s="192">
        <v>500</v>
      </c>
      <c r="I254" s="192">
        <v>500</v>
      </c>
      <c r="J254" s="192">
        <v>500</v>
      </c>
      <c r="K254" s="192">
        <v>500</v>
      </c>
      <c r="L254" s="192">
        <v>500</v>
      </c>
      <c r="M254" s="192">
        <v>500</v>
      </c>
      <c r="N254" s="192">
        <v>500</v>
      </c>
      <c r="O254" s="192">
        <v>500</v>
      </c>
      <c r="P254" s="192">
        <v>500</v>
      </c>
    </row>
    <row r="255" spans="1:20" ht="15" customHeight="1" x14ac:dyDescent="0.25">
      <c r="A255" s="320"/>
      <c r="B255" s="76" t="s">
        <v>1</v>
      </c>
      <c r="C255" s="4" t="s">
        <v>18</v>
      </c>
      <c r="D255" s="192">
        <v>450</v>
      </c>
      <c r="E255" s="192">
        <v>550</v>
      </c>
      <c r="F255" s="192">
        <v>650</v>
      </c>
      <c r="G255" s="192">
        <v>750</v>
      </c>
      <c r="H255" s="192">
        <v>850</v>
      </c>
      <c r="I255" s="192">
        <v>900</v>
      </c>
      <c r="J255" s="192">
        <v>800</v>
      </c>
      <c r="K255" s="192">
        <v>800</v>
      </c>
      <c r="L255" s="192">
        <v>800</v>
      </c>
      <c r="M255" s="192">
        <v>800</v>
      </c>
      <c r="N255" s="192">
        <v>850</v>
      </c>
      <c r="O255" s="192">
        <v>900</v>
      </c>
      <c r="P255" s="192">
        <v>900</v>
      </c>
    </row>
    <row r="256" spans="1:20" ht="15" customHeight="1" x14ac:dyDescent="0.25">
      <c r="A256" s="320"/>
      <c r="B256" s="76" t="s">
        <v>82</v>
      </c>
      <c r="C256" s="4" t="s">
        <v>61</v>
      </c>
      <c r="D256" s="191">
        <v>162</v>
      </c>
      <c r="E256" s="191">
        <v>173.07206068268016</v>
      </c>
      <c r="F256" s="191">
        <v>192.58570684911132</v>
      </c>
      <c r="G256" s="191">
        <v>212.6794080464044</v>
      </c>
      <c r="H256" s="191">
        <v>234.2083736149327</v>
      </c>
      <c r="I256" s="191">
        <v>255.00855209340401</v>
      </c>
      <c r="J256" s="191">
        <v>283.88488138618277</v>
      </c>
      <c r="K256" s="191">
        <v>288.06425224957241</v>
      </c>
      <c r="L256" s="191">
        <v>294.935673384398</v>
      </c>
      <c r="M256" s="191">
        <v>301.5839964304306</v>
      </c>
      <c r="N256" s="191">
        <v>307.39941994496911</v>
      </c>
      <c r="O256" s="191">
        <v>313.05867479735258</v>
      </c>
      <c r="P256" s="191">
        <v>319.1864356362014</v>
      </c>
    </row>
    <row r="257" spans="1:27" ht="15" customHeight="1" x14ac:dyDescent="0.25">
      <c r="A257" s="320"/>
      <c r="B257" s="76" t="s">
        <v>33</v>
      </c>
      <c r="C257" s="4" t="s">
        <v>61</v>
      </c>
      <c r="D257" s="191">
        <v>25</v>
      </c>
      <c r="E257" s="191">
        <v>0</v>
      </c>
      <c r="F257" s="191">
        <v>0</v>
      </c>
      <c r="G257" s="191">
        <v>0</v>
      </c>
      <c r="H257" s="191">
        <v>0</v>
      </c>
      <c r="I257" s="191">
        <v>0</v>
      </c>
      <c r="J257" s="191">
        <v>0</v>
      </c>
      <c r="K257" s="191">
        <v>0</v>
      </c>
      <c r="L257" s="191">
        <v>0</v>
      </c>
      <c r="M257" s="191">
        <v>0</v>
      </c>
      <c r="N257" s="191">
        <v>0</v>
      </c>
      <c r="O257" s="191">
        <v>0</v>
      </c>
      <c r="P257" s="191">
        <v>0</v>
      </c>
    </row>
    <row r="258" spans="1:27" ht="15" customHeight="1" x14ac:dyDescent="0.25">
      <c r="A258" s="320"/>
      <c r="B258" s="76" t="s">
        <v>103</v>
      </c>
      <c r="C258" s="4" t="s">
        <v>112</v>
      </c>
      <c r="D258" s="190">
        <v>4.2563122435700422E-2</v>
      </c>
      <c r="E258" s="190">
        <v>7.9221596798729643E-2</v>
      </c>
      <c r="F258" s="190">
        <v>0.12104481719249827</v>
      </c>
      <c r="G258" s="190">
        <v>0.1816060687387489</v>
      </c>
      <c r="H258" s="190">
        <v>0.27756822157499184</v>
      </c>
      <c r="I258" s="190">
        <v>0.37832792169431789</v>
      </c>
      <c r="J258" s="190">
        <v>0.5684160505621817</v>
      </c>
      <c r="K258" s="190">
        <v>0.80546664639454091</v>
      </c>
      <c r="L258" s="190">
        <v>1.1207288866548697</v>
      </c>
      <c r="M258" s="190">
        <v>1.5293722472561442</v>
      </c>
      <c r="N258" s="190">
        <v>2.0295901497354025</v>
      </c>
      <c r="O258" s="190">
        <v>2.6791165470450999</v>
      </c>
      <c r="P258" s="190">
        <v>3.5256743672802955</v>
      </c>
    </row>
    <row r="259" spans="1:27" ht="15" customHeight="1" x14ac:dyDescent="0.25">
      <c r="A259" s="320"/>
      <c r="B259" s="76" t="s">
        <v>89</v>
      </c>
      <c r="C259" s="4" t="s">
        <v>19</v>
      </c>
      <c r="D259" s="190">
        <v>10.402955513673991</v>
      </c>
      <c r="E259" s="190">
        <v>21.99355244200974</v>
      </c>
      <c r="F259" s="190">
        <v>38.824390017528302</v>
      </c>
      <c r="G259" s="190">
        <v>58.149856742870597</v>
      </c>
      <c r="H259" s="190">
        <v>97.3073839019399</v>
      </c>
      <c r="I259" s="190">
        <v>146.088656830633</v>
      </c>
      <c r="J259" s="190">
        <v>238.50207872244439</v>
      </c>
      <c r="K259" s="190">
        <v>350.525473011901</v>
      </c>
      <c r="L259" s="190">
        <v>483.18676801670301</v>
      </c>
      <c r="M259" s="190">
        <v>623.48797719434697</v>
      </c>
      <c r="N259" s="190">
        <v>756.11606245709004</v>
      </c>
      <c r="O259" s="190">
        <v>889.00870624910499</v>
      </c>
      <c r="P259" s="190">
        <v>1024.46109319377</v>
      </c>
    </row>
    <row r="260" spans="1:27" ht="15" customHeight="1" x14ac:dyDescent="0.25">
      <c r="A260" s="320"/>
      <c r="B260" s="76" t="s">
        <v>119</v>
      </c>
      <c r="C260" s="4" t="s">
        <v>19</v>
      </c>
      <c r="D260" s="190">
        <v>1412</v>
      </c>
      <c r="E260" s="190">
        <v>1412</v>
      </c>
      <c r="F260" s="190">
        <v>1412</v>
      </c>
      <c r="G260" s="190">
        <v>1412</v>
      </c>
      <c r="H260" s="190">
        <v>1412</v>
      </c>
      <c r="I260" s="190">
        <v>1412</v>
      </c>
      <c r="J260" s="190">
        <v>1412</v>
      </c>
      <c r="K260" s="190">
        <v>1412</v>
      </c>
      <c r="L260" s="190">
        <v>1412</v>
      </c>
      <c r="M260" s="190">
        <v>1412</v>
      </c>
      <c r="N260" s="190">
        <v>1412</v>
      </c>
      <c r="O260" s="190">
        <v>1412</v>
      </c>
      <c r="P260" s="190">
        <v>1412</v>
      </c>
    </row>
    <row r="261" spans="1:27" ht="15" customHeight="1" x14ac:dyDescent="0.25">
      <c r="A261" s="320"/>
      <c r="B261" s="76" t="s">
        <v>161</v>
      </c>
      <c r="C261" s="4" t="s">
        <v>157</v>
      </c>
      <c r="D261" s="194">
        <v>0</v>
      </c>
      <c r="E261" s="190">
        <v>27.82</v>
      </c>
      <c r="F261" s="190">
        <v>27.82</v>
      </c>
      <c r="G261" s="190">
        <v>27.82</v>
      </c>
      <c r="H261" s="190">
        <v>27.82</v>
      </c>
      <c r="I261" s="190">
        <v>27.82</v>
      </c>
      <c r="J261" s="190">
        <v>27.82</v>
      </c>
      <c r="K261" s="190">
        <v>27.82</v>
      </c>
      <c r="L261" s="190">
        <v>27.82</v>
      </c>
      <c r="M261" s="190">
        <v>27.82</v>
      </c>
      <c r="N261" s="190">
        <v>27.82</v>
      </c>
      <c r="O261" s="190">
        <v>27.82</v>
      </c>
      <c r="P261" s="190">
        <v>27.82</v>
      </c>
    </row>
    <row r="262" spans="1:27" ht="15" customHeight="1" x14ac:dyDescent="0.25">
      <c r="A262" s="320"/>
      <c r="B262" s="76" t="s">
        <v>68</v>
      </c>
      <c r="C262" s="4" t="s">
        <v>18</v>
      </c>
      <c r="D262" s="194">
        <v>0</v>
      </c>
      <c r="E262" s="191">
        <v>20</v>
      </c>
      <c r="F262" s="191">
        <v>40</v>
      </c>
      <c r="G262" s="191">
        <v>80</v>
      </c>
      <c r="H262" s="194">
        <v>150</v>
      </c>
      <c r="I262" s="194">
        <v>150</v>
      </c>
      <c r="J262" s="194">
        <v>150</v>
      </c>
      <c r="K262" s="194">
        <v>150</v>
      </c>
      <c r="L262" s="191">
        <v>150</v>
      </c>
      <c r="M262" s="191">
        <v>150</v>
      </c>
      <c r="N262" s="191">
        <v>150</v>
      </c>
      <c r="O262" s="191">
        <v>175</v>
      </c>
      <c r="P262" s="191">
        <v>175</v>
      </c>
    </row>
    <row r="263" spans="1:27" ht="15" customHeight="1" x14ac:dyDescent="0.25">
      <c r="A263" s="320"/>
      <c r="B263" s="83" t="s">
        <v>81</v>
      </c>
      <c r="C263" s="26" t="s">
        <v>43</v>
      </c>
      <c r="D263" s="195">
        <v>1.4999999999999999E-2</v>
      </c>
      <c r="E263" s="195">
        <v>2.2499999999999999E-2</v>
      </c>
      <c r="F263" s="195">
        <v>0.03</v>
      </c>
      <c r="G263" s="195">
        <v>0.04</v>
      </c>
      <c r="H263" s="195">
        <v>0.06</v>
      </c>
      <c r="I263" s="195">
        <v>0.08</v>
      </c>
      <c r="J263" s="195">
        <v>0.1</v>
      </c>
      <c r="K263" s="195">
        <v>0.12</v>
      </c>
      <c r="L263" s="195">
        <v>0.14000000000000001</v>
      </c>
      <c r="M263" s="195">
        <v>0.16</v>
      </c>
      <c r="N263" s="195">
        <v>0.18</v>
      </c>
      <c r="O263" s="195">
        <v>0.21</v>
      </c>
      <c r="P263" s="195">
        <v>0.21</v>
      </c>
    </row>
    <row r="264" spans="1:27" ht="15" customHeight="1" x14ac:dyDescent="0.25">
      <c r="A264" s="320"/>
      <c r="B264" s="83" t="s">
        <v>54</v>
      </c>
      <c r="C264" s="26" t="s">
        <v>45</v>
      </c>
      <c r="D264" s="26">
        <v>3.0000000000000001E-3</v>
      </c>
      <c r="E264" s="26">
        <v>0.02</v>
      </c>
      <c r="F264" s="26">
        <v>0.25</v>
      </c>
      <c r="G264" s="26">
        <v>0.375</v>
      </c>
      <c r="H264" s="26">
        <v>0.5</v>
      </c>
      <c r="I264" s="26">
        <v>0.625</v>
      </c>
      <c r="J264" s="26">
        <v>0.75</v>
      </c>
      <c r="K264" s="26">
        <v>0.875</v>
      </c>
      <c r="L264" s="26">
        <v>1</v>
      </c>
      <c r="M264" s="26">
        <v>1.125</v>
      </c>
      <c r="N264" s="26">
        <v>1.25</v>
      </c>
      <c r="O264" s="26">
        <v>1.25</v>
      </c>
      <c r="P264" s="26">
        <v>1.25</v>
      </c>
    </row>
    <row r="265" spans="1:27" ht="15" customHeight="1" x14ac:dyDescent="0.25">
      <c r="A265" s="320"/>
      <c r="B265" s="83" t="s">
        <v>76</v>
      </c>
      <c r="C265" s="26" t="s">
        <v>45</v>
      </c>
      <c r="D265" s="289">
        <v>0.154</v>
      </c>
      <c r="E265" s="289">
        <v>0.154</v>
      </c>
      <c r="F265" s="289">
        <v>0.154</v>
      </c>
      <c r="G265" s="289">
        <v>0.154</v>
      </c>
      <c r="H265" s="289">
        <v>0.154</v>
      </c>
      <c r="I265" s="289">
        <v>0.154</v>
      </c>
      <c r="J265" s="289">
        <v>0.154</v>
      </c>
      <c r="K265" s="289">
        <v>0.154</v>
      </c>
      <c r="L265" s="289">
        <v>0.154</v>
      </c>
      <c r="M265" s="289">
        <v>0.154</v>
      </c>
      <c r="N265" s="289">
        <v>0.154</v>
      </c>
      <c r="O265" s="289">
        <v>0.154</v>
      </c>
      <c r="P265" s="289">
        <v>0.154</v>
      </c>
    </row>
    <row r="266" spans="1:27" ht="15" customHeight="1" x14ac:dyDescent="0.25">
      <c r="A266" s="320"/>
      <c r="B266" s="83" t="s">
        <v>56</v>
      </c>
      <c r="C266" s="26" t="s">
        <v>45</v>
      </c>
      <c r="D266" s="197">
        <v>0</v>
      </c>
      <c r="E266" s="298">
        <v>0.1</v>
      </c>
      <c r="F266" s="298">
        <v>0.3</v>
      </c>
      <c r="G266" s="298">
        <v>0.6</v>
      </c>
      <c r="H266" s="298">
        <v>0.9</v>
      </c>
      <c r="I266" s="298">
        <v>0.6</v>
      </c>
      <c r="J266" s="298">
        <v>0.3</v>
      </c>
      <c r="K266" s="298">
        <v>0</v>
      </c>
      <c r="L266" s="298">
        <v>0</v>
      </c>
      <c r="M266" s="298">
        <v>0</v>
      </c>
      <c r="N266" s="197">
        <v>0</v>
      </c>
      <c r="O266" s="197">
        <v>0</v>
      </c>
      <c r="P266" s="197">
        <v>0</v>
      </c>
      <c r="U266" s="270"/>
      <c r="V266" s="270"/>
      <c r="W266" s="270"/>
      <c r="X266" s="270"/>
      <c r="Y266" s="270"/>
      <c r="Z266" s="270"/>
      <c r="AA266" s="270"/>
    </row>
    <row r="267" spans="1:27" ht="15" customHeight="1" x14ac:dyDescent="0.25">
      <c r="A267" s="320"/>
      <c r="B267" s="83" t="s">
        <v>55</v>
      </c>
      <c r="C267" s="26" t="s">
        <v>45</v>
      </c>
      <c r="D267" s="26">
        <v>0.01</v>
      </c>
      <c r="E267" s="289">
        <v>0.12562499999999999</v>
      </c>
      <c r="F267" s="289">
        <v>0.25124999999999997</v>
      </c>
      <c r="G267" s="289">
        <v>0.25124999999999997</v>
      </c>
      <c r="H267" s="289">
        <v>0.26624999999999999</v>
      </c>
      <c r="I267" s="289">
        <v>0.38624999999999998</v>
      </c>
      <c r="J267" s="289">
        <v>0.41499999999999998</v>
      </c>
      <c r="K267" s="289">
        <v>0.51</v>
      </c>
      <c r="L267" s="289">
        <v>0.51375000000000004</v>
      </c>
      <c r="M267" s="289">
        <v>0.51749999999999996</v>
      </c>
      <c r="N267" s="289">
        <v>0.53874999999999995</v>
      </c>
      <c r="O267" s="289">
        <v>0.53874999999999995</v>
      </c>
      <c r="P267" s="289">
        <v>0.53874999999999995</v>
      </c>
      <c r="U267" s="270"/>
      <c r="V267" s="270"/>
      <c r="W267" s="270"/>
      <c r="X267" s="270"/>
      <c r="Y267" s="270"/>
      <c r="Z267" s="270"/>
      <c r="AA267" s="270"/>
    </row>
    <row r="268" spans="1:27" ht="15" customHeight="1" x14ac:dyDescent="0.25">
      <c r="A268" s="320"/>
      <c r="B268" s="83" t="s">
        <v>266</v>
      </c>
      <c r="C268" s="26" t="s">
        <v>167</v>
      </c>
      <c r="D268" s="289">
        <v>0</v>
      </c>
      <c r="E268" s="289">
        <v>0</v>
      </c>
      <c r="F268" s="289">
        <v>0</v>
      </c>
      <c r="G268" s="289">
        <v>-5.3250000000000028</v>
      </c>
      <c r="H268" s="289">
        <v>-10.250624999999999</v>
      </c>
      <c r="I268" s="289">
        <v>-13.288093750000002</v>
      </c>
      <c r="J268" s="289">
        <v>-16.173689062500003</v>
      </c>
      <c r="K268" s="289">
        <v>-18.915004609375003</v>
      </c>
      <c r="L268" s="289">
        <v>-21.519254378906254</v>
      </c>
      <c r="M268" s="289">
        <v>-23.993291659960946</v>
      </c>
      <c r="N268" s="289">
        <v>-23.89</v>
      </c>
      <c r="O268" s="289">
        <v>-26</v>
      </c>
      <c r="P268" s="289">
        <v>-26</v>
      </c>
    </row>
    <row r="269" spans="1:27" ht="15" customHeight="1" x14ac:dyDescent="0.25">
      <c r="A269" s="320"/>
      <c r="B269" s="83" t="s">
        <v>163</v>
      </c>
      <c r="C269" s="26" t="s">
        <v>167</v>
      </c>
      <c r="D269" s="289">
        <v>30.929411764705883</v>
      </c>
      <c r="E269" s="289">
        <v>25</v>
      </c>
      <c r="F269" s="289">
        <v>20</v>
      </c>
      <c r="G269" s="289">
        <v>15</v>
      </c>
      <c r="H269" s="289">
        <v>10</v>
      </c>
      <c r="I269" s="289">
        <v>10</v>
      </c>
      <c r="J269" s="289">
        <v>10</v>
      </c>
      <c r="K269" s="289">
        <v>10</v>
      </c>
      <c r="L269" s="289">
        <v>10</v>
      </c>
      <c r="M269" s="289">
        <v>10</v>
      </c>
      <c r="N269" s="289">
        <v>10</v>
      </c>
      <c r="O269" s="289">
        <v>10</v>
      </c>
      <c r="P269" s="289">
        <v>10</v>
      </c>
    </row>
    <row r="270" spans="1:27" ht="15" customHeight="1" x14ac:dyDescent="0.25">
      <c r="A270" s="320"/>
      <c r="B270" s="81" t="s">
        <v>104</v>
      </c>
      <c r="C270" s="26" t="s">
        <v>167</v>
      </c>
      <c r="D270" s="26">
        <v>40</v>
      </c>
      <c r="E270" s="26">
        <v>40</v>
      </c>
      <c r="F270" s="26">
        <v>40</v>
      </c>
      <c r="G270" s="26">
        <v>40</v>
      </c>
      <c r="H270" s="26">
        <v>40</v>
      </c>
      <c r="I270" s="26">
        <v>40</v>
      </c>
      <c r="J270" s="26">
        <v>40</v>
      </c>
      <c r="K270" s="26">
        <v>40</v>
      </c>
      <c r="L270" s="26">
        <v>40</v>
      </c>
      <c r="M270" s="26">
        <v>40</v>
      </c>
      <c r="N270" s="26">
        <v>40</v>
      </c>
      <c r="O270" s="26">
        <v>40</v>
      </c>
      <c r="P270" s="26">
        <v>40</v>
      </c>
    </row>
    <row r="271" spans="1:27" ht="15" customHeight="1" x14ac:dyDescent="0.25">
      <c r="A271" s="320"/>
      <c r="B271" s="83" t="s">
        <v>57</v>
      </c>
      <c r="C271" s="26" t="s">
        <v>167</v>
      </c>
      <c r="D271" s="26">
        <v>0</v>
      </c>
      <c r="E271" s="26">
        <v>0</v>
      </c>
      <c r="F271" s="26">
        <v>0.28999999999999915</v>
      </c>
      <c r="G271" s="26">
        <v>0.49000000000000021</v>
      </c>
      <c r="H271" s="26">
        <v>0.75999999999999979</v>
      </c>
      <c r="I271" s="26">
        <v>0.75999999999999979</v>
      </c>
      <c r="J271" s="26">
        <v>0.75999999999999979</v>
      </c>
      <c r="K271" s="26">
        <v>0.75999999999999979</v>
      </c>
      <c r="L271" s="26">
        <v>0.75999999999999979</v>
      </c>
      <c r="M271" s="26">
        <v>0.75999999999999979</v>
      </c>
      <c r="N271" s="26">
        <v>0.75999999999999979</v>
      </c>
      <c r="O271" s="26">
        <v>0.75999999999999979</v>
      </c>
      <c r="P271" s="26">
        <v>0.75999999999999979</v>
      </c>
    </row>
    <row r="272" spans="1:27" ht="15.75" customHeight="1" thickBot="1" x14ac:dyDescent="0.3">
      <c r="A272" s="321"/>
      <c r="B272" s="83" t="s">
        <v>261</v>
      </c>
      <c r="C272" s="26" t="s">
        <v>271</v>
      </c>
      <c r="D272" s="26">
        <v>0</v>
      </c>
      <c r="E272" s="195">
        <v>5.0000000000000001E-3</v>
      </c>
      <c r="F272" s="195">
        <v>0.01</v>
      </c>
      <c r="G272" s="195">
        <v>0.02</v>
      </c>
      <c r="H272" s="195">
        <v>0.03</v>
      </c>
      <c r="I272" s="195">
        <v>0.04</v>
      </c>
      <c r="J272" s="195">
        <v>0.05</v>
      </c>
      <c r="K272" s="195">
        <v>0.05</v>
      </c>
      <c r="L272" s="195">
        <v>0.05</v>
      </c>
      <c r="M272" s="195">
        <v>4.4999999999999998E-2</v>
      </c>
      <c r="N272" s="195">
        <v>0.04</v>
      </c>
      <c r="O272" s="195">
        <v>0.03</v>
      </c>
      <c r="P272" s="195">
        <v>0.02</v>
      </c>
    </row>
    <row r="273" spans="1:16" ht="15.75" thickBot="1" x14ac:dyDescent="0.3">
      <c r="A273" s="269"/>
      <c r="B273" s="269"/>
      <c r="C273" s="269"/>
      <c r="D273" s="211">
        <v>125</v>
      </c>
      <c r="E273" s="211">
        <v>150</v>
      </c>
      <c r="F273" s="211">
        <v>150</v>
      </c>
      <c r="G273" s="211">
        <v>150</v>
      </c>
      <c r="H273" s="211">
        <v>200</v>
      </c>
      <c r="I273" s="211">
        <v>200</v>
      </c>
      <c r="J273" s="211">
        <v>150</v>
      </c>
      <c r="K273" s="211">
        <v>125</v>
      </c>
      <c r="L273" s="211">
        <v>125</v>
      </c>
      <c r="M273" s="211">
        <v>125</v>
      </c>
      <c r="N273" s="211">
        <v>150</v>
      </c>
      <c r="O273" s="211">
        <v>150</v>
      </c>
      <c r="P273" s="211">
        <v>165</v>
      </c>
    </row>
    <row r="274" spans="1:16" x14ac:dyDescent="0.25">
      <c r="A274" s="319" t="s">
        <v>273</v>
      </c>
      <c r="B274" s="76" t="s">
        <v>72</v>
      </c>
      <c r="C274" s="309" t="s">
        <v>15</v>
      </c>
      <c r="D274" s="198">
        <v>2018</v>
      </c>
      <c r="E274" s="198">
        <v>2019</v>
      </c>
      <c r="F274" s="198">
        <v>2020</v>
      </c>
      <c r="G274" s="198">
        <v>2021</v>
      </c>
      <c r="H274" s="198">
        <v>2022</v>
      </c>
      <c r="I274" s="198">
        <v>2023</v>
      </c>
      <c r="J274" s="198">
        <v>2024</v>
      </c>
      <c r="K274" s="198">
        <v>2025</v>
      </c>
      <c r="L274" s="4">
        <v>2026</v>
      </c>
      <c r="M274" s="4">
        <v>2027</v>
      </c>
      <c r="N274" s="4">
        <v>2028</v>
      </c>
      <c r="O274" s="4">
        <v>2029</v>
      </c>
      <c r="P274" s="4">
        <v>2030</v>
      </c>
    </row>
    <row r="275" spans="1:16" x14ac:dyDescent="0.25">
      <c r="A275" s="320"/>
      <c r="B275" s="76" t="s">
        <v>158</v>
      </c>
      <c r="C275" s="4" t="s">
        <v>18</v>
      </c>
      <c r="D275" s="219">
        <v>21.954198859999998</v>
      </c>
      <c r="E275" s="219">
        <v>25.79566213</v>
      </c>
      <c r="F275" s="219">
        <v>29.947523820000001</v>
      </c>
      <c r="G275" s="219">
        <v>34.409783930000003</v>
      </c>
      <c r="H275" s="219">
        <v>39.182442460000004</v>
      </c>
      <c r="I275" s="219">
        <v>44.265499409999997</v>
      </c>
      <c r="J275" s="219">
        <v>49.658954780000002</v>
      </c>
      <c r="K275" s="219">
        <v>55.362808569999999</v>
      </c>
      <c r="L275" s="219">
        <v>61.377060779999994</v>
      </c>
      <c r="M275" s="219">
        <v>67.701711410000001</v>
      </c>
      <c r="N275" s="219">
        <v>74.336760459999994</v>
      </c>
      <c r="O275" s="219">
        <v>81.282207929999998</v>
      </c>
      <c r="P275" s="219">
        <v>88.538053819999988</v>
      </c>
    </row>
    <row r="276" spans="1:16" x14ac:dyDescent="0.25">
      <c r="A276" s="320"/>
      <c r="B276" s="76" t="s">
        <v>17</v>
      </c>
      <c r="C276" s="4" t="s">
        <v>18</v>
      </c>
      <c r="D276" s="202">
        <v>2.0166397615795355</v>
      </c>
      <c r="E276" s="202">
        <v>4.033279523159071</v>
      </c>
      <c r="F276" s="202">
        <v>7.4866509375388048</v>
      </c>
      <c r="G276" s="202">
        <v>11.508297006019333</v>
      </c>
      <c r="H276" s="202">
        <v>16.249135193627929</v>
      </c>
      <c r="I276" s="202">
        <v>22.164050263776673</v>
      </c>
      <c r="J276" s="202">
        <v>30.406059853470754</v>
      </c>
      <c r="K276" s="202">
        <v>41.012873049381184</v>
      </c>
      <c r="L276" s="202">
        <v>51.043503456268887</v>
      </c>
      <c r="M276" s="202">
        <v>82</v>
      </c>
      <c r="N276" s="202">
        <v>94</v>
      </c>
      <c r="O276" s="202">
        <v>125</v>
      </c>
      <c r="P276" s="202">
        <v>150</v>
      </c>
    </row>
    <row r="277" spans="1:16" x14ac:dyDescent="0.25">
      <c r="A277" s="320"/>
      <c r="B277" s="76" t="s">
        <v>124</v>
      </c>
      <c r="C277" s="4" t="s">
        <v>18</v>
      </c>
      <c r="D277" s="202">
        <v>100</v>
      </c>
      <c r="E277" s="202">
        <v>150</v>
      </c>
      <c r="F277" s="202">
        <v>150</v>
      </c>
      <c r="G277" s="202">
        <v>150</v>
      </c>
      <c r="H277" s="202">
        <v>150</v>
      </c>
      <c r="I277" s="202">
        <v>150</v>
      </c>
      <c r="J277" s="202">
        <v>150</v>
      </c>
      <c r="K277" s="202">
        <v>150</v>
      </c>
      <c r="L277" s="202">
        <v>150</v>
      </c>
      <c r="M277" s="202">
        <v>150</v>
      </c>
      <c r="N277" s="202">
        <v>150</v>
      </c>
      <c r="O277" s="202">
        <v>150</v>
      </c>
      <c r="P277" s="202">
        <v>150</v>
      </c>
    </row>
    <row r="278" spans="1:16" x14ac:dyDescent="0.25">
      <c r="A278" s="320"/>
      <c r="B278" s="76" t="s">
        <v>16</v>
      </c>
      <c r="C278" s="4" t="s">
        <v>18</v>
      </c>
      <c r="D278" s="202">
        <v>0</v>
      </c>
      <c r="E278" s="202">
        <v>0</v>
      </c>
      <c r="F278" s="202">
        <v>0</v>
      </c>
      <c r="G278" s="202">
        <v>0</v>
      </c>
      <c r="H278" s="202">
        <v>0</v>
      </c>
      <c r="I278" s="202">
        <v>0</v>
      </c>
      <c r="J278" s="202">
        <v>0</v>
      </c>
      <c r="K278" s="202">
        <v>0</v>
      </c>
      <c r="L278" s="202">
        <v>0</v>
      </c>
      <c r="M278" s="202">
        <v>0</v>
      </c>
      <c r="N278" s="202">
        <v>0</v>
      </c>
      <c r="O278" s="202">
        <v>0</v>
      </c>
      <c r="P278" s="202">
        <v>0</v>
      </c>
    </row>
    <row r="279" spans="1:16" x14ac:dyDescent="0.25">
      <c r="A279" s="320"/>
      <c r="B279" s="76" t="s">
        <v>5</v>
      </c>
      <c r="C279" s="4" t="s">
        <v>112</v>
      </c>
      <c r="D279" s="293">
        <v>0.71909999999999996</v>
      </c>
      <c r="E279" s="293">
        <v>1.3375999999999999</v>
      </c>
      <c r="F279" s="293">
        <v>2.3818000000000001</v>
      </c>
      <c r="G279" s="293">
        <v>3.8589000000000002</v>
      </c>
      <c r="H279" s="293">
        <v>6.1199000000000003</v>
      </c>
      <c r="I279" s="293">
        <v>9.2230000000000008</v>
      </c>
      <c r="J279" s="293">
        <v>12.8797</v>
      </c>
      <c r="K279" s="293">
        <v>17.098500000000001</v>
      </c>
      <c r="L279" s="294">
        <v>21.6035</v>
      </c>
      <c r="M279" s="294">
        <v>26.108499999999999</v>
      </c>
      <c r="N279" s="294">
        <v>30.613499999999998</v>
      </c>
      <c r="O279" s="294">
        <v>35.118499999999997</v>
      </c>
      <c r="P279" s="294">
        <v>39.6235</v>
      </c>
    </row>
    <row r="280" spans="1:16" x14ac:dyDescent="0.25">
      <c r="A280" s="320"/>
      <c r="B280" s="76" t="s">
        <v>0</v>
      </c>
      <c r="C280" s="4" t="s">
        <v>19</v>
      </c>
      <c r="D280" s="221">
        <v>1193.638616</v>
      </c>
      <c r="E280" s="221">
        <v>1351.3739760000001</v>
      </c>
      <c r="F280" s="221">
        <v>1562.7517760000001</v>
      </c>
      <c r="G280" s="221">
        <v>1828.233696</v>
      </c>
      <c r="H280" s="221">
        <v>2124.219928</v>
      </c>
      <c r="I280" s="221">
        <v>2444.465056</v>
      </c>
      <c r="J280" s="221">
        <v>2794.8658479999999</v>
      </c>
      <c r="K280" s="221">
        <v>3173.8669199999999</v>
      </c>
      <c r="L280" s="221">
        <v>3567.0877359999999</v>
      </c>
      <c r="M280" s="221">
        <v>3960.308552</v>
      </c>
      <c r="N280" s="221">
        <v>4353.5293680000004</v>
      </c>
      <c r="O280" s="221">
        <v>4746.7501840000004</v>
      </c>
      <c r="P280" s="221">
        <v>5139.9709999999995</v>
      </c>
    </row>
    <row r="281" spans="1:16" x14ac:dyDescent="0.25">
      <c r="A281" s="320"/>
      <c r="B281" s="76" t="s">
        <v>38</v>
      </c>
      <c r="C281" s="4" t="s">
        <v>18</v>
      </c>
      <c r="D281" s="202">
        <v>200</v>
      </c>
      <c r="E281" s="202">
        <v>275</v>
      </c>
      <c r="F281" s="202">
        <v>350</v>
      </c>
      <c r="G281" s="202">
        <v>425</v>
      </c>
      <c r="H281" s="202">
        <v>500</v>
      </c>
      <c r="I281" s="202">
        <v>500</v>
      </c>
      <c r="J281" s="202">
        <v>500</v>
      </c>
      <c r="K281" s="202">
        <v>500</v>
      </c>
      <c r="L281" s="202">
        <v>500</v>
      </c>
      <c r="M281" s="202">
        <v>500</v>
      </c>
      <c r="N281" s="202">
        <v>500</v>
      </c>
      <c r="O281" s="202">
        <v>500</v>
      </c>
      <c r="P281" s="202">
        <v>500</v>
      </c>
    </row>
    <row r="282" spans="1:16" x14ac:dyDescent="0.25">
      <c r="A282" s="320"/>
      <c r="B282" s="76" t="s">
        <v>1</v>
      </c>
      <c r="C282" s="4" t="s">
        <v>18</v>
      </c>
      <c r="D282" s="202">
        <v>450</v>
      </c>
      <c r="E282" s="202">
        <v>550</v>
      </c>
      <c r="F282" s="202">
        <v>650</v>
      </c>
      <c r="G282" s="202">
        <v>750</v>
      </c>
      <c r="H282" s="202">
        <v>850</v>
      </c>
      <c r="I282" s="202">
        <v>950</v>
      </c>
      <c r="J282" s="202">
        <v>1050</v>
      </c>
      <c r="K282" s="202">
        <v>1150</v>
      </c>
      <c r="L282" s="202">
        <v>1250</v>
      </c>
      <c r="M282" s="202">
        <v>1250</v>
      </c>
      <c r="N282" s="202">
        <v>1350</v>
      </c>
      <c r="O282" s="202">
        <v>1450</v>
      </c>
      <c r="P282" s="202">
        <v>1550</v>
      </c>
    </row>
    <row r="283" spans="1:16" x14ac:dyDescent="0.25">
      <c r="A283" s="320"/>
      <c r="B283" s="76" t="s">
        <v>82</v>
      </c>
      <c r="C283" s="4" t="s">
        <v>61</v>
      </c>
      <c r="D283" s="294">
        <v>156.38432364096082</v>
      </c>
      <c r="E283" s="294">
        <v>173.07206068268016</v>
      </c>
      <c r="F283" s="294">
        <v>192.58570684911132</v>
      </c>
      <c r="G283" s="294">
        <v>212.6794080464044</v>
      </c>
      <c r="H283" s="294">
        <v>234.2083736149327</v>
      </c>
      <c r="I283" s="294">
        <v>255.00855209340375</v>
      </c>
      <c r="J283" s="294">
        <v>283.88488138618277</v>
      </c>
      <c r="K283" s="294">
        <v>288.06425224957241</v>
      </c>
      <c r="L283" s="294">
        <v>294.935673384398</v>
      </c>
      <c r="M283" s="294">
        <v>301.5839964304306</v>
      </c>
      <c r="N283" s="294">
        <v>307.39941994496911</v>
      </c>
      <c r="O283" s="294">
        <v>313.05867479735258</v>
      </c>
      <c r="P283" s="294">
        <v>319.1864356362014</v>
      </c>
    </row>
    <row r="284" spans="1:16" x14ac:dyDescent="0.25">
      <c r="A284" s="320"/>
      <c r="B284" s="76" t="s">
        <v>33</v>
      </c>
      <c r="C284" s="4" t="s">
        <v>61</v>
      </c>
      <c r="D284" s="294">
        <v>25</v>
      </c>
      <c r="E284" s="294">
        <v>0</v>
      </c>
      <c r="F284" s="294">
        <v>0</v>
      </c>
      <c r="G284" s="294">
        <v>0</v>
      </c>
      <c r="H284" s="294">
        <v>0</v>
      </c>
      <c r="I284" s="294">
        <v>0</v>
      </c>
      <c r="J284" s="294">
        <v>0</v>
      </c>
      <c r="K284" s="294">
        <v>0</v>
      </c>
      <c r="L284" s="294">
        <v>0</v>
      </c>
      <c r="M284" s="294">
        <v>0</v>
      </c>
      <c r="N284" s="294">
        <v>0</v>
      </c>
      <c r="O284" s="294">
        <v>0</v>
      </c>
      <c r="P284" s="294">
        <v>0</v>
      </c>
    </row>
    <row r="285" spans="1:16" x14ac:dyDescent="0.25">
      <c r="A285" s="320"/>
      <c r="B285" s="76" t="s">
        <v>103</v>
      </c>
      <c r="C285" s="4" t="s">
        <v>112</v>
      </c>
      <c r="D285" s="202">
        <v>4.2563122435700422E-2</v>
      </c>
      <c r="E285" s="202">
        <v>7.9221596798729643E-2</v>
      </c>
      <c r="F285" s="202">
        <v>0.12104481719249827</v>
      </c>
      <c r="G285" s="202">
        <v>0.1816060687387489</v>
      </c>
      <c r="H285" s="202">
        <v>0.27756822157499184</v>
      </c>
      <c r="I285" s="202">
        <v>0.37832792169431789</v>
      </c>
      <c r="J285" s="202">
        <v>0.5684160505621817</v>
      </c>
      <c r="K285" s="202">
        <v>0.80546664639454091</v>
      </c>
      <c r="L285" s="202">
        <v>1.1207288866548697</v>
      </c>
      <c r="M285" s="202">
        <v>1.5293722472561442</v>
      </c>
      <c r="N285" s="202">
        <v>2.0295901497354025</v>
      </c>
      <c r="O285" s="202">
        <v>2.6791165470450999</v>
      </c>
      <c r="P285" s="202">
        <v>3.5256743672802955</v>
      </c>
    </row>
    <row r="286" spans="1:16" x14ac:dyDescent="0.25">
      <c r="A286" s="320"/>
      <c r="B286" s="76" t="s">
        <v>89</v>
      </c>
      <c r="C286" s="4" t="s">
        <v>19</v>
      </c>
      <c r="D286" s="202">
        <v>10.402955513673991</v>
      </c>
      <c r="E286" s="202">
        <v>21.99355244200974</v>
      </c>
      <c r="F286" s="202">
        <v>38.824390017528302</v>
      </c>
      <c r="G286" s="202">
        <v>58.149856742870597</v>
      </c>
      <c r="H286" s="202">
        <v>97.3073839019399</v>
      </c>
      <c r="I286" s="202">
        <v>146.088656830633</v>
      </c>
      <c r="J286" s="202">
        <v>238.50207872244439</v>
      </c>
      <c r="K286" s="202">
        <v>350.525473011901</v>
      </c>
      <c r="L286" s="202">
        <v>483.18676801670301</v>
      </c>
      <c r="M286" s="202">
        <v>623.48797719434697</v>
      </c>
      <c r="N286" s="202">
        <v>756.11606245709004</v>
      </c>
      <c r="O286" s="202">
        <v>889.00870624910499</v>
      </c>
      <c r="P286" s="202">
        <v>1024.46109319377</v>
      </c>
    </row>
    <row r="287" spans="1:16" x14ac:dyDescent="0.25">
      <c r="A287" s="320"/>
      <c r="B287" s="76" t="s">
        <v>119</v>
      </c>
      <c r="C287" s="4" t="s">
        <v>19</v>
      </c>
      <c r="D287" s="202">
        <v>1412</v>
      </c>
      <c r="E287" s="202">
        <v>1412</v>
      </c>
      <c r="F287" s="202">
        <v>1412</v>
      </c>
      <c r="G287" s="202">
        <v>1412</v>
      </c>
      <c r="H287" s="202">
        <v>1412</v>
      </c>
      <c r="I287" s="202">
        <v>1412</v>
      </c>
      <c r="J287" s="202">
        <v>1412</v>
      </c>
      <c r="K287" s="202">
        <v>1412</v>
      </c>
      <c r="L287" s="202">
        <v>1412</v>
      </c>
      <c r="M287" s="202">
        <v>1412</v>
      </c>
      <c r="N287" s="202">
        <v>1412</v>
      </c>
      <c r="O287" s="202">
        <v>1412</v>
      </c>
      <c r="P287" s="202">
        <v>1412</v>
      </c>
    </row>
    <row r="288" spans="1:16" x14ac:dyDescent="0.25">
      <c r="A288" s="320"/>
      <c r="B288" s="76" t="s">
        <v>161</v>
      </c>
      <c r="C288" s="4" t="s">
        <v>157</v>
      </c>
      <c r="D288" s="202">
        <v>0</v>
      </c>
      <c r="E288" s="202">
        <v>27.82</v>
      </c>
      <c r="F288" s="202">
        <v>27.82</v>
      </c>
      <c r="G288" s="202">
        <v>27.82</v>
      </c>
      <c r="H288" s="202">
        <v>27.82</v>
      </c>
      <c r="I288" s="202">
        <v>27.82</v>
      </c>
      <c r="J288" s="202">
        <v>27.82</v>
      </c>
      <c r="K288" s="202">
        <v>27.82</v>
      </c>
      <c r="L288" s="202">
        <v>27.82</v>
      </c>
      <c r="M288" s="202">
        <v>27.82</v>
      </c>
      <c r="N288" s="202">
        <v>27.82</v>
      </c>
      <c r="O288" s="202">
        <v>27.82</v>
      </c>
      <c r="P288" s="202">
        <v>27.82</v>
      </c>
    </row>
    <row r="289" spans="1:16" x14ac:dyDescent="0.25">
      <c r="A289" s="320"/>
      <c r="B289" s="76" t="s">
        <v>68</v>
      </c>
      <c r="C289" s="4" t="s">
        <v>18</v>
      </c>
      <c r="D289" s="295">
        <v>0</v>
      </c>
      <c r="E289" s="294">
        <v>20</v>
      </c>
      <c r="F289" s="294">
        <v>40</v>
      </c>
      <c r="G289" s="294">
        <v>100</v>
      </c>
      <c r="H289" s="294">
        <v>150</v>
      </c>
      <c r="I289" s="294">
        <v>175</v>
      </c>
      <c r="J289" s="294">
        <v>200</v>
      </c>
      <c r="K289" s="294">
        <v>225</v>
      </c>
      <c r="L289" s="294">
        <v>250</v>
      </c>
      <c r="M289" s="294">
        <v>250</v>
      </c>
      <c r="N289" s="294">
        <v>275</v>
      </c>
      <c r="O289" s="294">
        <v>300</v>
      </c>
      <c r="P289" s="294">
        <v>300</v>
      </c>
    </row>
    <row r="290" spans="1:16" x14ac:dyDescent="0.25">
      <c r="A290" s="320"/>
      <c r="B290" s="83" t="s">
        <v>81</v>
      </c>
      <c r="C290" s="26" t="s">
        <v>43</v>
      </c>
      <c r="D290" s="296">
        <v>1.4999999999999999E-2</v>
      </c>
      <c r="E290" s="296">
        <v>2.2499999999999999E-2</v>
      </c>
      <c r="F290" s="296">
        <v>0.03</v>
      </c>
      <c r="G290" s="296">
        <v>0.04</v>
      </c>
      <c r="H290" s="296">
        <v>0.06</v>
      </c>
      <c r="I290" s="296">
        <v>0.09</v>
      </c>
      <c r="J290" s="296">
        <v>0.12</v>
      </c>
      <c r="K290" s="296">
        <v>0.16</v>
      </c>
      <c r="L290" s="296">
        <v>0.2</v>
      </c>
      <c r="M290" s="296">
        <v>0.24</v>
      </c>
      <c r="N290" s="296">
        <v>0.28000000000000003</v>
      </c>
      <c r="O290" s="296">
        <v>0.31</v>
      </c>
      <c r="P290" s="296">
        <v>0.34</v>
      </c>
    </row>
    <row r="291" spans="1:16" x14ac:dyDescent="0.25">
      <c r="A291" s="320"/>
      <c r="B291" s="83" t="s">
        <v>54</v>
      </c>
      <c r="C291" s="26" t="s">
        <v>45</v>
      </c>
      <c r="D291" s="218">
        <v>3.0000000000000001E-3</v>
      </c>
      <c r="E291" s="218">
        <v>0.02</v>
      </c>
      <c r="F291" s="218">
        <v>0.25</v>
      </c>
      <c r="G291" s="218">
        <v>0.375</v>
      </c>
      <c r="H291" s="218">
        <v>0.5</v>
      </c>
      <c r="I291" s="218">
        <v>0.75</v>
      </c>
      <c r="J291" s="218">
        <v>1</v>
      </c>
      <c r="K291" s="218">
        <v>1.25</v>
      </c>
      <c r="L291" s="218">
        <v>1.5</v>
      </c>
      <c r="M291" s="218">
        <v>1.75</v>
      </c>
      <c r="N291" s="218">
        <v>2</v>
      </c>
      <c r="O291" s="218">
        <v>2</v>
      </c>
      <c r="P291" s="218">
        <v>2</v>
      </c>
    </row>
    <row r="292" spans="1:16" x14ac:dyDescent="0.25">
      <c r="A292" s="320"/>
      <c r="B292" s="83" t="s">
        <v>76</v>
      </c>
      <c r="C292" s="26" t="s">
        <v>45</v>
      </c>
      <c r="D292" s="297">
        <v>0.154</v>
      </c>
      <c r="E292" s="297">
        <v>0.154</v>
      </c>
      <c r="F292" s="297">
        <v>0.154</v>
      </c>
      <c r="G292" s="297">
        <v>0.154</v>
      </c>
      <c r="H292" s="297">
        <v>0.154</v>
      </c>
      <c r="I292" s="297">
        <v>0.154</v>
      </c>
      <c r="J292" s="297">
        <v>0.154</v>
      </c>
      <c r="K292" s="297">
        <v>0.154</v>
      </c>
      <c r="L292" s="297">
        <v>0.154</v>
      </c>
      <c r="M292" s="297">
        <v>0.154</v>
      </c>
      <c r="N292" s="297">
        <v>0.154</v>
      </c>
      <c r="O292" s="297">
        <v>0.154</v>
      </c>
      <c r="P292" s="297">
        <v>0.154</v>
      </c>
    </row>
    <row r="293" spans="1:16" x14ac:dyDescent="0.25">
      <c r="A293" s="320"/>
      <c r="B293" s="83" t="s">
        <v>56</v>
      </c>
      <c r="C293" s="26" t="s">
        <v>45</v>
      </c>
      <c r="D293" s="298">
        <v>0</v>
      </c>
      <c r="E293" s="298">
        <v>0.1</v>
      </c>
      <c r="F293" s="298">
        <v>0.3</v>
      </c>
      <c r="G293" s="298">
        <v>0.6</v>
      </c>
      <c r="H293" s="298">
        <v>0.9</v>
      </c>
      <c r="I293" s="298">
        <v>1.2</v>
      </c>
      <c r="J293" s="298">
        <v>1.5</v>
      </c>
      <c r="K293" s="298">
        <v>1.2</v>
      </c>
      <c r="L293" s="298">
        <v>0.9</v>
      </c>
      <c r="M293" s="298">
        <v>0.6</v>
      </c>
      <c r="N293" s="298">
        <v>0.9</v>
      </c>
      <c r="O293" s="298">
        <v>1.2</v>
      </c>
      <c r="P293" s="298">
        <v>1.5</v>
      </c>
    </row>
    <row r="294" spans="1:16" x14ac:dyDescent="0.25">
      <c r="A294" s="320"/>
      <c r="B294" s="83" t="s">
        <v>55</v>
      </c>
      <c r="C294" s="26" t="s">
        <v>45</v>
      </c>
      <c r="D294" s="218">
        <v>0.01</v>
      </c>
      <c r="E294" s="297">
        <v>0.37687499999999996</v>
      </c>
      <c r="F294" s="297">
        <v>0.75374999999999992</v>
      </c>
      <c r="G294" s="297">
        <v>0.75374999999999992</v>
      </c>
      <c r="H294" s="297">
        <v>0.79874999999999996</v>
      </c>
      <c r="I294" s="297">
        <v>1.1587499999999999</v>
      </c>
      <c r="J294" s="297">
        <v>1.2449999999999999</v>
      </c>
      <c r="K294" s="297">
        <v>1.53</v>
      </c>
      <c r="L294" s="297">
        <v>1.5412500000000002</v>
      </c>
      <c r="M294" s="297">
        <v>1.5524999999999998</v>
      </c>
      <c r="N294" s="297">
        <v>1.61625</v>
      </c>
      <c r="O294" s="297">
        <v>1.8981250000000049</v>
      </c>
      <c r="P294" s="297">
        <v>2.0372954545454549</v>
      </c>
    </row>
    <row r="295" spans="1:16" x14ac:dyDescent="0.25">
      <c r="A295" s="320"/>
      <c r="B295" s="83" t="s">
        <v>266</v>
      </c>
      <c r="C295" s="26" t="s">
        <v>167</v>
      </c>
      <c r="D295" s="297">
        <v>0</v>
      </c>
      <c r="E295" s="297">
        <v>0</v>
      </c>
      <c r="F295" s="297">
        <v>0</v>
      </c>
      <c r="G295" s="297">
        <v>-5.3250000000000028</v>
      </c>
      <c r="H295" s="297">
        <v>-10.250624999999999</v>
      </c>
      <c r="I295" s="297">
        <v>-14.806828124999996</v>
      </c>
      <c r="J295" s="297">
        <v>-19.02131601562499</v>
      </c>
      <c r="K295" s="297">
        <v>-22.919717314453116</v>
      </c>
      <c r="L295" s="297">
        <v>-26</v>
      </c>
      <c r="M295" s="297">
        <v>-26</v>
      </c>
      <c r="N295" s="297">
        <v>-26</v>
      </c>
      <c r="O295" s="297">
        <v>-26</v>
      </c>
      <c r="P295" s="297">
        <v>-26</v>
      </c>
    </row>
    <row r="296" spans="1:16" x14ac:dyDescent="0.25">
      <c r="A296" s="320"/>
      <c r="B296" s="83" t="s">
        <v>163</v>
      </c>
      <c r="C296" s="26" t="s">
        <v>167</v>
      </c>
      <c r="D296" s="297">
        <v>30.929411764705883</v>
      </c>
      <c r="E296" s="297">
        <v>25</v>
      </c>
      <c r="F296" s="297">
        <v>20</v>
      </c>
      <c r="G296" s="297">
        <v>15</v>
      </c>
      <c r="H296" s="297">
        <v>10</v>
      </c>
      <c r="I296" s="297">
        <v>10</v>
      </c>
      <c r="J296" s="297">
        <v>10</v>
      </c>
      <c r="K296" s="297">
        <v>10</v>
      </c>
      <c r="L296" s="297">
        <v>10</v>
      </c>
      <c r="M296" s="297">
        <v>10</v>
      </c>
      <c r="N296" s="297">
        <v>10</v>
      </c>
      <c r="O296" s="297">
        <v>10</v>
      </c>
      <c r="P296" s="297">
        <v>10</v>
      </c>
    </row>
    <row r="297" spans="1:16" x14ac:dyDescent="0.25">
      <c r="A297" s="320"/>
      <c r="B297" s="81" t="s">
        <v>104</v>
      </c>
      <c r="C297" s="26" t="s">
        <v>167</v>
      </c>
      <c r="D297" s="218">
        <f>40</f>
        <v>40</v>
      </c>
      <c r="E297" s="218">
        <f>40</f>
        <v>40</v>
      </c>
      <c r="F297" s="218">
        <f>40</f>
        <v>40</v>
      </c>
      <c r="G297" s="218">
        <f>40</f>
        <v>40</v>
      </c>
      <c r="H297" s="218">
        <f>40</f>
        <v>40</v>
      </c>
      <c r="I297" s="218">
        <f>40</f>
        <v>40</v>
      </c>
      <c r="J297" s="218">
        <f>40</f>
        <v>40</v>
      </c>
      <c r="K297" s="218">
        <f>40</f>
        <v>40</v>
      </c>
      <c r="L297" s="218">
        <f>40</f>
        <v>40</v>
      </c>
      <c r="M297" s="218">
        <f>40</f>
        <v>40</v>
      </c>
      <c r="N297" s="218">
        <f>40</f>
        <v>40</v>
      </c>
      <c r="O297" s="218">
        <f>40</f>
        <v>40</v>
      </c>
      <c r="P297" s="218">
        <f>40</f>
        <v>40</v>
      </c>
    </row>
    <row r="298" spans="1:16" x14ac:dyDescent="0.25">
      <c r="A298" s="320"/>
      <c r="B298" s="83" t="s">
        <v>57</v>
      </c>
      <c r="C298" s="26" t="s">
        <v>167</v>
      </c>
      <c r="D298" s="26">
        <v>0</v>
      </c>
      <c r="E298" s="26">
        <v>0</v>
      </c>
      <c r="F298" s="26">
        <v>0.28999999999999915</v>
      </c>
      <c r="G298" s="26">
        <v>0.49000000000000021</v>
      </c>
      <c r="H298" s="26">
        <v>0.75999999999999979</v>
      </c>
      <c r="I298" s="26">
        <v>0.75999999999999979</v>
      </c>
      <c r="J298" s="26">
        <v>0.75999999999999979</v>
      </c>
      <c r="K298" s="26">
        <v>0.75999999999999979</v>
      </c>
      <c r="L298" s="26">
        <v>0.75999999999999979</v>
      </c>
      <c r="M298" s="26">
        <v>0.75999999999999979</v>
      </c>
      <c r="N298" s="26">
        <v>0.75999999999999979</v>
      </c>
      <c r="O298" s="26">
        <v>0.75999999999999979</v>
      </c>
      <c r="P298" s="26">
        <v>0.75999999999999979</v>
      </c>
    </row>
    <row r="299" spans="1:16" ht="15.75" thickBot="1" x14ac:dyDescent="0.3">
      <c r="A299" s="321"/>
      <c r="B299" s="83" t="s">
        <v>261</v>
      </c>
      <c r="C299" s="26" t="s">
        <v>271</v>
      </c>
      <c r="D299" s="26">
        <v>0</v>
      </c>
      <c r="E299" s="195">
        <v>5.0000000000000001E-3</v>
      </c>
      <c r="F299" s="195">
        <v>0.01</v>
      </c>
      <c r="G299" s="195">
        <v>0.02</v>
      </c>
      <c r="H299" s="195">
        <v>0.03</v>
      </c>
      <c r="I299" s="195">
        <v>0.04</v>
      </c>
      <c r="J299" s="195">
        <v>0.05</v>
      </c>
      <c r="K299" s="195">
        <v>0.05</v>
      </c>
      <c r="L299" s="195">
        <v>0.05</v>
      </c>
      <c r="M299" s="195">
        <v>4.4999999999999998E-2</v>
      </c>
      <c r="N299" s="195">
        <v>0.04</v>
      </c>
      <c r="O299" s="195">
        <v>0.03</v>
      </c>
      <c r="P299" s="195">
        <v>0.02</v>
      </c>
    </row>
    <row r="301" spans="1:16" x14ac:dyDescent="0.25">
      <c r="F301" s="270"/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</row>
  </sheetData>
  <sortState ref="Q35:R41">
    <sortCondition ref="Q35:Q41"/>
  </sortState>
  <mergeCells count="11">
    <mergeCell ref="A274:A299"/>
    <mergeCell ref="A4:A29"/>
    <mergeCell ref="A31:A56"/>
    <mergeCell ref="A58:A83"/>
    <mergeCell ref="A85:A110"/>
    <mergeCell ref="A112:A137"/>
    <mergeCell ref="A247:A272"/>
    <mergeCell ref="A166:A191"/>
    <mergeCell ref="A193:A218"/>
    <mergeCell ref="A220:A245"/>
    <mergeCell ref="A139:A16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96"/>
  <sheetViews>
    <sheetView zoomScale="90" zoomScaleNormal="90" zoomScalePageLayoutView="80" workbookViewId="0"/>
  </sheetViews>
  <sheetFormatPr defaultColWidth="8.85546875" defaultRowHeight="15" x14ac:dyDescent="0.25"/>
  <cols>
    <col min="1" max="1" width="29" customWidth="1"/>
    <col min="2" max="2" width="37.85546875" customWidth="1"/>
    <col min="3" max="3" width="12.7109375" customWidth="1"/>
    <col min="4" max="5" width="11.7109375" customWidth="1"/>
    <col min="6" max="6" width="17.140625" customWidth="1"/>
    <col min="7" max="10" width="11.7109375" customWidth="1"/>
    <col min="11" max="11" width="11.140625" customWidth="1"/>
    <col min="12" max="14" width="11" style="9" customWidth="1"/>
    <col min="15" max="15" width="9.85546875" style="9" bestFit="1" customWidth="1"/>
    <col min="16" max="16" width="9.85546875" style="9" customWidth="1"/>
    <col min="17" max="18" width="9.85546875" style="9" bestFit="1" customWidth="1"/>
    <col min="19" max="19" width="9.85546875" bestFit="1" customWidth="1"/>
    <col min="20" max="20" width="11.42578125" bestFit="1" customWidth="1"/>
    <col min="21" max="21" width="71.140625" customWidth="1"/>
  </cols>
  <sheetData>
    <row r="1" spans="1:23" ht="58.5" customHeight="1" x14ac:dyDescent="0.25">
      <c r="A1" s="25"/>
      <c r="B1" s="334" t="s">
        <v>102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" t="s">
        <v>59</v>
      </c>
    </row>
    <row r="2" spans="1:23" ht="14.25" customHeight="1" x14ac:dyDescent="0.3">
      <c r="A2" s="10" t="s">
        <v>129</v>
      </c>
      <c r="B2" s="138" t="str">
        <f>Summary!C3</f>
        <v>Low Demand</v>
      </c>
      <c r="C2" s="97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6"/>
    </row>
    <row r="3" spans="1:23" ht="14.25" customHeight="1" x14ac:dyDescent="0.3">
      <c r="A3" s="147" t="s">
        <v>147</v>
      </c>
      <c r="B3" s="148">
        <f>MATCH(Summary!C4,'Supply Scenarios'!$A:$A,0)</f>
        <v>139</v>
      </c>
      <c r="C3" s="9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6"/>
    </row>
    <row r="4" spans="1:23" ht="14.25" customHeight="1" x14ac:dyDescent="0.25">
      <c r="A4" s="10"/>
      <c r="B4" s="208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96"/>
    </row>
    <row r="5" spans="1:23" x14ac:dyDescent="0.25">
      <c r="A5" s="10" t="s">
        <v>80</v>
      </c>
      <c r="B5" s="12"/>
      <c r="C5" s="16">
        <v>2010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">
        <v>2020</v>
      </c>
      <c r="K5" s="16">
        <v>2021</v>
      </c>
      <c r="L5" s="16">
        <v>2022</v>
      </c>
      <c r="M5" s="16">
        <v>2023</v>
      </c>
      <c r="N5" s="16">
        <v>2024</v>
      </c>
      <c r="O5" s="16">
        <v>2025</v>
      </c>
      <c r="P5" s="16">
        <v>2026</v>
      </c>
      <c r="Q5" s="16">
        <v>2027</v>
      </c>
      <c r="R5" s="16">
        <v>2028</v>
      </c>
      <c r="S5" s="16">
        <v>2029</v>
      </c>
      <c r="T5" s="16">
        <v>2030</v>
      </c>
    </row>
    <row r="6" spans="1:23" x14ac:dyDescent="0.25">
      <c r="A6" s="58" t="s">
        <v>77</v>
      </c>
      <c r="B6" s="1" t="s">
        <v>49</v>
      </c>
      <c r="C6" s="231">
        <f>IF($B$3&gt;=139,99.44,98.47)</f>
        <v>99.44</v>
      </c>
      <c r="D6" s="45">
        <v>97.96</v>
      </c>
      <c r="E6" s="45">
        <v>97.96</v>
      </c>
      <c r="F6" s="45">
        <v>96.5</v>
      </c>
      <c r="G6" s="45">
        <v>95.02</v>
      </c>
      <c r="H6" s="45">
        <v>93.55</v>
      </c>
      <c r="I6" s="47">
        <f t="shared" ref="I6:T6" si="0">(1-I9)*($C$6)</f>
        <v>93.224999999999994</v>
      </c>
      <c r="J6" s="47">
        <f t="shared" si="0"/>
        <v>91.981999999999999</v>
      </c>
      <c r="K6" s="47">
        <f t="shared" si="0"/>
        <v>90.73899999999999</v>
      </c>
      <c r="L6" s="47">
        <f t="shared" si="0"/>
        <v>89.495999999999995</v>
      </c>
      <c r="M6" s="47">
        <f t="shared" si="0"/>
        <v>88.253</v>
      </c>
      <c r="N6" s="47">
        <f t="shared" si="0"/>
        <v>87.009999999999991</v>
      </c>
      <c r="O6" s="47">
        <f t="shared" si="0"/>
        <v>85.766999999999996</v>
      </c>
      <c r="P6" s="47">
        <f t="shared" si="0"/>
        <v>84.524000000000001</v>
      </c>
      <c r="Q6" s="47">
        <f t="shared" si="0"/>
        <v>83.281000000000006</v>
      </c>
      <c r="R6" s="47">
        <f t="shared" si="0"/>
        <v>82.037999999999997</v>
      </c>
      <c r="S6" s="47">
        <f t="shared" si="0"/>
        <v>80.795000000000002</v>
      </c>
      <c r="T6" s="47">
        <f t="shared" si="0"/>
        <v>79.552000000000007</v>
      </c>
    </row>
    <row r="7" spans="1:23" x14ac:dyDescent="0.25">
      <c r="A7" s="66" t="s">
        <v>251</v>
      </c>
      <c r="B7" s="1" t="s">
        <v>50</v>
      </c>
      <c r="C7" s="231">
        <f>IF($B$3&gt;=139,100.45,102.01)</f>
        <v>100.45</v>
      </c>
      <c r="D7" s="45">
        <v>97.05</v>
      </c>
      <c r="E7" s="45">
        <v>97.05</v>
      </c>
      <c r="F7" s="45">
        <v>99.97</v>
      </c>
      <c r="G7" s="45">
        <v>98.44</v>
      </c>
      <c r="H7" s="45">
        <v>98.44</v>
      </c>
      <c r="I7" s="47">
        <f t="shared" ref="I7:T7" si="1">(1-I9)*$C$7</f>
        <v>94.171875</v>
      </c>
      <c r="J7" s="47">
        <f t="shared" si="1"/>
        <v>92.916250000000005</v>
      </c>
      <c r="K7" s="47">
        <f t="shared" si="1"/>
        <v>91.660624999999996</v>
      </c>
      <c r="L7" s="47">
        <f t="shared" si="1"/>
        <v>90.405000000000001</v>
      </c>
      <c r="M7" s="47">
        <f t="shared" si="1"/>
        <v>89.149374999999992</v>
      </c>
      <c r="N7" s="47">
        <f t="shared" si="1"/>
        <v>87.893749999999997</v>
      </c>
      <c r="O7" s="47">
        <f t="shared" si="1"/>
        <v>86.638125000000002</v>
      </c>
      <c r="P7" s="47">
        <f t="shared" si="1"/>
        <v>85.382499999999993</v>
      </c>
      <c r="Q7" s="47">
        <f t="shared" si="1"/>
        <v>84.126874999999998</v>
      </c>
      <c r="R7" s="47">
        <f t="shared" si="1"/>
        <v>82.871250000000003</v>
      </c>
      <c r="S7" s="47">
        <f t="shared" si="1"/>
        <v>81.615625000000009</v>
      </c>
      <c r="T7" s="47">
        <f t="shared" si="1"/>
        <v>80.360000000000014</v>
      </c>
    </row>
    <row r="8" spans="1:23" x14ac:dyDescent="0.25">
      <c r="A8" s="57" t="s">
        <v>78</v>
      </c>
      <c r="B8" s="1" t="s">
        <v>69</v>
      </c>
      <c r="C8" s="231">
        <v>89.38</v>
      </c>
      <c r="D8" s="35"/>
      <c r="E8" s="35"/>
      <c r="F8" s="35"/>
      <c r="G8" s="35"/>
      <c r="H8" s="35"/>
      <c r="I8" s="47">
        <f>IF(I7&gt;$C$8,$C$8,I7)</f>
        <v>89.38</v>
      </c>
      <c r="J8" s="47">
        <f t="shared" ref="J8:T8" si="2">IF(J7&gt;$C$8,$C$8,J7)</f>
        <v>89.38</v>
      </c>
      <c r="K8" s="47">
        <f t="shared" si="2"/>
        <v>89.38</v>
      </c>
      <c r="L8" s="47">
        <f t="shared" si="2"/>
        <v>89.38</v>
      </c>
      <c r="M8" s="47">
        <f t="shared" si="2"/>
        <v>89.149374999999992</v>
      </c>
      <c r="N8" s="47">
        <f t="shared" si="2"/>
        <v>87.893749999999997</v>
      </c>
      <c r="O8" s="47">
        <f t="shared" si="2"/>
        <v>86.638125000000002</v>
      </c>
      <c r="P8" s="47">
        <f t="shared" si="2"/>
        <v>85.382499999999993</v>
      </c>
      <c r="Q8" s="47">
        <f t="shared" si="2"/>
        <v>84.126874999999998</v>
      </c>
      <c r="R8" s="47">
        <f t="shared" si="2"/>
        <v>82.871250000000003</v>
      </c>
      <c r="S8" s="47">
        <f t="shared" si="2"/>
        <v>81.615625000000009</v>
      </c>
      <c r="T8" s="47">
        <f t="shared" si="2"/>
        <v>80.360000000000014</v>
      </c>
    </row>
    <row r="9" spans="1:23" x14ac:dyDescent="0.25">
      <c r="A9" s="59" t="s">
        <v>160</v>
      </c>
      <c r="B9" s="1" t="s">
        <v>84</v>
      </c>
      <c r="C9" s="1" t="s">
        <v>43</v>
      </c>
      <c r="D9" s="46">
        <v>0.01</v>
      </c>
      <c r="E9" s="46">
        <v>0.01</v>
      </c>
      <c r="F9" s="46">
        <v>0.02</v>
      </c>
      <c r="G9" s="46">
        <v>3.5000000000000003E-2</v>
      </c>
      <c r="H9" s="46">
        <v>0.05</v>
      </c>
      <c r="I9" s="189">
        <f>INDEX('Reduction Targets'!B3:B7,MATCH(Summary!$C$5,'Reduction Targets'!$A$3:$A$7,0))</f>
        <v>6.25E-2</v>
      </c>
      <c r="J9" s="189">
        <f>INDEX('Reduction Targets'!C3:C7,MATCH(Summary!$C$5,'Reduction Targets'!$A$3:$A$7,0))</f>
        <v>7.4999999999999997E-2</v>
      </c>
      <c r="K9" s="189">
        <f>INDEX('Reduction Targets'!D3:D7,MATCH(Summary!$C$5,'Reduction Targets'!$A$3:$A$7,0))</f>
        <v>8.7499999999999994E-2</v>
      </c>
      <c r="L9" s="189">
        <f>INDEX('Reduction Targets'!E3:E7,MATCH(Summary!$C$5,'Reduction Targets'!$A$3:$A$7,0))</f>
        <v>0.1</v>
      </c>
      <c r="M9" s="189">
        <f>INDEX('Reduction Targets'!F3:F7,MATCH(Summary!$C$5,'Reduction Targets'!$A$3:$A$7,0))</f>
        <v>0.1125</v>
      </c>
      <c r="N9" s="189">
        <f>INDEX('Reduction Targets'!G3:G7,MATCH(Summary!$C$5,'Reduction Targets'!$A$3:$A$7,0))</f>
        <v>0.125</v>
      </c>
      <c r="O9" s="189">
        <f>INDEX('Reduction Targets'!H3:H7,MATCH(Summary!$C$5,'Reduction Targets'!$A$3:$A$7,0))</f>
        <v>0.13750000000000001</v>
      </c>
      <c r="P9" s="189">
        <f>INDEX('Reduction Targets'!I3:I7,MATCH(Summary!$C$5,'Reduction Targets'!$A$3:$A$7,0))</f>
        <v>0.15</v>
      </c>
      <c r="Q9" s="189">
        <f>INDEX('Reduction Targets'!J3:J7,MATCH(Summary!$C$5,'Reduction Targets'!$A$3:$A$7,0))</f>
        <v>0.16250000000000001</v>
      </c>
      <c r="R9" s="189">
        <f>INDEX('Reduction Targets'!K3:K7,MATCH(Summary!$C$5,'Reduction Targets'!$A$3:$A$7,0))</f>
        <v>0.17499999999999999</v>
      </c>
      <c r="S9" s="189">
        <f>INDEX('Reduction Targets'!L3:L7,MATCH(Summary!$C$5,'Reduction Targets'!$A$3:$A$7,0))</f>
        <v>0.1875</v>
      </c>
      <c r="T9" s="189">
        <f>INDEX('Reduction Targets'!M3:M7,MATCH(Summary!$C$5,'Reduction Targets'!$A$3:$A$7,0))</f>
        <v>0.2</v>
      </c>
      <c r="U9" t="s">
        <v>182</v>
      </c>
    </row>
    <row r="10" spans="1:23" x14ac:dyDescent="0.25">
      <c r="A10" s="60" t="s">
        <v>145</v>
      </c>
      <c r="B10" s="19" t="s">
        <v>85</v>
      </c>
      <c r="C10" s="1" t="s">
        <v>83</v>
      </c>
      <c r="D10" s="34"/>
      <c r="E10" s="34"/>
      <c r="F10" s="262">
        <f>(F18*C167+F24*1000*C171*C150/1000000+F26*C172)/C173</f>
        <v>15701.671002946645</v>
      </c>
      <c r="G10" s="263">
        <f>(G18*C167+G24*1000*C171*C150/1000000+G26*C172)/C173</f>
        <v>15730.374393281318</v>
      </c>
      <c r="H10" s="51">
        <f>(1+'Demand Reduction Scenarios'!G21)*Calculations!$F$10</f>
        <v>15242.134359642669</v>
      </c>
      <c r="I10" s="51">
        <f>(1+'Demand Reduction Scenarios'!H21)*Calculations!$F$10</f>
        <v>14803.160360313232</v>
      </c>
      <c r="J10" s="51">
        <f>(1+'Demand Reduction Scenarios'!I21)*Calculations!$F$10</f>
        <v>14379.711335314161</v>
      </c>
      <c r="K10" s="51">
        <f>(1+'Demand Reduction Scenarios'!J21)*Calculations!$F$10</f>
        <v>13960.983742332273</v>
      </c>
      <c r="L10" s="51">
        <f>(1+'Demand Reduction Scenarios'!K21)*Calculations!$F$10</f>
        <v>13489.285768239013</v>
      </c>
      <c r="M10" s="51">
        <f>(1+'Demand Reduction Scenarios'!L21)*Calculations!$F$10</f>
        <v>13054.49967819797</v>
      </c>
      <c r="N10" s="51">
        <f>(1+'Demand Reduction Scenarios'!M21)*Calculations!$F$10</f>
        <v>12658.838510614918</v>
      </c>
      <c r="O10" s="51">
        <f>(1+'Demand Reduction Scenarios'!N21)*Calculations!$F$10</f>
        <v>12256.643484152666</v>
      </c>
      <c r="P10" s="51">
        <f>(1+'Demand Reduction Scenarios'!O21)*Calculations!$F$10</f>
        <v>11861.99117049332</v>
      </c>
      <c r="Q10" s="51">
        <f>(1+'Demand Reduction Scenarios'!P21)*Calculations!$F$10</f>
        <v>11576.028201028364</v>
      </c>
      <c r="R10" s="51">
        <f>(1+'Demand Reduction Scenarios'!Q21)*Calculations!$F$10</f>
        <v>11338.128208518629</v>
      </c>
      <c r="S10" s="51">
        <f>(1+'Demand Reduction Scenarios'!R21)*Calculations!$F$10</f>
        <v>11141.445447056034</v>
      </c>
      <c r="T10" s="51">
        <f>(1+'Demand Reduction Scenarios'!S21)*Calculations!$F$10</f>
        <v>10977.615304729006</v>
      </c>
      <c r="U10" t="s">
        <v>92</v>
      </c>
    </row>
    <row r="11" spans="1:23" x14ac:dyDescent="0.25">
      <c r="A11" s="61" t="s">
        <v>79</v>
      </c>
      <c r="B11" s="20" t="s">
        <v>86</v>
      </c>
      <c r="C11" s="1" t="s">
        <v>61</v>
      </c>
      <c r="D11" s="34"/>
      <c r="E11" s="34"/>
      <c r="F11" s="49">
        <f>(F29*C174+F30*C175+F31*C176*C156+F36*1000*C178*C159/1000000+F38*C179)/C179</f>
        <v>4041.2929945971773</v>
      </c>
      <c r="G11" s="263">
        <f>(G29*C174+G30*C175+G31*C176*C156+G36*1000*C178*C159/1000000+G38*C179)/C179</f>
        <v>4113.9372013439643</v>
      </c>
      <c r="H11" s="51">
        <f>(1+'Demand Reduction Scenarios'!G22)*Calculations!$F$11</f>
        <v>3972.62309077282</v>
      </c>
      <c r="I11" s="51">
        <f>(1+'Demand Reduction Scenarios'!H22)*Calculations!$F$11</f>
        <v>3961.900708563117</v>
      </c>
      <c r="J11" s="51">
        <f>(1+'Demand Reduction Scenarios'!I22)*Calculations!$F$11</f>
        <v>3968.8486120616381</v>
      </c>
      <c r="K11" s="51">
        <f>(1+'Demand Reduction Scenarios'!J22)*Calculations!$F$11</f>
        <v>4009.1336665983695</v>
      </c>
      <c r="L11" s="51">
        <f>(1+'Demand Reduction Scenarios'!K22)*Calculations!$F$11</f>
        <v>4052.4602961076766</v>
      </c>
      <c r="M11" s="51">
        <f>(1+'Demand Reduction Scenarios'!L22)*Calculations!$F$11</f>
        <v>4107.575628714465</v>
      </c>
      <c r="N11" s="51">
        <f>(1+'Demand Reduction Scenarios'!M22)*Calculations!$F$11</f>
        <v>4098.3471069089619</v>
      </c>
      <c r="O11" s="51">
        <f>(1+'Demand Reduction Scenarios'!N22)*Calculations!$F$11</f>
        <v>4086.5758372714622</v>
      </c>
      <c r="P11" s="51">
        <f>(1+'Demand Reduction Scenarios'!O22)*Calculations!$F$11</f>
        <v>4076.4633981277352</v>
      </c>
      <c r="Q11" s="51">
        <f>(1+'Demand Reduction Scenarios'!P22)*Calculations!$F$11</f>
        <v>4074.1307464982542</v>
      </c>
      <c r="R11" s="51">
        <f>(1+'Demand Reduction Scenarios'!Q22)*Calculations!$F$11</f>
        <v>4076.0827019094372</v>
      </c>
      <c r="S11" s="51">
        <f>(1+'Demand Reduction Scenarios'!R22)*Calculations!$F$11</f>
        <v>4087.813068106856</v>
      </c>
      <c r="T11" s="51">
        <f>(1+'Demand Reduction Scenarios'!S22)*Calculations!$F$11</f>
        <v>4104.3607179900146</v>
      </c>
      <c r="U11" t="s">
        <v>108</v>
      </c>
    </row>
    <row r="12" spans="1:23" x14ac:dyDescent="0.25">
      <c r="A12" s="72"/>
      <c r="B12" s="22" t="s">
        <v>26</v>
      </c>
      <c r="C12" s="1" t="s">
        <v>45</v>
      </c>
      <c r="D12" s="71"/>
      <c r="E12" s="71">
        <f t="shared" ref="E12:T12" si="3">E141</f>
        <v>2.8449780000000002</v>
      </c>
      <c r="F12" s="71">
        <f t="shared" si="3"/>
        <v>2.6112839999999995</v>
      </c>
      <c r="G12" s="71">
        <f t="shared" si="3"/>
        <v>5.5264916106951389E-2</v>
      </c>
      <c r="H12" s="71">
        <f t="shared" si="3"/>
        <v>-0.27094943699852791</v>
      </c>
      <c r="I12" s="71">
        <f t="shared" si="3"/>
        <v>-0.96073760864617697</v>
      </c>
      <c r="J12" s="71">
        <f t="shared" si="3"/>
        <v>-1.1666067425151088</v>
      </c>
      <c r="K12" s="71">
        <f t="shared" si="3"/>
        <v>-0.73588472104382063</v>
      </c>
      <c r="L12" s="71">
        <f t="shared" si="3"/>
        <v>0.24997856089922266</v>
      </c>
      <c r="M12" s="71">
        <f t="shared" si="3"/>
        <v>0.39793282788246032</v>
      </c>
      <c r="N12" s="71">
        <f t="shared" si="3"/>
        <v>0.29394408701290331</v>
      </c>
      <c r="O12" s="71">
        <f t="shared" si="3"/>
        <v>-9.7299058505413427E-3</v>
      </c>
      <c r="P12" s="71">
        <f t="shared" si="3"/>
        <v>-0.2739165622170141</v>
      </c>
      <c r="Q12" s="71">
        <f t="shared" si="3"/>
        <v>-0.27622483290736</v>
      </c>
      <c r="R12" s="71">
        <f t="shared" si="3"/>
        <v>-9.231158519344973E-3</v>
      </c>
      <c r="S12" s="71">
        <f t="shared" si="3"/>
        <v>-0.64364851142227053</v>
      </c>
      <c r="T12" s="71">
        <f t="shared" si="3"/>
        <v>-0.55745958980769927</v>
      </c>
    </row>
    <row r="13" spans="1:23" x14ac:dyDescent="0.25">
      <c r="A13" s="17"/>
      <c r="B13" s="20" t="s">
        <v>42</v>
      </c>
      <c r="C13" s="20" t="s">
        <v>45</v>
      </c>
      <c r="D13" s="50"/>
      <c r="E13" s="50">
        <f t="shared" ref="E13:T13" si="4">E142</f>
        <v>7.2574990000000001</v>
      </c>
      <c r="F13" s="50">
        <f t="shared" si="4"/>
        <v>9.8687830000000005</v>
      </c>
      <c r="G13" s="50">
        <f t="shared" si="4"/>
        <v>9.9240479161069519</v>
      </c>
      <c r="H13" s="50">
        <f t="shared" si="4"/>
        <v>9.653098479108424</v>
      </c>
      <c r="I13" s="50">
        <f t="shared" si="4"/>
        <v>8.692360870462247</v>
      </c>
      <c r="J13" s="50">
        <f t="shared" si="4"/>
        <v>7.5257541279471383</v>
      </c>
      <c r="K13" s="50">
        <f t="shared" si="4"/>
        <v>6.7898694069033176</v>
      </c>
      <c r="L13" s="50">
        <f t="shared" si="4"/>
        <v>7.0398479678025403</v>
      </c>
      <c r="M13" s="50">
        <f t="shared" si="4"/>
        <v>7.4377807956850006</v>
      </c>
      <c r="N13" s="50">
        <f t="shared" si="4"/>
        <v>7.7317248826979039</v>
      </c>
      <c r="O13" s="50">
        <f t="shared" si="4"/>
        <v>7.7219949768473626</v>
      </c>
      <c r="P13" s="50">
        <f t="shared" si="4"/>
        <v>7.4480784146303485</v>
      </c>
      <c r="Q13" s="50">
        <f t="shared" si="4"/>
        <v>7.1718535817229885</v>
      </c>
      <c r="R13" s="50">
        <f t="shared" si="4"/>
        <v>7.1626224232036435</v>
      </c>
      <c r="S13" s="50">
        <f t="shared" si="4"/>
        <v>6.518973911781373</v>
      </c>
      <c r="T13" s="50">
        <f t="shared" si="4"/>
        <v>5.9615143219736737</v>
      </c>
    </row>
    <row r="14" spans="1:23" ht="21.75" thickBot="1" x14ac:dyDescent="0.4">
      <c r="A14" s="13"/>
      <c r="B14" s="27"/>
      <c r="C14" s="1"/>
      <c r="D14" s="336" t="s">
        <v>51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8"/>
    </row>
    <row r="15" spans="1:23" ht="15" customHeight="1" x14ac:dyDescent="0.25">
      <c r="A15" s="325" t="s">
        <v>51</v>
      </c>
      <c r="B15" s="74" t="s">
        <v>72</v>
      </c>
      <c r="C15" s="14" t="s">
        <v>15</v>
      </c>
      <c r="D15" s="3">
        <v>2014</v>
      </c>
      <c r="E15" s="3">
        <v>2015</v>
      </c>
      <c r="F15" s="3">
        <v>2016</v>
      </c>
      <c r="G15" s="3">
        <v>2017</v>
      </c>
      <c r="H15" s="3">
        <v>2018</v>
      </c>
      <c r="I15" s="3">
        <v>2019</v>
      </c>
      <c r="J15" s="3">
        <v>2020</v>
      </c>
      <c r="K15" s="3">
        <v>2021</v>
      </c>
      <c r="L15" s="3">
        <v>2022</v>
      </c>
      <c r="M15" s="3">
        <v>2023</v>
      </c>
      <c r="N15" s="3">
        <v>2024</v>
      </c>
      <c r="O15" s="3">
        <v>2025</v>
      </c>
      <c r="P15" s="16">
        <v>2026</v>
      </c>
      <c r="Q15" s="16">
        <v>2027</v>
      </c>
      <c r="R15" s="16">
        <v>2028</v>
      </c>
      <c r="S15" s="16">
        <v>2029</v>
      </c>
      <c r="T15" s="16">
        <v>2030</v>
      </c>
    </row>
    <row r="16" spans="1:23" ht="15" customHeight="1" x14ac:dyDescent="0.25">
      <c r="A16" s="326"/>
      <c r="B16" s="74" t="s">
        <v>99</v>
      </c>
      <c r="C16" s="1" t="s">
        <v>43</v>
      </c>
      <c r="D16" s="217"/>
      <c r="E16" s="217"/>
      <c r="F16" s="217"/>
      <c r="G16" s="52">
        <f>G18/SUM(G18,G22,G26)</f>
        <v>0.1006743833666038</v>
      </c>
      <c r="H16" s="52">
        <f t="shared" ref="H16:T16" si="5">H18/SUM(H18,H22,H26)</f>
        <v>0.10140447078340696</v>
      </c>
      <c r="I16" s="52">
        <f t="shared" si="5"/>
        <v>0.10170153477819789</v>
      </c>
      <c r="J16" s="52">
        <f t="shared" si="5"/>
        <v>0.10203752881177629</v>
      </c>
      <c r="K16" s="52">
        <f t="shared" si="5"/>
        <v>0.10241750256097097</v>
      </c>
      <c r="L16" s="52">
        <f t="shared" si="5"/>
        <v>0.10285812032763125</v>
      </c>
      <c r="M16" s="52">
        <f t="shared" si="5"/>
        <v>0.10334886079857233</v>
      </c>
      <c r="N16" s="52">
        <f t="shared" si="5"/>
        <v>0.10389092588446183</v>
      </c>
      <c r="O16" s="52">
        <f t="shared" si="5"/>
        <v>0.10450244619799792</v>
      </c>
      <c r="P16" s="52">
        <f t="shared" si="5"/>
        <v>0.10518600050002724</v>
      </c>
      <c r="Q16" s="52">
        <f t="shared" si="5"/>
        <v>0.10589398022177129</v>
      </c>
      <c r="R16" s="52">
        <f t="shared" si="5"/>
        <v>0.10664443876285863</v>
      </c>
      <c r="S16" s="52">
        <f t="shared" si="5"/>
        <v>0.10743542005555382</v>
      </c>
      <c r="T16" s="52">
        <f t="shared" si="5"/>
        <v>0.10826704198839242</v>
      </c>
      <c r="W16" s="23"/>
    </row>
    <row r="17" spans="1:23" ht="15" customHeight="1" x14ac:dyDescent="0.25">
      <c r="A17" s="326"/>
      <c r="B17" s="74" t="s">
        <v>158</v>
      </c>
      <c r="C17" s="1" t="s">
        <v>18</v>
      </c>
      <c r="D17" s="216"/>
      <c r="E17" s="216"/>
      <c r="F17" s="216"/>
      <c r="G17" s="253">
        <v>18.423134009999998</v>
      </c>
      <c r="H17" s="154">
        <f>INDEX('Supply Scenarios'!D:D,MATCH($B17,'Supply Scenarios'!$B:$B,0)+$B$3-'Supply Scenarios'!$B$1)</f>
        <v>21.954198859999998</v>
      </c>
      <c r="I17" s="154">
        <f>INDEX('Supply Scenarios'!E:E,MATCH($B17,'Supply Scenarios'!$B:$B,0)+$B$3-'Supply Scenarios'!$B$1)</f>
        <v>25.79566213</v>
      </c>
      <c r="J17" s="154">
        <f>INDEX('Supply Scenarios'!F:F,MATCH($B17,'Supply Scenarios'!$B:$B,0)+$B$3-'Supply Scenarios'!$B$1)</f>
        <v>29.947523820000001</v>
      </c>
      <c r="K17" s="154">
        <f>INDEX('Supply Scenarios'!G:G,MATCH($B17,'Supply Scenarios'!$B:$B,0)+$B$3-'Supply Scenarios'!$B$1)</f>
        <v>34.409783930000003</v>
      </c>
      <c r="L17" s="154">
        <f>INDEX('Supply Scenarios'!H:H,MATCH($B17,'Supply Scenarios'!$B:$B,0)+$B$3-'Supply Scenarios'!$B$1)</f>
        <v>39.182442460000004</v>
      </c>
      <c r="M17" s="154">
        <f>INDEX('Supply Scenarios'!I:I,MATCH($B17,'Supply Scenarios'!$B:$B,0)+$B$3-'Supply Scenarios'!$B$1)</f>
        <v>44.265499409999997</v>
      </c>
      <c r="N17" s="154">
        <f>INDEX('Supply Scenarios'!J:J,MATCH($B17,'Supply Scenarios'!$B:$B,0)+$B$3-'Supply Scenarios'!$B$1)</f>
        <v>49.658954780000002</v>
      </c>
      <c r="O17" s="154">
        <f>INDEX('Supply Scenarios'!K:K,MATCH($B17,'Supply Scenarios'!$B:$B,0)+$B$3-'Supply Scenarios'!$B$1)</f>
        <v>55.362808569999999</v>
      </c>
      <c r="P17" s="154">
        <f>INDEX('Supply Scenarios'!L:L,MATCH($B17,'Supply Scenarios'!$B:$B,0)+$B$3-'Supply Scenarios'!$B$1)</f>
        <v>61.377060779999994</v>
      </c>
      <c r="Q17" s="154">
        <f>INDEX('Supply Scenarios'!M:M,MATCH($B17,'Supply Scenarios'!$B:$B,0)+$B$3-'Supply Scenarios'!$B$1)</f>
        <v>67.701711410000001</v>
      </c>
      <c r="R17" s="154">
        <f>INDEX('Supply Scenarios'!N:N,MATCH($B17,'Supply Scenarios'!$B:$B,0)+$B$3-'Supply Scenarios'!$B$1)</f>
        <v>74.336760459999994</v>
      </c>
      <c r="S17" s="154">
        <f>INDEX('Supply Scenarios'!O:O,MATCH($B17,'Supply Scenarios'!$B:$B,0)+$B$3-'Supply Scenarios'!$B$1)</f>
        <v>81.282207929999998</v>
      </c>
      <c r="T17" s="154">
        <f>INDEX('Supply Scenarios'!P:P,MATCH($B17,'Supply Scenarios'!$B:$B,0)+$B$3-'Supply Scenarios'!$B$1)</f>
        <v>88.538053819999988</v>
      </c>
      <c r="U17" t="s">
        <v>183</v>
      </c>
      <c r="W17" s="23"/>
    </row>
    <row r="18" spans="1:23" ht="15.75" customHeight="1" x14ac:dyDescent="0.25">
      <c r="A18" s="326"/>
      <c r="B18" s="74" t="s">
        <v>22</v>
      </c>
      <c r="C18" s="1" t="s">
        <v>18</v>
      </c>
      <c r="D18" s="38">
        <v>1485</v>
      </c>
      <c r="E18" s="38">
        <v>1507</v>
      </c>
      <c r="F18" s="85">
        <v>1597.8856949999999</v>
      </c>
      <c r="G18" s="248">
        <v>1574.5106390000001</v>
      </c>
      <c r="H18" s="51">
        <f t="shared" ref="H18:S18" si="6">H25*$C$173/($C$167+$C$172*(1-0.1)/0.1)+H17</f>
        <v>1534.7000795389397</v>
      </c>
      <c r="I18" s="51">
        <f t="shared" si="6"/>
        <v>1492.7768276134898</v>
      </c>
      <c r="J18" s="51">
        <f t="shared" si="6"/>
        <v>1452.0401355876697</v>
      </c>
      <c r="K18" s="51">
        <f t="shared" si="6"/>
        <v>1411.4019476144406</v>
      </c>
      <c r="L18" s="51">
        <f t="shared" si="6"/>
        <v>1365.2466123414631</v>
      </c>
      <c r="M18" s="51">
        <f t="shared" si="6"/>
        <v>1322.6212460099775</v>
      </c>
      <c r="N18" s="51">
        <f t="shared" si="6"/>
        <v>1283.7597676208277</v>
      </c>
      <c r="O18" s="51">
        <f t="shared" si="6"/>
        <v>1244.1065218981414</v>
      </c>
      <c r="P18" s="51">
        <f t="shared" si="6"/>
        <v>1205.2940239634502</v>
      </c>
      <c r="Q18" s="51">
        <f t="shared" si="6"/>
        <v>1177.6704384972484</v>
      </c>
      <c r="R18" s="51">
        <f t="shared" si="6"/>
        <v>1155.1677853069184</v>
      </c>
      <c r="S18" s="51">
        <f t="shared" si="6"/>
        <v>1137.1008864333382</v>
      </c>
      <c r="T18" s="51">
        <f>T25*$C$173/($C$167+$C$172*(1-0.1)/0.1)+T17</f>
        <v>1122.6325434476764</v>
      </c>
      <c r="U18" s="7" t="s">
        <v>181</v>
      </c>
    </row>
    <row r="19" spans="1:23" s="7" customFormat="1" ht="15.75" customHeight="1" x14ac:dyDescent="0.25">
      <c r="A19" s="326"/>
      <c r="B19" s="74" t="s">
        <v>17</v>
      </c>
      <c r="C19" s="1" t="s">
        <v>18</v>
      </c>
      <c r="D19" s="39">
        <v>0</v>
      </c>
      <c r="E19" s="40">
        <v>0</v>
      </c>
      <c r="F19" s="40">
        <v>0</v>
      </c>
      <c r="G19" s="249">
        <v>0</v>
      </c>
      <c r="H19" s="139">
        <f>INDEX('Supply Scenarios'!D:D,MATCH($B19,'Supply Scenarios'!$B:$B,0)+$B$3-'Supply Scenarios'!$B$1)</f>
        <v>2.0166397615795355</v>
      </c>
      <c r="I19" s="139">
        <f>INDEX('Supply Scenarios'!E:E,MATCH($B19,'Supply Scenarios'!$B:$B,0)+$B$3-'Supply Scenarios'!$B$1)</f>
        <v>4.033279523159071</v>
      </c>
      <c r="J19" s="139">
        <f>INDEX('Supply Scenarios'!F:F,MATCH($B19,'Supply Scenarios'!$B:$B,0)+$B$3-'Supply Scenarios'!$B$1)</f>
        <v>7.4866509375388048</v>
      </c>
      <c r="K19" s="139">
        <f>INDEX('Supply Scenarios'!G:G,MATCH($B19,'Supply Scenarios'!$B:$B,0)+$B$3-'Supply Scenarios'!$B$1)</f>
        <v>11.508297006019333</v>
      </c>
      <c r="L19" s="139">
        <f>INDEX('Supply Scenarios'!H:H,MATCH($B19,'Supply Scenarios'!$B:$B,0)+$B$3-'Supply Scenarios'!$B$1)</f>
        <v>16.249135193627929</v>
      </c>
      <c r="M19" s="139">
        <f>INDEX('Supply Scenarios'!I:I,MATCH($B19,'Supply Scenarios'!$B:$B,0)+$B$3-'Supply Scenarios'!$B$1)</f>
        <v>22.164050263776673</v>
      </c>
      <c r="N19" s="139">
        <f>INDEX('Supply Scenarios'!J:J,MATCH($B19,'Supply Scenarios'!$B:$B,0)+$B$3-'Supply Scenarios'!$B$1)</f>
        <v>30.406059853470754</v>
      </c>
      <c r="O19" s="139">
        <f>INDEX('Supply Scenarios'!K:K,MATCH($B19,'Supply Scenarios'!$B:$B,0)+$B$3-'Supply Scenarios'!$B$1)</f>
        <v>41.012873049381184</v>
      </c>
      <c r="P19" s="139">
        <f>INDEX('Supply Scenarios'!L:L,MATCH($B19,'Supply Scenarios'!$B:$B,0)+$B$3-'Supply Scenarios'!$B$1)</f>
        <v>51.043503456268887</v>
      </c>
      <c r="Q19" s="139">
        <f>INDEX('Supply Scenarios'!M:M,MATCH($B19,'Supply Scenarios'!$B:$B,0)+$B$3-'Supply Scenarios'!$B$1)</f>
        <v>70</v>
      </c>
      <c r="R19" s="139">
        <f>INDEX('Supply Scenarios'!N:N,MATCH($B19,'Supply Scenarios'!$B:$B,0)+$B$3-'Supply Scenarios'!$B$1)</f>
        <v>95</v>
      </c>
      <c r="S19" s="139">
        <f>INDEX('Supply Scenarios'!O:O,MATCH($B19,'Supply Scenarios'!$B:$B,0)+$B$3-'Supply Scenarios'!$B$1)</f>
        <v>110</v>
      </c>
      <c r="T19" s="139">
        <f>INDEX('Supply Scenarios'!P:P,MATCH($B19,'Supply Scenarios'!$B:$B,0)+$B$3-'Supply Scenarios'!$B$1)</f>
        <v>125</v>
      </c>
      <c r="U19" t="s">
        <v>183</v>
      </c>
      <c r="V19"/>
    </row>
    <row r="20" spans="1:23" s="7" customFormat="1" ht="15.75" customHeight="1" x14ac:dyDescent="0.25">
      <c r="A20" s="326"/>
      <c r="B20" s="74" t="s">
        <v>124</v>
      </c>
      <c r="C20" s="1" t="s">
        <v>18</v>
      </c>
      <c r="D20" s="39">
        <v>8.8000000000000007</v>
      </c>
      <c r="E20" s="40">
        <v>41.9</v>
      </c>
      <c r="F20" s="40">
        <v>30.937916999999999</v>
      </c>
      <c r="G20" s="249">
        <v>67.750127000000006</v>
      </c>
      <c r="H20" s="139">
        <f>INDEX('Supply Scenarios'!D:D,MATCH($B20,'Supply Scenarios'!$B:$B,0)+$B$3-'Supply Scenarios'!$B$1)</f>
        <v>100</v>
      </c>
      <c r="I20" s="139">
        <f>INDEX('Supply Scenarios'!E:E,MATCH($B20,'Supply Scenarios'!$B:$B,0)+$B$3-'Supply Scenarios'!$B$1)</f>
        <v>150</v>
      </c>
      <c r="J20" s="139">
        <f>INDEX('Supply Scenarios'!F:F,MATCH($B20,'Supply Scenarios'!$B:$B,0)+$B$3-'Supply Scenarios'!$B$1)</f>
        <v>150</v>
      </c>
      <c r="K20" s="139">
        <f>INDEX('Supply Scenarios'!G:G,MATCH($B20,'Supply Scenarios'!$B:$B,0)+$B$3-'Supply Scenarios'!$B$1)</f>
        <v>100</v>
      </c>
      <c r="L20" s="139">
        <f>INDEX('Supply Scenarios'!H:H,MATCH($B20,'Supply Scenarios'!$B:$B,0)+$B$3-'Supply Scenarios'!$B$1)</f>
        <v>50</v>
      </c>
      <c r="M20" s="139">
        <f>INDEX('Supply Scenarios'!I:I,MATCH($B20,'Supply Scenarios'!$B:$B,0)+$B$3-'Supply Scenarios'!$B$1)</f>
        <v>0</v>
      </c>
      <c r="N20" s="139">
        <f>INDEX('Supply Scenarios'!J:J,MATCH($B20,'Supply Scenarios'!$B:$B,0)+$B$3-'Supply Scenarios'!$B$1)</f>
        <v>0</v>
      </c>
      <c r="O20" s="139">
        <f>INDEX('Supply Scenarios'!K:K,MATCH($B20,'Supply Scenarios'!$B:$B,0)+$B$3-'Supply Scenarios'!$B$1)</f>
        <v>0</v>
      </c>
      <c r="P20" s="139">
        <f>INDEX('Supply Scenarios'!L:L,MATCH($B20,'Supply Scenarios'!$B:$B,0)+$B$3-'Supply Scenarios'!$B$1)</f>
        <v>0</v>
      </c>
      <c r="Q20" s="139">
        <f>INDEX('Supply Scenarios'!M:M,MATCH($B20,'Supply Scenarios'!$B:$B,0)+$B$3-'Supply Scenarios'!$B$1)</f>
        <v>0</v>
      </c>
      <c r="R20" s="139">
        <f>INDEX('Supply Scenarios'!N:N,MATCH($B20,'Supply Scenarios'!$B:$B,0)+$B$3-'Supply Scenarios'!$B$1)</f>
        <v>0</v>
      </c>
      <c r="S20" s="139">
        <f>INDEX('Supply Scenarios'!O:O,MATCH($B20,'Supply Scenarios'!$B:$B,0)+$B$3-'Supply Scenarios'!$B$1)</f>
        <v>0</v>
      </c>
      <c r="T20" s="139">
        <f>INDEX('Supply Scenarios'!P:P,MATCH($B20,'Supply Scenarios'!$B:$B,0)+$B$3-'Supply Scenarios'!$B$1)</f>
        <v>0</v>
      </c>
      <c r="U20" t="s">
        <v>183</v>
      </c>
      <c r="V20"/>
    </row>
    <row r="21" spans="1:23" ht="15" customHeight="1" x14ac:dyDescent="0.25">
      <c r="A21" s="326"/>
      <c r="B21" s="75" t="s">
        <v>125</v>
      </c>
      <c r="C21" s="1" t="s">
        <v>18</v>
      </c>
      <c r="D21" s="49">
        <f>D18-D19-D20</f>
        <v>1476.2</v>
      </c>
      <c r="E21" s="49">
        <f>E18-E19-E20</f>
        <v>1465.1</v>
      </c>
      <c r="F21" s="251">
        <v>1566.947778</v>
      </c>
      <c r="G21" s="251">
        <v>1506.7605120000001</v>
      </c>
      <c r="H21" s="49">
        <f t="shared" ref="H21:T21" si="7">H18-H19-H20</f>
        <v>1432.6834397773603</v>
      </c>
      <c r="I21" s="49">
        <f t="shared" si="7"/>
        <v>1338.7435480903307</v>
      </c>
      <c r="J21" s="49">
        <f t="shared" si="7"/>
        <v>1294.5534846501309</v>
      </c>
      <c r="K21" s="49">
        <f t="shared" si="7"/>
        <v>1299.8936506084212</v>
      </c>
      <c r="L21" s="49">
        <f t="shared" si="7"/>
        <v>1298.9974771478351</v>
      </c>
      <c r="M21" s="49">
        <f t="shared" si="7"/>
        <v>1300.4571957462008</v>
      </c>
      <c r="N21" s="49">
        <f t="shared" si="7"/>
        <v>1253.353707767357</v>
      </c>
      <c r="O21" s="49">
        <f t="shared" si="7"/>
        <v>1203.0936488487603</v>
      </c>
      <c r="P21" s="49">
        <f t="shared" si="7"/>
        <v>1154.2505205071814</v>
      </c>
      <c r="Q21" s="49">
        <f t="shared" si="7"/>
        <v>1107.6704384972484</v>
      </c>
      <c r="R21" s="49">
        <f t="shared" si="7"/>
        <v>1060.1677853069184</v>
      </c>
      <c r="S21" s="49">
        <f t="shared" si="7"/>
        <v>1027.1008864333382</v>
      </c>
      <c r="T21" s="49">
        <f t="shared" si="7"/>
        <v>997.63254344767643</v>
      </c>
      <c r="U21" t="s">
        <v>126</v>
      </c>
    </row>
    <row r="22" spans="1:23" s="7" customFormat="1" ht="15.75" customHeight="1" x14ac:dyDescent="0.25">
      <c r="A22" s="326"/>
      <c r="B22" s="76" t="s">
        <v>16</v>
      </c>
      <c r="C22" s="1" t="s">
        <v>18</v>
      </c>
      <c r="D22" s="40">
        <v>0</v>
      </c>
      <c r="E22" s="40">
        <v>0</v>
      </c>
      <c r="F22" s="40">
        <v>0</v>
      </c>
      <c r="G22" s="249">
        <v>0</v>
      </c>
      <c r="H22" s="139">
        <f>INDEX('Supply Scenarios'!D:D,MATCH($B22,'Supply Scenarios'!$B:$B,0)+$B$3-'Supply Scenarios'!$B$1)</f>
        <v>0</v>
      </c>
      <c r="I22" s="139">
        <f>INDEX('Supply Scenarios'!E:E,MATCH($B22,'Supply Scenarios'!$B:$B,0)+$B$3-'Supply Scenarios'!$B$1)</f>
        <v>0</v>
      </c>
      <c r="J22" s="139">
        <f>INDEX('Supply Scenarios'!F:F,MATCH($B22,'Supply Scenarios'!$B:$B,0)+$B$3-'Supply Scenarios'!$B$1)</f>
        <v>0</v>
      </c>
      <c r="K22" s="139">
        <f>INDEX('Supply Scenarios'!G:G,MATCH($B22,'Supply Scenarios'!$B:$B,0)+$B$3-'Supply Scenarios'!$B$1)</f>
        <v>0</v>
      </c>
      <c r="L22" s="139">
        <f>INDEX('Supply Scenarios'!H:H,MATCH($B22,'Supply Scenarios'!$B:$B,0)+$B$3-'Supply Scenarios'!$B$1)</f>
        <v>0</v>
      </c>
      <c r="M22" s="139">
        <f>INDEX('Supply Scenarios'!I:I,MATCH($B22,'Supply Scenarios'!$B:$B,0)+$B$3-'Supply Scenarios'!$B$1)</f>
        <v>0</v>
      </c>
      <c r="N22" s="139">
        <f>INDEX('Supply Scenarios'!J:J,MATCH($B22,'Supply Scenarios'!$B:$B,0)+$B$3-'Supply Scenarios'!$B$1)</f>
        <v>0</v>
      </c>
      <c r="O22" s="139">
        <f>INDEX('Supply Scenarios'!K:K,MATCH($B22,'Supply Scenarios'!$B:$B,0)+$B$3-'Supply Scenarios'!$B$1)</f>
        <v>0</v>
      </c>
      <c r="P22" s="139">
        <f>INDEX('Supply Scenarios'!L:L,MATCH($B22,'Supply Scenarios'!$B:$B,0)+$B$3-'Supply Scenarios'!$B$1)</f>
        <v>0</v>
      </c>
      <c r="Q22" s="139">
        <f>INDEX('Supply Scenarios'!M:M,MATCH($B22,'Supply Scenarios'!$B:$B,0)+$B$3-'Supply Scenarios'!$B$1)</f>
        <v>0</v>
      </c>
      <c r="R22" s="139">
        <f>INDEX('Supply Scenarios'!N:N,MATCH($B22,'Supply Scenarios'!$B:$B,0)+$B$3-'Supply Scenarios'!$B$1)</f>
        <v>0</v>
      </c>
      <c r="S22" s="139">
        <f>INDEX('Supply Scenarios'!O:O,MATCH($B22,'Supply Scenarios'!$B:$B,0)+$B$3-'Supply Scenarios'!$B$1)</f>
        <v>0</v>
      </c>
      <c r="T22" s="139">
        <f>INDEX('Supply Scenarios'!P:P,MATCH($B22,'Supply Scenarios'!$B:$B,0)+$B$3-'Supply Scenarios'!$B$1)</f>
        <v>0</v>
      </c>
      <c r="U22" t="s">
        <v>183</v>
      </c>
      <c r="V22"/>
    </row>
    <row r="23" spans="1:23" s="7" customFormat="1" ht="15.75" customHeight="1" x14ac:dyDescent="0.25">
      <c r="A23" s="326"/>
      <c r="B23" s="74" t="s">
        <v>5</v>
      </c>
      <c r="C23" s="1" t="s">
        <v>112</v>
      </c>
      <c r="D23" s="40">
        <v>3.4090909090909088E-2</v>
      </c>
      <c r="E23" s="40">
        <v>0.36363636363636359</v>
      </c>
      <c r="F23" s="40">
        <v>2.9030000000000002E-3</v>
      </c>
      <c r="G23" s="249">
        <v>0.26819500000000002</v>
      </c>
      <c r="H23" s="139">
        <f>INDEX('Supply Scenarios'!D:D,MATCH($B23,'Supply Scenarios'!$B:$B,0)+$B$3-'Supply Scenarios'!$B$1)</f>
        <v>0.71909999999999996</v>
      </c>
      <c r="I23" s="139">
        <f>INDEX('Supply Scenarios'!E:E,MATCH($B23,'Supply Scenarios'!$B:$B,0)+$B$3-'Supply Scenarios'!$B$1)</f>
        <v>1.3375999999999999</v>
      </c>
      <c r="J23" s="139">
        <f>INDEX('Supply Scenarios'!F:F,MATCH($B23,'Supply Scenarios'!$B:$B,0)+$B$3-'Supply Scenarios'!$B$1)</f>
        <v>2.3818000000000001</v>
      </c>
      <c r="K23" s="139">
        <f>INDEX('Supply Scenarios'!G:G,MATCH($B23,'Supply Scenarios'!$B:$B,0)+$B$3-'Supply Scenarios'!$B$1)</f>
        <v>3.8589000000000002</v>
      </c>
      <c r="L23" s="139">
        <f>INDEX('Supply Scenarios'!H:H,MATCH($B23,'Supply Scenarios'!$B:$B,0)+$B$3-'Supply Scenarios'!$B$1)</f>
        <v>6.1199000000000003</v>
      </c>
      <c r="M23" s="139">
        <f>INDEX('Supply Scenarios'!I:I,MATCH($B23,'Supply Scenarios'!$B:$B,0)+$B$3-'Supply Scenarios'!$B$1)</f>
        <v>9.2230000000000008</v>
      </c>
      <c r="N23" s="139">
        <f>INDEX('Supply Scenarios'!J:J,MATCH($B23,'Supply Scenarios'!$B:$B,0)+$B$3-'Supply Scenarios'!$B$1)</f>
        <v>12.8797</v>
      </c>
      <c r="O23" s="139">
        <f>INDEX('Supply Scenarios'!K:K,MATCH($B23,'Supply Scenarios'!$B:$B,0)+$B$3-'Supply Scenarios'!$B$1)</f>
        <v>17.098500000000001</v>
      </c>
      <c r="P23" s="139">
        <f>INDEX('Supply Scenarios'!L:L,MATCH($B23,'Supply Scenarios'!$B:$B,0)+$B$3-'Supply Scenarios'!$B$1)</f>
        <v>21.6035</v>
      </c>
      <c r="Q23" s="139">
        <f>INDEX('Supply Scenarios'!M:M,MATCH($B23,'Supply Scenarios'!$B:$B,0)+$B$3-'Supply Scenarios'!$B$1)</f>
        <v>26.108499999999999</v>
      </c>
      <c r="R23" s="139">
        <f>INDEX('Supply Scenarios'!N:N,MATCH($B23,'Supply Scenarios'!$B:$B,0)+$B$3-'Supply Scenarios'!$B$1)</f>
        <v>30.613499999999998</v>
      </c>
      <c r="S23" s="139">
        <f>INDEX('Supply Scenarios'!O:O,MATCH($B23,'Supply Scenarios'!$B:$B,0)+$B$3-'Supply Scenarios'!$B$1)</f>
        <v>35.118499999999997</v>
      </c>
      <c r="T23" s="139">
        <f>INDEX('Supply Scenarios'!P:P,MATCH($B23,'Supply Scenarios'!$B:$B,0)+$B$3-'Supply Scenarios'!$B$1)</f>
        <v>39.6235</v>
      </c>
      <c r="U23" t="s">
        <v>183</v>
      </c>
      <c r="V23"/>
    </row>
    <row r="24" spans="1:23" s="7" customFormat="1" ht="15.75" customHeight="1" x14ac:dyDescent="0.25">
      <c r="A24" s="326"/>
      <c r="B24" s="74" t="s">
        <v>0</v>
      </c>
      <c r="C24" s="1" t="s">
        <v>19</v>
      </c>
      <c r="D24" s="40">
        <v>272</v>
      </c>
      <c r="E24" s="40">
        <v>417</v>
      </c>
      <c r="F24" s="69">
        <v>710.23960507499999</v>
      </c>
      <c r="G24" s="249">
        <v>1021.777059075</v>
      </c>
      <c r="H24" s="139">
        <f>INDEX('Supply Scenarios'!D:D,MATCH($B24,'Supply Scenarios'!$B:$B,0)+$B$3-'Supply Scenarios'!$B$1)</f>
        <v>1193.638616</v>
      </c>
      <c r="I24" s="139">
        <f>INDEX('Supply Scenarios'!E:E,MATCH($B24,'Supply Scenarios'!$B:$B,0)+$B$3-'Supply Scenarios'!$B$1)</f>
        <v>1351.3739760000001</v>
      </c>
      <c r="J24" s="139">
        <f>INDEX('Supply Scenarios'!F:F,MATCH($B24,'Supply Scenarios'!$B:$B,0)+$B$3-'Supply Scenarios'!$B$1)</f>
        <v>1562.7517760000001</v>
      </c>
      <c r="K24" s="139">
        <f>INDEX('Supply Scenarios'!G:G,MATCH($B24,'Supply Scenarios'!$B:$B,0)+$B$3-'Supply Scenarios'!$B$1)</f>
        <v>1828.233696</v>
      </c>
      <c r="L24" s="139">
        <f>INDEX('Supply Scenarios'!H:H,MATCH($B24,'Supply Scenarios'!$B:$B,0)+$B$3-'Supply Scenarios'!$B$1)</f>
        <v>2124.219928</v>
      </c>
      <c r="M24" s="139">
        <f>INDEX('Supply Scenarios'!I:I,MATCH($B24,'Supply Scenarios'!$B:$B,0)+$B$3-'Supply Scenarios'!$B$1)</f>
        <v>2444.465056</v>
      </c>
      <c r="N24" s="139">
        <f>INDEX('Supply Scenarios'!J:J,MATCH($B24,'Supply Scenarios'!$B:$B,0)+$B$3-'Supply Scenarios'!$B$1)</f>
        <v>2794.8658479999999</v>
      </c>
      <c r="O24" s="139">
        <f>INDEX('Supply Scenarios'!K:K,MATCH($B24,'Supply Scenarios'!$B:$B,0)+$B$3-'Supply Scenarios'!$B$1)</f>
        <v>3173.8669199999999</v>
      </c>
      <c r="P24" s="139">
        <f>INDEX('Supply Scenarios'!L:L,MATCH($B24,'Supply Scenarios'!$B:$B,0)+$B$3-'Supply Scenarios'!$B$1)</f>
        <v>3567.0877359999999</v>
      </c>
      <c r="Q24" s="139">
        <f>INDEX('Supply Scenarios'!M:M,MATCH($B24,'Supply Scenarios'!$B:$B,0)+$B$3-'Supply Scenarios'!$B$1)</f>
        <v>3960.308552</v>
      </c>
      <c r="R24" s="139">
        <f>INDEX('Supply Scenarios'!N:N,MATCH($B24,'Supply Scenarios'!$B:$B,0)+$B$3-'Supply Scenarios'!$B$1)</f>
        <v>4353.5293680000004</v>
      </c>
      <c r="S24" s="139">
        <f>INDEX('Supply Scenarios'!O:O,MATCH($B24,'Supply Scenarios'!$B:$B,0)+$B$3-'Supply Scenarios'!$B$1)</f>
        <v>4746.7501840000004</v>
      </c>
      <c r="T24" s="139">
        <f>INDEX('Supply Scenarios'!P:P,MATCH($B24,'Supply Scenarios'!$B:$B,0)+$B$3-'Supply Scenarios'!$B$1)</f>
        <v>5139.9709999999995</v>
      </c>
      <c r="U24" t="s">
        <v>183</v>
      </c>
      <c r="V24"/>
    </row>
    <row r="25" spans="1:23" ht="15.75" customHeight="1" x14ac:dyDescent="0.25">
      <c r="A25" s="326"/>
      <c r="B25" s="74" t="s">
        <v>93</v>
      </c>
      <c r="C25" s="1" t="s">
        <v>83</v>
      </c>
      <c r="D25" s="34"/>
      <c r="E25" s="34"/>
      <c r="F25" s="70"/>
      <c r="G25" s="49">
        <f t="shared" ref="G25:T25" si="8">G10-G24*$C$171*$C$150/$C$173/1000-G23*$C$151*$C$170/$C$173</f>
        <v>15621.706408861693</v>
      </c>
      <c r="H25" s="49">
        <f t="shared" si="8"/>
        <v>15114.137553242885</v>
      </c>
      <c r="I25" s="49">
        <f t="shared" si="8"/>
        <v>14656.8934057734</v>
      </c>
      <c r="J25" s="49">
        <f t="shared" si="8"/>
        <v>14208.403157614512</v>
      </c>
      <c r="K25" s="49">
        <f t="shared" si="8"/>
        <v>13757.795831725196</v>
      </c>
      <c r="L25" s="49">
        <f t="shared" si="8"/>
        <v>13248.964366057324</v>
      </c>
      <c r="M25" s="49">
        <f t="shared" si="8"/>
        <v>12772.300254038002</v>
      </c>
      <c r="N25" s="49">
        <f t="shared" si="8"/>
        <v>12330.140625782898</v>
      </c>
      <c r="O25" s="49">
        <f t="shared" si="8"/>
        <v>11876.969045673759</v>
      </c>
      <c r="P25" s="49">
        <f t="shared" si="8"/>
        <v>11429.096288983365</v>
      </c>
      <c r="Q25" s="49">
        <f t="shared" si="8"/>
        <v>11089.91287648736</v>
      </c>
      <c r="R25" s="49">
        <f t="shared" si="8"/>
        <v>10798.792440946576</v>
      </c>
      <c r="S25" s="49">
        <f t="shared" si="8"/>
        <v>10548.889236452935</v>
      </c>
      <c r="T25" s="49">
        <f t="shared" si="8"/>
        <v>10331.838651094857</v>
      </c>
      <c r="U25" s="7" t="s">
        <v>95</v>
      </c>
    </row>
    <row r="26" spans="1:23" ht="15.75" customHeight="1" x14ac:dyDescent="0.25">
      <c r="A26" s="326"/>
      <c r="B26" s="74" t="s">
        <v>73</v>
      </c>
      <c r="C26" s="1" t="s">
        <v>18</v>
      </c>
      <c r="D26" s="68">
        <v>13093</v>
      </c>
      <c r="E26" s="68">
        <v>13324</v>
      </c>
      <c r="F26" s="68">
        <v>14053.271601</v>
      </c>
      <c r="G26" s="250">
        <v>14065.124652</v>
      </c>
      <c r="H26" s="48">
        <f t="shared" ref="H26:T26" si="9">(H25*$C$173-H18*$C$167-H22*$C$169)/$C$172</f>
        <v>13599.741900015932</v>
      </c>
      <c r="I26" s="48">
        <f t="shared" si="9"/>
        <v>13185.239889332865</v>
      </c>
      <c r="J26" s="48">
        <f t="shared" si="9"/>
        <v>12778.411664809988</v>
      </c>
      <c r="K26" s="48">
        <f t="shared" si="9"/>
        <v>12369.464723823947</v>
      </c>
      <c r="L26" s="48">
        <f t="shared" si="9"/>
        <v>11907.858204203689</v>
      </c>
      <c r="M26" s="48">
        <f t="shared" si="9"/>
        <v>11475.016152120377</v>
      </c>
      <c r="N26" s="48">
        <f t="shared" si="9"/>
        <v>11073.043838581605</v>
      </c>
      <c r="O26" s="48">
        <f t="shared" si="9"/>
        <v>10660.940366104525</v>
      </c>
      <c r="P26" s="48">
        <f t="shared" si="9"/>
        <v>10253.398370782921</v>
      </c>
      <c r="Q26" s="48">
        <f t="shared" si="9"/>
        <v>9943.5513347412361</v>
      </c>
      <c r="R26" s="48">
        <f t="shared" si="9"/>
        <v>9676.7874362459206</v>
      </c>
      <c r="S26" s="48">
        <f t="shared" si="9"/>
        <v>9446.9400736648713</v>
      </c>
      <c r="T26" s="48">
        <f t="shared" si="9"/>
        <v>9246.4744611386013</v>
      </c>
      <c r="U26" s="7" t="s">
        <v>96</v>
      </c>
    </row>
    <row r="27" spans="1:23" ht="15" customHeight="1" x14ac:dyDescent="0.25">
      <c r="A27" s="326"/>
      <c r="B27" s="77"/>
      <c r="C27" s="1"/>
      <c r="D27" s="28"/>
      <c r="E27" s="28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3" ht="15" customHeight="1" x14ac:dyDescent="0.25">
      <c r="A28" s="326"/>
      <c r="B28" s="74" t="s">
        <v>72</v>
      </c>
      <c r="C28" s="14" t="s">
        <v>15</v>
      </c>
      <c r="D28" s="3">
        <v>2014</v>
      </c>
      <c r="E28" s="3">
        <v>2015</v>
      </c>
      <c r="F28" s="3">
        <v>2016</v>
      </c>
      <c r="G28" s="3">
        <v>2017</v>
      </c>
      <c r="H28" s="3">
        <v>2018</v>
      </c>
      <c r="I28" s="3">
        <v>2019</v>
      </c>
      <c r="J28" s="3">
        <v>2020</v>
      </c>
      <c r="K28" s="3">
        <v>2021</v>
      </c>
      <c r="L28" s="3">
        <v>2022</v>
      </c>
      <c r="M28" s="3">
        <v>2023</v>
      </c>
      <c r="N28" s="3">
        <v>2024</v>
      </c>
      <c r="O28" s="3">
        <v>2025</v>
      </c>
      <c r="P28" s="16">
        <v>2026</v>
      </c>
      <c r="Q28" s="16">
        <v>2027</v>
      </c>
      <c r="R28" s="16">
        <v>2028</v>
      </c>
      <c r="S28" s="16">
        <v>2029</v>
      </c>
      <c r="T28" s="16">
        <v>2030</v>
      </c>
    </row>
    <row r="29" spans="1:23" ht="15" customHeight="1" x14ac:dyDescent="0.25">
      <c r="A29" s="326"/>
      <c r="B29" s="74" t="s">
        <v>38</v>
      </c>
      <c r="C29" s="1" t="s">
        <v>18</v>
      </c>
      <c r="D29" s="39">
        <v>67</v>
      </c>
      <c r="E29" s="41">
        <v>126</v>
      </c>
      <c r="F29" s="41">
        <v>163.34874300000001</v>
      </c>
      <c r="G29" s="249">
        <v>171.47918899999999</v>
      </c>
      <c r="H29" s="139">
        <f>INDEX('Supply Scenarios'!D:D,MATCH($B29,'Supply Scenarios'!$B:$B,0)+$B$3-'Supply Scenarios'!$B$1)</f>
        <v>200</v>
      </c>
      <c r="I29" s="139">
        <f>INDEX('Supply Scenarios'!E:E,MATCH($B29,'Supply Scenarios'!$B:$B,0)+$B$3-'Supply Scenarios'!$B$1)</f>
        <v>275</v>
      </c>
      <c r="J29" s="139">
        <f>INDEX('Supply Scenarios'!F:F,MATCH($B29,'Supply Scenarios'!$B:$B,0)+$B$3-'Supply Scenarios'!$B$1)</f>
        <v>350</v>
      </c>
      <c r="K29" s="139">
        <f>INDEX('Supply Scenarios'!G:G,MATCH($B29,'Supply Scenarios'!$B:$B,0)+$B$3-'Supply Scenarios'!$B$1)</f>
        <v>425</v>
      </c>
      <c r="L29" s="139">
        <f>INDEX('Supply Scenarios'!H:H,MATCH($B29,'Supply Scenarios'!$B:$B,0)+$B$3-'Supply Scenarios'!$B$1)</f>
        <v>500</v>
      </c>
      <c r="M29" s="139">
        <f>INDEX('Supply Scenarios'!I:I,MATCH($B29,'Supply Scenarios'!$B:$B,0)+$B$3-'Supply Scenarios'!$B$1)</f>
        <v>500</v>
      </c>
      <c r="N29" s="139">
        <f>INDEX('Supply Scenarios'!J:J,MATCH($B29,'Supply Scenarios'!$B:$B,0)+$B$3-'Supply Scenarios'!$B$1)</f>
        <v>500</v>
      </c>
      <c r="O29" s="139">
        <f>INDEX('Supply Scenarios'!K:K,MATCH($B29,'Supply Scenarios'!$B:$B,0)+$B$3-'Supply Scenarios'!$B$1)</f>
        <v>500</v>
      </c>
      <c r="P29" s="139">
        <f>INDEX('Supply Scenarios'!L:L,MATCH($B29,'Supply Scenarios'!$B:$B,0)+$B$3-'Supply Scenarios'!$B$1)</f>
        <v>500</v>
      </c>
      <c r="Q29" s="139">
        <f>INDEX('Supply Scenarios'!M:M,MATCH($B29,'Supply Scenarios'!$B:$B,0)+$B$3-'Supply Scenarios'!$B$1)</f>
        <v>500</v>
      </c>
      <c r="R29" s="139">
        <f>INDEX('Supply Scenarios'!N:N,MATCH($B29,'Supply Scenarios'!$B:$B,0)+$B$3-'Supply Scenarios'!$B$1)</f>
        <v>500</v>
      </c>
      <c r="S29" s="139">
        <f>INDEX('Supply Scenarios'!O:O,MATCH($B29,'Supply Scenarios'!$B:$B,0)+$B$3-'Supply Scenarios'!$B$1)</f>
        <v>500</v>
      </c>
      <c r="T29" s="139">
        <f>INDEX('Supply Scenarios'!P:P,MATCH($B29,'Supply Scenarios'!$B:$B,0)+$B$3-'Supply Scenarios'!$B$1)</f>
        <v>500</v>
      </c>
      <c r="U29" t="s">
        <v>183</v>
      </c>
    </row>
    <row r="30" spans="1:23" ht="15" customHeight="1" x14ac:dyDescent="0.25">
      <c r="A30" s="326"/>
      <c r="B30" s="74" t="s">
        <v>1</v>
      </c>
      <c r="C30" s="1" t="s">
        <v>18</v>
      </c>
      <c r="D30" s="39">
        <v>113</v>
      </c>
      <c r="E30" s="41">
        <v>165</v>
      </c>
      <c r="F30" s="41">
        <v>255.67115699999999</v>
      </c>
      <c r="G30" s="249">
        <v>335.46439400000003</v>
      </c>
      <c r="H30" s="139">
        <f>INDEX('Supply Scenarios'!D:D,MATCH($B30,'Supply Scenarios'!$B:$B,0)+$B$3-'Supply Scenarios'!$B$1)</f>
        <v>450</v>
      </c>
      <c r="I30" s="139">
        <f>INDEX('Supply Scenarios'!E:E,MATCH($B30,'Supply Scenarios'!$B:$B,0)+$B$3-'Supply Scenarios'!$B$1)</f>
        <v>550</v>
      </c>
      <c r="J30" s="139">
        <f>INDEX('Supply Scenarios'!F:F,MATCH($B30,'Supply Scenarios'!$B:$B,0)+$B$3-'Supply Scenarios'!$B$1)</f>
        <v>650</v>
      </c>
      <c r="K30" s="139">
        <f>INDEX('Supply Scenarios'!G:G,MATCH($B30,'Supply Scenarios'!$B:$B,0)+$B$3-'Supply Scenarios'!$B$1)</f>
        <v>750</v>
      </c>
      <c r="L30" s="139">
        <f>INDEX('Supply Scenarios'!H:H,MATCH($B30,'Supply Scenarios'!$B:$B,0)+$B$3-'Supply Scenarios'!$B$1)</f>
        <v>850</v>
      </c>
      <c r="M30" s="139">
        <f>INDEX('Supply Scenarios'!I:I,MATCH($B30,'Supply Scenarios'!$B:$B,0)+$B$3-'Supply Scenarios'!$B$1)</f>
        <v>900</v>
      </c>
      <c r="N30" s="139">
        <f>INDEX('Supply Scenarios'!J:J,MATCH($B30,'Supply Scenarios'!$B:$B,0)+$B$3-'Supply Scenarios'!$B$1)</f>
        <v>900</v>
      </c>
      <c r="O30" s="139">
        <f>INDEX('Supply Scenarios'!K:K,MATCH($B30,'Supply Scenarios'!$B:$B,0)+$B$3-'Supply Scenarios'!$B$1)</f>
        <v>900</v>
      </c>
      <c r="P30" s="139">
        <f>INDEX('Supply Scenarios'!L:L,MATCH($B30,'Supply Scenarios'!$B:$B,0)+$B$3-'Supply Scenarios'!$B$1)</f>
        <v>900</v>
      </c>
      <c r="Q30" s="139">
        <f>INDEX('Supply Scenarios'!M:M,MATCH($B30,'Supply Scenarios'!$B:$B,0)+$B$3-'Supply Scenarios'!$B$1)</f>
        <v>950</v>
      </c>
      <c r="R30" s="139">
        <f>INDEX('Supply Scenarios'!N:N,MATCH($B30,'Supply Scenarios'!$B:$B,0)+$B$3-'Supply Scenarios'!$B$1)</f>
        <v>1000</v>
      </c>
      <c r="S30" s="139">
        <f>INDEX('Supply Scenarios'!O:O,MATCH($B30,'Supply Scenarios'!$B:$B,0)+$B$3-'Supply Scenarios'!$B$1)</f>
        <v>1000</v>
      </c>
      <c r="T30" s="139">
        <f>INDEX('Supply Scenarios'!P:P,MATCH($B30,'Supply Scenarios'!$B:$B,0)+$B$3-'Supply Scenarios'!$B$1)</f>
        <v>1100</v>
      </c>
      <c r="U30" t="s">
        <v>183</v>
      </c>
    </row>
    <row r="31" spans="1:23" ht="15" customHeight="1" x14ac:dyDescent="0.25">
      <c r="A31" s="326"/>
      <c r="B31" s="76" t="s">
        <v>82</v>
      </c>
      <c r="C31" s="1" t="s">
        <v>61</v>
      </c>
      <c r="D31" s="39">
        <v>126</v>
      </c>
      <c r="E31" s="39">
        <v>138</v>
      </c>
      <c r="F31" s="39">
        <v>145.63928799999999</v>
      </c>
      <c r="G31" s="249">
        <v>158.352159</v>
      </c>
      <c r="H31" s="139">
        <f>INDEX('Supply Scenarios'!D:D,MATCH($B31,'Supply Scenarios'!$B:$B,0)+$B$3-'Supply Scenarios'!$B$1)</f>
        <v>162</v>
      </c>
      <c r="I31" s="139">
        <f>INDEX('Supply Scenarios'!E:E,MATCH($B31,'Supply Scenarios'!$B:$B,0)+$B$3-'Supply Scenarios'!$B$1)</f>
        <v>173.07206068268016</v>
      </c>
      <c r="J31" s="139">
        <f>INDEX('Supply Scenarios'!F:F,MATCH($B31,'Supply Scenarios'!$B:$B,0)+$B$3-'Supply Scenarios'!$B$1)</f>
        <v>192.58570684911132</v>
      </c>
      <c r="K31" s="139">
        <f>INDEX('Supply Scenarios'!G:G,MATCH($B31,'Supply Scenarios'!$B:$B,0)+$B$3-'Supply Scenarios'!$B$1)</f>
        <v>212.6794080464044</v>
      </c>
      <c r="L31" s="139">
        <f>INDEX('Supply Scenarios'!H:H,MATCH($B31,'Supply Scenarios'!$B:$B,0)+$B$3-'Supply Scenarios'!$B$1)</f>
        <v>234.2083736149327</v>
      </c>
      <c r="M31" s="139">
        <f>INDEX('Supply Scenarios'!I:I,MATCH($B31,'Supply Scenarios'!$B:$B,0)+$B$3-'Supply Scenarios'!$B$1)</f>
        <v>255.00855209340375</v>
      </c>
      <c r="N31" s="139">
        <f>INDEX('Supply Scenarios'!J:J,MATCH($B31,'Supply Scenarios'!$B:$B,0)+$B$3-'Supply Scenarios'!$B$1)</f>
        <v>283.88488138618277</v>
      </c>
      <c r="O31" s="139">
        <f>INDEX('Supply Scenarios'!K:K,MATCH($B31,'Supply Scenarios'!$B:$B,0)+$B$3-'Supply Scenarios'!$B$1)</f>
        <v>288.06425224957241</v>
      </c>
      <c r="P31" s="139">
        <f>INDEX('Supply Scenarios'!L:L,MATCH($B31,'Supply Scenarios'!$B:$B,0)+$B$3-'Supply Scenarios'!$B$1)</f>
        <v>294.935673384398</v>
      </c>
      <c r="Q31" s="139">
        <f>INDEX('Supply Scenarios'!M:M,MATCH($B31,'Supply Scenarios'!$B:$B,0)+$B$3-'Supply Scenarios'!$B$1)</f>
        <v>301.5839964304306</v>
      </c>
      <c r="R31" s="139">
        <f>INDEX('Supply Scenarios'!N:N,MATCH($B31,'Supply Scenarios'!$B:$B,0)+$B$3-'Supply Scenarios'!$B$1)</f>
        <v>307.39941994496911</v>
      </c>
      <c r="S31" s="139">
        <f>INDEX('Supply Scenarios'!O:O,MATCH($B31,'Supply Scenarios'!$B:$B,0)+$B$3-'Supply Scenarios'!$B$1)</f>
        <v>313.05867479735258</v>
      </c>
      <c r="T31" s="139">
        <f>INDEX('Supply Scenarios'!P:P,MATCH($B31,'Supply Scenarios'!$B:$B,0)+$B$3-'Supply Scenarios'!$B$1)</f>
        <v>319.1864356362014</v>
      </c>
      <c r="U31" t="s">
        <v>183</v>
      </c>
    </row>
    <row r="32" spans="1:23" ht="15" customHeight="1" x14ac:dyDescent="0.25">
      <c r="A32" s="326"/>
      <c r="B32" s="74" t="s">
        <v>33</v>
      </c>
      <c r="C32" s="1" t="s">
        <v>61</v>
      </c>
      <c r="D32" s="39">
        <v>97</v>
      </c>
      <c r="E32" s="39">
        <v>69</v>
      </c>
      <c r="F32" s="39">
        <v>55.187427</v>
      </c>
      <c r="G32" s="249">
        <v>51.633831000000001</v>
      </c>
      <c r="H32" s="139">
        <f>INDEX('Supply Scenarios'!D:D,MATCH($B32,'Supply Scenarios'!$B:$B,0)+$B$3-'Supply Scenarios'!$B$1)</f>
        <v>25</v>
      </c>
      <c r="I32" s="139">
        <f>INDEX('Supply Scenarios'!E:E,MATCH($B32,'Supply Scenarios'!$B:$B,0)+$B$3-'Supply Scenarios'!$B$1)</f>
        <v>0</v>
      </c>
      <c r="J32" s="139">
        <f>INDEX('Supply Scenarios'!F:F,MATCH($B32,'Supply Scenarios'!$B:$B,0)+$B$3-'Supply Scenarios'!$B$1)</f>
        <v>0</v>
      </c>
      <c r="K32" s="139">
        <f>INDEX('Supply Scenarios'!G:G,MATCH($B32,'Supply Scenarios'!$B:$B,0)+$B$3-'Supply Scenarios'!$B$1)</f>
        <v>0</v>
      </c>
      <c r="L32" s="139">
        <f>INDEX('Supply Scenarios'!H:H,MATCH($B32,'Supply Scenarios'!$B:$B,0)+$B$3-'Supply Scenarios'!$B$1)</f>
        <v>0</v>
      </c>
      <c r="M32" s="139">
        <f>INDEX('Supply Scenarios'!I:I,MATCH($B32,'Supply Scenarios'!$B:$B,0)+$B$3-'Supply Scenarios'!$B$1)</f>
        <v>0</v>
      </c>
      <c r="N32" s="139">
        <f>INDEX('Supply Scenarios'!J:J,MATCH($B32,'Supply Scenarios'!$B:$B,0)+$B$3-'Supply Scenarios'!$B$1)</f>
        <v>0</v>
      </c>
      <c r="O32" s="139">
        <f>INDEX('Supply Scenarios'!K:K,MATCH($B32,'Supply Scenarios'!$B:$B,0)+$B$3-'Supply Scenarios'!$B$1)</f>
        <v>0</v>
      </c>
      <c r="P32" s="139">
        <f>INDEX('Supply Scenarios'!L:L,MATCH($B32,'Supply Scenarios'!$B:$B,0)+$B$3-'Supply Scenarios'!$B$1)</f>
        <v>0</v>
      </c>
      <c r="Q32" s="139">
        <f>INDEX('Supply Scenarios'!M:M,MATCH($B32,'Supply Scenarios'!$B:$B,0)+$B$3-'Supply Scenarios'!$B$1)</f>
        <v>0</v>
      </c>
      <c r="R32" s="139">
        <f>INDEX('Supply Scenarios'!N:N,MATCH($B32,'Supply Scenarios'!$B:$B,0)+$B$3-'Supply Scenarios'!$B$1)</f>
        <v>0</v>
      </c>
      <c r="S32" s="139">
        <f>INDEX('Supply Scenarios'!O:O,MATCH($B32,'Supply Scenarios'!$B:$B,0)+$B$3-'Supply Scenarios'!$B$1)</f>
        <v>0</v>
      </c>
      <c r="T32" s="139">
        <f>INDEX('Supply Scenarios'!P:P,MATCH($B32,'Supply Scenarios'!$B:$B,0)+$B$3-'Supply Scenarios'!$B$1)</f>
        <v>0</v>
      </c>
      <c r="U32" t="s">
        <v>183</v>
      </c>
    </row>
    <row r="33" spans="1:22" ht="15" customHeight="1" x14ac:dyDescent="0.25">
      <c r="A33" s="326"/>
      <c r="B33" s="76" t="s">
        <v>34</v>
      </c>
      <c r="C33" s="4" t="s">
        <v>61</v>
      </c>
      <c r="D33" s="39">
        <v>29</v>
      </c>
      <c r="E33" s="39">
        <v>68</v>
      </c>
      <c r="F33" s="85">
        <v>90.451860999999994</v>
      </c>
      <c r="G33" s="248">
        <v>106.718328</v>
      </c>
      <c r="H33" s="51">
        <f t="shared" ref="H33:T33" si="10">H31-H32</f>
        <v>137</v>
      </c>
      <c r="I33" s="51">
        <f t="shared" si="10"/>
        <v>173.07206068268016</v>
      </c>
      <c r="J33" s="51">
        <f t="shared" si="10"/>
        <v>192.58570684911132</v>
      </c>
      <c r="K33" s="51">
        <f t="shared" si="10"/>
        <v>212.6794080464044</v>
      </c>
      <c r="L33" s="51">
        <f t="shared" si="10"/>
        <v>234.2083736149327</v>
      </c>
      <c r="M33" s="51">
        <f t="shared" si="10"/>
        <v>255.00855209340375</v>
      </c>
      <c r="N33" s="51">
        <f t="shared" si="10"/>
        <v>283.88488138618277</v>
      </c>
      <c r="O33" s="51">
        <f t="shared" si="10"/>
        <v>288.06425224957241</v>
      </c>
      <c r="P33" s="51">
        <f t="shared" si="10"/>
        <v>294.935673384398</v>
      </c>
      <c r="Q33" s="51">
        <f t="shared" si="10"/>
        <v>301.5839964304306</v>
      </c>
      <c r="R33" s="51">
        <f t="shared" si="10"/>
        <v>307.39941994496911</v>
      </c>
      <c r="S33" s="51">
        <f t="shared" si="10"/>
        <v>313.05867479735258</v>
      </c>
      <c r="T33" s="51">
        <f t="shared" si="10"/>
        <v>319.1864356362014</v>
      </c>
      <c r="U33" t="s">
        <v>97</v>
      </c>
    </row>
    <row r="34" spans="1:22" ht="15" customHeight="1" x14ac:dyDescent="0.25">
      <c r="A34" s="326"/>
      <c r="B34" s="76" t="s">
        <v>103</v>
      </c>
      <c r="C34" s="4" t="s">
        <v>112</v>
      </c>
      <c r="D34" s="40">
        <v>0</v>
      </c>
      <c r="E34" s="40">
        <v>0</v>
      </c>
      <c r="F34" s="86">
        <v>0</v>
      </c>
      <c r="G34" s="249">
        <v>0</v>
      </c>
      <c r="H34" s="139">
        <f>INDEX('Supply Scenarios'!D:D,MATCH($B34,'Supply Scenarios'!$B:$B,0)+$B$3-'Supply Scenarios'!$B$1)</f>
        <v>4.2563122435700422E-2</v>
      </c>
      <c r="I34" s="139">
        <f>INDEX('Supply Scenarios'!E:E,MATCH($B34,'Supply Scenarios'!$B:$B,0)+$B$3-'Supply Scenarios'!$B$1)</f>
        <v>7.9221596798729643E-2</v>
      </c>
      <c r="J34" s="139">
        <f>INDEX('Supply Scenarios'!F:F,MATCH($B34,'Supply Scenarios'!$B:$B,0)+$B$3-'Supply Scenarios'!$B$1)</f>
        <v>0.12104481719249827</v>
      </c>
      <c r="K34" s="139">
        <f>INDEX('Supply Scenarios'!G:G,MATCH($B34,'Supply Scenarios'!$B:$B,0)+$B$3-'Supply Scenarios'!$B$1)</f>
        <v>0.1816060687387489</v>
      </c>
      <c r="L34" s="139">
        <f>INDEX('Supply Scenarios'!H:H,MATCH($B34,'Supply Scenarios'!$B:$B,0)+$B$3-'Supply Scenarios'!$B$1)</f>
        <v>0.27756822157499184</v>
      </c>
      <c r="M34" s="139">
        <f>INDEX('Supply Scenarios'!I:I,MATCH($B34,'Supply Scenarios'!$B:$B,0)+$B$3-'Supply Scenarios'!$B$1)</f>
        <v>0.37832792169431789</v>
      </c>
      <c r="N34" s="139">
        <f>INDEX('Supply Scenarios'!J:J,MATCH($B34,'Supply Scenarios'!$B:$B,0)+$B$3-'Supply Scenarios'!$B$1)</f>
        <v>0.5684160505621817</v>
      </c>
      <c r="O34" s="139">
        <f>INDEX('Supply Scenarios'!K:K,MATCH($B34,'Supply Scenarios'!$B:$B,0)+$B$3-'Supply Scenarios'!$B$1)</f>
        <v>0.80546664639454091</v>
      </c>
      <c r="P34" s="139">
        <f>INDEX('Supply Scenarios'!L:L,MATCH($B34,'Supply Scenarios'!$B:$B,0)+$B$3-'Supply Scenarios'!$B$1)</f>
        <v>1.1207288866548697</v>
      </c>
      <c r="Q34" s="139">
        <f>INDEX('Supply Scenarios'!M:M,MATCH($B34,'Supply Scenarios'!$B:$B,0)+$B$3-'Supply Scenarios'!$B$1)</f>
        <v>1.5293722472561442</v>
      </c>
      <c r="R34" s="139">
        <f>INDEX('Supply Scenarios'!N:N,MATCH($B34,'Supply Scenarios'!$B:$B,0)+$B$3-'Supply Scenarios'!$B$1)</f>
        <v>2.0295901497354025</v>
      </c>
      <c r="S34" s="139">
        <f>INDEX('Supply Scenarios'!O:O,MATCH($B34,'Supply Scenarios'!$B:$B,0)+$B$3-'Supply Scenarios'!$B$1)</f>
        <v>2.6791165470450999</v>
      </c>
      <c r="T34" s="139">
        <f>INDEX('Supply Scenarios'!P:P,MATCH($B34,'Supply Scenarios'!$B:$B,0)+$B$3-'Supply Scenarios'!$B$1)</f>
        <v>3.5256743672802955</v>
      </c>
      <c r="U34" t="s">
        <v>183</v>
      </c>
    </row>
    <row r="35" spans="1:22" ht="15" customHeight="1" x14ac:dyDescent="0.25">
      <c r="A35" s="326"/>
      <c r="B35" s="74" t="s">
        <v>89</v>
      </c>
      <c r="C35" s="1" t="s">
        <v>19</v>
      </c>
      <c r="D35" s="40">
        <v>0</v>
      </c>
      <c r="E35" s="40">
        <v>0</v>
      </c>
      <c r="F35" s="40">
        <v>0</v>
      </c>
      <c r="G35" s="249">
        <v>1.9011</v>
      </c>
      <c r="H35" s="139">
        <f>INDEX('Supply Scenarios'!D:D,MATCH($B35,'Supply Scenarios'!$B:$B,0)+$B$3-'Supply Scenarios'!$B$1)</f>
        <v>10.402955513673991</v>
      </c>
      <c r="I35" s="139">
        <f>INDEX('Supply Scenarios'!E:E,MATCH($B35,'Supply Scenarios'!$B:$B,0)+$B$3-'Supply Scenarios'!$B$1)</f>
        <v>21.99355244200974</v>
      </c>
      <c r="J35" s="139">
        <f>INDEX('Supply Scenarios'!F:F,MATCH($B35,'Supply Scenarios'!$B:$B,0)+$B$3-'Supply Scenarios'!$B$1)</f>
        <v>38.824390017528302</v>
      </c>
      <c r="K35" s="139">
        <f>INDEX('Supply Scenarios'!G:G,MATCH($B35,'Supply Scenarios'!$B:$B,0)+$B$3-'Supply Scenarios'!$B$1)</f>
        <v>58.149856742870597</v>
      </c>
      <c r="L35" s="139">
        <f>INDEX('Supply Scenarios'!H:H,MATCH($B35,'Supply Scenarios'!$B:$B,0)+$B$3-'Supply Scenarios'!$B$1)</f>
        <v>97.3073839019399</v>
      </c>
      <c r="M35" s="139">
        <f>INDEX('Supply Scenarios'!I:I,MATCH($B35,'Supply Scenarios'!$B:$B,0)+$B$3-'Supply Scenarios'!$B$1)</f>
        <v>146.088656830633</v>
      </c>
      <c r="N35" s="139">
        <f>INDEX('Supply Scenarios'!J:J,MATCH($B35,'Supply Scenarios'!$B:$B,0)+$B$3-'Supply Scenarios'!$B$1)</f>
        <v>238.50207872244439</v>
      </c>
      <c r="O35" s="139">
        <f>INDEX('Supply Scenarios'!K:K,MATCH($B35,'Supply Scenarios'!$B:$B,0)+$B$3-'Supply Scenarios'!$B$1)</f>
        <v>350.525473011901</v>
      </c>
      <c r="P35" s="139">
        <f>INDEX('Supply Scenarios'!L:L,MATCH($B35,'Supply Scenarios'!$B:$B,0)+$B$3-'Supply Scenarios'!$B$1)</f>
        <v>483.18676801670301</v>
      </c>
      <c r="Q35" s="139">
        <f>INDEX('Supply Scenarios'!M:M,MATCH($B35,'Supply Scenarios'!$B:$B,0)+$B$3-'Supply Scenarios'!$B$1)</f>
        <v>623.48797719434697</v>
      </c>
      <c r="R35" s="139">
        <f>INDEX('Supply Scenarios'!N:N,MATCH($B35,'Supply Scenarios'!$B:$B,0)+$B$3-'Supply Scenarios'!$B$1)</f>
        <v>756.11606245709004</v>
      </c>
      <c r="S35" s="139">
        <f>INDEX('Supply Scenarios'!O:O,MATCH($B35,'Supply Scenarios'!$B:$B,0)+$B$3-'Supply Scenarios'!$B$1)</f>
        <v>889.00870624910499</v>
      </c>
      <c r="T35" s="139">
        <f>INDEX('Supply Scenarios'!P:P,MATCH($B35,'Supply Scenarios'!$B:$B,0)+$B$3-'Supply Scenarios'!$B$1)</f>
        <v>1024.46109319377</v>
      </c>
      <c r="U35" t="s">
        <v>183</v>
      </c>
    </row>
    <row r="36" spans="1:22" ht="15" customHeight="1" x14ac:dyDescent="0.25">
      <c r="A36" s="326"/>
      <c r="B36" s="74" t="s">
        <v>119</v>
      </c>
      <c r="C36" s="1" t="s">
        <v>19</v>
      </c>
      <c r="D36" s="37">
        <v>0</v>
      </c>
      <c r="E36" s="37">
        <v>1200</v>
      </c>
      <c r="F36" s="40">
        <v>1230.8050111500002</v>
      </c>
      <c r="G36" s="249">
        <v>1412.1793471499998</v>
      </c>
      <c r="H36" s="139">
        <f>INDEX('Supply Scenarios'!D:D,MATCH($B36,'Supply Scenarios'!$B:$B,0)+$B$3-'Supply Scenarios'!$B$1)</f>
        <v>1412</v>
      </c>
      <c r="I36" s="139">
        <f>INDEX('Supply Scenarios'!E:E,MATCH($B36,'Supply Scenarios'!$B:$B,0)+$B$3-'Supply Scenarios'!$B$1)</f>
        <v>1412</v>
      </c>
      <c r="J36" s="139">
        <f>INDEX('Supply Scenarios'!F:F,MATCH($B36,'Supply Scenarios'!$B:$B,0)+$B$3-'Supply Scenarios'!$B$1)</f>
        <v>1412</v>
      </c>
      <c r="K36" s="139">
        <f>INDEX('Supply Scenarios'!G:G,MATCH($B36,'Supply Scenarios'!$B:$B,0)+$B$3-'Supply Scenarios'!$B$1)</f>
        <v>1412</v>
      </c>
      <c r="L36" s="139">
        <f>INDEX('Supply Scenarios'!H:H,MATCH($B36,'Supply Scenarios'!$B:$B,0)+$B$3-'Supply Scenarios'!$B$1)</f>
        <v>1412</v>
      </c>
      <c r="M36" s="139">
        <f>INDEX('Supply Scenarios'!I:I,MATCH($B36,'Supply Scenarios'!$B:$B,0)+$B$3-'Supply Scenarios'!$B$1)</f>
        <v>1412</v>
      </c>
      <c r="N36" s="139">
        <f>INDEX('Supply Scenarios'!J:J,MATCH($B36,'Supply Scenarios'!$B:$B,0)+$B$3-'Supply Scenarios'!$B$1)</f>
        <v>1412</v>
      </c>
      <c r="O36" s="139">
        <f>INDEX('Supply Scenarios'!K:K,MATCH($B36,'Supply Scenarios'!$B:$B,0)+$B$3-'Supply Scenarios'!$B$1)</f>
        <v>1412</v>
      </c>
      <c r="P36" s="139">
        <f>INDEX('Supply Scenarios'!L:L,MATCH($B36,'Supply Scenarios'!$B:$B,0)+$B$3-'Supply Scenarios'!$B$1)</f>
        <v>1412</v>
      </c>
      <c r="Q36" s="139">
        <f>INDEX('Supply Scenarios'!M:M,MATCH($B36,'Supply Scenarios'!$B:$B,0)+$B$3-'Supply Scenarios'!$B$1)</f>
        <v>1412</v>
      </c>
      <c r="R36" s="139">
        <f>INDEX('Supply Scenarios'!N:N,MATCH($B36,'Supply Scenarios'!$B:$B,0)+$B$3-'Supply Scenarios'!$B$1)</f>
        <v>1412</v>
      </c>
      <c r="S36" s="139">
        <f>INDEX('Supply Scenarios'!O:O,MATCH($B36,'Supply Scenarios'!$B:$B,0)+$B$3-'Supply Scenarios'!$B$1)</f>
        <v>1412</v>
      </c>
      <c r="T36" s="139">
        <f>INDEX('Supply Scenarios'!P:P,MATCH($B36,'Supply Scenarios'!$B:$B,0)+$B$3-'Supply Scenarios'!$B$1)</f>
        <v>1412</v>
      </c>
      <c r="U36" t="s">
        <v>183</v>
      </c>
    </row>
    <row r="37" spans="1:22" ht="15" customHeight="1" x14ac:dyDescent="0.25">
      <c r="A37" s="326"/>
      <c r="B37" s="74" t="s">
        <v>94</v>
      </c>
      <c r="C37" s="1" t="s">
        <v>61</v>
      </c>
      <c r="D37" s="70"/>
      <c r="E37" s="91"/>
      <c r="F37" s="91"/>
      <c r="G37" s="49">
        <f t="shared" ref="G37:T37" si="11">G11-G31*$C$156-G35*$C$171*$C$157/$C$179/1000-G36*$C$171*$C$159/$C$179/1000-G34*$C$158</f>
        <v>3823.7202322858675</v>
      </c>
      <c r="H37" s="49">
        <f t="shared" si="11"/>
        <v>3677.9228716088778</v>
      </c>
      <c r="I37" s="49">
        <f t="shared" si="11"/>
        <v>3655.6144793061026</v>
      </c>
      <c r="J37" s="49">
        <f t="shared" si="11"/>
        <v>3642.6676799903362</v>
      </c>
      <c r="K37" s="49">
        <f t="shared" si="11"/>
        <v>3662.1664516501787</v>
      </c>
      <c r="L37" s="49">
        <f t="shared" si="11"/>
        <v>3680.6931011458664</v>
      </c>
      <c r="M37" s="49">
        <f t="shared" si="11"/>
        <v>3710.3670229052764</v>
      </c>
      <c r="N37" s="49">
        <f t="shared" si="11"/>
        <v>3662.4182797093763</v>
      </c>
      <c r="O37" s="49">
        <f t="shared" si="11"/>
        <v>3631.4398535473351</v>
      </c>
      <c r="P37" s="49">
        <f t="shared" si="11"/>
        <v>3596.7862441388825</v>
      </c>
      <c r="Q37" s="49">
        <f t="shared" si="11"/>
        <v>3568.9131160058678</v>
      </c>
      <c r="R37" s="49">
        <f t="shared" si="11"/>
        <v>3546.9273286713997</v>
      </c>
      <c r="S37" s="49">
        <f t="shared" si="11"/>
        <v>3534.5414042692732</v>
      </c>
      <c r="T37" s="49">
        <f t="shared" si="11"/>
        <v>3525.834104098079</v>
      </c>
      <c r="U37" t="s">
        <v>109</v>
      </c>
    </row>
    <row r="38" spans="1:22" ht="15" customHeight="1" x14ac:dyDescent="0.25">
      <c r="A38" s="326"/>
      <c r="B38" s="74" t="s">
        <v>4</v>
      </c>
      <c r="C38" s="1" t="s">
        <v>18</v>
      </c>
      <c r="D38" s="69">
        <v>3444</v>
      </c>
      <c r="E38" s="69">
        <v>3475</v>
      </c>
      <c r="F38" s="69">
        <v>3381.9825919999998</v>
      </c>
      <c r="G38" s="251">
        <v>3339.6885360000001</v>
      </c>
      <c r="H38" s="49">
        <f t="shared" ref="H38:T38" si="12">(H37*$C$179-H29*$C$174-H30*$C$175)/$C$179</f>
        <v>3056.454227016678</v>
      </c>
      <c r="I38" s="49">
        <f t="shared" si="12"/>
        <v>2867.380788686035</v>
      </c>
      <c r="J38" s="49">
        <f t="shared" si="12"/>
        <v>2687.6689433424003</v>
      </c>
      <c r="K38" s="49">
        <f t="shared" si="12"/>
        <v>2540.402668974375</v>
      </c>
      <c r="L38" s="49">
        <f t="shared" si="12"/>
        <v>2392.1642724421949</v>
      </c>
      <c r="M38" s="49">
        <f t="shared" si="12"/>
        <v>2373.6304155149087</v>
      </c>
      <c r="N38" s="49">
        <f t="shared" si="12"/>
        <v>2325.6816723190086</v>
      </c>
      <c r="O38" s="49">
        <f t="shared" si="12"/>
        <v>2294.7032461569675</v>
      </c>
      <c r="P38" s="49">
        <f t="shared" si="12"/>
        <v>2260.0496367485148</v>
      </c>
      <c r="Q38" s="49">
        <f t="shared" si="12"/>
        <v>2183.9687299288044</v>
      </c>
      <c r="R38" s="49">
        <f t="shared" si="12"/>
        <v>2113.77516390764</v>
      </c>
      <c r="S38" s="49">
        <f t="shared" si="12"/>
        <v>2101.3892395055136</v>
      </c>
      <c r="T38" s="49">
        <f t="shared" si="12"/>
        <v>1996.2663819609279</v>
      </c>
      <c r="U38" t="s">
        <v>98</v>
      </c>
    </row>
    <row r="39" spans="1:22" ht="15" customHeight="1" x14ac:dyDescent="0.25">
      <c r="A39" s="326"/>
      <c r="B39" s="74" t="s">
        <v>66</v>
      </c>
      <c r="C39" s="1" t="s">
        <v>43</v>
      </c>
      <c r="D39" s="52">
        <f t="shared" ref="D39:T39" si="13">D29/SUM(D29,D30,D38)</f>
        <v>1.84878587196468E-2</v>
      </c>
      <c r="E39" s="52">
        <f t="shared" si="13"/>
        <v>3.3457249070631967E-2</v>
      </c>
      <c r="F39" s="52">
        <f t="shared" si="13"/>
        <v>4.2975173876839447E-2</v>
      </c>
      <c r="G39" s="52">
        <f t="shared" si="13"/>
        <v>4.4579045693763676E-2</v>
      </c>
      <c r="H39" s="52">
        <f t="shared" si="13"/>
        <v>5.3959927129864985E-2</v>
      </c>
      <c r="I39" s="52">
        <f t="shared" si="13"/>
        <v>7.4477692236574841E-2</v>
      </c>
      <c r="J39" s="52">
        <f t="shared" si="13"/>
        <v>9.491090588049636E-2</v>
      </c>
      <c r="K39" s="52">
        <f t="shared" si="13"/>
        <v>0.11438867812336473</v>
      </c>
      <c r="L39" s="52">
        <f t="shared" si="13"/>
        <v>0.13361252034873716</v>
      </c>
      <c r="M39" s="52">
        <f t="shared" si="13"/>
        <v>0.13249840205450417</v>
      </c>
      <c r="N39" s="52">
        <f t="shared" si="13"/>
        <v>0.13420362875199174</v>
      </c>
      <c r="O39" s="52">
        <f t="shared" si="13"/>
        <v>0.13532886586225112</v>
      </c>
      <c r="P39" s="52">
        <f t="shared" si="13"/>
        <v>0.13661016915721011</v>
      </c>
      <c r="Q39" s="52">
        <f t="shared" si="13"/>
        <v>0.13759061707990972</v>
      </c>
      <c r="R39" s="52">
        <f t="shared" si="13"/>
        <v>0.13835946546805669</v>
      </c>
      <c r="S39" s="52">
        <f t="shared" si="13"/>
        <v>0.13883531236091887</v>
      </c>
      <c r="T39" s="52">
        <f t="shared" si="13"/>
        <v>0.1390330823400702</v>
      </c>
      <c r="U39" t="s">
        <v>100</v>
      </c>
    </row>
    <row r="40" spans="1:22" ht="15" customHeight="1" x14ac:dyDescent="0.25">
      <c r="A40" s="326"/>
      <c r="B40" s="74" t="s">
        <v>67</v>
      </c>
      <c r="C40" s="1" t="s">
        <v>43</v>
      </c>
      <c r="D40" s="52">
        <f t="shared" ref="D40:T40" si="14">D30/SUM(D29,D30,D38)</f>
        <v>3.1181015452538631E-2</v>
      </c>
      <c r="E40" s="52">
        <f t="shared" si="14"/>
        <v>4.3813064259160914E-2</v>
      </c>
      <c r="F40" s="52">
        <f t="shared" si="14"/>
        <v>6.7264138220933328E-2</v>
      </c>
      <c r="G40" s="52">
        <f t="shared" si="14"/>
        <v>8.7209897807230374E-2</v>
      </c>
      <c r="H40" s="52">
        <f t="shared" si="14"/>
        <v>0.12140983604219621</v>
      </c>
      <c r="I40" s="52">
        <f t="shared" si="14"/>
        <v>0.14895538447314968</v>
      </c>
      <c r="J40" s="52">
        <f t="shared" si="14"/>
        <v>0.17626311092092181</v>
      </c>
      <c r="K40" s="52">
        <f t="shared" si="14"/>
        <v>0.20186237315887892</v>
      </c>
      <c r="L40" s="52">
        <f t="shared" si="14"/>
        <v>0.22714128459285318</v>
      </c>
      <c r="M40" s="52">
        <f t="shared" si="14"/>
        <v>0.23849712369810749</v>
      </c>
      <c r="N40" s="52">
        <f t="shared" si="14"/>
        <v>0.24156653175358514</v>
      </c>
      <c r="O40" s="52">
        <f t="shared" si="14"/>
        <v>0.24359195855205201</v>
      </c>
      <c r="P40" s="52">
        <f t="shared" si="14"/>
        <v>0.2458983044829782</v>
      </c>
      <c r="Q40" s="52">
        <f t="shared" si="14"/>
        <v>0.26142217245182847</v>
      </c>
      <c r="R40" s="52">
        <f t="shared" si="14"/>
        <v>0.27671893093611338</v>
      </c>
      <c r="S40" s="52">
        <f t="shared" si="14"/>
        <v>0.27767062472183773</v>
      </c>
      <c r="T40" s="52">
        <f t="shared" si="14"/>
        <v>0.30587278114815442</v>
      </c>
      <c r="U40" t="s">
        <v>100</v>
      </c>
    </row>
    <row r="41" spans="1:22" ht="15" customHeight="1" x14ac:dyDescent="0.25">
      <c r="A41" s="326"/>
      <c r="B41" s="74"/>
      <c r="C41" s="1"/>
      <c r="D41" s="32"/>
      <c r="E41" s="32"/>
      <c r="F41" s="32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1:22" ht="15" customHeight="1" x14ac:dyDescent="0.25">
      <c r="A42" s="326"/>
      <c r="B42" s="74" t="s">
        <v>72</v>
      </c>
      <c r="C42" s="14" t="s">
        <v>15</v>
      </c>
      <c r="D42" s="3">
        <v>2014</v>
      </c>
      <c r="E42" s="3">
        <v>2015</v>
      </c>
      <c r="F42" s="3">
        <v>2016</v>
      </c>
      <c r="G42" s="3">
        <v>2017</v>
      </c>
      <c r="H42" s="3">
        <v>2018</v>
      </c>
      <c r="I42" s="3">
        <v>2019</v>
      </c>
      <c r="J42" s="3">
        <v>2020</v>
      </c>
      <c r="K42" s="3">
        <v>2021</v>
      </c>
      <c r="L42" s="3">
        <v>2022</v>
      </c>
      <c r="M42" s="3">
        <v>2023</v>
      </c>
      <c r="N42" s="3">
        <v>2024</v>
      </c>
      <c r="O42" s="3">
        <v>2025</v>
      </c>
      <c r="P42" s="16">
        <v>2026</v>
      </c>
      <c r="Q42" s="16">
        <v>2027</v>
      </c>
      <c r="R42" s="16">
        <v>2028</v>
      </c>
      <c r="S42" s="16">
        <v>2029</v>
      </c>
      <c r="T42" s="16">
        <v>2030</v>
      </c>
    </row>
    <row r="43" spans="1:22" ht="15" customHeight="1" x14ac:dyDescent="0.25">
      <c r="A43" s="326"/>
      <c r="B43" s="74" t="s">
        <v>155</v>
      </c>
      <c r="C43" s="14" t="s">
        <v>157</v>
      </c>
      <c r="D43" s="152"/>
      <c r="E43" s="152"/>
      <c r="F43" s="152"/>
      <c r="G43" s="152"/>
      <c r="H43" s="152"/>
      <c r="I43" s="172">
        <f>MIN(2948/1920*3/90*88.87/134.48*I30,$H$44)</f>
        <v>18.602236650224736</v>
      </c>
      <c r="J43" s="172">
        <f t="shared" ref="J43:T43" si="15">MIN(2948/1920*3/90*88.87/134.48*J30,$H$44)</f>
        <v>21.984461495720144</v>
      </c>
      <c r="K43" s="172">
        <f t="shared" si="15"/>
        <v>25.366686341215551</v>
      </c>
      <c r="L43" s="172">
        <f t="shared" si="15"/>
        <v>27.82</v>
      </c>
      <c r="M43" s="172">
        <f t="shared" si="15"/>
        <v>27.82</v>
      </c>
      <c r="N43" s="172">
        <f t="shared" si="15"/>
        <v>27.82</v>
      </c>
      <c r="O43" s="172">
        <f t="shared" si="15"/>
        <v>27.82</v>
      </c>
      <c r="P43" s="172">
        <f t="shared" si="15"/>
        <v>27.82</v>
      </c>
      <c r="Q43" s="172">
        <f t="shared" si="15"/>
        <v>27.82</v>
      </c>
      <c r="R43" s="172">
        <f t="shared" si="15"/>
        <v>27.82</v>
      </c>
      <c r="S43" s="172">
        <f t="shared" si="15"/>
        <v>27.82</v>
      </c>
      <c r="T43" s="172">
        <f t="shared" si="15"/>
        <v>27.82</v>
      </c>
      <c r="U43" t="s">
        <v>164</v>
      </c>
    </row>
    <row r="44" spans="1:22" ht="15" customHeight="1" x14ac:dyDescent="0.25">
      <c r="A44" s="326"/>
      <c r="B44" s="74" t="s">
        <v>156</v>
      </c>
      <c r="C44" s="14" t="s">
        <v>157</v>
      </c>
      <c r="D44" s="152"/>
      <c r="E44" s="152"/>
      <c r="F44" s="152"/>
      <c r="G44" s="152"/>
      <c r="H44" s="143">
        <f>H45</f>
        <v>27.82</v>
      </c>
      <c r="I44" s="173">
        <f>MAX(I45-I43,0)</f>
        <v>9.2177633497752645</v>
      </c>
      <c r="J44" s="173">
        <f t="shared" ref="J44:T44" si="16">MAX(J45-J43,0)</f>
        <v>5.8355385042798567</v>
      </c>
      <c r="K44" s="173">
        <f t="shared" si="16"/>
        <v>2.4533136587844488</v>
      </c>
      <c r="L44" s="173">
        <f t="shared" si="16"/>
        <v>0</v>
      </c>
      <c r="M44" s="173">
        <f t="shared" si="16"/>
        <v>0</v>
      </c>
      <c r="N44" s="173">
        <f t="shared" si="16"/>
        <v>0</v>
      </c>
      <c r="O44" s="173">
        <f t="shared" si="16"/>
        <v>0</v>
      </c>
      <c r="P44" s="173">
        <f t="shared" si="16"/>
        <v>0</v>
      </c>
      <c r="Q44" s="173">
        <f t="shared" si="16"/>
        <v>0</v>
      </c>
      <c r="R44" s="173">
        <f t="shared" si="16"/>
        <v>0</v>
      </c>
      <c r="S44" s="173">
        <f t="shared" si="16"/>
        <v>0</v>
      </c>
      <c r="T44" s="173">
        <f t="shared" si="16"/>
        <v>0</v>
      </c>
    </row>
    <row r="45" spans="1:22" ht="15" customHeight="1" x14ac:dyDescent="0.25">
      <c r="A45" s="326"/>
      <c r="B45" s="74" t="s">
        <v>161</v>
      </c>
      <c r="C45" s="14" t="s">
        <v>157</v>
      </c>
      <c r="D45" s="152"/>
      <c r="E45" s="152"/>
      <c r="F45" s="152"/>
      <c r="G45" s="152"/>
      <c r="H45" s="143">
        <f>INDEX('Supply Scenarios'!E:E,MATCH($B45,'Supply Scenarios'!$B:$B,0)+$B$3-'Supply Scenarios'!$B$1)</f>
        <v>27.82</v>
      </c>
      <c r="I45" s="139">
        <f>INDEX('Supply Scenarios'!E:E,MATCH($B45,'Supply Scenarios'!$B:$B,0)+$B$3-'Supply Scenarios'!$B$1)</f>
        <v>27.82</v>
      </c>
      <c r="J45" s="139">
        <f>INDEX('Supply Scenarios'!F:F,MATCH($B45,'Supply Scenarios'!$B:$B,0)+$B$3-'Supply Scenarios'!$B$1)</f>
        <v>27.82</v>
      </c>
      <c r="K45" s="139">
        <f>INDEX('Supply Scenarios'!G:G,MATCH($B45,'Supply Scenarios'!$B:$B,0)+$B$3-'Supply Scenarios'!$B$1)</f>
        <v>27.82</v>
      </c>
      <c r="L45" s="139">
        <f>INDEX('Supply Scenarios'!H:H,MATCH($B45,'Supply Scenarios'!$B:$B,0)+$B$3-'Supply Scenarios'!$B$1)</f>
        <v>27.82</v>
      </c>
      <c r="M45" s="139">
        <f>INDEX('Supply Scenarios'!I:I,MATCH($B45,'Supply Scenarios'!$B:$B,0)+$B$3-'Supply Scenarios'!$B$1)</f>
        <v>27.82</v>
      </c>
      <c r="N45" s="139">
        <f>INDEX('Supply Scenarios'!J:J,MATCH($B45,'Supply Scenarios'!$B:$B,0)+$B$3-'Supply Scenarios'!$B$1)</f>
        <v>27.82</v>
      </c>
      <c r="O45" s="139">
        <f>INDEX('Supply Scenarios'!K:K,MATCH($B45,'Supply Scenarios'!$B:$B,0)+$B$3-'Supply Scenarios'!$B$1)</f>
        <v>27.82</v>
      </c>
      <c r="P45" s="139">
        <f>INDEX('Supply Scenarios'!L:L,MATCH($B45,'Supply Scenarios'!$B:$B,0)+$B$3-'Supply Scenarios'!$B$1)</f>
        <v>27.82</v>
      </c>
      <c r="Q45" s="139">
        <f>INDEX('Supply Scenarios'!M:M,MATCH($B45,'Supply Scenarios'!$B:$B,0)+$B$3-'Supply Scenarios'!$B$1)</f>
        <v>27.82</v>
      </c>
      <c r="R45" s="139">
        <f>INDEX('Supply Scenarios'!N:N,MATCH($B45,'Supply Scenarios'!$B:$B,0)+$B$3-'Supply Scenarios'!$B$1)</f>
        <v>27.82</v>
      </c>
      <c r="S45" s="139">
        <f>INDEX('Supply Scenarios'!O:O,MATCH($B45,'Supply Scenarios'!$B:$B,0)+$B$3-'Supply Scenarios'!$B$1)</f>
        <v>27.82</v>
      </c>
      <c r="T45" s="139">
        <f>INDEX('Supply Scenarios'!P:P,MATCH($B45,'Supply Scenarios'!$B:$B,0)+$B$3-'Supply Scenarios'!$B$1)</f>
        <v>27.82</v>
      </c>
      <c r="U45" t="s">
        <v>183</v>
      </c>
    </row>
    <row r="46" spans="1:22" ht="15" customHeight="1" x14ac:dyDescent="0.25">
      <c r="A46" s="326"/>
      <c r="B46" s="74" t="s">
        <v>68</v>
      </c>
      <c r="C46" s="1" t="s">
        <v>18</v>
      </c>
      <c r="D46" s="67"/>
      <c r="E46" s="67"/>
      <c r="F46" s="67"/>
      <c r="G46" s="143"/>
      <c r="H46" s="143"/>
      <c r="I46" s="139">
        <f>INDEX('Supply Scenarios'!E:E,MATCH($B46,'Supply Scenarios'!$B:$B,0)+$B$3-'Supply Scenarios'!$B$1)</f>
        <v>20</v>
      </c>
      <c r="J46" s="139">
        <f>INDEX('Supply Scenarios'!F:F,MATCH($B46,'Supply Scenarios'!$B:$B,0)+$B$3-'Supply Scenarios'!$B$1)</f>
        <v>40</v>
      </c>
      <c r="K46" s="139">
        <f>INDEX('Supply Scenarios'!G:G,MATCH($B46,'Supply Scenarios'!$B:$B,0)+$B$3-'Supply Scenarios'!$B$1)</f>
        <v>80</v>
      </c>
      <c r="L46" s="139">
        <f>INDEX('Supply Scenarios'!H:H,MATCH($B46,'Supply Scenarios'!$B:$B,0)+$B$3-'Supply Scenarios'!$B$1)</f>
        <v>150</v>
      </c>
      <c r="M46" s="139">
        <f>INDEX('Supply Scenarios'!I:I,MATCH($B46,'Supply Scenarios'!$B:$B,0)+$B$3-'Supply Scenarios'!$B$1)</f>
        <v>175</v>
      </c>
      <c r="N46" s="139">
        <f>INDEX('Supply Scenarios'!J:J,MATCH($B46,'Supply Scenarios'!$B:$B,0)+$B$3-'Supply Scenarios'!$B$1)</f>
        <v>175</v>
      </c>
      <c r="O46" s="139">
        <f>INDEX('Supply Scenarios'!K:K,MATCH($B46,'Supply Scenarios'!$B:$B,0)+$B$3-'Supply Scenarios'!$B$1)</f>
        <v>175</v>
      </c>
      <c r="P46" s="139">
        <f>INDEX('Supply Scenarios'!L:L,MATCH($B46,'Supply Scenarios'!$B:$B,0)+$B$3-'Supply Scenarios'!$B$1)</f>
        <v>175</v>
      </c>
      <c r="Q46" s="139">
        <f>INDEX('Supply Scenarios'!M:M,MATCH($B46,'Supply Scenarios'!$B:$B,0)+$B$3-'Supply Scenarios'!$B$1)</f>
        <v>175</v>
      </c>
      <c r="R46" s="139">
        <f>INDEX('Supply Scenarios'!N:N,MATCH($B46,'Supply Scenarios'!$B:$B,0)+$B$3-'Supply Scenarios'!$B$1)</f>
        <v>200</v>
      </c>
      <c r="S46" s="139">
        <f>INDEX('Supply Scenarios'!O:O,MATCH($B46,'Supply Scenarios'!$B:$B,0)+$B$3-'Supply Scenarios'!$B$1)</f>
        <v>200</v>
      </c>
      <c r="T46" s="139">
        <f>INDEX('Supply Scenarios'!P:P,MATCH($B46,'Supply Scenarios'!$B:$B,0)+$B$3-'Supply Scenarios'!$B$1)</f>
        <v>225</v>
      </c>
      <c r="U46" t="s">
        <v>183</v>
      </c>
    </row>
    <row r="47" spans="1:22" s="9" customFormat="1" ht="15.75" thickBot="1" x14ac:dyDescent="0.3">
      <c r="A47" s="328"/>
      <c r="B47" s="78" t="s">
        <v>127</v>
      </c>
      <c r="C47" s="1" t="s">
        <v>61</v>
      </c>
      <c r="D47" s="2"/>
      <c r="E47" s="2"/>
      <c r="F47" s="172">
        <f t="shared" ref="F47:T47" si="17">F62*F33</f>
        <v>0</v>
      </c>
      <c r="G47" s="272">
        <f t="shared" si="17"/>
        <v>1.334154552837064</v>
      </c>
      <c r="H47" s="172">
        <f t="shared" si="17"/>
        <v>2.0549999999999997</v>
      </c>
      <c r="I47" s="172">
        <f t="shared" si="17"/>
        <v>3.8941213653603035</v>
      </c>
      <c r="J47" s="172">
        <f t="shared" si="17"/>
        <v>5.7775712054733397</v>
      </c>
      <c r="K47" s="172">
        <f t="shared" si="17"/>
        <v>8.5071763218561767</v>
      </c>
      <c r="L47" s="172">
        <f t="shared" si="17"/>
        <v>14.052502416895962</v>
      </c>
      <c r="M47" s="172">
        <f t="shared" si="17"/>
        <v>20.400684167472299</v>
      </c>
      <c r="N47" s="172">
        <f t="shared" si="17"/>
        <v>28.388488138618278</v>
      </c>
      <c r="O47" s="172">
        <f t="shared" si="17"/>
        <v>34.567710269948691</v>
      </c>
      <c r="P47" s="172">
        <f t="shared" si="17"/>
        <v>41.290994273815727</v>
      </c>
      <c r="Q47" s="172">
        <f t="shared" si="17"/>
        <v>48.253439428868894</v>
      </c>
      <c r="R47" s="172">
        <f t="shared" si="17"/>
        <v>55.33189559009444</v>
      </c>
      <c r="S47" s="172">
        <f t="shared" si="17"/>
        <v>68.872908455417573</v>
      </c>
      <c r="T47" s="172">
        <f t="shared" si="17"/>
        <v>76.604744552688331</v>
      </c>
      <c r="V47"/>
    </row>
    <row r="48" spans="1:22" s="9" customFormat="1" x14ac:dyDescent="0.25">
      <c r="B48" s="14"/>
      <c r="C48" s="1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V48"/>
    </row>
    <row r="49" spans="1:21" ht="21.75" thickBot="1" x14ac:dyDescent="0.4">
      <c r="B49" s="2"/>
      <c r="C49" s="2"/>
      <c r="D49" s="339" t="s">
        <v>46</v>
      </c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1"/>
    </row>
    <row r="50" spans="1:21" x14ac:dyDescent="0.25">
      <c r="A50" s="325" t="s">
        <v>116</v>
      </c>
      <c r="B50" s="74" t="s">
        <v>72</v>
      </c>
      <c r="C50" s="14" t="s">
        <v>15</v>
      </c>
      <c r="D50" s="3">
        <v>2014</v>
      </c>
      <c r="E50" s="3">
        <v>2015</v>
      </c>
      <c r="F50" s="3">
        <v>2016</v>
      </c>
      <c r="G50" s="3">
        <v>2017</v>
      </c>
      <c r="H50" s="3">
        <v>2018</v>
      </c>
      <c r="I50" s="3">
        <v>2019</v>
      </c>
      <c r="J50" s="3">
        <v>2020</v>
      </c>
      <c r="K50" s="3">
        <v>2021</v>
      </c>
      <c r="L50" s="3">
        <v>2022</v>
      </c>
      <c r="M50" s="3">
        <v>2023</v>
      </c>
      <c r="N50" s="3">
        <v>2024</v>
      </c>
      <c r="O50" s="3">
        <v>2025</v>
      </c>
      <c r="P50" s="16">
        <v>2026</v>
      </c>
      <c r="Q50" s="16">
        <v>2027</v>
      </c>
      <c r="R50" s="16">
        <v>2028</v>
      </c>
      <c r="S50" s="16">
        <v>2029</v>
      </c>
      <c r="T50" s="16">
        <v>2030</v>
      </c>
    </row>
    <row r="51" spans="1:21" x14ac:dyDescent="0.25">
      <c r="A51" s="326"/>
      <c r="B51" s="75" t="s">
        <v>166</v>
      </c>
      <c r="C51" s="1" t="s">
        <v>44</v>
      </c>
      <c r="D51" s="44"/>
      <c r="E51" s="44"/>
      <c r="F51" s="88">
        <v>71</v>
      </c>
      <c r="G51" s="254">
        <v>71</v>
      </c>
      <c r="H51" s="54">
        <f>$G$51+INDEX('Supply Scenarios'!D:D,MATCH("CCS Ethanol CI Reductions ",'Supply Scenarios'!$B:$B,0)+$B$3-'Supply Scenarios'!$B$1)</f>
        <v>71</v>
      </c>
      <c r="I51" s="271">
        <f>$G$51+INDEX('Supply Scenarios'!E:E,MATCH("CCS Ethanol CI Reductions ",'Supply Scenarios'!$B:$B,0)+$B$3-'Supply Scenarios'!$B$1)</f>
        <v>71</v>
      </c>
      <c r="J51" s="271">
        <f>$G$51+INDEX('Supply Scenarios'!F:F,MATCH("CCS Ethanol CI Reductions ",'Supply Scenarios'!$B:$B,0)+$B$3-'Supply Scenarios'!$B$1)</f>
        <v>71</v>
      </c>
      <c r="K51" s="271">
        <f>$G$51+INDEX('Supply Scenarios'!G:G,MATCH("CCS Ethanol CI Reductions ",'Supply Scenarios'!$B:$B,0)+$B$3-'Supply Scenarios'!$B$1)</f>
        <v>67.45</v>
      </c>
      <c r="L51" s="271">
        <f>$G$51+INDEX('Supply Scenarios'!H:H,MATCH("CCS Ethanol CI Reductions ",'Supply Scenarios'!$B:$B,0)+$B$3-'Supply Scenarios'!$B$1)</f>
        <v>64.08</v>
      </c>
      <c r="M51" s="271">
        <f>$G$51+INDEX('Supply Scenarios'!I:I,MATCH("CCS Ethanol CI Reductions ",'Supply Scenarios'!$B:$B,0)+$B$3-'Supply Scenarios'!$B$1)</f>
        <v>60.88</v>
      </c>
      <c r="N51" s="271">
        <f>$G$51+INDEX('Supply Scenarios'!J:J,MATCH("CCS Ethanol CI Reductions ",'Supply Scenarios'!$B:$B,0)+$B$3-'Supply Scenarios'!$B$1)</f>
        <v>57.84</v>
      </c>
      <c r="O51" s="271">
        <f>$G$51+INDEX('Supply Scenarios'!K:K,MATCH("CCS Ethanol CI Reductions ",'Supply Scenarios'!$B:$B,0)+$B$3-'Supply Scenarios'!$B$1)</f>
        <v>54.95</v>
      </c>
      <c r="P51" s="271">
        <f>$G$51+INDEX('Supply Scenarios'!L:L,MATCH("CCS Ethanol CI Reductions ",'Supply Scenarios'!$B:$B,0)+$B$3-'Supply Scenarios'!$B$1)</f>
        <v>52.2</v>
      </c>
      <c r="Q51" s="271">
        <f>$G$51+INDEX('Supply Scenarios'!M:M,MATCH("CCS Ethanol CI Reductions ",'Supply Scenarios'!$B:$B,0)+$B$3-'Supply Scenarios'!$B$1)</f>
        <v>49.59</v>
      </c>
      <c r="R51" s="271">
        <f>$G$51+INDEX('Supply Scenarios'!N:N,MATCH("CCS Ethanol CI Reductions ",'Supply Scenarios'!$B:$B,0)+$B$3-'Supply Scenarios'!$B$1)</f>
        <v>45.870000000000005</v>
      </c>
      <c r="S51" s="271">
        <f>$G$51+INDEX('Supply Scenarios'!O:O,MATCH("CCS Ethanol CI Reductions ",'Supply Scenarios'!$B:$B,0)+$B$3-'Supply Scenarios'!$B$1)</f>
        <v>45</v>
      </c>
      <c r="T51" s="271">
        <f>$G$51+INDEX('Supply Scenarios'!P:P,MATCH("CCS Ethanol CI Reductions ",'Supply Scenarios'!$B:$B,0)+$B$3-'Supply Scenarios'!$B$1)</f>
        <v>45</v>
      </c>
    </row>
    <row r="52" spans="1:21" x14ac:dyDescent="0.25">
      <c r="A52" s="326"/>
      <c r="B52" s="74" t="s">
        <v>124</v>
      </c>
      <c r="C52" s="1" t="s">
        <v>44</v>
      </c>
      <c r="D52" s="44"/>
      <c r="E52" s="44"/>
      <c r="F52" s="155">
        <v>45</v>
      </c>
      <c r="G52" s="54">
        <f>F52</f>
        <v>45</v>
      </c>
      <c r="H52" s="299">
        <v>36</v>
      </c>
      <c r="I52" s="299">
        <v>34</v>
      </c>
      <c r="J52" s="299">
        <v>33</v>
      </c>
      <c r="K52" s="299">
        <v>31</v>
      </c>
      <c r="L52" s="299">
        <v>29</v>
      </c>
      <c r="M52" s="299">
        <v>28</v>
      </c>
      <c r="N52" s="299">
        <v>26</v>
      </c>
      <c r="O52" s="299">
        <v>27</v>
      </c>
      <c r="P52" s="299">
        <v>27</v>
      </c>
      <c r="Q52" s="299">
        <v>27</v>
      </c>
      <c r="R52" s="299">
        <v>27</v>
      </c>
      <c r="S52" s="299">
        <v>27</v>
      </c>
      <c r="T52" s="299">
        <v>27</v>
      </c>
      <c r="U52" t="s">
        <v>263</v>
      </c>
    </row>
    <row r="53" spans="1:21" x14ac:dyDescent="0.25">
      <c r="A53" s="326"/>
      <c r="B53" s="78" t="s">
        <v>17</v>
      </c>
      <c r="C53" s="1" t="s">
        <v>44</v>
      </c>
      <c r="D53" s="44"/>
      <c r="E53" s="44"/>
      <c r="F53" s="155">
        <v>30</v>
      </c>
      <c r="G53" s="54">
        <f>F53</f>
        <v>30</v>
      </c>
      <c r="H53" s="54">
        <f>$G$53+INDEX('Supply Scenarios'!D:D,MATCH("CCS Ethanol CI Reductions ",'Supply Scenarios'!$B:$B,0)+$B$3-'Supply Scenarios'!$B$1)</f>
        <v>30</v>
      </c>
      <c r="I53" s="271">
        <f>$G$53+INDEX('Supply Scenarios'!E:E,MATCH("CCS Ethanol CI Reductions ",'Supply Scenarios'!$B:$B,0)+$B$3-'Supply Scenarios'!$B$1)</f>
        <v>30</v>
      </c>
      <c r="J53" s="271">
        <f>$G$53+INDEX('Supply Scenarios'!F:F,MATCH("CCS Ethanol CI Reductions ",'Supply Scenarios'!$B:$B,0)+$B$3-'Supply Scenarios'!$B$1)</f>
        <v>30</v>
      </c>
      <c r="K53" s="271">
        <f>$G$53+INDEX('Supply Scenarios'!G:G,MATCH("CCS Ethanol CI Reductions ",'Supply Scenarios'!$B:$B,0)+$B$3-'Supply Scenarios'!$B$1)</f>
        <v>26.45</v>
      </c>
      <c r="L53" s="271">
        <f>$G$53+INDEX('Supply Scenarios'!H:H,MATCH("CCS Ethanol CI Reductions ",'Supply Scenarios'!$B:$B,0)+$B$3-'Supply Scenarios'!$B$1)</f>
        <v>23.08</v>
      </c>
      <c r="M53" s="271">
        <f>$G$53+INDEX('Supply Scenarios'!I:I,MATCH("CCS Ethanol CI Reductions ",'Supply Scenarios'!$B:$B,0)+$B$3-'Supply Scenarios'!$B$1)</f>
        <v>19.880000000000003</v>
      </c>
      <c r="N53" s="271">
        <f>$G$53+INDEX('Supply Scenarios'!J:J,MATCH("CCS Ethanol CI Reductions ",'Supply Scenarios'!$B:$B,0)+$B$3-'Supply Scenarios'!$B$1)</f>
        <v>16.84</v>
      </c>
      <c r="O53" s="271">
        <f>$G$53+INDEX('Supply Scenarios'!K:K,MATCH("CCS Ethanol CI Reductions ",'Supply Scenarios'!$B:$B,0)+$B$3-'Supply Scenarios'!$B$1)</f>
        <v>13.95</v>
      </c>
      <c r="P53" s="271">
        <f>$G$53+INDEX('Supply Scenarios'!L:L,MATCH("CCS Ethanol CI Reductions ",'Supply Scenarios'!$B:$B,0)+$B$3-'Supply Scenarios'!$B$1)</f>
        <v>11.2</v>
      </c>
      <c r="Q53" s="271">
        <f>$G$53+INDEX('Supply Scenarios'!M:M,MATCH("CCS Ethanol CI Reductions ",'Supply Scenarios'!$B:$B,0)+$B$3-'Supply Scenarios'!$B$1)</f>
        <v>8.59</v>
      </c>
      <c r="R53" s="271">
        <f>$G$53+INDEX('Supply Scenarios'!N:N,MATCH("CCS Ethanol CI Reductions ",'Supply Scenarios'!$B:$B,0)+$B$3-'Supply Scenarios'!$B$1)</f>
        <v>4.870000000000001</v>
      </c>
      <c r="S53" s="271">
        <f>$G$53+INDEX('Supply Scenarios'!O:O,MATCH("CCS Ethanol CI Reductions ",'Supply Scenarios'!$B:$B,0)+$B$3-'Supply Scenarios'!$B$1)</f>
        <v>4</v>
      </c>
      <c r="T53" s="271">
        <f>$G$53+INDEX('Supply Scenarios'!P:P,MATCH("CCS Ethanol CI Reductions ",'Supply Scenarios'!$B:$B,0)+$B$3-'Supply Scenarios'!$B$1)</f>
        <v>4</v>
      </c>
    </row>
    <row r="54" spans="1:21" x14ac:dyDescent="0.25">
      <c r="A54" s="326"/>
      <c r="B54" s="79" t="s">
        <v>16</v>
      </c>
      <c r="C54" s="1" t="s">
        <v>44</v>
      </c>
      <c r="D54" s="44"/>
      <c r="E54" s="44"/>
      <c r="F54" s="155">
        <v>30</v>
      </c>
      <c r="G54" s="54">
        <f>F54</f>
        <v>30</v>
      </c>
      <c r="H54" s="54">
        <f t="shared" ref="H54:T54" si="18">G54*(1-$C$186)</f>
        <v>30</v>
      </c>
      <c r="I54" s="54">
        <f t="shared" si="18"/>
        <v>30</v>
      </c>
      <c r="J54" s="54">
        <f t="shared" si="18"/>
        <v>30</v>
      </c>
      <c r="K54" s="54">
        <f t="shared" si="18"/>
        <v>30</v>
      </c>
      <c r="L54" s="54">
        <f t="shared" si="18"/>
        <v>30</v>
      </c>
      <c r="M54" s="54">
        <f t="shared" si="18"/>
        <v>30</v>
      </c>
      <c r="N54" s="54">
        <f t="shared" si="18"/>
        <v>30</v>
      </c>
      <c r="O54" s="54">
        <f t="shared" si="18"/>
        <v>30</v>
      </c>
      <c r="P54" s="54">
        <f t="shared" si="18"/>
        <v>30</v>
      </c>
      <c r="Q54" s="54">
        <f t="shared" si="18"/>
        <v>30</v>
      </c>
      <c r="R54" s="54">
        <f t="shared" si="18"/>
        <v>30</v>
      </c>
      <c r="S54" s="54">
        <f t="shared" si="18"/>
        <v>30</v>
      </c>
      <c r="T54" s="54">
        <f t="shared" si="18"/>
        <v>30</v>
      </c>
    </row>
    <row r="55" spans="1:21" x14ac:dyDescent="0.25">
      <c r="A55" s="326"/>
      <c r="B55" s="79" t="s">
        <v>104</v>
      </c>
      <c r="C55" s="1" t="s">
        <v>44</v>
      </c>
      <c r="D55" s="44"/>
      <c r="E55" s="44"/>
      <c r="F55" s="53">
        <f>100.78/$C$151</f>
        <v>40.311999999999998</v>
      </c>
      <c r="G55" s="54">
        <f>F55</f>
        <v>40.311999999999998</v>
      </c>
      <c r="H55" s="271">
        <f>INDEX('Supply Scenarios'!D:D,MATCH($B55,'Supply Scenarios'!$B:$B,0)+$B$3-'Supply Scenarios'!$B$1)</f>
        <v>40</v>
      </c>
      <c r="I55" s="271">
        <f>INDEX('Supply Scenarios'!E:E,MATCH($B55,'Supply Scenarios'!$B:$B,0)+$B$3-'Supply Scenarios'!$B$1)</f>
        <v>40</v>
      </c>
      <c r="J55" s="271">
        <f>INDEX('Supply Scenarios'!F:F,MATCH($B55,'Supply Scenarios'!$B:$B,0)+$B$3-'Supply Scenarios'!$B$1)</f>
        <v>40</v>
      </c>
      <c r="K55" s="271">
        <f>INDEX('Supply Scenarios'!G:G,MATCH($B55,'Supply Scenarios'!$B:$B,0)+$B$3-'Supply Scenarios'!$B$1)</f>
        <v>40</v>
      </c>
      <c r="L55" s="271">
        <f>INDEX('Supply Scenarios'!H:H,MATCH($B55,'Supply Scenarios'!$B:$B,0)+$B$3-'Supply Scenarios'!$B$1)</f>
        <v>40</v>
      </c>
      <c r="M55" s="271">
        <f>INDEX('Supply Scenarios'!I:I,MATCH($B55,'Supply Scenarios'!$B:$B,0)+$B$3-'Supply Scenarios'!$B$1)</f>
        <v>40</v>
      </c>
      <c r="N55" s="271">
        <f>INDEX('Supply Scenarios'!J:J,MATCH($B55,'Supply Scenarios'!$B:$B,0)+$B$3-'Supply Scenarios'!$B$1)</f>
        <v>40</v>
      </c>
      <c r="O55" s="271">
        <f>INDEX('Supply Scenarios'!K:K,MATCH($B55,'Supply Scenarios'!$B:$B,0)+$B$3-'Supply Scenarios'!$B$1)</f>
        <v>40</v>
      </c>
      <c r="P55" s="271">
        <f>INDEX('Supply Scenarios'!L:L,MATCH($B55,'Supply Scenarios'!$B:$B,0)+$B$3-'Supply Scenarios'!$B$1)</f>
        <v>40</v>
      </c>
      <c r="Q55" s="271">
        <f>INDEX('Supply Scenarios'!M:M,MATCH($B55,'Supply Scenarios'!$B:$B,0)+$B$3-'Supply Scenarios'!$B$1)</f>
        <v>40</v>
      </c>
      <c r="R55" s="271">
        <f>INDEX('Supply Scenarios'!N:N,MATCH($B55,'Supply Scenarios'!$B:$B,0)+$B$3-'Supply Scenarios'!$B$1)</f>
        <v>40</v>
      </c>
      <c r="S55" s="271">
        <f>INDEX('Supply Scenarios'!O:O,MATCH($B55,'Supply Scenarios'!$B:$B,0)+$B$3-'Supply Scenarios'!$B$1)</f>
        <v>40</v>
      </c>
      <c r="T55" s="271">
        <f>INDEX('Supply Scenarios'!P:P,MATCH($B55,'Supply Scenarios'!$B:$B,0)+$B$3-'Supply Scenarios'!$B$1)</f>
        <v>40</v>
      </c>
    </row>
    <row r="56" spans="1:21" x14ac:dyDescent="0.25">
      <c r="A56" s="326"/>
      <c r="B56" s="79" t="s">
        <v>163</v>
      </c>
      <c r="C56" s="1" t="s">
        <v>44</v>
      </c>
      <c r="D56" s="44"/>
      <c r="E56" s="44"/>
      <c r="F56" s="53">
        <v>30.929411764705883</v>
      </c>
      <c r="G56" s="271">
        <f>F56</f>
        <v>30.929411764705883</v>
      </c>
      <c r="H56" s="232">
        <f>INDEX('Supply Scenarios'!D:D,MATCH($B56,'Supply Scenarios'!$B:$B,0)+$B$3-'Supply Scenarios'!$B$1)</f>
        <v>30.929411764705883</v>
      </c>
      <c r="I56" s="232">
        <f>INDEX('Supply Scenarios'!E:E,MATCH($B56,'Supply Scenarios'!$B:$B,0)+$B$3-'Supply Scenarios'!$B$1)</f>
        <v>25</v>
      </c>
      <c r="J56" s="232">
        <f>INDEX('Supply Scenarios'!F:F,MATCH($B56,'Supply Scenarios'!$B:$B,0)+$B$3-'Supply Scenarios'!$B$1)</f>
        <v>20</v>
      </c>
      <c r="K56" s="232">
        <f>INDEX('Supply Scenarios'!G:G,MATCH($B56,'Supply Scenarios'!$B:$B,0)+$B$3-'Supply Scenarios'!$B$1)</f>
        <v>15</v>
      </c>
      <c r="L56" s="232">
        <f>INDEX('Supply Scenarios'!H:H,MATCH($B56,'Supply Scenarios'!$B:$B,0)+$B$3-'Supply Scenarios'!$B$1)</f>
        <v>10</v>
      </c>
      <c r="M56" s="232">
        <f>INDEX('Supply Scenarios'!I:I,MATCH($B56,'Supply Scenarios'!$B:$B,0)+$B$3-'Supply Scenarios'!$B$1)</f>
        <v>10</v>
      </c>
      <c r="N56" s="232">
        <f>INDEX('Supply Scenarios'!J:J,MATCH($B56,'Supply Scenarios'!$B:$B,0)+$B$3-'Supply Scenarios'!$B$1)</f>
        <v>10</v>
      </c>
      <c r="O56" s="232">
        <f>INDEX('Supply Scenarios'!K:K,MATCH($B56,'Supply Scenarios'!$B:$B,0)+$B$3-'Supply Scenarios'!$B$1)</f>
        <v>10</v>
      </c>
      <c r="P56" s="232">
        <f>INDEX('Supply Scenarios'!L:L,MATCH($B56,'Supply Scenarios'!$B:$B,0)+$B$3-'Supply Scenarios'!$B$1)</f>
        <v>10</v>
      </c>
      <c r="Q56" s="232">
        <f>INDEX('Supply Scenarios'!M:M,MATCH($B56,'Supply Scenarios'!$B:$B,0)+$B$3-'Supply Scenarios'!$B$1)</f>
        <v>10</v>
      </c>
      <c r="R56" s="232">
        <f>INDEX('Supply Scenarios'!N:N,MATCH($B56,'Supply Scenarios'!$B:$B,0)+$B$3-'Supply Scenarios'!$B$1)</f>
        <v>10</v>
      </c>
      <c r="S56" s="232">
        <f>INDEX('Supply Scenarios'!O:O,MATCH($B56,'Supply Scenarios'!$B:$B,0)+$B$3-'Supply Scenarios'!$B$1)</f>
        <v>10</v>
      </c>
      <c r="T56" s="232">
        <f>INDEX('Supply Scenarios'!P:P,MATCH($B56,'Supply Scenarios'!$B:$B,0)+$B$3-'Supply Scenarios'!$B$1)</f>
        <v>10</v>
      </c>
      <c r="U56" t="s">
        <v>183</v>
      </c>
    </row>
    <row r="57" spans="1:21" x14ac:dyDescent="0.25">
      <c r="A57" s="326"/>
      <c r="B57" s="79" t="s">
        <v>38</v>
      </c>
      <c r="C57" s="1" t="s">
        <v>44</v>
      </c>
      <c r="D57" s="44"/>
      <c r="E57" s="44"/>
      <c r="F57" s="89">
        <v>16.925032840258833</v>
      </c>
      <c r="G57" s="257">
        <v>34.428234882601409</v>
      </c>
      <c r="H57" s="54">
        <f>G57</f>
        <v>34.428234882601409</v>
      </c>
      <c r="I57" s="54">
        <f t="shared" ref="I57:T57" si="19">H57*(1-$C$189)</f>
        <v>34.428234882601409</v>
      </c>
      <c r="J57" s="54">
        <f t="shared" si="19"/>
        <v>34.428234882601409</v>
      </c>
      <c r="K57" s="54">
        <f t="shared" si="19"/>
        <v>34.428234882601409</v>
      </c>
      <c r="L57" s="54">
        <f t="shared" si="19"/>
        <v>34.428234882601409</v>
      </c>
      <c r="M57" s="54">
        <f t="shared" si="19"/>
        <v>34.428234882601409</v>
      </c>
      <c r="N57" s="54">
        <f t="shared" si="19"/>
        <v>34.428234882601409</v>
      </c>
      <c r="O57" s="54">
        <f t="shared" si="19"/>
        <v>34.428234882601409</v>
      </c>
      <c r="P57" s="54">
        <f t="shared" si="19"/>
        <v>34.428234882601409</v>
      </c>
      <c r="Q57" s="54">
        <f t="shared" si="19"/>
        <v>34.428234882601409</v>
      </c>
      <c r="R57" s="54">
        <f t="shared" si="19"/>
        <v>34.428234882601409</v>
      </c>
      <c r="S57" s="54">
        <f t="shared" si="19"/>
        <v>34.428234882601409</v>
      </c>
      <c r="T57" s="54">
        <f t="shared" si="19"/>
        <v>34.428234882601409</v>
      </c>
    </row>
    <row r="58" spans="1:21" x14ac:dyDescent="0.25">
      <c r="A58" s="326"/>
      <c r="B58" s="79" t="s">
        <v>1</v>
      </c>
      <c r="C58" s="1" t="s">
        <v>44</v>
      </c>
      <c r="D58" s="44"/>
      <c r="E58" s="44"/>
      <c r="F58" s="89">
        <v>34.687389420739393</v>
      </c>
      <c r="G58" s="256">
        <v>30.404988477674323</v>
      </c>
      <c r="H58" s="54">
        <f t="shared" ref="H58:T58" si="20">G58*(1-$C$190)</f>
        <v>30.404988477674323</v>
      </c>
      <c r="I58" s="54">
        <f t="shared" si="20"/>
        <v>30.404988477674323</v>
      </c>
      <c r="J58" s="54">
        <f t="shared" si="20"/>
        <v>30.404988477674323</v>
      </c>
      <c r="K58" s="54">
        <f t="shared" si="20"/>
        <v>30.404988477674323</v>
      </c>
      <c r="L58" s="54">
        <f t="shared" si="20"/>
        <v>30.404988477674323</v>
      </c>
      <c r="M58" s="54">
        <f t="shared" si="20"/>
        <v>30.404988477674323</v>
      </c>
      <c r="N58" s="54">
        <f t="shared" si="20"/>
        <v>30.404988477674323</v>
      </c>
      <c r="O58" s="54">
        <f t="shared" si="20"/>
        <v>30.404988477674323</v>
      </c>
      <c r="P58" s="54">
        <f t="shared" si="20"/>
        <v>30.404988477674323</v>
      </c>
      <c r="Q58" s="54">
        <f t="shared" si="20"/>
        <v>30.404988477674323</v>
      </c>
      <c r="R58" s="54">
        <f t="shared" si="20"/>
        <v>30.404988477674323</v>
      </c>
      <c r="S58" s="54">
        <f t="shared" si="20"/>
        <v>30.404988477674323</v>
      </c>
      <c r="T58" s="54">
        <f t="shared" si="20"/>
        <v>30.404988477674323</v>
      </c>
    </row>
    <row r="59" spans="1:21" x14ac:dyDescent="0.25">
      <c r="A59" s="326"/>
      <c r="B59" s="79" t="s">
        <v>39</v>
      </c>
      <c r="C59" s="1" t="s">
        <v>44</v>
      </c>
      <c r="D59" s="44"/>
      <c r="E59" s="44"/>
      <c r="F59" s="89">
        <v>68.52375373011995</v>
      </c>
      <c r="G59" s="259">
        <v>80.142406643280424</v>
      </c>
      <c r="H59" s="291">
        <f>$G$59</f>
        <v>80.142406643280424</v>
      </c>
      <c r="I59" s="291">
        <f t="shared" ref="I59:T59" si="21">$G$59</f>
        <v>80.142406643280424</v>
      </c>
      <c r="J59" s="291">
        <f t="shared" si="21"/>
        <v>80.142406643280424</v>
      </c>
      <c r="K59" s="291">
        <f t="shared" si="21"/>
        <v>80.142406643280424</v>
      </c>
      <c r="L59" s="291">
        <f t="shared" si="21"/>
        <v>80.142406643280424</v>
      </c>
      <c r="M59" s="291">
        <f t="shared" si="21"/>
        <v>80.142406643280424</v>
      </c>
      <c r="N59" s="291">
        <f t="shared" si="21"/>
        <v>80.142406643280424</v>
      </c>
      <c r="O59" s="291">
        <f t="shared" si="21"/>
        <v>80.142406643280424</v>
      </c>
      <c r="P59" s="291">
        <f t="shared" si="21"/>
        <v>80.142406643280424</v>
      </c>
      <c r="Q59" s="291">
        <f t="shared" si="21"/>
        <v>80.142406643280424</v>
      </c>
      <c r="R59" s="291">
        <f t="shared" si="21"/>
        <v>80.142406643280424</v>
      </c>
      <c r="S59" s="291">
        <f t="shared" si="21"/>
        <v>80.142406643280424</v>
      </c>
      <c r="T59" s="291">
        <f t="shared" si="21"/>
        <v>80.142406643280424</v>
      </c>
    </row>
    <row r="60" spans="1:21" x14ac:dyDescent="0.25">
      <c r="A60" s="326"/>
      <c r="B60" s="79" t="s">
        <v>74</v>
      </c>
      <c r="C60" s="1" t="s">
        <v>44</v>
      </c>
      <c r="D60" s="44"/>
      <c r="E60" s="44"/>
      <c r="F60" s="89">
        <v>32.54</v>
      </c>
      <c r="G60" s="259">
        <v>42</v>
      </c>
      <c r="H60" s="155">
        <v>40</v>
      </c>
      <c r="I60" s="155">
        <v>40</v>
      </c>
      <c r="J60" s="155">
        <v>40</v>
      </c>
      <c r="K60" s="155">
        <v>40</v>
      </c>
      <c r="L60" s="155">
        <v>40</v>
      </c>
      <c r="M60" s="155">
        <v>40</v>
      </c>
      <c r="N60" s="155">
        <v>40</v>
      </c>
      <c r="O60" s="155">
        <v>40</v>
      </c>
      <c r="P60" s="155">
        <v>40</v>
      </c>
      <c r="Q60" s="155">
        <v>40</v>
      </c>
      <c r="R60" s="155">
        <v>40</v>
      </c>
      <c r="S60" s="155">
        <v>40</v>
      </c>
      <c r="T60" s="155">
        <v>40</v>
      </c>
    </row>
    <row r="61" spans="1:21" x14ac:dyDescent="0.25">
      <c r="A61" s="326"/>
      <c r="B61" s="79" t="s">
        <v>75</v>
      </c>
      <c r="C61" s="1" t="s">
        <v>44</v>
      </c>
      <c r="D61" s="44"/>
      <c r="E61" s="44"/>
      <c r="F61" s="53">
        <v>-255</v>
      </c>
      <c r="G61" s="290">
        <f>F61</f>
        <v>-255</v>
      </c>
      <c r="H61" s="155">
        <f t="shared" ref="H61:T61" si="22">$F$61</f>
        <v>-255</v>
      </c>
      <c r="I61" s="155">
        <f t="shared" si="22"/>
        <v>-255</v>
      </c>
      <c r="J61" s="155">
        <f t="shared" si="22"/>
        <v>-255</v>
      </c>
      <c r="K61" s="155">
        <f t="shared" si="22"/>
        <v>-255</v>
      </c>
      <c r="L61" s="155">
        <f t="shared" si="22"/>
        <v>-255</v>
      </c>
      <c r="M61" s="155">
        <f t="shared" si="22"/>
        <v>-255</v>
      </c>
      <c r="N61" s="155">
        <f t="shared" si="22"/>
        <v>-255</v>
      </c>
      <c r="O61" s="155">
        <f t="shared" si="22"/>
        <v>-255</v>
      </c>
      <c r="P61" s="155">
        <f t="shared" si="22"/>
        <v>-255</v>
      </c>
      <c r="Q61" s="155">
        <f t="shared" si="22"/>
        <v>-255</v>
      </c>
      <c r="R61" s="155">
        <f t="shared" si="22"/>
        <v>-255</v>
      </c>
      <c r="S61" s="155">
        <f t="shared" si="22"/>
        <v>-255</v>
      </c>
      <c r="T61" s="155">
        <f t="shared" si="22"/>
        <v>-255</v>
      </c>
      <c r="U61" t="s">
        <v>180</v>
      </c>
    </row>
    <row r="62" spans="1:21" x14ac:dyDescent="0.25">
      <c r="A62" s="326"/>
      <c r="B62" s="79" t="s">
        <v>81</v>
      </c>
      <c r="C62" s="1" t="s">
        <v>43</v>
      </c>
      <c r="D62" s="44"/>
      <c r="E62" s="44"/>
      <c r="F62" s="90">
        <v>0</v>
      </c>
      <c r="G62" s="252">
        <v>1.2501644074081296E-2</v>
      </c>
      <c r="H62" s="151">
        <f>INDEX('Supply Scenarios'!D:D,MATCH($B62,'Supply Scenarios'!$B:$B,0)+$B$3-'Supply Scenarios'!$B$1)</f>
        <v>1.4999999999999999E-2</v>
      </c>
      <c r="I62" s="151">
        <f>INDEX('Supply Scenarios'!E:E,MATCH($B62,'Supply Scenarios'!$B:$B,0)+$B$3-'Supply Scenarios'!$B$1)</f>
        <v>2.2499999999999999E-2</v>
      </c>
      <c r="J62" s="151">
        <f>INDEX('Supply Scenarios'!F:F,MATCH($B62,'Supply Scenarios'!$B:$B,0)+$B$3-'Supply Scenarios'!$B$1)</f>
        <v>0.03</v>
      </c>
      <c r="K62" s="151">
        <f>INDEX('Supply Scenarios'!G:G,MATCH($B62,'Supply Scenarios'!$B:$B,0)+$B$3-'Supply Scenarios'!$B$1)</f>
        <v>0.04</v>
      </c>
      <c r="L62" s="151">
        <f>INDEX('Supply Scenarios'!H:H,MATCH($B62,'Supply Scenarios'!$B:$B,0)+$B$3-'Supply Scenarios'!$B$1)</f>
        <v>0.06</v>
      </c>
      <c r="M62" s="151">
        <f>INDEX('Supply Scenarios'!I:I,MATCH($B62,'Supply Scenarios'!$B:$B,0)+$B$3-'Supply Scenarios'!$B$1)</f>
        <v>0.08</v>
      </c>
      <c r="N62" s="151">
        <f>INDEX('Supply Scenarios'!J:J,MATCH($B62,'Supply Scenarios'!$B:$B,0)+$B$3-'Supply Scenarios'!$B$1)</f>
        <v>0.1</v>
      </c>
      <c r="O62" s="151">
        <f>INDEX('Supply Scenarios'!K:K,MATCH($B62,'Supply Scenarios'!$B:$B,0)+$B$3-'Supply Scenarios'!$B$1)</f>
        <v>0.12</v>
      </c>
      <c r="P62" s="151">
        <f>INDEX('Supply Scenarios'!L:L,MATCH($B62,'Supply Scenarios'!$B:$B,0)+$B$3-'Supply Scenarios'!$B$1)</f>
        <v>0.14000000000000001</v>
      </c>
      <c r="Q62" s="151">
        <f>INDEX('Supply Scenarios'!M:M,MATCH($B62,'Supply Scenarios'!$B:$B,0)+$B$3-'Supply Scenarios'!$B$1)</f>
        <v>0.16</v>
      </c>
      <c r="R62" s="151">
        <f>INDEX('Supply Scenarios'!N:N,MATCH($B62,'Supply Scenarios'!$B:$B,0)+$B$3-'Supply Scenarios'!$B$1)</f>
        <v>0.18</v>
      </c>
      <c r="S62" s="151">
        <f>INDEX('Supply Scenarios'!O:O,MATCH($B62,'Supply Scenarios'!$B:$B,0)+$B$3-'Supply Scenarios'!$B$1)</f>
        <v>0.22</v>
      </c>
      <c r="T62" s="151">
        <f>INDEX('Supply Scenarios'!P:P,MATCH($B62,'Supply Scenarios'!$B:$B,0)+$B$3-'Supply Scenarios'!$B$1)</f>
        <v>0.24</v>
      </c>
      <c r="U62" t="s">
        <v>183</v>
      </c>
    </row>
    <row r="63" spans="1:21" x14ac:dyDescent="0.25">
      <c r="A63" s="326"/>
      <c r="B63" s="79" t="s">
        <v>121</v>
      </c>
      <c r="C63" s="1" t="s">
        <v>44</v>
      </c>
      <c r="D63" s="44"/>
      <c r="E63" s="44"/>
      <c r="F63" s="254">
        <v>33.536456174627517</v>
      </c>
      <c r="G63" s="254">
        <v>41.611980105516636</v>
      </c>
      <c r="H63" s="54">
        <f t="shared" ref="H63:T63" si="23">H61*H62+H60*(1-H62)</f>
        <v>35.574999999999996</v>
      </c>
      <c r="I63" s="54">
        <f t="shared" si="23"/>
        <v>33.362500000000004</v>
      </c>
      <c r="J63" s="54">
        <f t="shared" si="23"/>
        <v>31.15</v>
      </c>
      <c r="K63" s="54">
        <f t="shared" si="23"/>
        <v>28.199999999999996</v>
      </c>
      <c r="L63" s="54">
        <f t="shared" si="23"/>
        <v>22.299999999999997</v>
      </c>
      <c r="M63" s="54">
        <f t="shared" si="23"/>
        <v>16.400000000000002</v>
      </c>
      <c r="N63" s="54">
        <f t="shared" si="23"/>
        <v>10.5</v>
      </c>
      <c r="O63" s="54">
        <f t="shared" si="23"/>
        <v>4.600000000000005</v>
      </c>
      <c r="P63" s="54">
        <f t="shared" si="23"/>
        <v>-1.3000000000000043</v>
      </c>
      <c r="Q63" s="54">
        <f t="shared" si="23"/>
        <v>-7.2000000000000028</v>
      </c>
      <c r="R63" s="54">
        <f t="shared" si="23"/>
        <v>-13.099999999999994</v>
      </c>
      <c r="S63" s="54">
        <f t="shared" si="23"/>
        <v>-24.9</v>
      </c>
      <c r="T63" s="54">
        <f t="shared" si="23"/>
        <v>-30.799999999999997</v>
      </c>
      <c r="U63" t="s">
        <v>101</v>
      </c>
    </row>
    <row r="64" spans="1:21" x14ac:dyDescent="0.25">
      <c r="A64" s="326"/>
      <c r="B64" s="79" t="s">
        <v>105</v>
      </c>
      <c r="C64" s="1" t="s">
        <v>44</v>
      </c>
      <c r="D64" s="44"/>
      <c r="E64" s="44"/>
      <c r="F64" s="230">
        <f>100.78/$C$158</f>
        <v>53.0421052631579</v>
      </c>
      <c r="G64" s="54">
        <f t="shared" ref="G64:T64" si="24">F64*(1-$C$187)</f>
        <v>53.0421052631579</v>
      </c>
      <c r="H64" s="54">
        <f t="shared" si="24"/>
        <v>53.0421052631579</v>
      </c>
      <c r="I64" s="54">
        <f t="shared" si="24"/>
        <v>53.0421052631579</v>
      </c>
      <c r="J64" s="54">
        <f t="shared" si="24"/>
        <v>53.0421052631579</v>
      </c>
      <c r="K64" s="54">
        <f t="shared" si="24"/>
        <v>53.0421052631579</v>
      </c>
      <c r="L64" s="54">
        <f t="shared" si="24"/>
        <v>53.0421052631579</v>
      </c>
      <c r="M64" s="54">
        <f t="shared" si="24"/>
        <v>53.0421052631579</v>
      </c>
      <c r="N64" s="54">
        <f t="shared" si="24"/>
        <v>53.0421052631579</v>
      </c>
      <c r="O64" s="54">
        <f t="shared" si="24"/>
        <v>53.0421052631579</v>
      </c>
      <c r="P64" s="54">
        <f t="shared" si="24"/>
        <v>53.0421052631579</v>
      </c>
      <c r="Q64" s="54">
        <f t="shared" si="24"/>
        <v>53.0421052631579</v>
      </c>
      <c r="R64" s="54">
        <f t="shared" si="24"/>
        <v>53.0421052631579</v>
      </c>
      <c r="S64" s="54">
        <f t="shared" si="24"/>
        <v>53.0421052631579</v>
      </c>
      <c r="T64" s="54">
        <f t="shared" si="24"/>
        <v>53.0421052631579</v>
      </c>
    </row>
    <row r="65" spans="1:29" x14ac:dyDescent="0.25">
      <c r="A65" s="326"/>
      <c r="B65" s="79" t="s">
        <v>91</v>
      </c>
      <c r="C65" s="1" t="s">
        <v>44</v>
      </c>
      <c r="D65" s="44"/>
      <c r="E65" s="44"/>
      <c r="F65" s="254">
        <v>38.948148148148142</v>
      </c>
      <c r="G65" s="254">
        <v>43.354073555868439</v>
      </c>
      <c r="H65" s="254">
        <v>38.948148148148142</v>
      </c>
      <c r="I65" s="54">
        <f t="shared" ref="I65:T65" si="25">I56*$C$150/$C$157</f>
        <v>17</v>
      </c>
      <c r="J65" s="54">
        <f t="shared" si="25"/>
        <v>13.6</v>
      </c>
      <c r="K65" s="54">
        <f t="shared" si="25"/>
        <v>10.199999999999999</v>
      </c>
      <c r="L65" s="54">
        <f t="shared" si="25"/>
        <v>6.8</v>
      </c>
      <c r="M65" s="54">
        <f t="shared" si="25"/>
        <v>6.8</v>
      </c>
      <c r="N65" s="54">
        <f t="shared" si="25"/>
        <v>6.8</v>
      </c>
      <c r="O65" s="54">
        <f t="shared" si="25"/>
        <v>6.8</v>
      </c>
      <c r="P65" s="54">
        <f t="shared" si="25"/>
        <v>6.8</v>
      </c>
      <c r="Q65" s="54">
        <f t="shared" si="25"/>
        <v>6.8</v>
      </c>
      <c r="R65" s="54">
        <f t="shared" si="25"/>
        <v>6.8</v>
      </c>
      <c r="S65" s="54">
        <f t="shared" si="25"/>
        <v>6.8</v>
      </c>
      <c r="T65" s="54">
        <f t="shared" si="25"/>
        <v>6.8</v>
      </c>
    </row>
    <row r="66" spans="1:29" x14ac:dyDescent="0.25">
      <c r="A66" s="326"/>
      <c r="B66" s="79" t="s">
        <v>120</v>
      </c>
      <c r="C66" s="1" t="s">
        <v>44</v>
      </c>
      <c r="D66" s="44">
        <v>34.903333333333329</v>
      </c>
      <c r="E66" s="44">
        <v>34.903333333333329</v>
      </c>
      <c r="F66" s="54">
        <f>F56*$C$150/$C$159</f>
        <v>26.964102564102564</v>
      </c>
      <c r="G66" s="54">
        <f>G56*$C$150/$C$159</f>
        <v>26.964102564102564</v>
      </c>
      <c r="H66" s="54">
        <f t="shared" ref="H66:T66" si="26">H56*$C$150/$C$159</f>
        <v>26.964102564102564</v>
      </c>
      <c r="I66" s="54">
        <f t="shared" si="26"/>
        <v>21.794871794871796</v>
      </c>
      <c r="J66" s="54">
        <f t="shared" si="26"/>
        <v>17.435897435897438</v>
      </c>
      <c r="K66" s="54">
        <f t="shared" si="26"/>
        <v>13.076923076923077</v>
      </c>
      <c r="L66" s="54">
        <f t="shared" si="26"/>
        <v>8.717948717948719</v>
      </c>
      <c r="M66" s="54">
        <f t="shared" si="26"/>
        <v>8.717948717948719</v>
      </c>
      <c r="N66" s="54">
        <f t="shared" si="26"/>
        <v>8.717948717948719</v>
      </c>
      <c r="O66" s="54">
        <f t="shared" si="26"/>
        <v>8.717948717948719</v>
      </c>
      <c r="P66" s="54">
        <f t="shared" si="26"/>
        <v>8.717948717948719</v>
      </c>
      <c r="Q66" s="54">
        <f t="shared" si="26"/>
        <v>8.717948717948719</v>
      </c>
      <c r="R66" s="54">
        <f t="shared" si="26"/>
        <v>8.717948717948719</v>
      </c>
      <c r="S66" s="54">
        <f t="shared" si="26"/>
        <v>8.717948717948719</v>
      </c>
      <c r="T66" s="54">
        <f t="shared" si="26"/>
        <v>8.717948717948719</v>
      </c>
    </row>
    <row r="67" spans="1:29" x14ac:dyDescent="0.25">
      <c r="A67" s="326"/>
      <c r="B67" s="79" t="s">
        <v>3</v>
      </c>
      <c r="C67" s="1" t="s">
        <v>44</v>
      </c>
      <c r="D67" s="55">
        <v>99.18</v>
      </c>
      <c r="E67" s="55">
        <v>99.18</v>
      </c>
      <c r="F67" s="55">
        <v>99.78</v>
      </c>
      <c r="G67" s="55">
        <f>F67</f>
        <v>99.78</v>
      </c>
      <c r="H67" s="55">
        <f>G67</f>
        <v>99.78</v>
      </c>
      <c r="I67" s="292">
        <f>IF($B$3&gt;=139,100.82,99.78)</f>
        <v>100.82</v>
      </c>
      <c r="J67" s="292">
        <f t="shared" ref="J67:T67" si="27">IF($B$3&gt;=139,100.82,99.78)</f>
        <v>100.82</v>
      </c>
      <c r="K67" s="292">
        <f t="shared" si="27"/>
        <v>100.82</v>
      </c>
      <c r="L67" s="292">
        <f t="shared" si="27"/>
        <v>100.82</v>
      </c>
      <c r="M67" s="292">
        <f t="shared" si="27"/>
        <v>100.82</v>
      </c>
      <c r="N67" s="292">
        <f t="shared" si="27"/>
        <v>100.82</v>
      </c>
      <c r="O67" s="292">
        <f t="shared" si="27"/>
        <v>100.82</v>
      </c>
      <c r="P67" s="292">
        <f t="shared" si="27"/>
        <v>100.82</v>
      </c>
      <c r="Q67" s="292">
        <f t="shared" si="27"/>
        <v>100.82</v>
      </c>
      <c r="R67" s="292">
        <f t="shared" si="27"/>
        <v>100.82</v>
      </c>
      <c r="S67" s="292">
        <f t="shared" si="27"/>
        <v>100.82</v>
      </c>
      <c r="T67" s="292">
        <f t="shared" si="27"/>
        <v>100.82</v>
      </c>
    </row>
    <row r="68" spans="1:29" x14ac:dyDescent="0.25">
      <c r="A68" s="326"/>
      <c r="B68" s="79" t="s">
        <v>4</v>
      </c>
      <c r="C68" s="1" t="s">
        <v>44</v>
      </c>
      <c r="D68" s="55">
        <v>98.03</v>
      </c>
      <c r="E68" s="55">
        <v>98.03</v>
      </c>
      <c r="F68" s="55">
        <v>102.01</v>
      </c>
      <c r="G68" s="55">
        <v>102.01</v>
      </c>
      <c r="H68" s="55">
        <v>102.01</v>
      </c>
      <c r="I68" s="55">
        <f t="shared" ref="I68:T68" si="28">$C$7</f>
        <v>100.45</v>
      </c>
      <c r="J68" s="55">
        <f t="shared" si="28"/>
        <v>100.45</v>
      </c>
      <c r="K68" s="55">
        <f t="shared" si="28"/>
        <v>100.45</v>
      </c>
      <c r="L68" s="55">
        <f t="shared" si="28"/>
        <v>100.45</v>
      </c>
      <c r="M68" s="55">
        <f t="shared" si="28"/>
        <v>100.45</v>
      </c>
      <c r="N68" s="55">
        <f t="shared" si="28"/>
        <v>100.45</v>
      </c>
      <c r="O68" s="55">
        <f t="shared" si="28"/>
        <v>100.45</v>
      </c>
      <c r="P68" s="55">
        <f t="shared" si="28"/>
        <v>100.45</v>
      </c>
      <c r="Q68" s="55">
        <f t="shared" si="28"/>
        <v>100.45</v>
      </c>
      <c r="R68" s="55">
        <f t="shared" si="28"/>
        <v>100.45</v>
      </c>
      <c r="S68" s="55">
        <f t="shared" si="28"/>
        <v>100.45</v>
      </c>
      <c r="T68" s="55">
        <f t="shared" si="28"/>
        <v>100.45</v>
      </c>
    </row>
    <row r="69" spans="1:29" x14ac:dyDescent="0.25">
      <c r="A69" s="326"/>
      <c r="B69" s="79" t="s">
        <v>155</v>
      </c>
      <c r="C69" s="1" t="s">
        <v>44</v>
      </c>
      <c r="D69" s="36"/>
      <c r="E69" s="36"/>
      <c r="F69" s="36"/>
      <c r="G69" s="36"/>
      <c r="H69" s="36"/>
      <c r="I69" s="156">
        <f>AVERAGE(25.88,38.5)</f>
        <v>32.19</v>
      </c>
      <c r="J69" s="156">
        <f t="shared" ref="J69:T69" si="29">AVERAGE(25.88,38.5)</f>
        <v>32.19</v>
      </c>
      <c r="K69" s="156">
        <f t="shared" si="29"/>
        <v>32.19</v>
      </c>
      <c r="L69" s="156">
        <f t="shared" si="29"/>
        <v>32.19</v>
      </c>
      <c r="M69" s="156">
        <f t="shared" si="29"/>
        <v>32.19</v>
      </c>
      <c r="N69" s="156">
        <f t="shared" si="29"/>
        <v>32.19</v>
      </c>
      <c r="O69" s="156">
        <f t="shared" si="29"/>
        <v>32.19</v>
      </c>
      <c r="P69" s="156">
        <f t="shared" si="29"/>
        <v>32.19</v>
      </c>
      <c r="Q69" s="156">
        <f t="shared" si="29"/>
        <v>32.19</v>
      </c>
      <c r="R69" s="156">
        <f t="shared" si="29"/>
        <v>32.19</v>
      </c>
      <c r="S69" s="156">
        <f t="shared" si="29"/>
        <v>32.19</v>
      </c>
      <c r="T69" s="156">
        <f t="shared" si="29"/>
        <v>32.19</v>
      </c>
    </row>
    <row r="70" spans="1:29" x14ac:dyDescent="0.25">
      <c r="A70" s="326"/>
      <c r="B70" s="79" t="s">
        <v>156</v>
      </c>
      <c r="C70" s="1" t="s">
        <v>44</v>
      </c>
      <c r="D70" s="36"/>
      <c r="E70" s="36"/>
      <c r="F70" s="36"/>
      <c r="G70" s="36"/>
      <c r="H70" s="36"/>
      <c r="I70" s="156">
        <v>83.19</v>
      </c>
      <c r="J70" s="156">
        <f>$I$70</f>
        <v>83.19</v>
      </c>
      <c r="K70" s="156">
        <f t="shared" ref="K70:T70" si="30">$I$70</f>
        <v>83.19</v>
      </c>
      <c r="L70" s="156">
        <f t="shared" si="30"/>
        <v>83.19</v>
      </c>
      <c r="M70" s="156">
        <f t="shared" si="30"/>
        <v>83.19</v>
      </c>
      <c r="N70" s="156">
        <f t="shared" si="30"/>
        <v>83.19</v>
      </c>
      <c r="O70" s="156">
        <f t="shared" si="30"/>
        <v>83.19</v>
      </c>
      <c r="P70" s="156">
        <f t="shared" si="30"/>
        <v>83.19</v>
      </c>
      <c r="Q70" s="156">
        <f t="shared" si="30"/>
        <v>83.19</v>
      </c>
      <c r="R70" s="156">
        <f t="shared" si="30"/>
        <v>83.19</v>
      </c>
      <c r="S70" s="156">
        <f t="shared" si="30"/>
        <v>83.19</v>
      </c>
      <c r="T70" s="156">
        <f t="shared" si="30"/>
        <v>83.19</v>
      </c>
    </row>
    <row r="71" spans="1:29" ht="15.75" thickBot="1" x14ac:dyDescent="0.3">
      <c r="A71" s="330"/>
      <c r="B71" s="79" t="s">
        <v>68</v>
      </c>
      <c r="C71" s="1" t="s">
        <v>44</v>
      </c>
      <c r="D71" s="36"/>
      <c r="E71" s="36"/>
      <c r="F71" s="36"/>
      <c r="G71" s="36"/>
      <c r="H71" s="36"/>
      <c r="I71" s="156">
        <f t="shared" ref="I71:T71" si="31">I58</f>
        <v>30.404988477674323</v>
      </c>
      <c r="J71" s="156">
        <f t="shared" si="31"/>
        <v>30.404988477674323</v>
      </c>
      <c r="K71" s="156">
        <f t="shared" si="31"/>
        <v>30.404988477674323</v>
      </c>
      <c r="L71" s="156">
        <f t="shared" si="31"/>
        <v>30.404988477674323</v>
      </c>
      <c r="M71" s="156">
        <f t="shared" si="31"/>
        <v>30.404988477674323</v>
      </c>
      <c r="N71" s="156">
        <f t="shared" si="31"/>
        <v>30.404988477674323</v>
      </c>
      <c r="O71" s="156">
        <f t="shared" si="31"/>
        <v>30.404988477674323</v>
      </c>
      <c r="P71" s="156">
        <f t="shared" si="31"/>
        <v>30.404988477674323</v>
      </c>
      <c r="Q71" s="156">
        <f t="shared" si="31"/>
        <v>30.404988477674323</v>
      </c>
      <c r="R71" s="156">
        <f t="shared" si="31"/>
        <v>30.404988477674323</v>
      </c>
      <c r="S71" s="156">
        <f t="shared" si="31"/>
        <v>30.404988477674323</v>
      </c>
      <c r="T71" s="156">
        <f t="shared" si="31"/>
        <v>30.404988477674323</v>
      </c>
    </row>
    <row r="72" spans="1:29" x14ac:dyDescent="0.25">
      <c r="A72" s="8"/>
    </row>
    <row r="73" spans="1:29" s="15" customFormat="1" ht="21.75" thickBot="1" x14ac:dyDescent="0.4">
      <c r="A73"/>
      <c r="B73" s="2"/>
      <c r="C73" s="2"/>
      <c r="D73" s="342" t="s">
        <v>48</v>
      </c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4"/>
      <c r="U73"/>
      <c r="V73"/>
      <c r="W73"/>
      <c r="X73"/>
      <c r="Y73"/>
      <c r="Z73"/>
      <c r="AA73"/>
      <c r="AB73"/>
      <c r="AC73"/>
    </row>
    <row r="74" spans="1:29" x14ac:dyDescent="0.25">
      <c r="A74" s="325" t="s">
        <v>117</v>
      </c>
      <c r="B74" s="74" t="s">
        <v>72</v>
      </c>
      <c r="C74" s="14" t="s">
        <v>15</v>
      </c>
      <c r="D74" s="3">
        <v>2014</v>
      </c>
      <c r="E74" s="3">
        <v>2015</v>
      </c>
      <c r="F74" s="3">
        <v>2016</v>
      </c>
      <c r="G74" s="3">
        <v>2017</v>
      </c>
      <c r="H74" s="3">
        <v>2018</v>
      </c>
      <c r="I74" s="3">
        <v>2019</v>
      </c>
      <c r="J74" s="3">
        <v>2020</v>
      </c>
      <c r="K74" s="3">
        <v>2021</v>
      </c>
      <c r="L74" s="3">
        <v>2022</v>
      </c>
      <c r="M74" s="3">
        <v>2023</v>
      </c>
      <c r="N74" s="3">
        <v>2024</v>
      </c>
      <c r="O74" s="3">
        <v>2025</v>
      </c>
      <c r="P74" s="16">
        <v>2026</v>
      </c>
      <c r="Q74" s="16">
        <v>2027</v>
      </c>
      <c r="R74" s="16">
        <v>2028</v>
      </c>
      <c r="S74" s="16">
        <v>2029</v>
      </c>
      <c r="T74" s="16">
        <v>2030</v>
      </c>
    </row>
    <row r="75" spans="1:29" x14ac:dyDescent="0.25">
      <c r="A75" s="326"/>
      <c r="B75" s="75" t="s">
        <v>125</v>
      </c>
      <c r="C75" s="1" t="s">
        <v>58</v>
      </c>
      <c r="D75" s="49">
        <f t="shared" ref="D75:T75" si="32">$C$167*D21</f>
        <v>120325.06200000001</v>
      </c>
      <c r="E75" s="49">
        <f t="shared" si="32"/>
        <v>119420.30100000001</v>
      </c>
      <c r="F75" s="49">
        <f t="shared" si="32"/>
        <v>127721.91338478001</v>
      </c>
      <c r="G75" s="49">
        <f t="shared" si="32"/>
        <v>122816.04933312001</v>
      </c>
      <c r="H75" s="49">
        <f t="shared" si="32"/>
        <v>116778.02717625264</v>
      </c>
      <c r="I75" s="49">
        <f t="shared" si="32"/>
        <v>109120.98660484287</v>
      </c>
      <c r="J75" s="49">
        <f t="shared" si="32"/>
        <v>105519.05453383218</v>
      </c>
      <c r="K75" s="49">
        <f t="shared" si="32"/>
        <v>105954.33146109243</v>
      </c>
      <c r="L75" s="49">
        <f t="shared" si="32"/>
        <v>105881.28436232005</v>
      </c>
      <c r="M75" s="49">
        <f t="shared" si="32"/>
        <v>106000.26602527284</v>
      </c>
      <c r="N75" s="49">
        <f t="shared" si="32"/>
        <v>102160.86072011729</v>
      </c>
      <c r="O75" s="49">
        <f t="shared" si="32"/>
        <v>98064.16331766246</v>
      </c>
      <c r="P75" s="49">
        <f t="shared" si="32"/>
        <v>94082.959926540352</v>
      </c>
      <c r="Q75" s="49">
        <f t="shared" si="32"/>
        <v>90286.217441910718</v>
      </c>
      <c r="R75" s="49">
        <f t="shared" si="32"/>
        <v>86414.276180366927</v>
      </c>
      <c r="S75" s="49">
        <f t="shared" si="32"/>
        <v>83718.993253181412</v>
      </c>
      <c r="T75" s="49">
        <f t="shared" si="32"/>
        <v>81317.02861642011</v>
      </c>
    </row>
    <row r="76" spans="1:29" x14ac:dyDescent="0.25">
      <c r="A76" s="326"/>
      <c r="B76" s="74" t="s">
        <v>124</v>
      </c>
      <c r="C76" s="1" t="s">
        <v>58</v>
      </c>
      <c r="D76" s="49">
        <f t="shared" ref="D76:T76" si="33">$C$167*D20</f>
        <v>717.28800000000012</v>
      </c>
      <c r="E76" s="49">
        <f t="shared" si="33"/>
        <v>3415.2690000000002</v>
      </c>
      <c r="F76" s="49">
        <f t="shared" si="33"/>
        <v>2521.74961467</v>
      </c>
      <c r="G76" s="49">
        <f t="shared" si="33"/>
        <v>5522.3128517700006</v>
      </c>
      <c r="H76" s="49">
        <f t="shared" si="33"/>
        <v>8151.0000000000009</v>
      </c>
      <c r="I76" s="49">
        <f t="shared" si="33"/>
        <v>12226.5</v>
      </c>
      <c r="J76" s="49">
        <f t="shared" si="33"/>
        <v>12226.5</v>
      </c>
      <c r="K76" s="49">
        <f t="shared" si="33"/>
        <v>8151.0000000000009</v>
      </c>
      <c r="L76" s="49">
        <f t="shared" si="33"/>
        <v>4075.5000000000005</v>
      </c>
      <c r="M76" s="49">
        <f t="shared" si="33"/>
        <v>0</v>
      </c>
      <c r="N76" s="49">
        <f t="shared" si="33"/>
        <v>0</v>
      </c>
      <c r="O76" s="49">
        <f t="shared" si="33"/>
        <v>0</v>
      </c>
      <c r="P76" s="49">
        <f t="shared" si="33"/>
        <v>0</v>
      </c>
      <c r="Q76" s="49">
        <f t="shared" si="33"/>
        <v>0</v>
      </c>
      <c r="R76" s="49">
        <f t="shared" si="33"/>
        <v>0</v>
      </c>
      <c r="S76" s="49">
        <f t="shared" si="33"/>
        <v>0</v>
      </c>
      <c r="T76" s="49">
        <f t="shared" si="33"/>
        <v>0</v>
      </c>
    </row>
    <row r="77" spans="1:29" x14ac:dyDescent="0.25">
      <c r="A77" s="326"/>
      <c r="B77" s="80" t="s">
        <v>17</v>
      </c>
      <c r="C77" s="1" t="s">
        <v>58</v>
      </c>
      <c r="D77" s="49">
        <f t="shared" ref="D77:T77" si="34">$C$168*D19</f>
        <v>0</v>
      </c>
      <c r="E77" s="49">
        <f t="shared" si="34"/>
        <v>0</v>
      </c>
      <c r="F77" s="49">
        <f t="shared" si="34"/>
        <v>0</v>
      </c>
      <c r="G77" s="49">
        <f t="shared" si="34"/>
        <v>0</v>
      </c>
      <c r="H77" s="49">
        <f t="shared" si="34"/>
        <v>164.37630696634795</v>
      </c>
      <c r="I77" s="49">
        <f t="shared" si="34"/>
        <v>328.75261393269591</v>
      </c>
      <c r="J77" s="49">
        <f t="shared" si="34"/>
        <v>610.23691791878798</v>
      </c>
      <c r="K77" s="49">
        <f t="shared" si="34"/>
        <v>938.04128896063594</v>
      </c>
      <c r="L77" s="49">
        <f t="shared" si="34"/>
        <v>1324.4670096326126</v>
      </c>
      <c r="M77" s="49">
        <f t="shared" si="34"/>
        <v>1806.5917370004368</v>
      </c>
      <c r="N77" s="49">
        <f t="shared" si="34"/>
        <v>2478.3979386564015</v>
      </c>
      <c r="O77" s="49">
        <f t="shared" si="34"/>
        <v>3342.9592822550608</v>
      </c>
      <c r="P77" s="49">
        <f t="shared" si="34"/>
        <v>4160.555966720477</v>
      </c>
      <c r="Q77" s="49">
        <f t="shared" si="34"/>
        <v>5705.7000000000007</v>
      </c>
      <c r="R77" s="49">
        <f t="shared" si="34"/>
        <v>7743.4500000000007</v>
      </c>
      <c r="S77" s="49">
        <f t="shared" si="34"/>
        <v>8966.1</v>
      </c>
      <c r="T77" s="49">
        <f t="shared" si="34"/>
        <v>10188.75</v>
      </c>
    </row>
    <row r="78" spans="1:29" x14ac:dyDescent="0.25">
      <c r="A78" s="326"/>
      <c r="B78" s="81" t="s">
        <v>16</v>
      </c>
      <c r="C78" s="1" t="s">
        <v>58</v>
      </c>
      <c r="D78" s="49">
        <f t="shared" ref="D78:T78" si="35">$C$169*D22</f>
        <v>0</v>
      </c>
      <c r="E78" s="49">
        <f t="shared" si="35"/>
        <v>0</v>
      </c>
      <c r="F78" s="49">
        <f t="shared" si="35"/>
        <v>0</v>
      </c>
      <c r="G78" s="49">
        <f t="shared" si="35"/>
        <v>0</v>
      </c>
      <c r="H78" s="49">
        <f t="shared" si="35"/>
        <v>0</v>
      </c>
      <c r="I78" s="49">
        <f t="shared" si="35"/>
        <v>0</v>
      </c>
      <c r="J78" s="49">
        <f t="shared" si="35"/>
        <v>0</v>
      </c>
      <c r="K78" s="49">
        <f t="shared" si="35"/>
        <v>0</v>
      </c>
      <c r="L78" s="49">
        <f t="shared" si="35"/>
        <v>0</v>
      </c>
      <c r="M78" s="49">
        <f t="shared" si="35"/>
        <v>0</v>
      </c>
      <c r="N78" s="49">
        <f t="shared" si="35"/>
        <v>0</v>
      </c>
      <c r="O78" s="49">
        <f t="shared" si="35"/>
        <v>0</v>
      </c>
      <c r="P78" s="49">
        <f t="shared" si="35"/>
        <v>0</v>
      </c>
      <c r="Q78" s="49">
        <f t="shared" si="35"/>
        <v>0</v>
      </c>
      <c r="R78" s="49">
        <f t="shared" si="35"/>
        <v>0</v>
      </c>
      <c r="S78" s="49">
        <f t="shared" si="35"/>
        <v>0</v>
      </c>
      <c r="T78" s="49">
        <f t="shared" si="35"/>
        <v>0</v>
      </c>
    </row>
    <row r="79" spans="1:29" s="15" customFormat="1" x14ac:dyDescent="0.25">
      <c r="A79" s="326"/>
      <c r="B79" s="81" t="s">
        <v>107</v>
      </c>
      <c r="C79" s="1" t="s">
        <v>58</v>
      </c>
      <c r="D79" s="49">
        <f t="shared" ref="D79:T79" si="36">$C$170*D23</f>
        <v>4.0909090909090908</v>
      </c>
      <c r="E79" s="49">
        <f t="shared" si="36"/>
        <v>43.636363636363633</v>
      </c>
      <c r="F79" s="49">
        <f t="shared" si="36"/>
        <v>0.34836</v>
      </c>
      <c r="G79" s="49">
        <f t="shared" si="36"/>
        <v>32.183399999999999</v>
      </c>
      <c r="H79" s="49">
        <f t="shared" si="36"/>
        <v>86.292000000000002</v>
      </c>
      <c r="I79" s="49">
        <f t="shared" si="36"/>
        <v>160.512</v>
      </c>
      <c r="J79" s="49">
        <f t="shared" si="36"/>
        <v>285.81600000000003</v>
      </c>
      <c r="K79" s="49">
        <f t="shared" si="36"/>
        <v>463.06800000000004</v>
      </c>
      <c r="L79" s="49">
        <f t="shared" si="36"/>
        <v>734.38800000000003</v>
      </c>
      <c r="M79" s="49">
        <f t="shared" si="36"/>
        <v>1106.76</v>
      </c>
      <c r="N79" s="49">
        <f t="shared" si="36"/>
        <v>1545.5639999999999</v>
      </c>
      <c r="O79" s="49">
        <f t="shared" si="36"/>
        <v>2051.8200000000002</v>
      </c>
      <c r="P79" s="49">
        <f t="shared" si="36"/>
        <v>2592.42</v>
      </c>
      <c r="Q79" s="49">
        <f t="shared" si="36"/>
        <v>3133.02</v>
      </c>
      <c r="R79" s="49">
        <f t="shared" si="36"/>
        <v>3673.62</v>
      </c>
      <c r="S79" s="49">
        <f t="shared" si="36"/>
        <v>4214.2199999999993</v>
      </c>
      <c r="T79" s="49">
        <f t="shared" si="36"/>
        <v>4754.82</v>
      </c>
      <c r="U79"/>
      <c r="V79"/>
      <c r="W79"/>
      <c r="X79"/>
      <c r="Y79"/>
      <c r="Z79"/>
      <c r="AA79"/>
      <c r="AB79"/>
      <c r="AC79"/>
    </row>
    <row r="80" spans="1:29" ht="15" customHeight="1" x14ac:dyDescent="0.25">
      <c r="A80" s="326"/>
      <c r="B80" s="81" t="s">
        <v>0</v>
      </c>
      <c r="C80" s="1" t="s">
        <v>58</v>
      </c>
      <c r="D80" s="49">
        <f t="shared" ref="D80:T80" si="37">D24*$C$171*1000/1000000</f>
        <v>979.20022958018251</v>
      </c>
      <c r="E80" s="49">
        <f t="shared" si="37"/>
        <v>1501.2003519666769</v>
      </c>
      <c r="F80" s="49">
        <f t="shared" si="37"/>
        <v>2556.8631777440378</v>
      </c>
      <c r="G80" s="49">
        <f t="shared" si="37"/>
        <v>3678.3982750956025</v>
      </c>
      <c r="H80" s="49">
        <f t="shared" si="37"/>
        <v>4297.1000250844536</v>
      </c>
      <c r="I80" s="49">
        <f t="shared" si="37"/>
        <v>4864.9474542201624</v>
      </c>
      <c r="J80" s="49">
        <f t="shared" si="37"/>
        <v>5625.9077126324928</v>
      </c>
      <c r="K80" s="49">
        <f t="shared" si="37"/>
        <v>6581.6428487111243</v>
      </c>
      <c r="L80" s="49">
        <f t="shared" si="37"/>
        <v>7647.1935337367613</v>
      </c>
      <c r="M80" s="49">
        <f t="shared" si="37"/>
        <v>8800.0762648379932</v>
      </c>
      <c r="N80" s="49">
        <f t="shared" si="37"/>
        <v>10061.519411791955</v>
      </c>
      <c r="O80" s="49">
        <f t="shared" si="37"/>
        <v>11425.923590885835</v>
      </c>
      <c r="P80" s="49">
        <f t="shared" si="37"/>
        <v>12841.518860381815</v>
      </c>
      <c r="Q80" s="49">
        <f t="shared" si="37"/>
        <v>14257.114129877797</v>
      </c>
      <c r="R80" s="49">
        <f t="shared" si="37"/>
        <v>15672.70939937378</v>
      </c>
      <c r="S80" s="49">
        <f t="shared" si="37"/>
        <v>17088.304668869761</v>
      </c>
      <c r="T80" s="49">
        <f t="shared" si="37"/>
        <v>18503.899938365739</v>
      </c>
    </row>
    <row r="81" spans="1:20" x14ac:dyDescent="0.25">
      <c r="A81" s="326"/>
      <c r="B81" s="80" t="s">
        <v>73</v>
      </c>
      <c r="C81" s="1" t="s">
        <v>58</v>
      </c>
      <c r="D81" s="49">
        <f t="shared" ref="D81:T81" si="38">D26*$C$172</f>
        <v>1565006.29</v>
      </c>
      <c r="E81" s="49">
        <f t="shared" si="38"/>
        <v>1592617.72</v>
      </c>
      <c r="F81" s="49">
        <f t="shared" si="38"/>
        <v>1679787.55446753</v>
      </c>
      <c r="G81" s="49">
        <f t="shared" si="38"/>
        <v>1681204.34965356</v>
      </c>
      <c r="H81" s="49">
        <f t="shared" si="38"/>
        <v>1625577.1493089043</v>
      </c>
      <c r="I81" s="49">
        <f t="shared" si="38"/>
        <v>1576031.7239719573</v>
      </c>
      <c r="J81" s="49">
        <f t="shared" si="38"/>
        <v>1527403.5462947378</v>
      </c>
      <c r="K81" s="49">
        <f t="shared" si="38"/>
        <v>1478522.1184386765</v>
      </c>
      <c r="L81" s="49">
        <f t="shared" si="38"/>
        <v>1423346.291148467</v>
      </c>
      <c r="M81" s="49">
        <f t="shared" si="38"/>
        <v>1371608.6806629486</v>
      </c>
      <c r="N81" s="49">
        <f t="shared" si="38"/>
        <v>1323560.9300256593</v>
      </c>
      <c r="O81" s="49">
        <f t="shared" si="38"/>
        <v>1274302.201960474</v>
      </c>
      <c r="P81" s="49">
        <f t="shared" si="38"/>
        <v>1225588.7072596825</v>
      </c>
      <c r="Q81" s="49">
        <f t="shared" si="38"/>
        <v>1188552.69104162</v>
      </c>
      <c r="R81" s="49">
        <f t="shared" si="38"/>
        <v>1156666.4022544748</v>
      </c>
      <c r="S81" s="49">
        <f t="shared" si="38"/>
        <v>1129192.7470051621</v>
      </c>
      <c r="T81" s="49">
        <f t="shared" si="38"/>
        <v>1105231.0923398971</v>
      </c>
    </row>
    <row r="82" spans="1:20" x14ac:dyDescent="0.25">
      <c r="A82" s="326"/>
      <c r="B82" s="80"/>
      <c r="C82" s="2"/>
      <c r="D82" s="30"/>
      <c r="E82" s="30"/>
      <c r="F82" s="30"/>
      <c r="G82" s="30"/>
      <c r="H82" s="30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"/>
      <c r="T82" s="2"/>
    </row>
    <row r="83" spans="1:20" x14ac:dyDescent="0.25">
      <c r="A83" s="326"/>
      <c r="B83" s="74" t="s">
        <v>72</v>
      </c>
      <c r="C83" s="14" t="s">
        <v>15</v>
      </c>
      <c r="D83" s="3">
        <v>2014</v>
      </c>
      <c r="E83" s="3">
        <v>2015</v>
      </c>
      <c r="F83" s="3">
        <v>2016</v>
      </c>
      <c r="G83" s="3">
        <v>2017</v>
      </c>
      <c r="H83" s="3">
        <v>2018</v>
      </c>
      <c r="I83" s="3">
        <v>2019</v>
      </c>
      <c r="J83" s="3">
        <v>2020</v>
      </c>
      <c r="K83" s="3">
        <v>2021</v>
      </c>
      <c r="L83" s="3">
        <v>2022</v>
      </c>
      <c r="M83" s="3">
        <v>2023</v>
      </c>
      <c r="N83" s="3">
        <v>2024</v>
      </c>
      <c r="O83" s="3">
        <v>2025</v>
      </c>
      <c r="P83" s="16">
        <v>2026</v>
      </c>
      <c r="Q83" s="16">
        <v>2027</v>
      </c>
      <c r="R83" s="16">
        <v>2028</v>
      </c>
      <c r="S83" s="16">
        <v>2029</v>
      </c>
      <c r="T83" s="16">
        <v>2030</v>
      </c>
    </row>
    <row r="84" spans="1:20" x14ac:dyDescent="0.25">
      <c r="A84" s="326"/>
      <c r="B84" s="80" t="s">
        <v>38</v>
      </c>
      <c r="C84" s="1" t="s">
        <v>58</v>
      </c>
      <c r="D84" s="49">
        <f t="shared" ref="D84:T84" si="39">D29*$C$174</f>
        <v>8450.8401938348852</v>
      </c>
      <c r="E84" s="49">
        <f t="shared" si="39"/>
        <v>15892.624842137247</v>
      </c>
      <c r="F84" s="49">
        <f t="shared" si="39"/>
        <v>20603.494372489626</v>
      </c>
      <c r="G84" s="49">
        <f t="shared" si="39"/>
        <v>21629.003325483714</v>
      </c>
      <c r="H84" s="49">
        <f t="shared" si="39"/>
        <v>25226.388638313092</v>
      </c>
      <c r="I84" s="49">
        <f t="shared" si="39"/>
        <v>34686.284377680502</v>
      </c>
      <c r="J84" s="49">
        <f t="shared" si="39"/>
        <v>44146.180117047908</v>
      </c>
      <c r="K84" s="49">
        <f t="shared" si="39"/>
        <v>53606.075856415315</v>
      </c>
      <c r="L84" s="49">
        <f t="shared" si="39"/>
        <v>63065.971595782728</v>
      </c>
      <c r="M84" s="49">
        <f t="shared" si="39"/>
        <v>63065.971595782728</v>
      </c>
      <c r="N84" s="49">
        <f t="shared" si="39"/>
        <v>63065.971595782728</v>
      </c>
      <c r="O84" s="49">
        <f t="shared" si="39"/>
        <v>63065.971595782728</v>
      </c>
      <c r="P84" s="49">
        <f t="shared" si="39"/>
        <v>63065.971595782728</v>
      </c>
      <c r="Q84" s="49">
        <f t="shared" si="39"/>
        <v>63065.971595782728</v>
      </c>
      <c r="R84" s="49">
        <f t="shared" si="39"/>
        <v>63065.971595782728</v>
      </c>
      <c r="S84" s="49">
        <f t="shared" si="39"/>
        <v>63065.971595782728</v>
      </c>
      <c r="T84" s="49">
        <f t="shared" si="39"/>
        <v>63065.971595782728</v>
      </c>
    </row>
    <row r="85" spans="1:20" x14ac:dyDescent="0.25">
      <c r="A85" s="326"/>
      <c r="B85" s="80" t="s">
        <v>1</v>
      </c>
      <c r="C85" s="1" t="s">
        <v>58</v>
      </c>
      <c r="D85" s="49">
        <f t="shared" ref="D85:T85" si="40">$C$175*D30</f>
        <v>14650.45</v>
      </c>
      <c r="E85" s="49">
        <f t="shared" si="40"/>
        <v>21392.25</v>
      </c>
      <c r="F85" s="49">
        <f t="shared" si="40"/>
        <v>33147.765505050003</v>
      </c>
      <c r="G85" s="49">
        <f t="shared" si="40"/>
        <v>43492.958682100005</v>
      </c>
      <c r="H85" s="49">
        <f t="shared" si="40"/>
        <v>58342.5</v>
      </c>
      <c r="I85" s="49">
        <f t="shared" si="40"/>
        <v>71307.5</v>
      </c>
      <c r="J85" s="49">
        <f t="shared" si="40"/>
        <v>84272.5</v>
      </c>
      <c r="K85" s="49">
        <f t="shared" si="40"/>
        <v>97237.5</v>
      </c>
      <c r="L85" s="49">
        <f t="shared" si="40"/>
        <v>110202.5</v>
      </c>
      <c r="M85" s="49">
        <f t="shared" si="40"/>
        <v>116685</v>
      </c>
      <c r="N85" s="49">
        <f t="shared" si="40"/>
        <v>116685</v>
      </c>
      <c r="O85" s="49">
        <f t="shared" si="40"/>
        <v>116685</v>
      </c>
      <c r="P85" s="49">
        <f t="shared" si="40"/>
        <v>116685</v>
      </c>
      <c r="Q85" s="49">
        <f t="shared" si="40"/>
        <v>123167.5</v>
      </c>
      <c r="R85" s="49">
        <f t="shared" si="40"/>
        <v>129650</v>
      </c>
      <c r="S85" s="49">
        <f t="shared" si="40"/>
        <v>129650</v>
      </c>
      <c r="T85" s="49">
        <f t="shared" si="40"/>
        <v>142615</v>
      </c>
    </row>
    <row r="86" spans="1:20" x14ac:dyDescent="0.25">
      <c r="A86" s="326"/>
      <c r="B86" s="80" t="s">
        <v>37</v>
      </c>
      <c r="C86" s="1" t="s">
        <v>58</v>
      </c>
      <c r="D86" s="49">
        <f t="shared" ref="D86:T86" si="41">D32*$C$176</f>
        <v>13043.59</v>
      </c>
      <c r="E86" s="49">
        <f t="shared" si="41"/>
        <v>9278.43</v>
      </c>
      <c r="F86" s="49">
        <f t="shared" si="41"/>
        <v>7421.0533086899995</v>
      </c>
      <c r="G86" s="49">
        <f t="shared" si="41"/>
        <v>6943.2012545699999</v>
      </c>
      <c r="H86" s="49">
        <f t="shared" si="41"/>
        <v>3361.75</v>
      </c>
      <c r="I86" s="49">
        <f t="shared" si="41"/>
        <v>0</v>
      </c>
      <c r="J86" s="49">
        <f t="shared" si="41"/>
        <v>0</v>
      </c>
      <c r="K86" s="49">
        <f t="shared" si="41"/>
        <v>0</v>
      </c>
      <c r="L86" s="49">
        <f t="shared" si="41"/>
        <v>0</v>
      </c>
      <c r="M86" s="49">
        <f t="shared" si="41"/>
        <v>0</v>
      </c>
      <c r="N86" s="49">
        <f t="shared" si="41"/>
        <v>0</v>
      </c>
      <c r="O86" s="49">
        <f t="shared" si="41"/>
        <v>0</v>
      </c>
      <c r="P86" s="49">
        <f t="shared" si="41"/>
        <v>0</v>
      </c>
      <c r="Q86" s="49">
        <f t="shared" si="41"/>
        <v>0</v>
      </c>
      <c r="R86" s="49">
        <f t="shared" si="41"/>
        <v>0</v>
      </c>
      <c r="S86" s="49">
        <f t="shared" si="41"/>
        <v>0</v>
      </c>
      <c r="T86" s="49">
        <f t="shared" si="41"/>
        <v>0</v>
      </c>
    </row>
    <row r="87" spans="1:20" x14ac:dyDescent="0.25">
      <c r="A87" s="326"/>
      <c r="B87" s="81" t="s">
        <v>35</v>
      </c>
      <c r="C87" s="1" t="s">
        <v>58</v>
      </c>
      <c r="D87" s="49">
        <f t="shared" ref="D87:T87" si="42">D33*$C$177</f>
        <v>3899.63</v>
      </c>
      <c r="E87" s="49">
        <f t="shared" si="42"/>
        <v>9143.9599999999991</v>
      </c>
      <c r="F87" s="49">
        <f t="shared" si="42"/>
        <v>12163.061748669999</v>
      </c>
      <c r="G87" s="49">
        <f t="shared" si="42"/>
        <v>14350.413566159999</v>
      </c>
      <c r="H87" s="49">
        <f t="shared" si="42"/>
        <v>18422.39</v>
      </c>
      <c r="I87" s="49">
        <f t="shared" si="42"/>
        <v>23273</v>
      </c>
      <c r="J87" s="49">
        <f t="shared" si="42"/>
        <v>25897</v>
      </c>
      <c r="K87" s="49">
        <f t="shared" si="42"/>
        <v>28599</v>
      </c>
      <c r="L87" s="49">
        <f t="shared" si="42"/>
        <v>31494</v>
      </c>
      <c r="M87" s="49">
        <f t="shared" si="42"/>
        <v>34291</v>
      </c>
      <c r="N87" s="49">
        <f t="shared" si="42"/>
        <v>38174</v>
      </c>
      <c r="O87" s="49">
        <f t="shared" si="42"/>
        <v>38736</v>
      </c>
      <c r="P87" s="49">
        <f t="shared" si="42"/>
        <v>39660</v>
      </c>
      <c r="Q87" s="49">
        <f t="shared" si="42"/>
        <v>40554</v>
      </c>
      <c r="R87" s="49">
        <f t="shared" si="42"/>
        <v>41335.999999999993</v>
      </c>
      <c r="S87" s="49">
        <f t="shared" si="42"/>
        <v>42097</v>
      </c>
      <c r="T87" s="49">
        <f t="shared" si="42"/>
        <v>42921</v>
      </c>
    </row>
    <row r="88" spans="1:20" x14ac:dyDescent="0.25">
      <c r="A88" s="326"/>
      <c r="B88" s="81" t="s">
        <v>106</v>
      </c>
      <c r="C88" s="1" t="s">
        <v>58</v>
      </c>
      <c r="D88" s="49">
        <f t="shared" ref="D88:T88" si="43">D34*$C$179</f>
        <v>0</v>
      </c>
      <c r="E88" s="49">
        <f t="shared" si="43"/>
        <v>0</v>
      </c>
      <c r="F88" s="49">
        <f t="shared" si="43"/>
        <v>0</v>
      </c>
      <c r="G88" s="49">
        <f t="shared" si="43"/>
        <v>0</v>
      </c>
      <c r="H88" s="49">
        <f t="shared" si="43"/>
        <v>5.7234630739286354</v>
      </c>
      <c r="I88" s="49">
        <f t="shared" si="43"/>
        <v>10.652928121525175</v>
      </c>
      <c r="J88" s="49">
        <f t="shared" si="43"/>
        <v>16.276896567875241</v>
      </c>
      <c r="K88" s="49">
        <f t="shared" si="43"/>
        <v>24.420568063299566</v>
      </c>
      <c r="L88" s="49">
        <f t="shared" si="43"/>
        <v>37.32459875518915</v>
      </c>
      <c r="M88" s="49">
        <f t="shared" si="43"/>
        <v>50.873755630234925</v>
      </c>
      <c r="N88" s="49">
        <f t="shared" si="43"/>
        <v>76.434906319096569</v>
      </c>
      <c r="O88" s="49">
        <f t="shared" si="43"/>
        <v>108.31109994067391</v>
      </c>
      <c r="P88" s="49">
        <f t="shared" si="43"/>
        <v>150.70441338848033</v>
      </c>
      <c r="Q88" s="49">
        <f t="shared" si="43"/>
        <v>205.65468608853371</v>
      </c>
      <c r="R88" s="49">
        <f t="shared" si="43"/>
        <v>272.91898743491959</v>
      </c>
      <c r="S88" s="49">
        <f t="shared" si="43"/>
        <v>360.26080208115457</v>
      </c>
      <c r="T88" s="49">
        <f t="shared" si="43"/>
        <v>474.09743216818134</v>
      </c>
    </row>
    <row r="89" spans="1:20" x14ac:dyDescent="0.25">
      <c r="A89" s="326"/>
      <c r="B89" s="81" t="s">
        <v>90</v>
      </c>
      <c r="C89" s="1" t="s">
        <v>58</v>
      </c>
      <c r="D89" s="251">
        <v>0</v>
      </c>
      <c r="E89" s="251">
        <v>0</v>
      </c>
      <c r="F89" s="251">
        <v>0</v>
      </c>
      <c r="G89" s="251">
        <v>6.8439616046135487</v>
      </c>
      <c r="H89" s="251">
        <v>37.450648629786762</v>
      </c>
      <c r="I89" s="49">
        <f t="shared" ref="I89:T89" si="44">I35*$C$171*1000/1000000</f>
        <v>79.17680735477839</v>
      </c>
      <c r="J89" s="49">
        <f t="shared" si="44"/>
        <v>139.76783683262596</v>
      </c>
      <c r="K89" s="49">
        <f t="shared" si="44"/>
        <v>209.33953335541773</v>
      </c>
      <c r="L89" s="49">
        <f t="shared" si="44"/>
        <v>350.30666417877399</v>
      </c>
      <c r="M89" s="49">
        <f t="shared" si="44"/>
        <v>525.91928789564838</v>
      </c>
      <c r="N89" s="49">
        <f t="shared" si="44"/>
        <v>858.60768470723667</v>
      </c>
      <c r="O89" s="49">
        <f t="shared" si="44"/>
        <v>1261.8919987020427</v>
      </c>
      <c r="P89" s="49">
        <f t="shared" si="44"/>
        <v>1739.4727726914043</v>
      </c>
      <c r="Q89" s="49">
        <f t="shared" si="44"/>
        <v>2244.5572441514273</v>
      </c>
      <c r="R89" s="49">
        <f t="shared" si="44"/>
        <v>2722.0184630413464</v>
      </c>
      <c r="S89" s="49">
        <f t="shared" si="44"/>
        <v>3200.4320928599441</v>
      </c>
      <c r="T89" s="49">
        <f t="shared" si="44"/>
        <v>3688.0608001886189</v>
      </c>
    </row>
    <row r="90" spans="1:20" x14ac:dyDescent="0.25">
      <c r="A90" s="326"/>
      <c r="B90" s="74" t="s">
        <v>119</v>
      </c>
      <c r="C90" s="1" t="s">
        <v>58</v>
      </c>
      <c r="D90" s="34">
        <f t="shared" ref="D90:T90" si="45">D36*$C$178*1000/10^6</f>
        <v>0</v>
      </c>
      <c r="E90" s="91">
        <f t="shared" si="45"/>
        <v>4320.0010128537469</v>
      </c>
      <c r="F90" s="49">
        <f t="shared" si="45"/>
        <v>4430.8990789945565</v>
      </c>
      <c r="G90" s="49">
        <f t="shared" si="45"/>
        <v>5083.8468416826181</v>
      </c>
      <c r="H90" s="49">
        <f t="shared" si="45"/>
        <v>5083.2011917912414</v>
      </c>
      <c r="I90" s="49">
        <f t="shared" si="45"/>
        <v>5083.2011917912414</v>
      </c>
      <c r="J90" s="49">
        <f t="shared" si="45"/>
        <v>5083.2011917912414</v>
      </c>
      <c r="K90" s="49">
        <f t="shared" si="45"/>
        <v>5083.2011917912414</v>
      </c>
      <c r="L90" s="49">
        <f t="shared" si="45"/>
        <v>5083.2011917912414</v>
      </c>
      <c r="M90" s="49">
        <f t="shared" si="45"/>
        <v>5083.2011917912414</v>
      </c>
      <c r="N90" s="49">
        <f t="shared" si="45"/>
        <v>5083.2011917912414</v>
      </c>
      <c r="O90" s="49">
        <f t="shared" si="45"/>
        <v>5083.2011917912414</v>
      </c>
      <c r="P90" s="49">
        <f t="shared" si="45"/>
        <v>5083.2011917912414</v>
      </c>
      <c r="Q90" s="49">
        <f t="shared" si="45"/>
        <v>5083.2011917912414</v>
      </c>
      <c r="R90" s="49">
        <f t="shared" si="45"/>
        <v>5083.2011917912414</v>
      </c>
      <c r="S90" s="49">
        <f t="shared" si="45"/>
        <v>5083.2011917912414</v>
      </c>
      <c r="T90" s="49">
        <f t="shared" si="45"/>
        <v>5083.2011917912414</v>
      </c>
    </row>
    <row r="91" spans="1:20" ht="18" customHeight="1" x14ac:dyDescent="0.25">
      <c r="A91" s="326"/>
      <c r="B91" s="82" t="s">
        <v>4</v>
      </c>
      <c r="C91" s="1" t="s">
        <v>58</v>
      </c>
      <c r="D91" s="49">
        <f t="shared" ref="D91:T91" si="46">D38*$C$179</f>
        <v>463114.68</v>
      </c>
      <c r="E91" s="49">
        <f t="shared" si="46"/>
        <v>467283.25</v>
      </c>
      <c r="F91" s="49">
        <f t="shared" si="46"/>
        <v>454775.19914623996</v>
      </c>
      <c r="G91" s="49">
        <f t="shared" si="46"/>
        <v>449087.91743591998</v>
      </c>
      <c r="H91" s="49">
        <f t="shared" si="46"/>
        <v>411001.39990693267</v>
      </c>
      <c r="I91" s="49">
        <f t="shared" si="46"/>
        <v>385576.69465461111</v>
      </c>
      <c r="J91" s="49">
        <f t="shared" si="46"/>
        <v>361410.84281125257</v>
      </c>
      <c r="K91" s="49">
        <f t="shared" si="46"/>
        <v>341607.94689698418</v>
      </c>
      <c r="L91" s="49">
        <f t="shared" si="46"/>
        <v>321674.32971530192</v>
      </c>
      <c r="M91" s="49">
        <f t="shared" si="46"/>
        <v>319182.08197428979</v>
      </c>
      <c r="N91" s="49">
        <f t="shared" si="46"/>
        <v>312734.41447673709</v>
      </c>
      <c r="O91" s="49">
        <f t="shared" si="46"/>
        <v>308568.7455107274</v>
      </c>
      <c r="P91" s="49">
        <f t="shared" si="46"/>
        <v>303908.8746535728</v>
      </c>
      <c r="Q91" s="49">
        <f t="shared" si="46"/>
        <v>293678.27511352632</v>
      </c>
      <c r="R91" s="49">
        <f t="shared" si="46"/>
        <v>284239.34629066038</v>
      </c>
      <c r="S91" s="49">
        <f t="shared" si="46"/>
        <v>282573.81103630643</v>
      </c>
      <c r="T91" s="49">
        <f t="shared" si="46"/>
        <v>268437.94038228597</v>
      </c>
    </row>
    <row r="92" spans="1:20" ht="18" customHeight="1" x14ac:dyDescent="0.25">
      <c r="A92" s="326"/>
      <c r="B92" s="82"/>
      <c r="C92" s="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6"/>
      <c r="Q92" s="26"/>
      <c r="R92" s="26"/>
      <c r="S92" s="2"/>
      <c r="T92" s="2"/>
    </row>
    <row r="93" spans="1:20" ht="18" customHeight="1" x14ac:dyDescent="0.25">
      <c r="A93" s="326"/>
      <c r="B93" s="74" t="s">
        <v>72</v>
      </c>
      <c r="C93" s="14" t="s">
        <v>15</v>
      </c>
      <c r="D93" s="3">
        <v>2014</v>
      </c>
      <c r="E93" s="3">
        <v>2015</v>
      </c>
      <c r="F93" s="3">
        <v>2016</v>
      </c>
      <c r="G93" s="3">
        <v>2017</v>
      </c>
      <c r="H93" s="3">
        <v>2018</v>
      </c>
      <c r="I93" s="3">
        <v>2019</v>
      </c>
      <c r="J93" s="3">
        <v>2020</v>
      </c>
      <c r="K93" s="3">
        <v>2021</v>
      </c>
      <c r="L93" s="3">
        <v>2022</v>
      </c>
      <c r="M93" s="3">
        <v>2023</v>
      </c>
      <c r="N93" s="3">
        <v>2024</v>
      </c>
      <c r="O93" s="3">
        <v>2025</v>
      </c>
      <c r="P93" s="16">
        <v>2026</v>
      </c>
      <c r="Q93" s="16">
        <v>2027</v>
      </c>
      <c r="R93" s="16">
        <v>2028</v>
      </c>
      <c r="S93" s="16">
        <v>2029</v>
      </c>
      <c r="T93" s="16">
        <v>2030</v>
      </c>
    </row>
    <row r="94" spans="1:20" ht="18" customHeight="1" x14ac:dyDescent="0.25">
      <c r="A94" s="326"/>
      <c r="B94" s="79" t="s">
        <v>155</v>
      </c>
      <c r="C94" s="1" t="s">
        <v>58</v>
      </c>
      <c r="D94" s="34">
        <f t="shared" ref="D94:H95" si="47">D43*$C$180</f>
        <v>0</v>
      </c>
      <c r="E94" s="34">
        <f t="shared" si="47"/>
        <v>0</v>
      </c>
      <c r="F94" s="34">
        <f t="shared" si="47"/>
        <v>0</v>
      </c>
      <c r="G94" s="34">
        <f t="shared" si="47"/>
        <v>0</v>
      </c>
      <c r="H94" s="34">
        <f t="shared" si="47"/>
        <v>0</v>
      </c>
      <c r="I94" s="49">
        <f t="shared" ref="I94:T94" si="48">I43*$C$179</f>
        <v>2501.4427623557203</v>
      </c>
      <c r="J94" s="49">
        <f t="shared" si="48"/>
        <v>2956.2505373294875</v>
      </c>
      <c r="K94" s="49">
        <f t="shared" si="48"/>
        <v>3411.0583123032552</v>
      </c>
      <c r="L94" s="49">
        <f t="shared" si="48"/>
        <v>3740.9553999999998</v>
      </c>
      <c r="M94" s="49">
        <f t="shared" si="48"/>
        <v>3740.9553999999998</v>
      </c>
      <c r="N94" s="49">
        <f t="shared" si="48"/>
        <v>3740.9553999999998</v>
      </c>
      <c r="O94" s="49">
        <f t="shared" si="48"/>
        <v>3740.9553999999998</v>
      </c>
      <c r="P94" s="49">
        <f t="shared" si="48"/>
        <v>3740.9553999999998</v>
      </c>
      <c r="Q94" s="49">
        <f t="shared" si="48"/>
        <v>3740.9553999999998</v>
      </c>
      <c r="R94" s="49">
        <f t="shared" si="48"/>
        <v>3740.9553999999998</v>
      </c>
      <c r="S94" s="49">
        <f t="shared" si="48"/>
        <v>3740.9553999999998</v>
      </c>
      <c r="T94" s="49">
        <f t="shared" si="48"/>
        <v>3740.9553999999998</v>
      </c>
    </row>
    <row r="95" spans="1:20" ht="18" customHeight="1" x14ac:dyDescent="0.25">
      <c r="A95" s="326"/>
      <c r="B95" s="79" t="s">
        <v>156</v>
      </c>
      <c r="C95" s="1" t="s">
        <v>58</v>
      </c>
      <c r="D95" s="34">
        <f t="shared" si="47"/>
        <v>0</v>
      </c>
      <c r="E95" s="34">
        <f t="shared" si="47"/>
        <v>0</v>
      </c>
      <c r="F95" s="34">
        <f t="shared" si="47"/>
        <v>0</v>
      </c>
      <c r="G95" s="34">
        <f t="shared" si="47"/>
        <v>0</v>
      </c>
      <c r="H95" s="34">
        <f t="shared" si="47"/>
        <v>3607.9758000000002</v>
      </c>
      <c r="I95" s="49">
        <f t="shared" ref="I95:T95" si="49">I44*$C$179</f>
        <v>1239.5126376442797</v>
      </c>
      <c r="J95" s="49">
        <f t="shared" si="49"/>
        <v>784.70486267051228</v>
      </c>
      <c r="K95" s="49">
        <f t="shared" si="49"/>
        <v>329.89708769674485</v>
      </c>
      <c r="L95" s="49">
        <f t="shared" si="49"/>
        <v>0</v>
      </c>
      <c r="M95" s="49">
        <f t="shared" si="49"/>
        <v>0</v>
      </c>
      <c r="N95" s="49">
        <f t="shared" si="49"/>
        <v>0</v>
      </c>
      <c r="O95" s="49">
        <f t="shared" si="49"/>
        <v>0</v>
      </c>
      <c r="P95" s="49">
        <f t="shared" si="49"/>
        <v>0</v>
      </c>
      <c r="Q95" s="49">
        <f t="shared" si="49"/>
        <v>0</v>
      </c>
      <c r="R95" s="49">
        <f t="shared" si="49"/>
        <v>0</v>
      </c>
      <c r="S95" s="49">
        <f t="shared" si="49"/>
        <v>0</v>
      </c>
      <c r="T95" s="49">
        <f t="shared" si="49"/>
        <v>0</v>
      </c>
    </row>
    <row r="96" spans="1:20" ht="18" customHeight="1" thickBot="1" x14ac:dyDescent="0.3">
      <c r="A96" s="330"/>
      <c r="B96" s="82" t="s">
        <v>68</v>
      </c>
      <c r="C96" s="1" t="s">
        <v>58</v>
      </c>
      <c r="D96" s="34">
        <f t="shared" ref="D96:T96" si="50">D46*$C$180</f>
        <v>0</v>
      </c>
      <c r="E96" s="34">
        <f t="shared" si="50"/>
        <v>0</v>
      </c>
      <c r="F96" s="34">
        <f t="shared" si="50"/>
        <v>0</v>
      </c>
      <c r="G96" s="34">
        <f t="shared" si="50"/>
        <v>0</v>
      </c>
      <c r="H96" s="34">
        <f t="shared" si="50"/>
        <v>0</v>
      </c>
      <c r="I96" s="49">
        <f t="shared" si="50"/>
        <v>2593.8000000000002</v>
      </c>
      <c r="J96" s="49">
        <f t="shared" si="50"/>
        <v>5187.6000000000004</v>
      </c>
      <c r="K96" s="49">
        <f t="shared" si="50"/>
        <v>10375.200000000001</v>
      </c>
      <c r="L96" s="49">
        <f t="shared" si="50"/>
        <v>19453.5</v>
      </c>
      <c r="M96" s="49">
        <f t="shared" si="50"/>
        <v>22695.75</v>
      </c>
      <c r="N96" s="49">
        <f t="shared" si="50"/>
        <v>22695.75</v>
      </c>
      <c r="O96" s="49">
        <f t="shared" si="50"/>
        <v>22695.75</v>
      </c>
      <c r="P96" s="49">
        <f t="shared" si="50"/>
        <v>22695.75</v>
      </c>
      <c r="Q96" s="49">
        <f t="shared" si="50"/>
        <v>22695.75</v>
      </c>
      <c r="R96" s="49">
        <f t="shared" si="50"/>
        <v>25938</v>
      </c>
      <c r="S96" s="49">
        <f t="shared" si="50"/>
        <v>25938</v>
      </c>
      <c r="T96" s="49">
        <f t="shared" si="50"/>
        <v>29180.25</v>
      </c>
    </row>
    <row r="98" spans="1:21" ht="21.75" thickBot="1" x14ac:dyDescent="0.4">
      <c r="B98" s="2"/>
      <c r="C98" s="24"/>
      <c r="D98" s="342" t="s">
        <v>47</v>
      </c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4"/>
    </row>
    <row r="99" spans="1:21" ht="15" customHeight="1" x14ac:dyDescent="0.25">
      <c r="A99" s="325" t="s">
        <v>47</v>
      </c>
      <c r="B99" s="74" t="s">
        <v>72</v>
      </c>
      <c r="C99" s="14" t="s">
        <v>15</v>
      </c>
      <c r="D99" s="3">
        <v>2014</v>
      </c>
      <c r="E99" s="3">
        <v>2015</v>
      </c>
      <c r="F99" s="3">
        <v>2016</v>
      </c>
      <c r="G99" s="3">
        <v>2017</v>
      </c>
      <c r="H99" s="3">
        <v>2018</v>
      </c>
      <c r="I99" s="3">
        <v>2019</v>
      </c>
      <c r="J99" s="3">
        <v>2020</v>
      </c>
      <c r="K99" s="3">
        <v>2021</v>
      </c>
      <c r="L99" s="3">
        <v>2022</v>
      </c>
      <c r="M99" s="3">
        <v>2023</v>
      </c>
      <c r="N99" s="3">
        <v>2024</v>
      </c>
      <c r="O99" s="3">
        <v>2025</v>
      </c>
      <c r="P99" s="16">
        <v>2026</v>
      </c>
      <c r="Q99" s="16">
        <v>2027</v>
      </c>
      <c r="R99" s="16">
        <v>2028</v>
      </c>
      <c r="S99" s="16">
        <v>2029</v>
      </c>
      <c r="T99" s="16">
        <v>2030</v>
      </c>
    </row>
    <row r="100" spans="1:21" ht="15" customHeight="1" x14ac:dyDescent="0.25">
      <c r="A100" s="326"/>
      <c r="B100" s="75" t="s">
        <v>125</v>
      </c>
      <c r="C100" s="1" t="s">
        <v>45</v>
      </c>
      <c r="D100" s="43">
        <v>1.9</v>
      </c>
      <c r="E100" s="43">
        <v>1.9</v>
      </c>
      <c r="F100" s="87">
        <v>3.1979850000000001</v>
      </c>
      <c r="G100" s="255">
        <v>2.9321169999999999</v>
      </c>
      <c r="H100" s="56">
        <f t="shared" ref="H100:T100" si="51">(H6-H51)*H75/10^6</f>
        <v>2.6333445128244968</v>
      </c>
      <c r="I100" s="56">
        <f t="shared" si="51"/>
        <v>2.4252139272926319</v>
      </c>
      <c r="J100" s="56">
        <f t="shared" si="51"/>
        <v>2.2140008022288664</v>
      </c>
      <c r="K100" s="56">
        <f t="shared" si="51"/>
        <v>2.4675704253973803</v>
      </c>
      <c r="L100" s="56">
        <f t="shared" si="51"/>
        <v>2.6910787233527262</v>
      </c>
      <c r="M100" s="56">
        <f t="shared" si="51"/>
        <v>2.9015452819097933</v>
      </c>
      <c r="N100" s="56">
        <f t="shared" si="51"/>
        <v>2.9800323072058199</v>
      </c>
      <c r="O100" s="56">
        <f t="shared" si="51"/>
        <v>3.0220433209604036</v>
      </c>
      <c r="P100" s="56">
        <f t="shared" si="51"/>
        <v>3.0411375966654899</v>
      </c>
      <c r="Q100" s="56">
        <f t="shared" si="51"/>
        <v>3.0418329518354144</v>
      </c>
      <c r="R100" s="56">
        <f t="shared" si="51"/>
        <v>3.1254315408915105</v>
      </c>
      <c r="S100" s="56">
        <f t="shared" si="51"/>
        <v>2.9967213634976289</v>
      </c>
      <c r="T100" s="56">
        <f t="shared" si="51"/>
        <v>2.8096659727545483</v>
      </c>
    </row>
    <row r="101" spans="1:21" ht="15" customHeight="1" x14ac:dyDescent="0.25">
      <c r="A101" s="326"/>
      <c r="B101" s="74" t="s">
        <v>124</v>
      </c>
      <c r="C101" s="1" t="s">
        <v>45</v>
      </c>
      <c r="D101" s="94">
        <v>0.04</v>
      </c>
      <c r="E101" s="94">
        <v>0.13</v>
      </c>
      <c r="F101" s="94">
        <v>0.119611</v>
      </c>
      <c r="G101" s="255">
        <v>0.266872</v>
      </c>
      <c r="H101" s="56">
        <f t="shared" ref="H101:T101" si="52">(H6-H52)*H76/10^6</f>
        <v>0.46909005000000004</v>
      </c>
      <c r="I101" s="56">
        <f t="shared" si="52"/>
        <v>0.72411446249999989</v>
      </c>
      <c r="J101" s="56">
        <f t="shared" si="52"/>
        <v>0.72114342300000001</v>
      </c>
      <c r="K101" s="56">
        <f t="shared" si="52"/>
        <v>0.48693258899999997</v>
      </c>
      <c r="L101" s="56">
        <f t="shared" si="52"/>
        <v>0.24655144800000001</v>
      </c>
      <c r="M101" s="56">
        <f t="shared" si="52"/>
        <v>0</v>
      </c>
      <c r="N101" s="56">
        <f t="shared" si="52"/>
        <v>0</v>
      </c>
      <c r="O101" s="56">
        <f t="shared" si="52"/>
        <v>0</v>
      </c>
      <c r="P101" s="56">
        <f t="shared" si="52"/>
        <v>0</v>
      </c>
      <c r="Q101" s="56">
        <f t="shared" si="52"/>
        <v>0</v>
      </c>
      <c r="R101" s="56">
        <f t="shared" si="52"/>
        <v>0</v>
      </c>
      <c r="S101" s="56">
        <f t="shared" si="52"/>
        <v>0</v>
      </c>
      <c r="T101" s="56">
        <f t="shared" si="52"/>
        <v>0</v>
      </c>
    </row>
    <row r="102" spans="1:21" ht="15" customHeight="1" x14ac:dyDescent="0.25">
      <c r="A102" s="326"/>
      <c r="B102" s="78" t="s">
        <v>17</v>
      </c>
      <c r="C102" s="1" t="s">
        <v>45</v>
      </c>
      <c r="D102" s="42">
        <v>0</v>
      </c>
      <c r="E102" s="42">
        <v>0</v>
      </c>
      <c r="F102" s="92">
        <v>0</v>
      </c>
      <c r="G102" s="258">
        <v>5.1330000000000004E-3</v>
      </c>
      <c r="H102" s="47">
        <f t="shared" ref="H102:T102" si="53">(H6-H53)*H77/10^6</f>
        <v>1.0446114307711411E-2</v>
      </c>
      <c r="I102" s="47">
        <f t="shared" si="53"/>
        <v>2.0785384015894699E-2</v>
      </c>
      <c r="J102" s="47">
        <f t="shared" si="53"/>
        <v>3.7823704646442316E-2</v>
      </c>
      <c r="K102" s="47">
        <f t="shared" si="53"/>
        <v>6.0305736425990311E-2</v>
      </c>
      <c r="L102" s="47">
        <f t="shared" si="53"/>
        <v>8.7965800911759595E-2</v>
      </c>
      <c r="M102" s="47">
        <f t="shared" si="53"/>
        <v>0.12352209683393084</v>
      </c>
      <c r="N102" s="47">
        <f t="shared" si="53"/>
        <v>0.17390918335551966</v>
      </c>
      <c r="O102" s="47">
        <f t="shared" si="53"/>
        <v>0.24008130677371167</v>
      </c>
      <c r="P102" s="47">
        <f t="shared" si="53"/>
        <v>0.30506860570381228</v>
      </c>
      <c r="Q102" s="47">
        <f t="shared" si="53"/>
        <v>0.42616443870000004</v>
      </c>
      <c r="R102" s="47">
        <f t="shared" si="53"/>
        <v>0.59754654959999998</v>
      </c>
      <c r="S102" s="47">
        <f t="shared" si="53"/>
        <v>0.68855164950000003</v>
      </c>
      <c r="T102" s="47">
        <f t="shared" si="53"/>
        <v>0.76978044000000001</v>
      </c>
    </row>
    <row r="103" spans="1:21" ht="15" customHeight="1" x14ac:dyDescent="0.25">
      <c r="A103" s="326"/>
      <c r="B103" s="83" t="s">
        <v>16</v>
      </c>
      <c r="C103" s="1" t="s">
        <v>45</v>
      </c>
      <c r="D103" s="42">
        <v>0</v>
      </c>
      <c r="E103" s="42">
        <v>0</v>
      </c>
      <c r="F103" s="92">
        <v>0</v>
      </c>
      <c r="G103" s="258">
        <v>0</v>
      </c>
      <c r="H103" s="47">
        <f t="shared" ref="H103:T103" si="54">(H6-H54)*H78/10^6</f>
        <v>0</v>
      </c>
      <c r="I103" s="47">
        <f t="shared" si="54"/>
        <v>0</v>
      </c>
      <c r="J103" s="47">
        <f t="shared" si="54"/>
        <v>0</v>
      </c>
      <c r="K103" s="47">
        <f t="shared" si="54"/>
        <v>0</v>
      </c>
      <c r="L103" s="47">
        <f t="shared" si="54"/>
        <v>0</v>
      </c>
      <c r="M103" s="47">
        <f t="shared" si="54"/>
        <v>0</v>
      </c>
      <c r="N103" s="47">
        <f t="shared" si="54"/>
        <v>0</v>
      </c>
      <c r="O103" s="47">
        <f t="shared" si="54"/>
        <v>0</v>
      </c>
      <c r="P103" s="47">
        <f t="shared" si="54"/>
        <v>0</v>
      </c>
      <c r="Q103" s="47">
        <f t="shared" si="54"/>
        <v>0</v>
      </c>
      <c r="R103" s="47">
        <f t="shared" si="54"/>
        <v>0</v>
      </c>
      <c r="S103" s="47">
        <f t="shared" si="54"/>
        <v>0</v>
      </c>
      <c r="T103" s="47">
        <f t="shared" si="54"/>
        <v>0</v>
      </c>
    </row>
    <row r="104" spans="1:21" ht="15" customHeight="1" x14ac:dyDescent="0.25">
      <c r="A104" s="326"/>
      <c r="B104" s="79" t="s">
        <v>107</v>
      </c>
      <c r="C104" s="1" t="s">
        <v>45</v>
      </c>
      <c r="D104" s="42">
        <v>0</v>
      </c>
      <c r="E104" s="42">
        <v>0</v>
      </c>
      <c r="F104" s="92">
        <v>0</v>
      </c>
      <c r="G104" s="258">
        <v>3.4359999999999998E-3</v>
      </c>
      <c r="H104" s="47">
        <f t="shared" ref="H104:T104" si="55">(H6-H55)*H79*$C$151/10^6</f>
        <v>1.15523415E-2</v>
      </c>
      <c r="I104" s="47">
        <f t="shared" si="55"/>
        <v>2.1358127999999997E-2</v>
      </c>
      <c r="J104" s="47">
        <f t="shared" si="55"/>
        <v>3.7143218280000008E-2</v>
      </c>
      <c r="K104" s="47">
        <f t="shared" si="55"/>
        <v>5.8739018129999994E-2</v>
      </c>
      <c r="L104" s="47">
        <f t="shared" si="55"/>
        <v>9.0873171119999985E-2</v>
      </c>
      <c r="M104" s="47">
        <f t="shared" si="55"/>
        <v>0.13351122570000001</v>
      </c>
      <c r="N104" s="47">
        <f t="shared" si="55"/>
        <v>0.18164240909999993</v>
      </c>
      <c r="O104" s="47">
        <f t="shared" si="55"/>
        <v>0.23476411485000001</v>
      </c>
      <c r="P104" s="47">
        <f t="shared" si="55"/>
        <v>0.28856227020000003</v>
      </c>
      <c r="Q104" s="47">
        <f t="shared" si="55"/>
        <v>0.33900059655000003</v>
      </c>
      <c r="R104" s="47">
        <f t="shared" si="55"/>
        <v>0.38607909389999989</v>
      </c>
      <c r="S104" s="47">
        <f t="shared" si="55"/>
        <v>0.42979776224999994</v>
      </c>
      <c r="T104" s="47">
        <f t="shared" si="55"/>
        <v>0.47015660160000006</v>
      </c>
    </row>
    <row r="105" spans="1:21" ht="15" customHeight="1" x14ac:dyDescent="0.25">
      <c r="A105" s="326"/>
      <c r="B105" s="79" t="s">
        <v>0</v>
      </c>
      <c r="C105" s="1" t="s">
        <v>45</v>
      </c>
      <c r="D105" s="42">
        <v>0.22</v>
      </c>
      <c r="E105" s="42">
        <v>0.34</v>
      </c>
      <c r="F105" s="92">
        <v>0.56615899999999997</v>
      </c>
      <c r="G105" s="258">
        <v>0.80255900000000002</v>
      </c>
      <c r="H105" s="47">
        <f t="shared" ref="H105:T105" si="56">(H6-H56)*H80*$C$150/10^6</f>
        <v>0.91489556634073088</v>
      </c>
      <c r="I105" s="47">
        <f t="shared" si="56"/>
        <v>1.1284975362181799</v>
      </c>
      <c r="J105" s="47">
        <f t="shared" si="56"/>
        <v>1.376877902500421</v>
      </c>
      <c r="K105" s="47">
        <f t="shared" si="56"/>
        <v>1.6948559622430082</v>
      </c>
      <c r="L105" s="47">
        <f t="shared" si="56"/>
        <v>2.0669324103369875</v>
      </c>
      <c r="M105" s="47">
        <f t="shared" si="56"/>
        <v>2.3413500510380496</v>
      </c>
      <c r="N105" s="47">
        <f t="shared" si="56"/>
        <v>2.634447873667134</v>
      </c>
      <c r="O105" s="47">
        <f t="shared" si="56"/>
        <v>2.9434070392161997</v>
      </c>
      <c r="P105" s="47">
        <f t="shared" si="56"/>
        <v>3.2538045952737211</v>
      </c>
      <c r="Q105" s="47">
        <f t="shared" si="56"/>
        <v>3.5522369738753543</v>
      </c>
      <c r="R105" s="47">
        <f t="shared" si="56"/>
        <v>3.8387041750210997</v>
      </c>
      <c r="S105" s="47">
        <f t="shared" si="56"/>
        <v>4.1132061987109578</v>
      </c>
      <c r="T105" s="47">
        <f t="shared" si="56"/>
        <v>4.3757430449449277</v>
      </c>
    </row>
    <row r="106" spans="1:21" ht="15" customHeight="1" x14ac:dyDescent="0.25">
      <c r="A106" s="326"/>
      <c r="B106" s="79" t="s">
        <v>27</v>
      </c>
      <c r="C106" s="1" t="s">
        <v>45</v>
      </c>
      <c r="D106" s="56">
        <f t="shared" ref="D106:T106" si="57">SUM(D100:D105)</f>
        <v>2.16</v>
      </c>
      <c r="E106" s="56">
        <f t="shared" si="57"/>
        <v>2.3699999999999997</v>
      </c>
      <c r="F106" s="56">
        <f t="shared" si="57"/>
        <v>3.8837549999999998</v>
      </c>
      <c r="G106" s="56">
        <f t="shared" si="57"/>
        <v>4.0101170000000002</v>
      </c>
      <c r="H106" s="56">
        <f t="shared" si="57"/>
        <v>4.0393285849729388</v>
      </c>
      <c r="I106" s="56">
        <f t="shared" si="57"/>
        <v>4.3199694380267069</v>
      </c>
      <c r="J106" s="56">
        <f t="shared" si="57"/>
        <v>4.3869890506557301</v>
      </c>
      <c r="K106" s="56">
        <f t="shared" si="57"/>
        <v>4.7684037311963783</v>
      </c>
      <c r="L106" s="56">
        <f t="shared" si="57"/>
        <v>5.1834015537214739</v>
      </c>
      <c r="M106" s="56">
        <f t="shared" si="57"/>
        <v>5.4999286554817743</v>
      </c>
      <c r="N106" s="56">
        <f t="shared" si="57"/>
        <v>5.9700317733284738</v>
      </c>
      <c r="O106" s="56">
        <f t="shared" si="57"/>
        <v>6.440295781800315</v>
      </c>
      <c r="P106" s="56">
        <f t="shared" si="57"/>
        <v>6.8885730678430228</v>
      </c>
      <c r="Q106" s="56">
        <f t="shared" si="57"/>
        <v>7.3592349609607686</v>
      </c>
      <c r="R106" s="56">
        <f t="shared" si="57"/>
        <v>7.9477613594126106</v>
      </c>
      <c r="S106" s="56">
        <f t="shared" si="57"/>
        <v>8.2282769739585859</v>
      </c>
      <c r="T106" s="56">
        <f t="shared" si="57"/>
        <v>8.4253460592994749</v>
      </c>
    </row>
    <row r="107" spans="1:21" ht="15" customHeight="1" x14ac:dyDescent="0.25">
      <c r="A107" s="326"/>
      <c r="B107" s="79" t="s">
        <v>29</v>
      </c>
      <c r="C107" s="1" t="s">
        <v>45</v>
      </c>
      <c r="D107" s="42">
        <v>-1.91</v>
      </c>
      <c r="E107" s="42">
        <v>-1.94</v>
      </c>
      <c r="F107" s="92">
        <v>-5.5097040000000002</v>
      </c>
      <c r="G107" s="258">
        <v>-8.0025340000000007</v>
      </c>
      <c r="H107" s="47">
        <f t="shared" ref="H107:T107" si="58">(H6-H67)*H81/10^6</f>
        <v>-10.127345640194479</v>
      </c>
      <c r="I107" s="47">
        <f t="shared" si="58"/>
        <v>-11.969960943567013</v>
      </c>
      <c r="J107" s="47">
        <f t="shared" si="58"/>
        <v>-13.499192542152883</v>
      </c>
      <c r="K107" s="47">
        <f t="shared" si="58"/>
        <v>-14.904981475980302</v>
      </c>
      <c r="L107" s="47">
        <f t="shared" si="58"/>
        <v>-16.117973400965237</v>
      </c>
      <c r="M107" s="47">
        <f t="shared" si="58"/>
        <v>-17.237006289891266</v>
      </c>
      <c r="N107" s="47">
        <f t="shared" si="58"/>
        <v>-18.278376443654359</v>
      </c>
      <c r="O107" s="47">
        <f t="shared" si="58"/>
        <v>-19.182071046111012</v>
      </c>
      <c r="P107" s="47">
        <f t="shared" si="58"/>
        <v>-19.972193573503777</v>
      </c>
      <c r="Q107" s="47">
        <f t="shared" si="58"/>
        <v>-20.846025648178959</v>
      </c>
      <c r="R107" s="47">
        <f t="shared" si="58"/>
        <v>-21.724508367143542</v>
      </c>
      <c r="S107" s="47">
        <f t="shared" si="58"/>
        <v>-22.612084758778359</v>
      </c>
      <c r="T107" s="47">
        <f t="shared" si="58"/>
        <v>-23.506054871884917</v>
      </c>
      <c r="U107" s="213"/>
    </row>
    <row r="108" spans="1:21" ht="15" customHeight="1" x14ac:dyDescent="0.25">
      <c r="A108" s="326"/>
      <c r="B108" s="84"/>
      <c r="C108" s="21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6"/>
      <c r="Q108" s="26"/>
      <c r="R108" s="2"/>
      <c r="S108" s="2"/>
      <c r="T108" s="2"/>
    </row>
    <row r="109" spans="1:21" ht="15" customHeight="1" x14ac:dyDescent="0.25">
      <c r="A109" s="326"/>
      <c r="B109" s="74" t="s">
        <v>72</v>
      </c>
      <c r="C109" s="14" t="s">
        <v>15</v>
      </c>
      <c r="D109" s="3">
        <v>2014</v>
      </c>
      <c r="E109" s="3">
        <v>2015</v>
      </c>
      <c r="F109" s="3">
        <v>2016</v>
      </c>
      <c r="G109" s="3">
        <v>2017</v>
      </c>
      <c r="H109" s="3">
        <v>2018</v>
      </c>
      <c r="I109" s="3">
        <v>2019</v>
      </c>
      <c r="J109" s="3">
        <v>2020</v>
      </c>
      <c r="K109" s="3">
        <v>2021</v>
      </c>
      <c r="L109" s="3">
        <v>2022</v>
      </c>
      <c r="M109" s="3">
        <v>2023</v>
      </c>
      <c r="N109" s="3">
        <v>2024</v>
      </c>
      <c r="O109" s="3">
        <v>2025</v>
      </c>
      <c r="P109" s="16">
        <v>2026</v>
      </c>
      <c r="Q109" s="16">
        <v>2027</v>
      </c>
      <c r="R109" s="16">
        <v>2028</v>
      </c>
      <c r="S109" s="16">
        <v>2029</v>
      </c>
      <c r="T109" s="16">
        <v>2030</v>
      </c>
    </row>
    <row r="110" spans="1:21" ht="15" customHeight="1" x14ac:dyDescent="0.25">
      <c r="A110" s="326"/>
      <c r="B110" s="79" t="s">
        <v>38</v>
      </c>
      <c r="C110" s="1" t="s">
        <v>45</v>
      </c>
      <c r="D110" s="42">
        <v>0.66</v>
      </c>
      <c r="E110" s="42">
        <v>1.1299999999999999</v>
      </c>
      <c r="F110" s="92">
        <v>1.7109890000000001</v>
      </c>
      <c r="G110" s="258">
        <v>1.3845289999999999</v>
      </c>
      <c r="H110" s="47">
        <f t="shared" ref="H110:T110" si="59">(H7-H57)*H84/10^6</f>
        <v>1.6147856642759102</v>
      </c>
      <c r="I110" s="47">
        <f t="shared" si="59"/>
        <v>2.0722848908698888</v>
      </c>
      <c r="J110" s="47">
        <f t="shared" si="59"/>
        <v>2.5820224500612992</v>
      </c>
      <c r="K110" s="47">
        <f t="shared" si="59"/>
        <v>3.068003846077223</v>
      </c>
      <c r="L110" s="47">
        <f t="shared" si="59"/>
        <v>3.5302290789176611</v>
      </c>
      <c r="M110" s="47">
        <f t="shared" si="59"/>
        <v>3.4510418683327058</v>
      </c>
      <c r="N110" s="47">
        <f t="shared" si="59"/>
        <v>3.3718546577477517</v>
      </c>
      <c r="O110" s="47">
        <f t="shared" si="59"/>
        <v>3.2926674471627972</v>
      </c>
      <c r="P110" s="47">
        <f t="shared" si="59"/>
        <v>3.2134802365778419</v>
      </c>
      <c r="Q110" s="47">
        <f t="shared" si="59"/>
        <v>3.1342930259928874</v>
      </c>
      <c r="R110" s="47">
        <f t="shared" si="59"/>
        <v>3.0551058154079334</v>
      </c>
      <c r="S110" s="47">
        <f t="shared" si="59"/>
        <v>2.9759186048229789</v>
      </c>
      <c r="T110" s="47">
        <f t="shared" si="59"/>
        <v>2.8967313942380244</v>
      </c>
    </row>
    <row r="111" spans="1:21" ht="15" customHeight="1" x14ac:dyDescent="0.25">
      <c r="A111" s="326"/>
      <c r="B111" s="79" t="s">
        <v>1</v>
      </c>
      <c r="C111" s="1" t="s">
        <v>45</v>
      </c>
      <c r="D111" s="42">
        <v>0.84</v>
      </c>
      <c r="E111" s="42">
        <v>1.03</v>
      </c>
      <c r="F111" s="92">
        <v>2.1639499999999998</v>
      </c>
      <c r="G111" s="258">
        <v>2.9590429999999999</v>
      </c>
      <c r="H111" s="47">
        <f t="shared" ref="H111:T111" si="60">(H7-H58)*H85/10^6</f>
        <v>3.9693326597412857</v>
      </c>
      <c r="I111" s="47">
        <f t="shared" si="60"/>
        <v>4.547057260690738</v>
      </c>
      <c r="J111" s="47">
        <f t="shared" si="60"/>
        <v>5.2679802866401912</v>
      </c>
      <c r="K111" s="47">
        <f t="shared" si="60"/>
        <v>5.9563449563396427</v>
      </c>
      <c r="L111" s="47">
        <f t="shared" si="60"/>
        <v>6.6121512697890958</v>
      </c>
      <c r="M111" s="47">
        <f t="shared" si="60"/>
        <v>6.8545887413575706</v>
      </c>
      <c r="N111" s="47">
        <f t="shared" si="60"/>
        <v>6.7080761382325713</v>
      </c>
      <c r="O111" s="47">
        <f t="shared" si="60"/>
        <v>6.5615635351075721</v>
      </c>
      <c r="P111" s="47">
        <f t="shared" si="60"/>
        <v>6.415050931982571</v>
      </c>
      <c r="Q111" s="47">
        <f t="shared" si="60"/>
        <v>6.6167904582385475</v>
      </c>
      <c r="R111" s="47">
        <f t="shared" si="60"/>
        <v>6.8022508063695248</v>
      </c>
      <c r="S111" s="47">
        <f t="shared" si="60"/>
        <v>6.6394590251195256</v>
      </c>
      <c r="T111" s="47">
        <f t="shared" si="60"/>
        <v>7.1243339682564786</v>
      </c>
    </row>
    <row r="112" spans="1:21" ht="15" customHeight="1" x14ac:dyDescent="0.25">
      <c r="A112" s="326"/>
      <c r="B112" s="79" t="s">
        <v>36</v>
      </c>
      <c r="C112" s="1" t="s">
        <v>45</v>
      </c>
      <c r="D112" s="43">
        <v>0.25</v>
      </c>
      <c r="E112" s="43">
        <v>0.18</v>
      </c>
      <c r="F112" s="87">
        <v>0.15917600000000001</v>
      </c>
      <c r="G112" s="255">
        <v>5.8694999999999997E-2</v>
      </c>
      <c r="H112" s="56">
        <f t="shared" ref="H112:T112" si="61">(H7-(H59/$C$156))*H86*$C$156/10^6</f>
        <v>2.8418867466952047E-2</v>
      </c>
      <c r="I112" s="56">
        <f t="shared" si="61"/>
        <v>0</v>
      </c>
      <c r="J112" s="56">
        <f t="shared" si="61"/>
        <v>0</v>
      </c>
      <c r="K112" s="56">
        <f t="shared" si="61"/>
        <v>0</v>
      </c>
      <c r="L112" s="56">
        <f t="shared" si="61"/>
        <v>0</v>
      </c>
      <c r="M112" s="56">
        <f t="shared" si="61"/>
        <v>0</v>
      </c>
      <c r="N112" s="56">
        <f t="shared" si="61"/>
        <v>0</v>
      </c>
      <c r="O112" s="56">
        <f t="shared" si="61"/>
        <v>0</v>
      </c>
      <c r="P112" s="56">
        <f t="shared" si="61"/>
        <v>0</v>
      </c>
      <c r="Q112" s="56">
        <f t="shared" si="61"/>
        <v>0</v>
      </c>
      <c r="R112" s="56">
        <f t="shared" si="61"/>
        <v>0</v>
      </c>
      <c r="S112" s="56">
        <f t="shared" si="61"/>
        <v>0</v>
      </c>
      <c r="T112" s="56">
        <f t="shared" si="61"/>
        <v>0</v>
      </c>
    </row>
    <row r="113" spans="1:21" ht="15" customHeight="1" x14ac:dyDescent="0.25">
      <c r="A113" s="326"/>
      <c r="B113" s="79" t="s">
        <v>35</v>
      </c>
      <c r="C113" s="1" t="s">
        <v>45</v>
      </c>
      <c r="D113" s="43">
        <v>0.24</v>
      </c>
      <c r="E113" s="43">
        <v>0.6</v>
      </c>
      <c r="F113" s="87">
        <v>0.69339399999999995</v>
      </c>
      <c r="G113" s="255">
        <v>0.68080099999999999</v>
      </c>
      <c r="H113" s="56">
        <f t="shared" ref="H113:T113" si="62">(H7-(H63/$C$156))*H87*$C$156/10^6</f>
        <v>0.97677354018999996</v>
      </c>
      <c r="I113" s="56">
        <f t="shared" si="62"/>
        <v>1.1960503796874999</v>
      </c>
      <c r="J113" s="56">
        <f t="shared" si="62"/>
        <v>1.3589353636250003</v>
      </c>
      <c r="K113" s="56">
        <f t="shared" si="62"/>
        <v>1.5527701929375002</v>
      </c>
      <c r="L113" s="56">
        <f t="shared" si="62"/>
        <v>1.860177363</v>
      </c>
      <c r="M113" s="56">
        <f t="shared" si="62"/>
        <v>2.1889466963124997</v>
      </c>
      <c r="N113" s="56">
        <f t="shared" si="62"/>
        <v>2.6189034112499998</v>
      </c>
      <c r="O113" s="56">
        <f t="shared" si="62"/>
        <v>2.8422273690000006</v>
      </c>
      <c r="P113" s="56">
        <f t="shared" si="62"/>
        <v>3.0992009549999997</v>
      </c>
      <c r="Q113" s="56">
        <f t="shared" si="62"/>
        <v>3.3625019598749999</v>
      </c>
      <c r="R113" s="56">
        <f t="shared" si="62"/>
        <v>3.6245109909999988</v>
      </c>
      <c r="S113" s="56">
        <f t="shared" si="62"/>
        <v>4.1404109690625006</v>
      </c>
      <c r="T113" s="56">
        <f t="shared" si="62"/>
        <v>4.4261852040000011</v>
      </c>
    </row>
    <row r="114" spans="1:21" ht="15" customHeight="1" x14ac:dyDescent="0.25">
      <c r="A114" s="326"/>
      <c r="B114" s="79" t="s">
        <v>106</v>
      </c>
      <c r="C114" s="1" t="s">
        <v>45</v>
      </c>
      <c r="D114" s="43">
        <v>0</v>
      </c>
      <c r="E114" s="43">
        <v>0</v>
      </c>
      <c r="F114" s="87">
        <v>6.3999999999999997E-5</v>
      </c>
      <c r="G114" s="255">
        <v>3.4359999999999998E-3</v>
      </c>
      <c r="H114" s="56">
        <f t="shared" ref="H114:T114" si="63">(H7-H64)*H88*$C$158/1000000</f>
        <v>4.9368303090478825E-4</v>
      </c>
      <c r="I114" s="56">
        <f t="shared" si="63"/>
        <v>8.3248971325677456E-4</v>
      </c>
      <c r="J114" s="56">
        <f t="shared" si="63"/>
        <v>1.233151926266725E-3</v>
      </c>
      <c r="K114" s="56">
        <f t="shared" si="63"/>
        <v>1.791863760501117E-3</v>
      </c>
      <c r="L114" s="56">
        <f t="shared" si="63"/>
        <v>2.6496546033314998E-3</v>
      </c>
      <c r="M114" s="56">
        <f t="shared" si="63"/>
        <v>3.4901335924274546E-3</v>
      </c>
      <c r="N114" s="56">
        <f t="shared" si="63"/>
        <v>5.0613761810012255E-3</v>
      </c>
      <c r="O114" s="56">
        <f t="shared" si="63"/>
        <v>6.91376151751932E-3</v>
      </c>
      <c r="P114" s="56">
        <f t="shared" si="63"/>
        <v>9.2602964133786016E-3</v>
      </c>
      <c r="Q114" s="56">
        <f t="shared" si="63"/>
        <v>1.2146184268492765E-2</v>
      </c>
      <c r="R114" s="56">
        <f t="shared" si="63"/>
        <v>1.5467785957494352E-2</v>
      </c>
      <c r="S114" s="56">
        <f t="shared" si="63"/>
        <v>1.9558446363485228E-2</v>
      </c>
      <c r="T114" s="56">
        <f t="shared" si="63"/>
        <v>2.4607553119257289E-2</v>
      </c>
    </row>
    <row r="115" spans="1:21" ht="15" customHeight="1" x14ac:dyDescent="0.25">
      <c r="A115" s="326"/>
      <c r="B115" s="79" t="s">
        <v>89</v>
      </c>
      <c r="C115" s="1" t="s">
        <v>45</v>
      </c>
      <c r="D115" s="43">
        <v>0</v>
      </c>
      <c r="E115" s="43">
        <v>0</v>
      </c>
      <c r="F115" s="87">
        <v>0</v>
      </c>
      <c r="G115" s="255">
        <v>1.0179161069531469E-3</v>
      </c>
      <c r="H115" s="255">
        <v>6.0156227881053891E-3</v>
      </c>
      <c r="I115" s="56">
        <f t="shared" ref="I115:T115" si="64">(I7-I65)*I89*$C$157/1000000</f>
        <v>3.0551113400410196E-2</v>
      </c>
      <c r="J115" s="56">
        <f t="shared" si="64"/>
        <v>5.5429303440878853E-2</v>
      </c>
      <c r="K115" s="56">
        <f t="shared" si="64"/>
        <v>8.5264646121703383E-2</v>
      </c>
      <c r="L115" s="56">
        <f t="shared" si="64"/>
        <v>0.14643694329333201</v>
      </c>
      <c r="M115" s="56">
        <f t="shared" si="64"/>
        <v>0.21654562329325855</v>
      </c>
      <c r="N115" s="56">
        <f t="shared" si="64"/>
        <v>0.34813858465863734</v>
      </c>
      <c r="O115" s="56">
        <f t="shared" si="64"/>
        <v>0.50373545564436761</v>
      </c>
      <c r="P115" s="56">
        <f t="shared" si="64"/>
        <v>0.68346059580011131</v>
      </c>
      <c r="Q115" s="56">
        <f t="shared" si="64"/>
        <v>0.86782298724420948</v>
      </c>
      <c r="R115" s="56">
        <f t="shared" si="64"/>
        <v>1.0353367350331704</v>
      </c>
      <c r="S115" s="56">
        <f t="shared" si="64"/>
        <v>1.1972116364868739</v>
      </c>
      <c r="T115" s="56">
        <f t="shared" si="64"/>
        <v>1.3564687623093743</v>
      </c>
    </row>
    <row r="116" spans="1:21" ht="15" customHeight="1" x14ac:dyDescent="0.25">
      <c r="A116" s="326"/>
      <c r="B116" s="74" t="s">
        <v>119</v>
      </c>
      <c r="C116" s="1" t="s">
        <v>45</v>
      </c>
      <c r="D116" s="35">
        <v>0</v>
      </c>
      <c r="E116" s="35">
        <v>0</v>
      </c>
      <c r="F116" s="92">
        <v>0.34364699999999998</v>
      </c>
      <c r="G116" s="258">
        <v>0.412381</v>
      </c>
      <c r="H116" s="47">
        <f t="shared" ref="H116:T116" si="65">(H7-H66)*$E$90/10^6+(H7-H66)*(H90-$E$90)*$C$159/1000000</f>
        <v>0.52152257839760763</v>
      </c>
      <c r="I116" s="47">
        <f t="shared" si="65"/>
        <v>0.52809748016221514</v>
      </c>
      <c r="J116" s="47">
        <f t="shared" si="65"/>
        <v>0.55074101200191516</v>
      </c>
      <c r="K116" s="47">
        <f t="shared" si="65"/>
        <v>0.57338454384161497</v>
      </c>
      <c r="L116" s="47">
        <f t="shared" si="65"/>
        <v>0.59602807568131499</v>
      </c>
      <c r="M116" s="47">
        <f t="shared" si="65"/>
        <v>0.58686643083330481</v>
      </c>
      <c r="N116" s="47">
        <f t="shared" si="65"/>
        <v>0.57770478598529462</v>
      </c>
      <c r="O116" s="47">
        <f t="shared" si="65"/>
        <v>0.56854314113728444</v>
      </c>
      <c r="P116" s="47">
        <f t="shared" si="65"/>
        <v>0.55938149628927403</v>
      </c>
      <c r="Q116" s="47">
        <f t="shared" si="65"/>
        <v>0.55021985144126395</v>
      </c>
      <c r="R116" s="47">
        <f t="shared" si="65"/>
        <v>0.54105820659325377</v>
      </c>
      <c r="S116" s="47">
        <f t="shared" si="65"/>
        <v>0.53189656174524358</v>
      </c>
      <c r="T116" s="47">
        <f t="shared" si="65"/>
        <v>0.52273491689723339</v>
      </c>
    </row>
    <row r="117" spans="1:21" ht="15" customHeight="1" x14ac:dyDescent="0.25">
      <c r="A117" s="326"/>
      <c r="B117" s="79" t="s">
        <v>28</v>
      </c>
      <c r="C117" s="1" t="s">
        <v>45</v>
      </c>
      <c r="D117" s="47">
        <f t="shared" ref="D117:T117" si="66">SUM(D110:D116)</f>
        <v>1.99</v>
      </c>
      <c r="E117" s="47">
        <f t="shared" si="66"/>
        <v>2.9400000000000004</v>
      </c>
      <c r="F117" s="47">
        <f t="shared" si="66"/>
        <v>5.0712199999999994</v>
      </c>
      <c r="G117" s="47">
        <f t="shared" si="66"/>
        <v>5.4999029161069526</v>
      </c>
      <c r="H117" s="47">
        <f>SUM(H110:H116)</f>
        <v>7.1173426158907649</v>
      </c>
      <c r="I117" s="47">
        <f t="shared" si="66"/>
        <v>8.3748736145240077</v>
      </c>
      <c r="J117" s="47">
        <f t="shared" si="66"/>
        <v>9.8163415676955523</v>
      </c>
      <c r="K117" s="47">
        <f t="shared" si="66"/>
        <v>11.237560049078184</v>
      </c>
      <c r="L117" s="47">
        <f t="shared" si="66"/>
        <v>12.747672385284737</v>
      </c>
      <c r="M117" s="47">
        <f t="shared" si="66"/>
        <v>13.301479493721766</v>
      </c>
      <c r="N117" s="47">
        <f t="shared" si="66"/>
        <v>13.629738954055256</v>
      </c>
      <c r="O117" s="47">
        <f t="shared" si="66"/>
        <v>13.775650709569542</v>
      </c>
      <c r="P117" s="47">
        <f t="shared" si="66"/>
        <v>13.979834512063176</v>
      </c>
      <c r="Q117" s="47">
        <f t="shared" si="66"/>
        <v>14.543774467060402</v>
      </c>
      <c r="R117" s="47">
        <f t="shared" si="66"/>
        <v>15.073730340361378</v>
      </c>
      <c r="S117" s="47">
        <f t="shared" si="66"/>
        <v>15.504455243600606</v>
      </c>
      <c r="T117" s="47">
        <f t="shared" si="66"/>
        <v>16.351061798820368</v>
      </c>
    </row>
    <row r="118" spans="1:21" ht="15" customHeight="1" x14ac:dyDescent="0.25">
      <c r="A118" s="326"/>
      <c r="B118" s="79" t="s">
        <v>30</v>
      </c>
      <c r="C118" s="1" t="s">
        <v>45</v>
      </c>
      <c r="D118" s="42">
        <v>-0.45</v>
      </c>
      <c r="E118" s="42">
        <v>-0.46</v>
      </c>
      <c r="F118" s="92">
        <v>-0.92773799999999995</v>
      </c>
      <c r="G118" s="258">
        <v>-1.6032439999999999</v>
      </c>
      <c r="H118" s="47">
        <f t="shared" ref="H118:T118" si="67">(H7-H68)*H91/10^6</f>
        <v>-1.4672749976677526</v>
      </c>
      <c r="I118" s="47">
        <f t="shared" si="67"/>
        <v>-2.4206986861284814</v>
      </c>
      <c r="J118" s="47">
        <f t="shared" si="67"/>
        <v>-2.7227789370292732</v>
      </c>
      <c r="K118" s="47">
        <f t="shared" si="67"/>
        <v>-3.0025203482576828</v>
      </c>
      <c r="L118" s="47">
        <f t="shared" si="67"/>
        <v>-3.2312186419902087</v>
      </c>
      <c r="M118" s="47">
        <f t="shared" si="67"/>
        <v>-3.6069570151107122</v>
      </c>
      <c r="N118" s="47">
        <f t="shared" si="67"/>
        <v>-3.9267714917735317</v>
      </c>
      <c r="O118" s="47">
        <f t="shared" si="67"/>
        <v>-4.2619129419009782</v>
      </c>
      <c r="P118" s="47">
        <f t="shared" si="67"/>
        <v>-4.5791469688427116</v>
      </c>
      <c r="Q118" s="47">
        <f t="shared" si="67"/>
        <v>-4.7937471944624805</v>
      </c>
      <c r="R118" s="47">
        <f t="shared" si="67"/>
        <v>-4.9965724086069461</v>
      </c>
      <c r="S118" s="47">
        <f t="shared" si="67"/>
        <v>-5.3221011222369325</v>
      </c>
      <c r="T118" s="47">
        <f t="shared" si="67"/>
        <v>-5.3929182222801222</v>
      </c>
      <c r="U118" s="213"/>
    </row>
    <row r="119" spans="1:21" ht="15" customHeight="1" x14ac:dyDescent="0.25">
      <c r="A119" s="326"/>
      <c r="B119" s="79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1" ht="15" customHeight="1" x14ac:dyDescent="0.25">
      <c r="A120" s="326"/>
      <c r="B120" s="74" t="s">
        <v>72</v>
      </c>
      <c r="C120" s="14" t="s">
        <v>15</v>
      </c>
      <c r="D120" s="3">
        <v>2014</v>
      </c>
      <c r="E120" s="3">
        <v>2015</v>
      </c>
      <c r="F120" s="3">
        <v>2016</v>
      </c>
      <c r="G120" s="3">
        <v>2017</v>
      </c>
      <c r="H120" s="3">
        <v>2018</v>
      </c>
      <c r="I120" s="3">
        <v>2019</v>
      </c>
      <c r="J120" s="3">
        <v>2020</v>
      </c>
      <c r="K120" s="3">
        <v>2021</v>
      </c>
      <c r="L120" s="3">
        <v>2022</v>
      </c>
      <c r="M120" s="3">
        <v>2023</v>
      </c>
      <c r="N120" s="3">
        <v>2024</v>
      </c>
      <c r="O120" s="3">
        <v>2025</v>
      </c>
      <c r="P120" s="16">
        <v>2026</v>
      </c>
      <c r="Q120" s="16">
        <v>2027</v>
      </c>
      <c r="R120" s="16">
        <v>2028</v>
      </c>
      <c r="S120" s="16">
        <v>2029</v>
      </c>
      <c r="T120" s="16">
        <v>2030</v>
      </c>
    </row>
    <row r="121" spans="1:21" ht="15" customHeight="1" x14ac:dyDescent="0.25">
      <c r="A121" s="326"/>
      <c r="B121" s="79" t="s">
        <v>155</v>
      </c>
      <c r="C121" s="1" t="s">
        <v>45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47">
        <f t="shared" ref="I121:T121" si="68">(I7-I69)*I94/1000000</f>
        <v>0.15504411261598697</v>
      </c>
      <c r="J121" s="47">
        <f t="shared" si="68"/>
        <v>0.1795220091925048</v>
      </c>
      <c r="K121" s="47">
        <f t="shared" si="68"/>
        <v>0.20285776974411979</v>
      </c>
      <c r="L121" s="47">
        <f t="shared" si="68"/>
        <v>0.21777971861099998</v>
      </c>
      <c r="M121" s="47">
        <f t="shared" si="68"/>
        <v>0.21308248148687498</v>
      </c>
      <c r="N121" s="47">
        <f t="shared" si="68"/>
        <v>0.20838524436274997</v>
      </c>
      <c r="O121" s="47">
        <f t="shared" si="68"/>
        <v>0.20368800723862499</v>
      </c>
      <c r="P121" s="47">
        <f t="shared" si="68"/>
        <v>0.19899077011449998</v>
      </c>
      <c r="Q121" s="47">
        <f t="shared" si="68"/>
        <v>0.19429353299037497</v>
      </c>
      <c r="R121" s="47">
        <f t="shared" si="68"/>
        <v>0.18959629586625001</v>
      </c>
      <c r="S121" s="47">
        <f t="shared" si="68"/>
        <v>0.18489905874212503</v>
      </c>
      <c r="T121" s="47">
        <f t="shared" si="68"/>
        <v>0.18020182161800005</v>
      </c>
    </row>
    <row r="122" spans="1:21" ht="15" customHeight="1" x14ac:dyDescent="0.25">
      <c r="A122" s="326"/>
      <c r="B122" s="79" t="s">
        <v>156</v>
      </c>
      <c r="C122" s="1" t="s">
        <v>45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47">
        <f t="shared" ref="I122:T122" si="69">(I7-I70)*I95/1000000</f>
        <v>1.3612172847529776E-2</v>
      </c>
      <c r="J122" s="47">
        <f t="shared" si="69"/>
        <v>7.6322356705490757E-3</v>
      </c>
      <c r="K122" s="47">
        <f t="shared" si="69"/>
        <v>2.7944345184712388E-3</v>
      </c>
      <c r="L122" s="47">
        <f t="shared" si="69"/>
        <v>0</v>
      </c>
      <c r="M122" s="47">
        <f t="shared" si="69"/>
        <v>0</v>
      </c>
      <c r="N122" s="47">
        <f t="shared" si="69"/>
        <v>0</v>
      </c>
      <c r="O122" s="47">
        <f t="shared" si="69"/>
        <v>0</v>
      </c>
      <c r="P122" s="47">
        <f t="shared" si="69"/>
        <v>0</v>
      </c>
      <c r="Q122" s="47">
        <f t="shared" si="69"/>
        <v>0</v>
      </c>
      <c r="R122" s="47">
        <f t="shared" si="69"/>
        <v>0</v>
      </c>
      <c r="S122" s="47">
        <f t="shared" si="69"/>
        <v>0</v>
      </c>
      <c r="T122" s="47">
        <f t="shared" si="69"/>
        <v>0</v>
      </c>
    </row>
    <row r="123" spans="1:21" ht="15.75" customHeight="1" x14ac:dyDescent="0.25">
      <c r="A123" s="326"/>
      <c r="B123" s="79" t="s">
        <v>68</v>
      </c>
      <c r="C123" s="1" t="s">
        <v>45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47">
        <f t="shared" ref="I123:T123" si="70">(I8-I71)*I96/1000000</f>
        <v>0.15296938488660836</v>
      </c>
      <c r="J123" s="47">
        <f t="shared" si="70"/>
        <v>0.30593876977321671</v>
      </c>
      <c r="K123" s="47">
        <f t="shared" si="70"/>
        <v>0.61187753954643342</v>
      </c>
      <c r="L123" s="47">
        <f t="shared" si="70"/>
        <v>1.1472703866495626</v>
      </c>
      <c r="M123" s="47">
        <f t="shared" si="70"/>
        <v>1.3332479104140729</v>
      </c>
      <c r="N123" s="47">
        <f t="shared" si="70"/>
        <v>1.304750559320323</v>
      </c>
      <c r="O123" s="47">
        <f t="shared" si="70"/>
        <v>1.276253208226573</v>
      </c>
      <c r="P123" s="47">
        <f t="shared" si="70"/>
        <v>1.2477558571328227</v>
      </c>
      <c r="Q123" s="47">
        <f t="shared" si="70"/>
        <v>1.219258506039073</v>
      </c>
      <c r="R123" s="47">
        <f t="shared" si="70"/>
        <v>1.3608698913660835</v>
      </c>
      <c r="S123" s="47">
        <f t="shared" si="70"/>
        <v>1.3283014901160834</v>
      </c>
      <c r="T123" s="47">
        <f t="shared" si="70"/>
        <v>1.4576997249743442</v>
      </c>
    </row>
    <row r="124" spans="1:21" x14ac:dyDescent="0.25">
      <c r="A124" s="326"/>
      <c r="B124" s="79" t="s">
        <v>60</v>
      </c>
      <c r="C124" s="1" t="s">
        <v>45</v>
      </c>
      <c r="D124" s="43">
        <f t="shared" ref="D124:T124" si="71">D101+D100</f>
        <v>1.94</v>
      </c>
      <c r="E124" s="43">
        <f t="shared" si="71"/>
        <v>2.0299999999999998</v>
      </c>
      <c r="F124" s="56">
        <f t="shared" si="71"/>
        <v>3.317596</v>
      </c>
      <c r="G124" s="56">
        <f t="shared" si="71"/>
        <v>3.1989890000000001</v>
      </c>
      <c r="H124" s="56">
        <f t="shared" si="71"/>
        <v>3.1024345628244969</v>
      </c>
      <c r="I124" s="56">
        <f t="shared" si="71"/>
        <v>3.1493283897926316</v>
      </c>
      <c r="J124" s="56">
        <f t="shared" si="71"/>
        <v>2.9351442252288664</v>
      </c>
      <c r="K124" s="56">
        <f t="shared" si="71"/>
        <v>2.9545030143973801</v>
      </c>
      <c r="L124" s="56">
        <f t="shared" si="71"/>
        <v>2.9376301713527262</v>
      </c>
      <c r="M124" s="56">
        <f t="shared" si="71"/>
        <v>2.9015452819097933</v>
      </c>
      <c r="N124" s="56">
        <f t="shared" si="71"/>
        <v>2.9800323072058199</v>
      </c>
      <c r="O124" s="56">
        <f t="shared" si="71"/>
        <v>3.0220433209604036</v>
      </c>
      <c r="P124" s="56">
        <f t="shared" si="71"/>
        <v>3.0411375966654899</v>
      </c>
      <c r="Q124" s="56">
        <f t="shared" si="71"/>
        <v>3.0418329518354144</v>
      </c>
      <c r="R124" s="56">
        <f t="shared" si="71"/>
        <v>3.1254315408915105</v>
      </c>
      <c r="S124" s="56">
        <f t="shared" si="71"/>
        <v>2.9967213634976289</v>
      </c>
      <c r="T124" s="56">
        <f t="shared" si="71"/>
        <v>2.8096659727545483</v>
      </c>
    </row>
    <row r="125" spans="1:21" x14ac:dyDescent="0.25">
      <c r="A125" s="326"/>
      <c r="B125" s="79" t="s">
        <v>151</v>
      </c>
      <c r="C125" s="1" t="s">
        <v>45</v>
      </c>
      <c r="D125" s="43">
        <f>D136+D134+D135</f>
        <v>0</v>
      </c>
      <c r="E125" s="43">
        <f t="shared" ref="E125:T125" si="72">E136+E134+E135</f>
        <v>0</v>
      </c>
      <c r="F125" s="56">
        <f>F136+F134+F135</f>
        <v>1.431E-3</v>
      </c>
      <c r="G125" s="56">
        <f>G136+G134+G135</f>
        <v>2.8310000000000002E-3</v>
      </c>
      <c r="H125" s="56">
        <f t="shared" si="72"/>
        <v>1.3000000000000001E-2</v>
      </c>
      <c r="I125" s="56">
        <f t="shared" si="72"/>
        <v>0.18749999999999997</v>
      </c>
      <c r="J125" s="56">
        <f t="shared" si="72"/>
        <v>0.58499999999999996</v>
      </c>
      <c r="K125" s="56">
        <f t="shared" si="72"/>
        <v>0.71</v>
      </c>
      <c r="L125" s="56">
        <f t="shared" si="72"/>
        <v>0.85499999999999998</v>
      </c>
      <c r="M125" s="56">
        <f t="shared" si="72"/>
        <v>1.1400000000000001</v>
      </c>
      <c r="N125" s="56">
        <f t="shared" si="72"/>
        <v>1.3033333333333332</v>
      </c>
      <c r="O125" s="56">
        <f t="shared" si="72"/>
        <v>1.5550000000000002</v>
      </c>
      <c r="P125" s="56">
        <f t="shared" si="72"/>
        <v>1.6850000000000001</v>
      </c>
      <c r="Q125" s="56">
        <f t="shared" si="72"/>
        <v>1.8149999999999999</v>
      </c>
      <c r="R125" s="56">
        <f t="shared" si="72"/>
        <v>1.9683333333333333</v>
      </c>
      <c r="S125" s="56">
        <f t="shared" si="72"/>
        <v>2.0933333333333333</v>
      </c>
      <c r="T125" s="56">
        <f t="shared" si="72"/>
        <v>2.2183333333333333</v>
      </c>
    </row>
    <row r="126" spans="1:21" x14ac:dyDescent="0.25">
      <c r="A126" s="326"/>
      <c r="B126" s="79" t="s">
        <v>150</v>
      </c>
      <c r="C126" s="1" t="s">
        <v>45</v>
      </c>
      <c r="D126" s="43">
        <f t="shared" ref="D126:T126" si="73">D116+D115+D105</f>
        <v>0.22</v>
      </c>
      <c r="E126" s="43">
        <f t="shared" si="73"/>
        <v>0.34</v>
      </c>
      <c r="F126" s="56">
        <f t="shared" si="73"/>
        <v>0.90980599999999989</v>
      </c>
      <c r="G126" s="56">
        <f t="shared" si="73"/>
        <v>1.2159579161069531</v>
      </c>
      <c r="H126" s="56">
        <f t="shared" si="73"/>
        <v>1.442433767526444</v>
      </c>
      <c r="I126" s="56">
        <f t="shared" si="73"/>
        <v>1.6871461297808052</v>
      </c>
      <c r="J126" s="56">
        <f t="shared" si="73"/>
        <v>1.983048217943215</v>
      </c>
      <c r="K126" s="56">
        <f t="shared" si="73"/>
        <v>2.3535051522063264</v>
      </c>
      <c r="L126" s="56">
        <f t="shared" si="73"/>
        <v>2.8093974293116344</v>
      </c>
      <c r="M126" s="56">
        <f t="shared" si="73"/>
        <v>3.1447621051646131</v>
      </c>
      <c r="N126" s="56">
        <f t="shared" si="73"/>
        <v>3.5602912443110659</v>
      </c>
      <c r="O126" s="56">
        <f t="shared" si="73"/>
        <v>4.0156856359978512</v>
      </c>
      <c r="P126" s="56">
        <f t="shared" si="73"/>
        <v>4.496646687363107</v>
      </c>
      <c r="Q126" s="56">
        <f t="shared" si="73"/>
        <v>4.9702798125608272</v>
      </c>
      <c r="R126" s="56">
        <f t="shared" si="73"/>
        <v>5.4150991166475233</v>
      </c>
      <c r="S126" s="56">
        <f t="shared" si="73"/>
        <v>5.8423143969430757</v>
      </c>
      <c r="T126" s="56">
        <f t="shared" si="73"/>
        <v>6.2549467241515355</v>
      </c>
    </row>
    <row r="127" spans="1:21" x14ac:dyDescent="0.25">
      <c r="A127" s="326"/>
      <c r="B127" s="79" t="s">
        <v>149</v>
      </c>
      <c r="C127" s="1" t="s">
        <v>45</v>
      </c>
      <c r="D127" s="43">
        <f t="shared" ref="D127:T127" si="74">D114+D104</f>
        <v>0</v>
      </c>
      <c r="E127" s="43">
        <f t="shared" si="74"/>
        <v>0</v>
      </c>
      <c r="F127" s="56">
        <f t="shared" si="74"/>
        <v>6.3999999999999997E-5</v>
      </c>
      <c r="G127" s="56">
        <f t="shared" si="74"/>
        <v>6.8719999999999996E-3</v>
      </c>
      <c r="H127" s="56">
        <f t="shared" si="74"/>
        <v>1.2046024530904788E-2</v>
      </c>
      <c r="I127" s="56">
        <f t="shared" si="74"/>
        <v>2.2190617713256772E-2</v>
      </c>
      <c r="J127" s="56">
        <f t="shared" si="74"/>
        <v>3.8376370206266733E-2</v>
      </c>
      <c r="K127" s="56">
        <f t="shared" si="74"/>
        <v>6.0530881890501112E-2</v>
      </c>
      <c r="L127" s="56">
        <f t="shared" si="74"/>
        <v>9.3522825723331482E-2</v>
      </c>
      <c r="M127" s="56">
        <f t="shared" si="74"/>
        <v>0.13700135929242746</v>
      </c>
      <c r="N127" s="56">
        <f t="shared" si="74"/>
        <v>0.18670378528100115</v>
      </c>
      <c r="O127" s="56">
        <f t="shared" si="74"/>
        <v>0.24167787636751933</v>
      </c>
      <c r="P127" s="56">
        <f t="shared" si="74"/>
        <v>0.29782256661337864</v>
      </c>
      <c r="Q127" s="56">
        <f t="shared" si="74"/>
        <v>0.35114678081849282</v>
      </c>
      <c r="R127" s="56">
        <f t="shared" si="74"/>
        <v>0.40154687985749427</v>
      </c>
      <c r="S127" s="56">
        <f t="shared" si="74"/>
        <v>0.44935620861348519</v>
      </c>
      <c r="T127" s="56">
        <f t="shared" si="74"/>
        <v>0.49476415471925733</v>
      </c>
    </row>
    <row r="128" spans="1:21" x14ac:dyDescent="0.25">
      <c r="A128" s="326"/>
      <c r="B128" s="79" t="s">
        <v>153</v>
      </c>
      <c r="C128" s="1" t="s">
        <v>45</v>
      </c>
      <c r="D128" s="43">
        <f t="shared" ref="D128:T128" si="75">D62*(D7-D61/$C$156)*D33*$C$177/10^6*$C$156</f>
        <v>0</v>
      </c>
      <c r="E128" s="43">
        <f t="shared" si="75"/>
        <v>0</v>
      </c>
      <c r="F128" s="56">
        <f t="shared" si="75"/>
        <v>0</v>
      </c>
      <c r="G128" s="56">
        <f t="shared" si="75"/>
        <v>6.1642415255541122E-2</v>
      </c>
      <c r="H128" s="56">
        <f t="shared" si="75"/>
        <v>9.494789271659998E-2</v>
      </c>
      <c r="I128" s="56">
        <f t="shared" si="75"/>
        <v>0.17790999394921875</v>
      </c>
      <c r="J128" s="56">
        <f t="shared" si="75"/>
        <v>0.26308085740874998</v>
      </c>
      <c r="K128" s="56">
        <f t="shared" si="75"/>
        <v>0.38608027971749992</v>
      </c>
      <c r="L128" s="56">
        <f t="shared" si="75"/>
        <v>0.63560781377999997</v>
      </c>
      <c r="M128" s="56">
        <f t="shared" si="75"/>
        <v>0.91964192770499997</v>
      </c>
      <c r="N128" s="56">
        <f t="shared" si="75"/>
        <v>1.275410041125</v>
      </c>
      <c r="O128" s="56">
        <f t="shared" si="75"/>
        <v>1.5477711562800003</v>
      </c>
      <c r="P128" s="56">
        <f t="shared" si="75"/>
        <v>1.8425320137000001</v>
      </c>
      <c r="Q128" s="56">
        <f t="shared" si="75"/>
        <v>2.1458853055800002</v>
      </c>
      <c r="R128" s="56">
        <f t="shared" si="75"/>
        <v>2.4522640903799995</v>
      </c>
      <c r="S128" s="56">
        <f t="shared" si="75"/>
        <v>3.0419247471937498</v>
      </c>
      <c r="T128" s="56">
        <f t="shared" si="75"/>
        <v>3.3717776169600002</v>
      </c>
    </row>
    <row r="129" spans="1:29" ht="15.75" thickBot="1" x14ac:dyDescent="0.3">
      <c r="A129" s="329"/>
      <c r="B129" s="79" t="s">
        <v>154</v>
      </c>
      <c r="C129" s="1" t="s">
        <v>45</v>
      </c>
      <c r="D129" s="43">
        <f t="shared" ref="D129:T129" si="76">(D7-D60/$C$156)*D87*$C$156/1000000*(1-D62)</f>
        <v>0.34061318235000004</v>
      </c>
      <c r="E129" s="43">
        <f t="shared" si="76"/>
        <v>0.79867918619999989</v>
      </c>
      <c r="F129" s="56">
        <f t="shared" si="76"/>
        <v>0.69856112541136417</v>
      </c>
      <c r="G129" s="56">
        <f t="shared" si="76"/>
        <v>0.66031237280109023</v>
      </c>
      <c r="H129" s="56">
        <f t="shared" si="76"/>
        <v>0.88182564747339987</v>
      </c>
      <c r="I129" s="56">
        <f t="shared" si="76"/>
        <v>1.0181403857382814</v>
      </c>
      <c r="J129" s="56">
        <f t="shared" si="76"/>
        <v>1.0958545062162501</v>
      </c>
      <c r="K129" s="56">
        <f t="shared" si="76"/>
        <v>1.1666899132199999</v>
      </c>
      <c r="L129" s="56">
        <f t="shared" si="76"/>
        <v>1.2245695492199999</v>
      </c>
      <c r="M129" s="56">
        <f t="shared" si="76"/>
        <v>1.2693047686074999</v>
      </c>
      <c r="N129" s="56">
        <f t="shared" si="76"/>
        <v>1.343493370125</v>
      </c>
      <c r="O129" s="56">
        <f t="shared" si="76"/>
        <v>1.2944562127200001</v>
      </c>
      <c r="P129" s="56">
        <f t="shared" si="76"/>
        <v>1.2566689412999998</v>
      </c>
      <c r="Q129" s="56">
        <f t="shared" si="76"/>
        <v>1.2166166542950001</v>
      </c>
      <c r="R129" s="56">
        <f t="shared" si="76"/>
        <v>1.17224690062</v>
      </c>
      <c r="S129" s="56">
        <f t="shared" si="76"/>
        <v>1.0984862218687503</v>
      </c>
      <c r="T129" s="56">
        <f t="shared" si="76"/>
        <v>1.0544075870400007</v>
      </c>
    </row>
    <row r="130" spans="1:29" x14ac:dyDescent="0.25">
      <c r="L130"/>
      <c r="M130"/>
      <c r="N130"/>
      <c r="O130"/>
      <c r="P130"/>
      <c r="Q130"/>
      <c r="R130"/>
    </row>
    <row r="131" spans="1:29" x14ac:dyDescent="0.25">
      <c r="L131"/>
      <c r="M131"/>
      <c r="N131"/>
      <c r="O131"/>
      <c r="P131"/>
      <c r="Q131"/>
      <c r="R131"/>
    </row>
    <row r="132" spans="1:29" ht="21.75" thickBot="1" x14ac:dyDescent="0.4">
      <c r="B132" s="2"/>
      <c r="C132" s="169"/>
      <c r="D132" s="331" t="s">
        <v>53</v>
      </c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3"/>
    </row>
    <row r="133" spans="1:29" ht="15" customHeight="1" x14ac:dyDescent="0.25">
      <c r="A133" s="325" t="s">
        <v>118</v>
      </c>
      <c r="B133" s="79"/>
      <c r="C133" s="14" t="s">
        <v>15</v>
      </c>
      <c r="D133" s="3">
        <v>2014</v>
      </c>
      <c r="E133" s="3">
        <v>2015</v>
      </c>
      <c r="F133" s="3">
        <v>2016</v>
      </c>
      <c r="G133" s="3">
        <v>2017</v>
      </c>
      <c r="H133" s="3">
        <v>2018</v>
      </c>
      <c r="I133" s="3">
        <v>2019</v>
      </c>
      <c r="J133" s="3">
        <v>2020</v>
      </c>
      <c r="K133" s="3">
        <v>2021</v>
      </c>
      <c r="L133" s="3">
        <v>2022</v>
      </c>
      <c r="M133" s="3">
        <v>2023</v>
      </c>
      <c r="N133" s="3">
        <v>2024</v>
      </c>
      <c r="O133" s="3">
        <v>2025</v>
      </c>
      <c r="P133" s="16">
        <v>2026</v>
      </c>
      <c r="Q133" s="16">
        <v>2027</v>
      </c>
      <c r="R133" s="16">
        <v>2028</v>
      </c>
      <c r="S133" s="16">
        <v>2029</v>
      </c>
      <c r="T133" s="16">
        <v>2030</v>
      </c>
    </row>
    <row r="134" spans="1:29" ht="15" customHeight="1" x14ac:dyDescent="0.25">
      <c r="A134" s="326"/>
      <c r="B134" s="79" t="s">
        <v>55</v>
      </c>
      <c r="C134" s="1" t="s">
        <v>45</v>
      </c>
      <c r="D134" s="35">
        <v>0</v>
      </c>
      <c r="E134" s="35">
        <v>0</v>
      </c>
      <c r="F134" s="87">
        <v>0</v>
      </c>
      <c r="G134" s="253">
        <v>0</v>
      </c>
      <c r="H134" s="154">
        <f>INDEX('Supply Scenarios'!D:D,MATCH($B134,'Supply Scenarios'!$B:$B,0)+$B$3-'Supply Scenarios'!$B$1)</f>
        <v>0.01</v>
      </c>
      <c r="I134" s="154">
        <f>INDEX('Supply Scenarios'!E:E,MATCH($B134,'Supply Scenarios'!$B:$B,0)+$B$3-'Supply Scenarios'!$B$1)</f>
        <v>0.16749999999999998</v>
      </c>
      <c r="J134" s="154">
        <f>INDEX('Supply Scenarios'!F:F,MATCH($B134,'Supply Scenarios'!$B:$B,0)+$B$3-'Supply Scenarios'!$B$1)</f>
        <v>0.33499999999999996</v>
      </c>
      <c r="K134" s="154">
        <f>INDEX('Supply Scenarios'!G:G,MATCH($B134,'Supply Scenarios'!$B:$B,0)+$B$3-'Supply Scenarios'!$B$1)</f>
        <v>0.33499999999999996</v>
      </c>
      <c r="L134" s="154">
        <f>INDEX('Supply Scenarios'!H:H,MATCH($B134,'Supply Scenarios'!$B:$B,0)+$B$3-'Supply Scenarios'!$B$1)</f>
        <v>0.35499999999999998</v>
      </c>
      <c r="M134" s="154">
        <f>INDEX('Supply Scenarios'!I:I,MATCH($B134,'Supply Scenarios'!$B:$B,0)+$B$3-'Supply Scenarios'!$B$1)</f>
        <v>0.51500000000000001</v>
      </c>
      <c r="N134" s="154">
        <f>INDEX('Supply Scenarios'!J:J,MATCH($B134,'Supply Scenarios'!$B:$B,0)+$B$3-'Supply Scenarios'!$B$1)</f>
        <v>0.55333333333333334</v>
      </c>
      <c r="O134" s="154">
        <f>INDEX('Supply Scenarios'!K:K,MATCH($B134,'Supply Scenarios'!$B:$B,0)+$B$3-'Supply Scenarios'!$B$1)</f>
        <v>0.68</v>
      </c>
      <c r="P134" s="154">
        <f>INDEX('Supply Scenarios'!L:L,MATCH($B134,'Supply Scenarios'!$B:$B,0)+$B$3-'Supply Scenarios'!$B$1)</f>
        <v>0.68500000000000005</v>
      </c>
      <c r="Q134" s="154">
        <f>INDEX('Supply Scenarios'!M:M,MATCH($B134,'Supply Scenarios'!$B:$B,0)+$B$3-'Supply Scenarios'!$B$1)</f>
        <v>0.69</v>
      </c>
      <c r="R134" s="154">
        <f>INDEX('Supply Scenarios'!N:N,MATCH($B134,'Supply Scenarios'!$B:$B,0)+$B$3-'Supply Scenarios'!$B$1)</f>
        <v>0.71833333333333327</v>
      </c>
      <c r="S134" s="154">
        <f>INDEX('Supply Scenarios'!O:O,MATCH($B134,'Supply Scenarios'!$B:$B,0)+$B$3-'Supply Scenarios'!$B$1)</f>
        <v>0.71833333333333327</v>
      </c>
      <c r="T134" s="154">
        <f>INDEX('Supply Scenarios'!P:P,MATCH($B134,'Supply Scenarios'!$B:$B,0)+$B$3-'Supply Scenarios'!$B$1)</f>
        <v>0.71833333333333327</v>
      </c>
      <c r="U134" t="s">
        <v>183</v>
      </c>
    </row>
    <row r="135" spans="1:29" ht="15" customHeight="1" x14ac:dyDescent="0.25">
      <c r="A135" s="326"/>
      <c r="B135" s="79" t="s">
        <v>56</v>
      </c>
      <c r="C135" s="1" t="s">
        <v>45</v>
      </c>
      <c r="D135" s="35"/>
      <c r="E135" s="35"/>
      <c r="F135" s="87">
        <v>0</v>
      </c>
      <c r="G135" s="255">
        <v>0</v>
      </c>
      <c r="H135" s="56">
        <f>MIN(H140*-0.02,INDEX('Supply Scenarios'!D:D,MATCH($B135,'Supply Scenarios'!$B:$B,0)+$B$3-'Supply Scenarios'!$B$1))</f>
        <v>0</v>
      </c>
      <c r="I135" s="56">
        <f>MIN(I140*-0.05,INDEX('Supply Scenarios'!E:E,MATCH($B135,'Supply Scenarios'!$B:$B,0)+$B$3-'Supply Scenarios'!$B$1))</f>
        <v>0</v>
      </c>
      <c r="J135" s="56">
        <f>MIN(J140*-0.075,INDEX('Supply Scenarios'!F:F,MATCH($B135,'Supply Scenarios'!$B:$B,0)+$B$3-'Supply Scenarios'!$B$1))</f>
        <v>0</v>
      </c>
      <c r="K135" s="56">
        <f>MIN(K140*-0.075,INDEX('Supply Scenarios'!G:G,MATCH($B135,'Supply Scenarios'!$B:$B,0)+$B$3-'Supply Scenarios'!$B$1))</f>
        <v>0</v>
      </c>
      <c r="L135" s="56">
        <f>MIN(L140*-0.075,INDEX('Supply Scenarios'!H:H,MATCH($B135,'Supply Scenarios'!$B:$B,0)+$B$3-'Supply Scenarios'!$B$1))</f>
        <v>0</v>
      </c>
      <c r="M135" s="56">
        <f>MIN(M140*-0.075,INDEX('Supply Scenarios'!I:I,MATCH($B135,'Supply Scenarios'!$B:$B,0)+$B$3-'Supply Scenarios'!$B$1))</f>
        <v>0</v>
      </c>
      <c r="N135" s="56">
        <f>MIN(N140*-0.075,INDEX('Supply Scenarios'!J:J,MATCH($B135,'Supply Scenarios'!$B:$B,0)+$B$3-'Supply Scenarios'!$B$1))</f>
        <v>0</v>
      </c>
      <c r="O135" s="56">
        <f>MIN(O140*-0.075,INDEX('Supply Scenarios'!K:K,MATCH($B135,'Supply Scenarios'!$B:$B,0)+$B$3-'Supply Scenarios'!$B$1))</f>
        <v>0</v>
      </c>
      <c r="P135" s="56">
        <f>MIN(P140*-0.075,INDEX('Supply Scenarios'!L:L,MATCH($B135,'Supply Scenarios'!$B:$B,0)+$B$3-'Supply Scenarios'!$B$1))</f>
        <v>0</v>
      </c>
      <c r="Q135" s="56">
        <f>MIN(Q140*-0.075,INDEX('Supply Scenarios'!M:M,MATCH($B135,'Supply Scenarios'!$B:$B,0)+$B$3-'Supply Scenarios'!$B$1))</f>
        <v>0</v>
      </c>
      <c r="R135" s="56">
        <f>MIN(R140*-0.075,INDEX('Supply Scenarios'!N:N,MATCH($B135,'Supply Scenarios'!$B:$B,0)+$B$3-'Supply Scenarios'!$B$1))</f>
        <v>0</v>
      </c>
      <c r="S135" s="56">
        <f>MIN(S140*-0.075,INDEX('Supply Scenarios'!O:O,MATCH($B135,'Supply Scenarios'!$B:$B,0)+$B$3-'Supply Scenarios'!$B$1))</f>
        <v>0</v>
      </c>
      <c r="T135" s="56">
        <f>MIN(T140*-0.075,INDEX('Supply Scenarios'!P:P,MATCH($B135,'Supply Scenarios'!$B:$B,0)+$B$3-'Supply Scenarios'!$B$1))</f>
        <v>0</v>
      </c>
    </row>
    <row r="136" spans="1:29" ht="15" customHeight="1" x14ac:dyDescent="0.25">
      <c r="A136" s="326"/>
      <c r="B136" s="79" t="s">
        <v>54</v>
      </c>
      <c r="C136" s="1" t="s">
        <v>45</v>
      </c>
      <c r="D136" s="42">
        <v>0</v>
      </c>
      <c r="E136" s="42">
        <v>0</v>
      </c>
      <c r="F136" s="87">
        <v>1.431E-3</v>
      </c>
      <c r="G136" s="253">
        <v>2.8310000000000002E-3</v>
      </c>
      <c r="H136" s="154">
        <f>INDEX('Supply Scenarios'!D:D,MATCH($B136,'Supply Scenarios'!$B:$B,0)+$B$3-'Supply Scenarios'!$B$1)</f>
        <v>3.0000000000000001E-3</v>
      </c>
      <c r="I136" s="154">
        <f>INDEX('Supply Scenarios'!E:E,MATCH($B136,'Supply Scenarios'!$B:$B,0)+$B$3-'Supply Scenarios'!$B$1)</f>
        <v>0.02</v>
      </c>
      <c r="J136" s="154">
        <f>INDEX('Supply Scenarios'!F:F,MATCH($B136,'Supply Scenarios'!$B:$B,0)+$B$3-'Supply Scenarios'!$B$1)</f>
        <v>0.25</v>
      </c>
      <c r="K136" s="154">
        <f>INDEX('Supply Scenarios'!G:G,MATCH($B136,'Supply Scenarios'!$B:$B,0)+$B$3-'Supply Scenarios'!$B$1)</f>
        <v>0.375</v>
      </c>
      <c r="L136" s="154">
        <f>INDEX('Supply Scenarios'!H:H,MATCH($B136,'Supply Scenarios'!$B:$B,0)+$B$3-'Supply Scenarios'!$B$1)</f>
        <v>0.5</v>
      </c>
      <c r="M136" s="154">
        <f>INDEX('Supply Scenarios'!I:I,MATCH($B136,'Supply Scenarios'!$B:$B,0)+$B$3-'Supply Scenarios'!$B$1)</f>
        <v>0.625</v>
      </c>
      <c r="N136" s="154">
        <f>INDEX('Supply Scenarios'!J:J,MATCH($B136,'Supply Scenarios'!$B:$B,0)+$B$3-'Supply Scenarios'!$B$1)</f>
        <v>0.75</v>
      </c>
      <c r="O136" s="154">
        <f>INDEX('Supply Scenarios'!K:K,MATCH($B136,'Supply Scenarios'!$B:$B,0)+$B$3-'Supply Scenarios'!$B$1)</f>
        <v>0.875</v>
      </c>
      <c r="P136" s="154">
        <f>INDEX('Supply Scenarios'!L:L,MATCH($B136,'Supply Scenarios'!$B:$B,0)+$B$3-'Supply Scenarios'!$B$1)</f>
        <v>1</v>
      </c>
      <c r="Q136" s="154">
        <f>INDEX('Supply Scenarios'!M:M,MATCH($B136,'Supply Scenarios'!$B:$B,0)+$B$3-'Supply Scenarios'!$B$1)</f>
        <v>1.125</v>
      </c>
      <c r="R136" s="154">
        <f>INDEX('Supply Scenarios'!N:N,MATCH($B136,'Supply Scenarios'!$B:$B,0)+$B$3-'Supply Scenarios'!$B$1)</f>
        <v>1.25</v>
      </c>
      <c r="S136" s="154">
        <f>INDEX('Supply Scenarios'!O:O,MATCH($B136,'Supply Scenarios'!$B:$B,0)+$B$3-'Supply Scenarios'!$B$1)</f>
        <v>1.375</v>
      </c>
      <c r="T136" s="154">
        <f>INDEX('Supply Scenarios'!P:P,MATCH($B136,'Supply Scenarios'!$B:$B,0)+$B$3-'Supply Scenarios'!$B$1)</f>
        <v>1.5</v>
      </c>
      <c r="U136" t="s">
        <v>183</v>
      </c>
    </row>
    <row r="137" spans="1:29" ht="15" customHeight="1" x14ac:dyDescent="0.25">
      <c r="A137" s="326"/>
      <c r="B137" s="79" t="s">
        <v>76</v>
      </c>
      <c r="C137" s="1" t="s">
        <v>45</v>
      </c>
      <c r="D137" s="35">
        <v>0</v>
      </c>
      <c r="E137" s="35">
        <v>0</v>
      </c>
      <c r="F137" s="87">
        <v>0.154059</v>
      </c>
      <c r="G137" s="56">
        <f>F137</f>
        <v>0.154059</v>
      </c>
      <c r="H137" s="154">
        <f>INDEX('Supply Scenarios'!D:D,MATCH($B137,'Supply Scenarios'!$B:$B,0)+$B$3-'Supply Scenarios'!$B$1)</f>
        <v>0.154</v>
      </c>
      <c r="I137" s="154">
        <f>INDEX('Supply Scenarios'!E:E,MATCH($B137,'Supply Scenarios'!$B:$B,0)+$B$3-'Supply Scenarios'!$B$1)</f>
        <v>0.154</v>
      </c>
      <c r="J137" s="154">
        <f>INDEX('Supply Scenarios'!F:F,MATCH($B137,'Supply Scenarios'!$B:$B,0)+$B$3-'Supply Scenarios'!$B$1)</f>
        <v>0.154</v>
      </c>
      <c r="K137" s="154">
        <f>INDEX('Supply Scenarios'!G:G,MATCH($B137,'Supply Scenarios'!$B:$B,0)+$B$3-'Supply Scenarios'!$B$1)</f>
        <v>0.154</v>
      </c>
      <c r="L137" s="154">
        <f>INDEX('Supply Scenarios'!H:H,MATCH($B137,'Supply Scenarios'!$B:$B,0)+$B$3-'Supply Scenarios'!$B$1)</f>
        <v>0.154</v>
      </c>
      <c r="M137" s="154">
        <f>INDEX('Supply Scenarios'!I:I,MATCH($B137,'Supply Scenarios'!$B:$B,0)+$B$3-'Supply Scenarios'!$B$1)</f>
        <v>0.154</v>
      </c>
      <c r="N137" s="154">
        <f>INDEX('Supply Scenarios'!J:J,MATCH($B137,'Supply Scenarios'!$B:$B,0)+$B$3-'Supply Scenarios'!$B$1)</f>
        <v>0.154</v>
      </c>
      <c r="O137" s="154">
        <f>INDEX('Supply Scenarios'!K:K,MATCH($B137,'Supply Scenarios'!$B:$B,0)+$B$3-'Supply Scenarios'!$B$1)</f>
        <v>0.154</v>
      </c>
      <c r="P137" s="154">
        <f>INDEX('Supply Scenarios'!L:L,MATCH($B137,'Supply Scenarios'!$B:$B,0)+$B$3-'Supply Scenarios'!$B$1)</f>
        <v>0.154</v>
      </c>
      <c r="Q137" s="154">
        <f>INDEX('Supply Scenarios'!M:M,MATCH($B137,'Supply Scenarios'!$B:$B,0)+$B$3-'Supply Scenarios'!$B$1)</f>
        <v>0.154</v>
      </c>
      <c r="R137" s="154">
        <f>INDEX('Supply Scenarios'!N:N,MATCH($B137,'Supply Scenarios'!$B:$B,0)+$B$3-'Supply Scenarios'!$B$1)</f>
        <v>0.154</v>
      </c>
      <c r="S137" s="154">
        <f>INDEX('Supply Scenarios'!O:O,MATCH($B137,'Supply Scenarios'!$B:$B,0)+$B$3-'Supply Scenarios'!$B$1)</f>
        <v>0.154</v>
      </c>
      <c r="T137" s="154">
        <f>INDEX('Supply Scenarios'!P:P,MATCH($B137,'Supply Scenarios'!$B:$B,0)+$B$3-'Supply Scenarios'!$B$1)</f>
        <v>0.154</v>
      </c>
      <c r="U137" t="s">
        <v>183</v>
      </c>
    </row>
    <row r="138" spans="1:29" ht="15" customHeight="1" x14ac:dyDescent="0.25">
      <c r="A138" s="326"/>
      <c r="B138" s="79" t="s">
        <v>31</v>
      </c>
      <c r="C138" s="1" t="s">
        <v>45</v>
      </c>
      <c r="D138" s="258">
        <v>4.3003410000000004</v>
      </c>
      <c r="E138" s="258">
        <v>5.4888490000000001</v>
      </c>
      <c r="F138" s="47">
        <f t="shared" ref="F138:G138" si="77">F117+F106+F134+F135+F136+F123+F137+F121</f>
        <v>9.1104649999999996</v>
      </c>
      <c r="G138" s="47">
        <f t="shared" si="77"/>
        <v>9.6669099161069525</v>
      </c>
      <c r="H138" s="47">
        <f>H117+H106+H134+H135+H136+H123+H137+H121+H195</f>
        <v>11.323671200863703</v>
      </c>
      <c r="I138" s="47">
        <f>I117+I106+I134+I135+I136+I123+I137+I121+I195+I122</f>
        <v>13.429922021049318</v>
      </c>
      <c r="J138" s="47">
        <f t="shared" ref="J138:T138" si="78">J117+J106+J134+J135+J136+J123+J137+J121+J195+J122</f>
        <v>15.603120909507782</v>
      </c>
      <c r="K138" s="47">
        <f t="shared" si="78"/>
        <v>18.063480835208637</v>
      </c>
      <c r="L138" s="47">
        <f t="shared" si="78"/>
        <v>20.92538627571113</v>
      </c>
      <c r="M138" s="47">
        <f t="shared" si="78"/>
        <v>22.52689711248874</v>
      </c>
      <c r="N138" s="47">
        <f t="shared" si="78"/>
        <v>23.742676484262617</v>
      </c>
      <c r="O138" s="47">
        <f t="shared" si="78"/>
        <v>24.637236002239561</v>
      </c>
      <c r="P138" s="47">
        <f t="shared" si="78"/>
        <v>25.439842142383547</v>
      </c>
      <c r="Q138" s="47">
        <f t="shared" si="78"/>
        <v>26.490043544011989</v>
      </c>
      <c r="R138" s="47">
        <f t="shared" si="78"/>
        <v>27.806937986125444</v>
      </c>
      <c r="S138" s="47">
        <f t="shared" si="78"/>
        <v>28.363479953704537</v>
      </c>
      <c r="T138" s="47">
        <f t="shared" si="78"/>
        <v>29.385501969226198</v>
      </c>
      <c r="U138" s="210"/>
    </row>
    <row r="139" spans="1:29" ht="15" customHeight="1" x14ac:dyDescent="0.25">
      <c r="A139" s="326"/>
      <c r="B139" s="79" t="s">
        <v>57</v>
      </c>
      <c r="C139" s="1" t="s">
        <v>45</v>
      </c>
      <c r="D139" s="42">
        <v>0</v>
      </c>
      <c r="E139" s="42">
        <v>0</v>
      </c>
      <c r="F139" s="42">
        <v>0</v>
      </c>
      <c r="G139" s="42">
        <v>0</v>
      </c>
      <c r="H139" s="247">
        <f>-INDEX('Supply Scenarios'!D:D,MATCH($B139,'Supply Scenarios'!$B:$B,0)+$B$3-'Supply Scenarios'!$B$1)*(H91+H81)*0.000001</f>
        <v>0</v>
      </c>
      <c r="I139" s="247">
        <f>-INDEX('Supply Scenarios'!E:E,MATCH($B139,'Supply Scenarios'!$B:$B,0)+$B$3-'Supply Scenarios'!$B$1)*(I91+I81)*0.000001</f>
        <v>0</v>
      </c>
      <c r="J139" s="247">
        <f>-INDEX('Supply Scenarios'!F:F,MATCH($B139,'Supply Scenarios'!$B:$B,0)+$B$3-'Supply Scenarios'!$B$1)*(J91+J81)*0.000001</f>
        <v>-0.54775617284073563</v>
      </c>
      <c r="K139" s="247">
        <f>-INDEX('Supply Scenarios'!G:G,MATCH($B139,'Supply Scenarios'!$B:$B,0)+$B$3-'Supply Scenarios'!$B$1)*(K91+K81)*0.000001</f>
        <v>-0.89186373201447411</v>
      </c>
      <c r="L139" s="247">
        <f>-INDEX('Supply Scenarios'!H:H,MATCH($B139,'Supply Scenarios'!$B:$B,0)+$B$3-'Supply Scenarios'!$B$1)*(L91+L81)*0.000001</f>
        <v>-1.3262156718564642</v>
      </c>
      <c r="M139" s="247">
        <f>-INDEX('Supply Scenarios'!I:I,MATCH($B139,'Supply Scenarios'!$B:$B,0)+$B$3-'Supply Scenarios'!$B$1)*(M91+M81)*0.000001</f>
        <v>-1.2850009796043007</v>
      </c>
      <c r="N139" s="247">
        <f>-INDEX('Supply Scenarios'!J:J,MATCH($B139,'Supply Scenarios'!$B:$B,0)+$B$3-'Supply Scenarios'!$B$1)*(N91+N81)*0.000001</f>
        <v>-1.2435844618218208</v>
      </c>
      <c r="O139" s="247">
        <f>-INDEX('Supply Scenarios'!K:K,MATCH($B139,'Supply Scenarios'!$B:$B,0)+$B$3-'Supply Scenarios'!$B$1)*(O91+O81)*0.000001</f>
        <v>-1.2029819200781127</v>
      </c>
      <c r="P139" s="247">
        <f>-INDEX('Supply Scenarios'!L:L,MATCH($B139,'Supply Scenarios'!$B:$B,0)+$B$3-'Supply Scenarios'!$B$1)*(P91+P81)*0.000001</f>
        <v>-1.1624181622540737</v>
      </c>
      <c r="Q139" s="247">
        <f>-INDEX('Supply Scenarios'!M:M,MATCH($B139,'Supply Scenarios'!$B:$B,0)+$B$3-'Supply Scenarios'!$B$1)*(Q91+Q81)*0.000001</f>
        <v>-1.1264955342779108</v>
      </c>
      <c r="R139" s="247">
        <f>-INDEX('Supply Scenarios'!N:N,MATCH($B139,'Supply Scenarios'!$B:$B,0)+$B$3-'Supply Scenarios'!$B$1)*(R91+R81)*0.000001</f>
        <v>-1.0950883688943023</v>
      </c>
      <c r="S139" s="247">
        <f>-INDEX('Supply Scenarios'!O:O,MATCH($B139,'Supply Scenarios'!$B:$B,0)+$B$3-'Supply Scenarios'!$B$1)*(S91+S81)*0.000001</f>
        <v>-1.0729425841115157</v>
      </c>
      <c r="T139" s="247">
        <f>-INDEX('Supply Scenarios'!P:P,MATCH($B139,'Supply Scenarios'!$B:$B,0)+$B$3-'Supply Scenarios'!$B$1)*(T91+T81)*0.000001</f>
        <v>-1.0439884648688587</v>
      </c>
    </row>
    <row r="140" spans="1:29" s="15" customFormat="1" ht="15" customHeight="1" x14ac:dyDescent="0.25">
      <c r="A140" s="326"/>
      <c r="B140" s="79" t="s">
        <v>32</v>
      </c>
      <c r="C140" s="1" t="s">
        <v>45</v>
      </c>
      <c r="D140" s="258">
        <v>-2.567348</v>
      </c>
      <c r="E140" s="258">
        <v>-2.6438709999999999</v>
      </c>
      <c r="F140" s="47">
        <f>F107+F118+F139+F143+F194</f>
        <v>-6.4991810000000001</v>
      </c>
      <c r="G140" s="47">
        <f>G107+G118+G139+G143+G194</f>
        <v>-9.6116450000000011</v>
      </c>
      <c r="H140" s="47">
        <f t="shared" ref="H140:T140" si="79">H107+H118+H139+H143</f>
        <v>-11.594620637862231</v>
      </c>
      <c r="I140" s="47">
        <f t="shared" si="79"/>
        <v>-14.390659629695495</v>
      </c>
      <c r="J140" s="47">
        <f t="shared" si="79"/>
        <v>-16.76972765202289</v>
      </c>
      <c r="K140" s="47">
        <f t="shared" si="79"/>
        <v>-18.799365556252457</v>
      </c>
      <c r="L140" s="47">
        <f t="shared" si="79"/>
        <v>-20.675407714811907</v>
      </c>
      <c r="M140" s="47">
        <f t="shared" si="79"/>
        <v>-22.12896428460628</v>
      </c>
      <c r="N140" s="47">
        <f t="shared" si="79"/>
        <v>-23.448732397249714</v>
      </c>
      <c r="O140" s="47">
        <f t="shared" si="79"/>
        <v>-24.646965908090102</v>
      </c>
      <c r="P140" s="47">
        <f t="shared" si="79"/>
        <v>-25.713758704600561</v>
      </c>
      <c r="Q140" s="47">
        <f t="shared" si="79"/>
        <v>-26.766268376919349</v>
      </c>
      <c r="R140" s="47">
        <f t="shared" si="79"/>
        <v>-27.816169144644789</v>
      </c>
      <c r="S140" s="47">
        <f t="shared" si="79"/>
        <v>-29.007128465126808</v>
      </c>
      <c r="T140" s="47">
        <f t="shared" si="79"/>
        <v>-29.942961559033897</v>
      </c>
      <c r="U140" s="210"/>
      <c r="V140"/>
      <c r="W140"/>
      <c r="X140"/>
      <c r="Y140"/>
      <c r="Z140"/>
      <c r="AA140"/>
      <c r="AB140"/>
      <c r="AC140"/>
    </row>
    <row r="141" spans="1:29" ht="15" customHeight="1" x14ac:dyDescent="0.25">
      <c r="A141" s="326"/>
      <c r="B141" s="79" t="s">
        <v>26</v>
      </c>
      <c r="C141" s="1" t="s">
        <v>45</v>
      </c>
      <c r="D141" s="47">
        <f>D138+D140</f>
        <v>1.7329930000000004</v>
      </c>
      <c r="E141" s="47">
        <f>E138+E140</f>
        <v>2.8449780000000002</v>
      </c>
      <c r="F141" s="47">
        <f t="shared" ref="F141:T141" si="80">F138+F140</f>
        <v>2.6112839999999995</v>
      </c>
      <c r="G141" s="47">
        <f t="shared" si="80"/>
        <v>5.5264916106951389E-2</v>
      </c>
      <c r="H141" s="47">
        <f t="shared" si="80"/>
        <v>-0.27094943699852791</v>
      </c>
      <c r="I141" s="47">
        <f t="shared" si="80"/>
        <v>-0.96073760864617697</v>
      </c>
      <c r="J141" s="47">
        <f>J138+J140</f>
        <v>-1.1666067425151088</v>
      </c>
      <c r="K141" s="47">
        <f>K138+K140</f>
        <v>-0.73588472104382063</v>
      </c>
      <c r="L141" s="47">
        <f t="shared" si="80"/>
        <v>0.24997856089922266</v>
      </c>
      <c r="M141" s="47">
        <f t="shared" si="80"/>
        <v>0.39793282788246032</v>
      </c>
      <c r="N141" s="47">
        <f t="shared" si="80"/>
        <v>0.29394408701290331</v>
      </c>
      <c r="O141" s="47">
        <f t="shared" si="80"/>
        <v>-9.7299058505413427E-3</v>
      </c>
      <c r="P141" s="47">
        <f t="shared" si="80"/>
        <v>-0.2739165622170141</v>
      </c>
      <c r="Q141" s="47">
        <f t="shared" si="80"/>
        <v>-0.27622483290736</v>
      </c>
      <c r="R141" s="47">
        <f t="shared" si="80"/>
        <v>-9.231158519344973E-3</v>
      </c>
      <c r="S141" s="47">
        <f t="shared" si="80"/>
        <v>-0.64364851142227053</v>
      </c>
      <c r="T141" s="47">
        <f t="shared" si="80"/>
        <v>-0.55745958980769927</v>
      </c>
    </row>
    <row r="142" spans="1:29" s="15" customFormat="1" ht="15.75" customHeight="1" x14ac:dyDescent="0.25">
      <c r="A142" s="326"/>
      <c r="B142" s="82" t="s">
        <v>52</v>
      </c>
      <c r="C142" s="1" t="s">
        <v>45</v>
      </c>
      <c r="D142" s="42">
        <v>4.4125209999999999</v>
      </c>
      <c r="E142" s="42">
        <v>7.2574990000000001</v>
      </c>
      <c r="F142" s="47">
        <f t="shared" ref="F142:T142" si="81">E142+F141</f>
        <v>9.8687830000000005</v>
      </c>
      <c r="G142" s="47">
        <f t="shared" si="81"/>
        <v>9.9240479161069519</v>
      </c>
      <c r="H142" s="47">
        <f t="shared" si="81"/>
        <v>9.653098479108424</v>
      </c>
      <c r="I142" s="47">
        <f t="shared" si="81"/>
        <v>8.692360870462247</v>
      </c>
      <c r="J142" s="47">
        <f>I142+J141</f>
        <v>7.5257541279471383</v>
      </c>
      <c r="K142" s="47">
        <f t="shared" si="81"/>
        <v>6.7898694069033176</v>
      </c>
      <c r="L142" s="47">
        <f t="shared" si="81"/>
        <v>7.0398479678025403</v>
      </c>
      <c r="M142" s="47">
        <f t="shared" si="81"/>
        <v>7.4377807956850006</v>
      </c>
      <c r="N142" s="47">
        <f t="shared" si="81"/>
        <v>7.7317248826979039</v>
      </c>
      <c r="O142" s="47">
        <f t="shared" si="81"/>
        <v>7.7219949768473626</v>
      </c>
      <c r="P142" s="47">
        <f t="shared" si="81"/>
        <v>7.4480784146303485</v>
      </c>
      <c r="Q142" s="47">
        <f t="shared" si="81"/>
        <v>7.1718535817229885</v>
      </c>
      <c r="R142" s="47">
        <f t="shared" si="81"/>
        <v>7.1626224232036435</v>
      </c>
      <c r="S142" s="47">
        <f t="shared" si="81"/>
        <v>6.518973911781373</v>
      </c>
      <c r="T142" s="47">
        <f t="shared" si="81"/>
        <v>5.9615143219736737</v>
      </c>
      <c r="U142"/>
      <c r="V142"/>
      <c r="W142"/>
      <c r="X142"/>
      <c r="Y142"/>
      <c r="Z142"/>
      <c r="AA142"/>
      <c r="AB142"/>
      <c r="AC142"/>
    </row>
    <row r="143" spans="1:29" s="15" customFormat="1" ht="15.75" thickBot="1" x14ac:dyDescent="0.3">
      <c r="A143" s="328"/>
      <c r="B143" s="79" t="s">
        <v>162</v>
      </c>
      <c r="C143" s="161" t="s">
        <v>45</v>
      </c>
      <c r="D143" s="42">
        <v>0</v>
      </c>
      <c r="E143" s="47">
        <f>IF(D142&lt;0,D142*0.05,0)</f>
        <v>0</v>
      </c>
      <c r="F143" s="47">
        <f>IF(E142&lt;0,E142*0.05,0)</f>
        <v>0</v>
      </c>
      <c r="G143" s="47">
        <f>IF(F142&lt;0,F142*0.05,0)</f>
        <v>0</v>
      </c>
      <c r="H143" s="47">
        <f>IF(G142&lt;0,G142*0.05,0)</f>
        <v>0</v>
      </c>
      <c r="I143" s="47">
        <f>IF(H142&lt;0,H142*0.05,0)</f>
        <v>0</v>
      </c>
      <c r="J143" s="47">
        <f t="shared" ref="J143:T143" si="82">IF(I142&lt;0,I142*0.05,0)</f>
        <v>0</v>
      </c>
      <c r="K143" s="47">
        <f>IF(J142&lt;0,J142*0.05,0)</f>
        <v>0</v>
      </c>
      <c r="L143" s="47">
        <f>IF(K142&lt;0,K142*0.05,0)</f>
        <v>0</v>
      </c>
      <c r="M143" s="47">
        <f>IF(L142&lt;0,L142*0.05,0)</f>
        <v>0</v>
      </c>
      <c r="N143" s="47">
        <f t="shared" si="82"/>
        <v>0</v>
      </c>
      <c r="O143" s="47">
        <f t="shared" si="82"/>
        <v>0</v>
      </c>
      <c r="P143" s="47">
        <f t="shared" si="82"/>
        <v>0</v>
      </c>
      <c r="Q143" s="47">
        <f t="shared" si="82"/>
        <v>0</v>
      </c>
      <c r="R143" s="47">
        <f t="shared" si="82"/>
        <v>0</v>
      </c>
      <c r="S143" s="47">
        <f t="shared" si="82"/>
        <v>0</v>
      </c>
      <c r="T143" s="47">
        <f t="shared" si="82"/>
        <v>0</v>
      </c>
      <c r="U143"/>
      <c r="V143"/>
      <c r="W143"/>
      <c r="X143"/>
      <c r="Y143"/>
      <c r="Z143"/>
      <c r="AA143"/>
      <c r="AB143"/>
      <c r="AC143"/>
    </row>
    <row r="144" spans="1:29" s="15" customFormat="1" x14ac:dyDescent="0.25">
      <c r="A14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/>
      <c r="V144"/>
      <c r="W144"/>
      <c r="X144"/>
      <c r="Y144"/>
      <c r="Z144"/>
      <c r="AA144"/>
      <c r="AB144"/>
      <c r="AC144"/>
    </row>
    <row r="145" spans="1:29" s="15" customFormat="1" ht="15.75" thickBot="1" x14ac:dyDescent="0.3">
      <c r="A145"/>
      <c r="B145" s="8"/>
      <c r="C145" s="8"/>
      <c r="D145" s="8"/>
      <c r="E145" s="8"/>
      <c r="F145"/>
      <c r="G145"/>
      <c r="H145"/>
      <c r="I145"/>
      <c r="J145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/>
      <c r="V145"/>
      <c r="W145"/>
      <c r="X145"/>
      <c r="Y145"/>
      <c r="Z145"/>
      <c r="AA145"/>
      <c r="AB145"/>
      <c r="AC145"/>
    </row>
    <row r="146" spans="1:29" x14ac:dyDescent="0.25">
      <c r="A146" s="325" t="s">
        <v>159</v>
      </c>
      <c r="B146" s="267" t="s">
        <v>12</v>
      </c>
      <c r="C146" s="266" t="s">
        <v>265</v>
      </c>
      <c r="D146" s="269"/>
      <c r="L146"/>
      <c r="M146"/>
      <c r="N146"/>
      <c r="O146"/>
      <c r="P146"/>
      <c r="Q146"/>
      <c r="R146"/>
    </row>
    <row r="147" spans="1:29" ht="14.1" customHeight="1" x14ac:dyDescent="0.25">
      <c r="A147" s="326"/>
      <c r="B147" s="277" t="s">
        <v>6</v>
      </c>
      <c r="C147" s="285" t="s">
        <v>7</v>
      </c>
      <c r="D147" s="268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</row>
    <row r="148" spans="1:29" x14ac:dyDescent="0.25">
      <c r="A148" s="326"/>
      <c r="B148" s="278" t="s">
        <v>9</v>
      </c>
      <c r="C148" s="279">
        <v>1</v>
      </c>
      <c r="D148" s="269"/>
      <c r="L148"/>
      <c r="M148"/>
      <c r="N148"/>
      <c r="O148"/>
      <c r="P148"/>
      <c r="Q148"/>
      <c r="R148"/>
    </row>
    <row r="149" spans="1:29" x14ac:dyDescent="0.25">
      <c r="A149" s="326"/>
      <c r="B149" s="278" t="s">
        <v>115</v>
      </c>
      <c r="C149" s="279">
        <v>1</v>
      </c>
      <c r="D149" s="269"/>
      <c r="L149"/>
      <c r="M149"/>
      <c r="N149"/>
      <c r="O149"/>
      <c r="P149"/>
      <c r="Q149"/>
      <c r="R149"/>
    </row>
    <row r="150" spans="1:29" x14ac:dyDescent="0.25">
      <c r="A150" s="326"/>
      <c r="B150" s="278" t="s">
        <v>10</v>
      </c>
      <c r="C150" s="279">
        <v>3.4</v>
      </c>
      <c r="D150" s="269"/>
      <c r="L150"/>
      <c r="M150"/>
      <c r="N150"/>
      <c r="O150"/>
      <c r="P150"/>
      <c r="Q150"/>
      <c r="R150"/>
    </row>
    <row r="151" spans="1:29" x14ac:dyDescent="0.25">
      <c r="A151" s="326"/>
      <c r="B151" s="278" t="s">
        <v>11</v>
      </c>
      <c r="C151" s="279">
        <v>2.5</v>
      </c>
      <c r="D151" s="269"/>
      <c r="L151"/>
      <c r="M151"/>
      <c r="N151"/>
      <c r="O151"/>
      <c r="P151"/>
      <c r="Q151"/>
      <c r="R151"/>
    </row>
    <row r="152" spans="1:29" x14ac:dyDescent="0.25">
      <c r="A152" s="326"/>
      <c r="B152" s="280"/>
      <c r="C152" s="281"/>
      <c r="D152" s="269"/>
      <c r="L152"/>
      <c r="M152"/>
      <c r="N152"/>
      <c r="O152"/>
      <c r="P152"/>
      <c r="Q152"/>
      <c r="R152"/>
    </row>
    <row r="153" spans="1:29" x14ac:dyDescent="0.25">
      <c r="A153" s="326"/>
      <c r="B153" s="283" t="s">
        <v>13</v>
      </c>
      <c r="C153" s="286" t="s">
        <v>143</v>
      </c>
      <c r="D153" s="269"/>
      <c r="L153"/>
      <c r="M153"/>
      <c r="N153"/>
      <c r="O153"/>
      <c r="P153"/>
      <c r="Q153"/>
      <c r="R153"/>
    </row>
    <row r="154" spans="1:29" ht="14.1" customHeight="1" x14ac:dyDescent="0.25">
      <c r="A154" s="326"/>
      <c r="B154" s="277" t="s">
        <v>6</v>
      </c>
      <c r="C154" s="285" t="s">
        <v>8</v>
      </c>
      <c r="D154" s="269"/>
      <c r="L154"/>
      <c r="M154"/>
      <c r="N154"/>
      <c r="O154"/>
      <c r="P154"/>
      <c r="Q154"/>
      <c r="R154"/>
    </row>
    <row r="155" spans="1:29" x14ac:dyDescent="0.25">
      <c r="A155" s="326"/>
      <c r="B155" s="278" t="s">
        <v>41</v>
      </c>
      <c r="C155" s="279">
        <v>1</v>
      </c>
      <c r="D155" s="269"/>
      <c r="L155"/>
      <c r="M155"/>
      <c r="N155" s="210"/>
      <c r="O155"/>
      <c r="P155"/>
      <c r="Q155"/>
      <c r="R155"/>
    </row>
    <row r="156" spans="1:29" x14ac:dyDescent="0.25">
      <c r="A156" s="326"/>
      <c r="B156" s="278" t="s">
        <v>14</v>
      </c>
      <c r="C156" s="279">
        <v>0.9</v>
      </c>
      <c r="D156" s="269"/>
      <c r="L156"/>
      <c r="M156"/>
      <c r="N156"/>
      <c r="O156"/>
      <c r="P156"/>
      <c r="Q156"/>
      <c r="R156"/>
    </row>
    <row r="157" spans="1:29" x14ac:dyDescent="0.25">
      <c r="A157" s="326"/>
      <c r="B157" s="278" t="s">
        <v>88</v>
      </c>
      <c r="C157" s="279">
        <f>IF($B$3&gt;=139,5,2.7)</f>
        <v>5</v>
      </c>
      <c r="D157" s="269"/>
      <c r="L157"/>
      <c r="M157"/>
      <c r="N157"/>
      <c r="O157"/>
      <c r="P157"/>
      <c r="Q157"/>
      <c r="R157"/>
    </row>
    <row r="158" spans="1:29" x14ac:dyDescent="0.25">
      <c r="A158" s="326"/>
      <c r="B158" s="278" t="s">
        <v>11</v>
      </c>
      <c r="C158" s="279">
        <v>1.9</v>
      </c>
      <c r="D158" s="269"/>
      <c r="L158"/>
      <c r="M158"/>
      <c r="N158"/>
      <c r="O158"/>
      <c r="P158"/>
      <c r="Q158"/>
      <c r="R158"/>
    </row>
    <row r="159" spans="1:29" ht="15.75" thickBot="1" x14ac:dyDescent="0.3">
      <c r="A159" s="326"/>
      <c r="B159" s="282" t="s">
        <v>113</v>
      </c>
      <c r="C159" s="284">
        <v>3.9</v>
      </c>
      <c r="D159" s="269"/>
      <c r="E159" t="s">
        <v>114</v>
      </c>
      <c r="L159"/>
      <c r="M159"/>
      <c r="N159"/>
      <c r="O159"/>
      <c r="P159"/>
      <c r="Q159"/>
      <c r="R159"/>
    </row>
    <row r="160" spans="1:29" x14ac:dyDescent="0.25">
      <c r="A160" s="326"/>
      <c r="B160" s="280"/>
      <c r="C160" s="281"/>
      <c r="L160"/>
      <c r="M160"/>
      <c r="N160"/>
      <c r="O160"/>
      <c r="P160"/>
      <c r="Q160"/>
      <c r="R160"/>
    </row>
    <row r="161" spans="1:18" ht="30" customHeight="1" x14ac:dyDescent="0.25">
      <c r="A161" s="326"/>
      <c r="B161" s="283" t="s">
        <v>87</v>
      </c>
      <c r="C161" s="286" t="s">
        <v>143</v>
      </c>
      <c r="L161"/>
      <c r="M161"/>
      <c r="N161"/>
      <c r="O161"/>
      <c r="P161"/>
      <c r="Q161"/>
      <c r="R161"/>
    </row>
    <row r="162" spans="1:18" ht="14.1" customHeight="1" x14ac:dyDescent="0.25">
      <c r="A162" s="326"/>
      <c r="B162" s="277" t="s">
        <v>72</v>
      </c>
      <c r="C162" s="285" t="s">
        <v>70</v>
      </c>
      <c r="L162"/>
      <c r="M162"/>
      <c r="N162"/>
      <c r="O162"/>
      <c r="P162"/>
      <c r="Q162"/>
      <c r="R162"/>
    </row>
    <row r="163" spans="1:18" ht="15.75" thickBot="1" x14ac:dyDescent="0.3">
      <c r="A163" s="329"/>
      <c r="B163" s="287" t="s">
        <v>71</v>
      </c>
      <c r="C163" s="284">
        <v>1</v>
      </c>
      <c r="D163">
        <v>1</v>
      </c>
      <c r="L163"/>
      <c r="M163"/>
      <c r="N163"/>
      <c r="O163"/>
      <c r="P163"/>
      <c r="Q163"/>
      <c r="R163"/>
    </row>
    <row r="165" spans="1:18" x14ac:dyDescent="0.25">
      <c r="L165"/>
      <c r="M165"/>
      <c r="N165"/>
      <c r="O165"/>
    </row>
    <row r="166" spans="1:18" ht="30" x14ac:dyDescent="0.25">
      <c r="B166" s="73" t="s">
        <v>20</v>
      </c>
      <c r="C166" s="5" t="s">
        <v>21</v>
      </c>
      <c r="D166" s="73" t="s">
        <v>15</v>
      </c>
      <c r="L166"/>
      <c r="M166"/>
      <c r="N166"/>
      <c r="O166"/>
      <c r="P166"/>
      <c r="Q166"/>
      <c r="R166"/>
    </row>
    <row r="167" spans="1:18" x14ac:dyDescent="0.25">
      <c r="B167" s="1" t="s">
        <v>60</v>
      </c>
      <c r="C167" s="62">
        <v>81.510000000000005</v>
      </c>
      <c r="D167" s="1" t="s">
        <v>24</v>
      </c>
      <c r="L167"/>
      <c r="M167"/>
      <c r="N167"/>
      <c r="O167"/>
      <c r="P167"/>
      <c r="Q167"/>
      <c r="R167"/>
    </row>
    <row r="168" spans="1:18" x14ac:dyDescent="0.25">
      <c r="B168" s="1" t="s">
        <v>17</v>
      </c>
      <c r="C168" s="62">
        <v>81.510000000000005</v>
      </c>
      <c r="D168" s="1" t="s">
        <v>24</v>
      </c>
      <c r="L168"/>
      <c r="M168"/>
      <c r="N168"/>
      <c r="O168"/>
      <c r="P168"/>
      <c r="Q168"/>
      <c r="R168"/>
    </row>
    <row r="169" spans="1:18" x14ac:dyDescent="0.25">
      <c r="B169" s="4" t="s">
        <v>16</v>
      </c>
      <c r="C169" s="62">
        <v>119.53</v>
      </c>
      <c r="D169" s="1" t="s">
        <v>24</v>
      </c>
      <c r="L169"/>
      <c r="M169"/>
      <c r="N169"/>
      <c r="O169"/>
      <c r="P169"/>
      <c r="Q169"/>
      <c r="R169"/>
    </row>
    <row r="170" spans="1:18" x14ac:dyDescent="0.25">
      <c r="B170" s="4" t="s">
        <v>5</v>
      </c>
      <c r="C170" s="62">
        <v>120</v>
      </c>
      <c r="D170" s="4" t="s">
        <v>111</v>
      </c>
      <c r="L170"/>
      <c r="M170"/>
      <c r="N170"/>
      <c r="O170"/>
      <c r="P170"/>
      <c r="Q170"/>
      <c r="R170"/>
    </row>
    <row r="171" spans="1:18" x14ac:dyDescent="0.25">
      <c r="B171" s="4" t="s">
        <v>0</v>
      </c>
      <c r="C171" s="63">
        <v>3600.0008440447891</v>
      </c>
      <c r="D171" s="4" t="s">
        <v>25</v>
      </c>
      <c r="L171"/>
      <c r="M171"/>
      <c r="N171"/>
      <c r="O171"/>
      <c r="P171"/>
      <c r="Q171"/>
      <c r="R171"/>
    </row>
    <row r="172" spans="1:18" x14ac:dyDescent="0.25">
      <c r="B172" s="1" t="s">
        <v>73</v>
      </c>
      <c r="C172" s="62">
        <v>119.53</v>
      </c>
      <c r="D172" s="1" t="s">
        <v>24</v>
      </c>
      <c r="L172"/>
      <c r="M172"/>
      <c r="N172"/>
      <c r="O172"/>
      <c r="P172"/>
      <c r="Q172"/>
      <c r="R172"/>
    </row>
    <row r="173" spans="1:18" x14ac:dyDescent="0.25">
      <c r="B173" s="1" t="s">
        <v>23</v>
      </c>
      <c r="C173" s="62">
        <v>115.83</v>
      </c>
      <c r="D173" s="1" t="s">
        <v>24</v>
      </c>
      <c r="L173"/>
      <c r="M173"/>
      <c r="N173"/>
      <c r="O173"/>
      <c r="P173"/>
      <c r="Q173"/>
      <c r="R173"/>
    </row>
    <row r="174" spans="1:18" x14ac:dyDescent="0.25">
      <c r="B174" s="1" t="s">
        <v>38</v>
      </c>
      <c r="C174" s="62">
        <v>126.13194319156545</v>
      </c>
      <c r="D174" s="1" t="s">
        <v>24</v>
      </c>
      <c r="L174"/>
      <c r="M174"/>
      <c r="N174"/>
      <c r="O174"/>
      <c r="P174"/>
      <c r="Q174"/>
      <c r="R174"/>
    </row>
    <row r="175" spans="1:18" x14ac:dyDescent="0.25">
      <c r="B175" s="1" t="s">
        <v>1</v>
      </c>
      <c r="C175" s="62">
        <v>129.65</v>
      </c>
      <c r="D175" s="1" t="s">
        <v>24</v>
      </c>
      <c r="L175"/>
      <c r="M175"/>
      <c r="N175"/>
      <c r="O175"/>
      <c r="P175"/>
      <c r="Q175"/>
      <c r="R175"/>
    </row>
    <row r="176" spans="1:18" ht="15.75" thickBot="1" x14ac:dyDescent="0.3">
      <c r="B176" s="1" t="s">
        <v>37</v>
      </c>
      <c r="C176" s="170">
        <v>134.47</v>
      </c>
      <c r="D176" s="1" t="s">
        <v>40</v>
      </c>
      <c r="L176"/>
      <c r="M176"/>
      <c r="N176"/>
      <c r="O176"/>
      <c r="P176"/>
      <c r="Q176"/>
      <c r="R176"/>
    </row>
    <row r="177" spans="2:18" ht="15.75" thickTop="1" x14ac:dyDescent="0.25">
      <c r="B177" s="4" t="s">
        <v>35</v>
      </c>
      <c r="C177" s="62">
        <v>134.47</v>
      </c>
      <c r="D177" s="1" t="s">
        <v>40</v>
      </c>
      <c r="L177"/>
      <c r="M177"/>
      <c r="N177"/>
      <c r="O177"/>
      <c r="P177"/>
      <c r="Q177"/>
      <c r="R177"/>
    </row>
    <row r="178" spans="2:18" x14ac:dyDescent="0.25">
      <c r="B178" s="1" t="s">
        <v>2</v>
      </c>
      <c r="C178" s="64">
        <v>3600.0008440447891</v>
      </c>
      <c r="D178" s="1" t="s">
        <v>25</v>
      </c>
      <c r="L178"/>
      <c r="M178"/>
      <c r="N178"/>
      <c r="O178"/>
      <c r="P178"/>
      <c r="Q178"/>
      <c r="R178"/>
    </row>
    <row r="179" spans="2:18" x14ac:dyDescent="0.25">
      <c r="B179" s="12" t="s">
        <v>62</v>
      </c>
      <c r="C179" s="65">
        <v>134.47</v>
      </c>
      <c r="D179" s="12" t="s">
        <v>24</v>
      </c>
      <c r="L179"/>
      <c r="M179"/>
      <c r="N179"/>
      <c r="O179"/>
      <c r="P179"/>
      <c r="Q179"/>
      <c r="R179"/>
    </row>
    <row r="180" spans="2:18" x14ac:dyDescent="0.25">
      <c r="B180" s="4" t="s">
        <v>68</v>
      </c>
      <c r="C180" s="157">
        <v>129.69</v>
      </c>
      <c r="D180" s="12" t="s">
        <v>24</v>
      </c>
      <c r="L180"/>
      <c r="M180"/>
      <c r="N180"/>
      <c r="O180"/>
      <c r="P180"/>
      <c r="Q180"/>
      <c r="R180"/>
    </row>
    <row r="181" spans="2:18" x14ac:dyDescent="0.25">
      <c r="L181"/>
      <c r="M181"/>
      <c r="N181"/>
      <c r="O181"/>
      <c r="P181"/>
      <c r="Q181"/>
      <c r="R181"/>
    </row>
    <row r="182" spans="2:18" ht="30" x14ac:dyDescent="0.25">
      <c r="B182" s="73" t="s">
        <v>20</v>
      </c>
      <c r="C182" s="5" t="s">
        <v>110</v>
      </c>
      <c r="D182" s="18"/>
      <c r="L182"/>
      <c r="M182"/>
      <c r="N182"/>
      <c r="O182"/>
      <c r="P182"/>
      <c r="Q182"/>
      <c r="R182"/>
    </row>
    <row r="183" spans="2:18" x14ac:dyDescent="0.25">
      <c r="B183" s="1" t="s">
        <v>60</v>
      </c>
      <c r="C183" s="212">
        <v>0</v>
      </c>
      <c r="D183" s="6"/>
      <c r="L183"/>
      <c r="M183"/>
      <c r="N183"/>
      <c r="O183"/>
      <c r="P183"/>
      <c r="Q183"/>
      <c r="R183"/>
    </row>
    <row r="184" spans="2:18" x14ac:dyDescent="0.25">
      <c r="B184" s="1" t="s">
        <v>123</v>
      </c>
      <c r="C184" s="158">
        <v>0</v>
      </c>
      <c r="D184" s="6"/>
      <c r="L184"/>
      <c r="M184"/>
      <c r="N184"/>
      <c r="O184"/>
      <c r="P184"/>
      <c r="Q184"/>
      <c r="R184"/>
    </row>
    <row r="185" spans="2:18" x14ac:dyDescent="0.25">
      <c r="B185" s="1" t="s">
        <v>17</v>
      </c>
      <c r="C185" s="158">
        <v>0</v>
      </c>
      <c r="D185" s="6"/>
      <c r="L185"/>
      <c r="M185"/>
      <c r="N185"/>
      <c r="O185"/>
      <c r="P185"/>
      <c r="Q185"/>
      <c r="R185"/>
    </row>
    <row r="186" spans="2:18" x14ac:dyDescent="0.25">
      <c r="B186" s="4" t="s">
        <v>16</v>
      </c>
      <c r="C186" s="158">
        <v>0</v>
      </c>
      <c r="D186" s="6"/>
      <c r="L186"/>
      <c r="M186"/>
      <c r="P186"/>
      <c r="Q186"/>
      <c r="R186"/>
    </row>
    <row r="187" spans="2:18" x14ac:dyDescent="0.25">
      <c r="B187" s="4" t="s">
        <v>5</v>
      </c>
      <c r="C187" s="158">
        <v>0</v>
      </c>
      <c r="D187" s="23"/>
      <c r="L187"/>
      <c r="M187"/>
      <c r="P187"/>
      <c r="Q187"/>
      <c r="R187"/>
    </row>
    <row r="188" spans="2:18" x14ac:dyDescent="0.25">
      <c r="B188" s="4" t="s">
        <v>63</v>
      </c>
      <c r="C188" s="212">
        <v>0</v>
      </c>
      <c r="D188" s="23"/>
      <c r="L188"/>
      <c r="M188"/>
      <c r="P188"/>
      <c r="Q188"/>
      <c r="R188"/>
    </row>
    <row r="189" spans="2:18" x14ac:dyDescent="0.25">
      <c r="B189" s="1" t="s">
        <v>38</v>
      </c>
      <c r="C189" s="158">
        <v>0</v>
      </c>
      <c r="D189" s="6"/>
      <c r="P189"/>
      <c r="Q189"/>
      <c r="R189"/>
    </row>
    <row r="190" spans="2:18" x14ac:dyDescent="0.25">
      <c r="B190" s="1" t="s">
        <v>122</v>
      </c>
      <c r="C190" s="158">
        <v>0</v>
      </c>
      <c r="D190" s="6"/>
      <c r="P190"/>
      <c r="Q190"/>
      <c r="R190"/>
    </row>
    <row r="192" spans="2:18" ht="15.75" thickBot="1" x14ac:dyDescent="0.3">
      <c r="B192" s="23"/>
      <c r="L192"/>
      <c r="M192"/>
      <c r="N192"/>
      <c r="O192"/>
      <c r="P192"/>
      <c r="Q192"/>
      <c r="R192"/>
    </row>
    <row r="193" spans="1:21" x14ac:dyDescent="0.25">
      <c r="A193" s="325" t="s">
        <v>259</v>
      </c>
      <c r="B193" s="84"/>
      <c r="C193" s="14" t="s">
        <v>15</v>
      </c>
      <c r="D193" s="3">
        <v>2014</v>
      </c>
      <c r="E193" s="3">
        <v>2015</v>
      </c>
      <c r="F193" s="3">
        <v>2016</v>
      </c>
      <c r="G193" s="3">
        <v>2017</v>
      </c>
      <c r="H193" s="3">
        <v>2018</v>
      </c>
      <c r="I193" s="3">
        <v>2019</v>
      </c>
      <c r="J193" s="3">
        <v>2020</v>
      </c>
      <c r="K193" s="3">
        <v>2021</v>
      </c>
      <c r="L193" s="3">
        <v>2022</v>
      </c>
      <c r="M193" s="3">
        <v>2023</v>
      </c>
      <c r="N193" s="3">
        <v>2024</v>
      </c>
      <c r="O193" s="3">
        <v>2025</v>
      </c>
      <c r="P193" s="16">
        <v>2026</v>
      </c>
      <c r="Q193" s="16">
        <v>2027</v>
      </c>
      <c r="R193" s="16">
        <v>2028</v>
      </c>
      <c r="S193" s="16">
        <v>2029</v>
      </c>
      <c r="T193" s="16">
        <v>2030</v>
      </c>
    </row>
    <row r="194" spans="1:21" x14ac:dyDescent="0.25">
      <c r="A194" s="326"/>
      <c r="B194" s="260" t="s">
        <v>260</v>
      </c>
      <c r="C194" s="261" t="s">
        <v>45</v>
      </c>
      <c r="D194" s="2"/>
      <c r="E194" s="2"/>
      <c r="F194" s="264">
        <v>-6.1739000000000002E-2</v>
      </c>
      <c r="G194" s="265">
        <v>-5.8669999999999998E-3</v>
      </c>
      <c r="H194" s="2"/>
      <c r="I194" s="2"/>
      <c r="J194" s="2"/>
      <c r="K194" s="2"/>
      <c r="L194" s="26"/>
      <c r="M194" s="26"/>
      <c r="N194" s="26"/>
      <c r="O194" s="26"/>
      <c r="P194" s="26"/>
      <c r="Q194" s="26"/>
      <c r="R194" s="26"/>
      <c r="S194" s="2"/>
      <c r="T194" s="2"/>
    </row>
    <row r="195" spans="1:21" ht="90" x14ac:dyDescent="0.25">
      <c r="A195" s="326"/>
      <c r="B195" s="80" t="s">
        <v>261</v>
      </c>
      <c r="C195" s="1" t="s">
        <v>262</v>
      </c>
      <c r="D195" s="2"/>
      <c r="E195" s="2"/>
      <c r="F195" s="2"/>
      <c r="G195" s="2"/>
      <c r="H195" s="154">
        <f>-INDEX('Supply Scenarios'!D:D,MATCH($B195,'Supply Scenarios'!$B:$B,0)+$B$3-'Supply Scenarios'!$B$1)*H140</f>
        <v>0</v>
      </c>
      <c r="I195" s="276">
        <f>-INDEX('Supply Scenarios'!E:E,MATCH($B195,'Supply Scenarios'!$B:$B,0)+$B$3-'Supply Scenarios'!$B$1)*I140</f>
        <v>7.1953298148477479E-2</v>
      </c>
      <c r="J195" s="276">
        <f>-INDEX('Supply Scenarios'!F:F,MATCH($B195,'Supply Scenarios'!$B:$B,0)+$B$3-'Supply Scenarios'!$B$1)*J140</f>
        <v>0.16769727652022889</v>
      </c>
      <c r="K195" s="276">
        <f>-INDEX('Supply Scenarios'!G:G,MATCH($B195,'Supply Scenarios'!$B:$B,0)+$B$3-'Supply Scenarios'!$B$1)*K140</f>
        <v>0.37598731112504913</v>
      </c>
      <c r="L195" s="276">
        <f>-INDEX('Supply Scenarios'!H:H,MATCH($B195,'Supply Scenarios'!$B:$B,0)+$B$3-'Supply Scenarios'!$B$1)*L140</f>
        <v>0.62026223144435721</v>
      </c>
      <c r="M195" s="276">
        <f>-INDEX('Supply Scenarios'!I:I,MATCH($B195,'Supply Scenarios'!$B:$B,0)+$B$3-'Supply Scenarios'!$B$1)*M140</f>
        <v>0.88515857138425125</v>
      </c>
      <c r="N195" s="276">
        <f>-INDEX('Supply Scenarios'!J:J,MATCH($B195,'Supply Scenarios'!$B:$B,0)+$B$3-'Supply Scenarios'!$B$1)*N140</f>
        <v>1.1724366198624858</v>
      </c>
      <c r="O195" s="276">
        <f>-INDEX('Supply Scenarios'!K:K,MATCH($B195,'Supply Scenarios'!$B:$B,0)+$B$3-'Supply Scenarios'!$B$1)*O140</f>
        <v>1.2323482954045053</v>
      </c>
      <c r="P195" s="276">
        <f>-INDEX('Supply Scenarios'!L:L,MATCH($B195,'Supply Scenarios'!$B:$B,0)+$B$3-'Supply Scenarios'!$B$1)*P140</f>
        <v>1.2856879352300281</v>
      </c>
      <c r="Q195" s="276">
        <f>-INDEX('Supply Scenarios'!M:M,MATCH($B195,'Supply Scenarios'!$B:$B,0)+$B$3-'Supply Scenarios'!$B$1)*Q140</f>
        <v>1.2044820769613707</v>
      </c>
      <c r="R195" s="276">
        <f>-INDEX('Supply Scenarios'!N:N,MATCH($B195,'Supply Scenarios'!$B:$B,0)+$B$3-'Supply Scenarios'!$B$1)*R140</f>
        <v>1.1126467657857917</v>
      </c>
      <c r="S195" s="276">
        <f>-INDEX('Supply Scenarios'!O:O,MATCH($B195,'Supply Scenarios'!$B:$B,0)+$B$3-'Supply Scenarios'!$B$1)*S140</f>
        <v>0.87021385395380424</v>
      </c>
      <c r="T195" s="276">
        <f>-INDEX('Supply Scenarios'!P:P,MATCH($B195,'Supply Scenarios'!$B:$B,0)+$B$3-'Supply Scenarios'!$B$1)*T140</f>
        <v>0.59885923118067796</v>
      </c>
      <c r="U195" s="314" t="s">
        <v>277</v>
      </c>
    </row>
    <row r="196" spans="1:21" ht="15.75" thickBot="1" x14ac:dyDescent="0.3">
      <c r="A196" s="327"/>
    </row>
  </sheetData>
  <mergeCells count="13">
    <mergeCell ref="D132:T132"/>
    <mergeCell ref="B1:T1"/>
    <mergeCell ref="D14:T14"/>
    <mergeCell ref="D49:T49"/>
    <mergeCell ref="D73:T73"/>
    <mergeCell ref="D98:T98"/>
    <mergeCell ref="A193:A196"/>
    <mergeCell ref="A15:A47"/>
    <mergeCell ref="A146:A163"/>
    <mergeCell ref="A99:A129"/>
    <mergeCell ref="A50:A71"/>
    <mergeCell ref="A74:A96"/>
    <mergeCell ref="A133:A143"/>
  </mergeCells>
  <pageMargins left="0.7" right="0.7" top="0.75" bottom="0.75" header="0.3" footer="0.3"/>
  <pageSetup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83"/>
  <sheetViews>
    <sheetView zoomScaleNormal="100" workbookViewId="0"/>
  </sheetViews>
  <sheetFormatPr defaultColWidth="11.42578125" defaultRowHeight="15" x14ac:dyDescent="0.25"/>
  <cols>
    <col min="1" max="1" width="34.85546875" customWidth="1"/>
    <col min="14" max="14" width="11.140625" bestFit="1" customWidth="1"/>
    <col min="16" max="16" width="22.28515625" bestFit="1" customWidth="1"/>
  </cols>
  <sheetData>
    <row r="1" spans="1:15" x14ac:dyDescent="0.25">
      <c r="A1" s="222" t="s">
        <v>252</v>
      </c>
    </row>
    <row r="3" spans="1:15" x14ac:dyDescent="0.25">
      <c r="B3" s="141">
        <v>2019</v>
      </c>
      <c r="C3" s="141">
        <v>2020</v>
      </c>
      <c r="D3" s="141">
        <v>2021</v>
      </c>
      <c r="E3" s="141">
        <v>2022</v>
      </c>
      <c r="F3" s="141">
        <v>2023</v>
      </c>
      <c r="G3" s="141">
        <v>2024</v>
      </c>
      <c r="H3" s="141">
        <v>2025</v>
      </c>
      <c r="I3" s="142">
        <v>2026</v>
      </c>
      <c r="J3" s="142">
        <v>2027</v>
      </c>
      <c r="K3" s="142">
        <v>2028</v>
      </c>
      <c r="L3" s="142">
        <v>2029</v>
      </c>
      <c r="M3" s="142">
        <v>2030</v>
      </c>
      <c r="N3" s="142" t="s">
        <v>253</v>
      </c>
      <c r="O3" s="141">
        <v>2016</v>
      </c>
    </row>
    <row r="4" spans="1:15" x14ac:dyDescent="0.25">
      <c r="A4" s="10" t="s">
        <v>192</v>
      </c>
      <c r="B4" s="224">
        <f>((105.16/Calculations!$C$150-Calculations!I56)*Calculations!I80*Calculations!$C$150+(105.16/Calculations!$C$157-Calculations!I65)*Calculations!I89*Calculations!$C$157+(105.16/Calculations!$C$159-Calculations!I66)*Calculations!I90)/1000000</f>
        <v>0.12594978512014859</v>
      </c>
      <c r="C4" s="224">
        <f>((105.16/Calculations!$C$150-Calculations!J56)*Calculations!J80*Calculations!$C$150+(105.16/Calculations!$C$157-Calculations!J65)*Calculations!J89*Calculations!$C$157+(105.16/Calculations!$C$159-Calculations!J66)*Calculations!J90)/1000000</f>
        <v>0.26268628708144753</v>
      </c>
      <c r="D4" s="224">
        <f>((105.16/Calculations!$C$150-Calculations!K56)*Calculations!K80*Calculations!$C$150+(105.16/Calculations!$C$157-Calculations!K65)*Calculations!K89*Calculations!$C$157+(105.16/Calculations!$C$159-Calculations!K66)*Calculations!K90)/1000000</f>
        <v>0.43839093313257349</v>
      </c>
      <c r="E4" s="224">
        <f>((105.16/Calculations!$C$150-Calculations!L56)*Calculations!L80*Calculations!$C$150+(105.16/Calculations!$C$157-Calculations!L65)*Calculations!L89*Calculations!$C$157+(105.16/Calculations!$C$159-Calculations!L66)*Calculations!L90)/1000000</f>
        <v>0.66185098506004503</v>
      </c>
      <c r="F4" s="224">
        <f>((105.16/Calculations!$C$150-Calculations!M56)*Calculations!M80*Calculations!$C$150+(105.16/Calculations!$C$157-Calculations!M65)*Calculations!M89*Calculations!$C$157+(105.16/Calculations!$C$159-Calculations!M66)*Calculations!M90)/1000000</f>
        <v>0.75638671450890149</v>
      </c>
      <c r="G4" s="224">
        <f>((105.16/Calculations!$C$150-Calculations!N56)*Calculations!N80*Calculations!$C$150+(105.16/Calculations!$C$157-Calculations!N65)*Calculations!N89*Calculations!$C$157+(105.16/Calculations!$C$159-Calculations!N66)*Calculations!N90)/1000000</f>
        <v>0.86982511516325789</v>
      </c>
      <c r="H4" s="224">
        <f>((105.16/Calculations!$C$150-Calculations!O56)*Calculations!O80*Calculations!$C$150+(105.16/Calculations!$C$157-Calculations!O65)*Calculations!O89*Calculations!$C$157+(105.16/Calculations!$C$159-Calculations!O66)*Calculations!O90)/1000000</f>
        <v>0.99561382833144885</v>
      </c>
      <c r="I4" s="224">
        <f>((105.16/Calculations!$C$150-Calculations!P56)*Calculations!P80*Calculations!$C$150+(105.16/Calculations!$C$157-Calculations!P65)*Calculations!P89*Calculations!$C$157+(105.16/Calculations!$C$159-Calculations!P66)*Calculations!P90)/1000000</f>
        <v>1.130332235585866</v>
      </c>
      <c r="J4" s="224">
        <f>((105.16/Calculations!$C$150-Calculations!Q56)*Calculations!Q80*Calculations!$C$150+(105.16/Calculations!$C$157-Calculations!Q65)*Calculations!Q89*Calculations!$C$157+(105.16/Calculations!$C$159-Calculations!Q66)*Calculations!Q90)/1000000</f>
        <v>1.2670078059522951</v>
      </c>
      <c r="K4" s="224">
        <f>((105.16/Calculations!$C$150-Calculations!R56)*Calculations!R80*Calculations!$C$150+(105.16/Calculations!$C$157-Calculations!R65)*Calculations!R89*Calculations!$C$157+(105.16/Calculations!$C$159-Calculations!R66)*Calculations!R90)/1000000</f>
        <v>1.4017177056658361</v>
      </c>
      <c r="L4" s="224">
        <f>((105.16/Calculations!$C$150-Calculations!S56)*Calculations!S80*Calculations!$C$150+(105.16/Calculations!$C$157-Calculations!S65)*Calculations!S89*Calculations!$C$157+(105.16/Calculations!$C$159-Calculations!S66)*Calculations!S90)/1000000</f>
        <v>1.5364953789410614</v>
      </c>
      <c r="M4" s="224">
        <f>((105.16/Calculations!$C$150-Calculations!T56)*Calculations!T80*Calculations!$C$150+(105.16/Calculations!$C$157-Calculations!T65)*Calculations!T89*Calculations!$C$157+(105.16/Calculations!$C$159-Calculations!T66)*Calculations!T90)/1000000</f>
        <v>1.6719287971319037</v>
      </c>
      <c r="N4" s="224"/>
      <c r="O4" s="224">
        <f>((105.16/Calculations!$C$150-Calculations!F56)*Calculations!V80*Calculations!$C$150+(105.16/Calculations!$C$157-Calculations!F65)*Calculations!V89*Calculations!$C$157+(105.16/Calculations!$C$159-Calculations!F66)*Calculations!V90)/1000000</f>
        <v>0</v>
      </c>
    </row>
    <row r="5" spans="1:15" x14ac:dyDescent="0.25">
      <c r="A5" s="10" t="s">
        <v>193</v>
      </c>
      <c r="B5" s="224">
        <f>((111.8-Calculations!I55*Calculations!$C$151)*(Calculations!I79+Calculations!I88))/1000000</f>
        <v>2.0197461518339965E-3</v>
      </c>
      <c r="C5" s="224">
        <f>((111.8-Calculations!J55*Calculations!$C$151)*(Calculations!J79+Calculations!J88))/1000000</f>
        <v>3.564696179500928E-3</v>
      </c>
      <c r="D5" s="224">
        <f>((111.8-Calculations!K55*Calculations!$C$151)*(Calculations!K79+Calculations!K88))/1000000</f>
        <v>5.7523651031469343E-3</v>
      </c>
      <c r="E5" s="224">
        <f>((111.8-Calculations!L55*Calculations!$C$151)*(Calculations!L79+Calculations!L88))/1000000</f>
        <v>9.1062086653112308E-3</v>
      </c>
      <c r="F5" s="224">
        <f>((111.8-Calculations!M55*Calculations!$C$151)*(Calculations!M79+Calculations!M88))/1000000</f>
        <v>1.3660078316436768E-2</v>
      </c>
      <c r="G5" s="224">
        <f>((111.8-Calculations!N55*Calculations!$C$151)*(Calculations!N79+Calculations!N88))/1000000</f>
        <v>1.9139587094565334E-2</v>
      </c>
      <c r="H5" s="224">
        <f>((111.8-Calculations!O55*Calculations!$C$151)*(Calculations!O79+Calculations!O88))/1000000</f>
        <v>2.5489546979299949E-2</v>
      </c>
      <c r="I5" s="224">
        <f>((111.8-Calculations!P55*Calculations!$C$151)*(Calculations!P79+Calculations!P88))/1000000</f>
        <v>3.2368868077984059E-2</v>
      </c>
      <c r="J5" s="224">
        <f>((111.8-Calculations!Q55*Calculations!$C$151)*(Calculations!Q79+Calculations!Q88))/1000000</f>
        <v>3.9396361295844687E-2</v>
      </c>
      <c r="K5" s="224">
        <f>((111.8-Calculations!R55*Calculations!$C$151)*(Calculations!R79+Calculations!R88))/1000000</f>
        <v>4.6569160051732041E-2</v>
      </c>
      <c r="L5" s="224">
        <f>((111.8-Calculations!S55*Calculations!$C$151)*(Calculations!S79+Calculations!S88))/1000000</f>
        <v>5.3978873464557604E-2</v>
      </c>
      <c r="M5" s="224">
        <f>((111.8-Calculations!T55*Calculations!$C$151)*(Calculations!T79+Calculations!T88))/1000000</f>
        <v>6.1701225699584521E-2</v>
      </c>
      <c r="N5" s="224"/>
      <c r="O5" s="224">
        <v>0</v>
      </c>
    </row>
    <row r="6" spans="1:15" x14ac:dyDescent="0.25">
      <c r="A6" s="10" t="s">
        <v>194</v>
      </c>
      <c r="B6" s="224">
        <f>(Calculations!I60-Calculations!I61)*Calculations!I62*Calculations!I87/1000000</f>
        <v>0.15447453750000001</v>
      </c>
      <c r="C6" s="224">
        <f>(Calculations!J60-Calculations!J61)*Calculations!J62*Calculations!J87/1000000</f>
        <v>0.22918844999999999</v>
      </c>
      <c r="D6" s="224">
        <f>(Calculations!K60-Calculations!K61)*Calculations!K62*Calculations!K87/1000000</f>
        <v>0.3374682</v>
      </c>
      <c r="E6" s="224">
        <f>(Calculations!L60-Calculations!L61)*Calculations!L62*Calculations!L87/1000000</f>
        <v>0.55744379999999993</v>
      </c>
      <c r="F6" s="224">
        <f>(Calculations!M60-Calculations!M61)*Calculations!M62*Calculations!M87/1000000</f>
        <v>0.80926760000000009</v>
      </c>
      <c r="G6" s="224">
        <f>(Calculations!N60-Calculations!N61)*Calculations!N62*Calculations!N87/1000000</f>
        <v>1.1261330000000001</v>
      </c>
      <c r="H6" s="224">
        <f>(Calculations!O60-Calculations!O61)*Calculations!O62*Calculations!O87/1000000</f>
        <v>1.3712544</v>
      </c>
      <c r="I6" s="224">
        <f>(Calculations!P60-Calculations!P61)*Calculations!P62*Calculations!P87/1000000</f>
        <v>1.6379580000000002</v>
      </c>
      <c r="J6" s="224">
        <f>(Calculations!Q60-Calculations!Q61)*Calculations!Q62*Calculations!Q87/1000000</f>
        <v>1.9141488</v>
      </c>
      <c r="K6" s="224">
        <f>(Calculations!R60-Calculations!R61)*Calculations!R62*Calculations!R87/1000000</f>
        <v>2.1949415999999995</v>
      </c>
      <c r="L6" s="224">
        <f>(Calculations!S60-Calculations!S61)*Calculations!S62*Calculations!S87/1000000</f>
        <v>2.7320953000000001</v>
      </c>
      <c r="M6" s="224">
        <f>(Calculations!T60-Calculations!T61)*Calculations!T62*Calculations!T87/1000000</f>
        <v>3.0388067999999997</v>
      </c>
      <c r="N6" s="224"/>
      <c r="O6" s="224">
        <f>(Calculations!F60-Calculations!F61)*Calculations!F62*Calculations!F87/1000000</f>
        <v>0</v>
      </c>
    </row>
    <row r="7" spans="1:15" x14ac:dyDescent="0.25">
      <c r="A7" s="10" t="s">
        <v>195</v>
      </c>
      <c r="B7" s="224">
        <f>(Calculations!I70-Calculations!I69)*Calculations!I94/1000000</f>
        <v>0.12757358088014173</v>
      </c>
      <c r="C7" s="224">
        <f>(Calculations!J70-Calculations!J69)*Calculations!J94/1000000</f>
        <v>0.15076877740380387</v>
      </c>
      <c r="D7" s="224">
        <f>(Calculations!K70-Calculations!K69)*Calculations!K94/1000000</f>
        <v>0.17396397392746601</v>
      </c>
      <c r="E7" s="224">
        <f>(Calculations!L70-Calculations!L69)*Calculations!L94/1000000</f>
        <v>0.1907887254</v>
      </c>
      <c r="F7" s="224">
        <f>(Calculations!M70-Calculations!M69)*Calculations!M94/1000000</f>
        <v>0.1907887254</v>
      </c>
      <c r="G7" s="224">
        <f>(Calculations!N70-Calculations!N69)*Calculations!N94/1000000</f>
        <v>0.1907887254</v>
      </c>
      <c r="H7" s="224">
        <f>(Calculations!O70-Calculations!O69)*Calculations!O94/1000000</f>
        <v>0.1907887254</v>
      </c>
      <c r="I7" s="224">
        <f>(Calculations!P70-Calculations!P69)*Calculations!P94/1000000</f>
        <v>0.1907887254</v>
      </c>
      <c r="J7" s="224">
        <f>(Calculations!Q70-Calculations!Q69)*Calculations!Q94/1000000</f>
        <v>0.1907887254</v>
      </c>
      <c r="K7" s="224">
        <f>(Calculations!R70-Calculations!R69)*Calculations!R94/1000000</f>
        <v>0.1907887254</v>
      </c>
      <c r="L7" s="224">
        <f>(Calculations!S70-Calculations!S69)*Calculations!S94/1000000</f>
        <v>0.1907887254</v>
      </c>
      <c r="M7" s="224">
        <f>(Calculations!T70-Calculations!T69)*Calculations!T94/1000000</f>
        <v>0.1907887254</v>
      </c>
      <c r="N7" s="224"/>
      <c r="O7" s="224">
        <f>0</f>
        <v>0</v>
      </c>
    </row>
    <row r="8" spans="1:15" x14ac:dyDescent="0.25">
      <c r="A8" s="10" t="s">
        <v>196</v>
      </c>
      <c r="B8" s="224">
        <f>((80-Calculations!I51)*Calculations!I75+(50-Calculations!I52)*Calculations!I76+(40-Calculations!I53)*Calculations!I77)/1000000</f>
        <v>1.1810004055829126</v>
      </c>
      <c r="C8" s="224">
        <f>((80-Calculations!J51)*Calculations!J75+(50-Calculations!J52)*Calculations!J76+(40-Calculations!J53)*Calculations!J77)/1000000</f>
        <v>1.1636243599836775</v>
      </c>
      <c r="D8" s="224">
        <f>((80-Calculations!K51)*Calculations!K75+(50-Calculations!K52)*Calculations!K76+(40-Calculations!K53)*Calculations!K77)/1000000</f>
        <v>1.4973063193021263</v>
      </c>
      <c r="E8" s="224">
        <f>((80-Calculations!L51)*Calculations!L75+(50-Calculations!L52)*Calculations!L76+(40-Calculations!L53)*Calculations!L77)/1000000</f>
        <v>1.7936255288511194</v>
      </c>
      <c r="F8" s="224">
        <f>((80-Calculations!M51)*Calculations!M75+(50-Calculations!M52)*Calculations!M76+(40-Calculations!M53)*Calculations!M77)/1000000</f>
        <v>2.0630737121516654</v>
      </c>
      <c r="G8" s="224">
        <f>((80-Calculations!N51)*Calculations!N75+(50-Calculations!N52)*Calculations!N76+(40-Calculations!N53)*Calculations!N77)/1000000</f>
        <v>2.3212843698170809</v>
      </c>
      <c r="H8" s="224">
        <f>((80-Calculations!O51)*Calculations!O75+(50-Calculations!O52)*Calculations!O76+(40-Calculations!O53)*Calculations!O77)/1000000</f>
        <v>2.5435913804101888</v>
      </c>
      <c r="I8" s="224">
        <f>((80-Calculations!P51)*Calculations!P75+(50-Calculations!P52)*Calculations!P76+(40-Calculations!P53)*Calculations!P77)/1000000</f>
        <v>2.7353302977993712</v>
      </c>
      <c r="J8" s="224">
        <f>((80-Calculations!Q51)*Calculations!Q75+(50-Calculations!Q52)*Calculations!Q76+(40-Calculations!Q53)*Calculations!Q77)/1000000</f>
        <v>2.9248199094085048</v>
      </c>
      <c r="K8" s="224">
        <f>((80-Calculations!R51)*Calculations!R75+(50-Calculations!R52)*Calculations!R76+(40-Calculations!R53)*Calculations!R77)/1000000</f>
        <v>3.2213466445359229</v>
      </c>
      <c r="L8" s="224">
        <f>((80-Calculations!S51)*Calculations!S75+(50-Calculations!S52)*Calculations!S76+(40-Calculations!S53)*Calculations!S77)/1000000</f>
        <v>3.2529443638613493</v>
      </c>
      <c r="M8" s="224">
        <f>((80-Calculations!T51)*Calculations!T75+(50-Calculations!T52)*Calculations!T76+(40-Calculations!T53)*Calculations!T77)/1000000</f>
        <v>3.2128910015747039</v>
      </c>
      <c r="N8" s="224"/>
      <c r="O8" s="224">
        <f>((80-Calculations!F51)*Calculations!F75+(50-Calculations!F52)*Calculations!F76+(40-Calculations!F53)*Calculations!F77)/1000000</f>
        <v>1.1621059685363699</v>
      </c>
    </row>
    <row r="9" spans="1:15" x14ac:dyDescent="0.25">
      <c r="A9" s="223" t="s">
        <v>197</v>
      </c>
      <c r="B9" s="224">
        <f>(50-Calculations!I57)*Calculations!I84/1000000</f>
        <v>0.54012667312453289</v>
      </c>
      <c r="C9" s="224">
        <f>(50-Calculations!J57)*Calculations!J84/1000000</f>
        <v>0.68743394761304188</v>
      </c>
      <c r="D9" s="224">
        <f>(50-Calculations!K57)*Calculations!K84/1000000</f>
        <v>0.83474122210155077</v>
      </c>
      <c r="E9" s="224">
        <f>(50-Calculations!L57)*Calculations!L84/1000000</f>
        <v>0.98204849659005988</v>
      </c>
      <c r="F9" s="224">
        <f>(50-Calculations!M57)*Calculations!M84/1000000</f>
        <v>0.98204849659005988</v>
      </c>
      <c r="G9" s="224">
        <f>(50-Calculations!N57)*Calculations!N84/1000000</f>
        <v>0.98204849659005988</v>
      </c>
      <c r="H9" s="224">
        <f>(50-Calculations!O57)*Calculations!O84/1000000</f>
        <v>0.98204849659005988</v>
      </c>
      <c r="I9" s="224">
        <f>(50-Calculations!P57)*Calculations!P84/1000000</f>
        <v>0.98204849659005988</v>
      </c>
      <c r="J9" s="224">
        <f>(50-Calculations!Q57)*Calculations!Q84/1000000</f>
        <v>0.98204849659005988</v>
      </c>
      <c r="K9" s="224">
        <f>(50-Calculations!R57)*Calculations!R84/1000000</f>
        <v>0.98204849659005988</v>
      </c>
      <c r="L9" s="224">
        <f>(50-Calculations!S57)*Calculations!S84/1000000</f>
        <v>0.98204849659005988</v>
      </c>
      <c r="M9" s="224">
        <f>(50-Calculations!T57)*Calculations!T84/1000000</f>
        <v>0.98204849659005988</v>
      </c>
      <c r="N9" s="224"/>
      <c r="O9" s="224">
        <f>(50-Calculations!F57)*Calculations!F84/1000000</f>
        <v>0.68145989974600629</v>
      </c>
    </row>
    <row r="10" spans="1:15" x14ac:dyDescent="0.25">
      <c r="A10" s="223" t="s">
        <v>198</v>
      </c>
      <c r="B10" s="224">
        <f>(50-Calculations!I58)*Calculations!I85/1000000</f>
        <v>1.3972712841282382</v>
      </c>
      <c r="C10" s="224">
        <f>(50-Calculations!J58)*Calculations!J85/1000000</f>
        <v>1.6513206085151906</v>
      </c>
      <c r="D10" s="224">
        <f>(50-Calculations!K58)*Calculations!K85/1000000</f>
        <v>1.9053699329021432</v>
      </c>
      <c r="E10" s="224">
        <f>(50-Calculations!L58)*Calculations!L85/1000000</f>
        <v>2.1594192572890951</v>
      </c>
      <c r="F10" s="224">
        <f>(50-Calculations!M58)*Calculations!M85/1000000</f>
        <v>2.2864439194825716</v>
      </c>
      <c r="G10" s="224">
        <f>(50-Calculations!N58)*Calculations!N85/1000000</f>
        <v>2.2864439194825716</v>
      </c>
      <c r="H10" s="224">
        <f>(50-Calculations!O58)*Calculations!O85/1000000</f>
        <v>2.2864439194825716</v>
      </c>
      <c r="I10" s="224">
        <f>(50-Calculations!P58)*Calculations!P85/1000000</f>
        <v>2.2864439194825716</v>
      </c>
      <c r="J10" s="224">
        <f>(50-Calculations!Q58)*Calculations!Q85/1000000</f>
        <v>2.4134685816760477</v>
      </c>
      <c r="K10" s="224">
        <f>(50-Calculations!R58)*Calculations!R85/1000000</f>
        <v>2.5404932438695238</v>
      </c>
      <c r="L10" s="224">
        <f>(50-Calculations!S58)*Calculations!S85/1000000</f>
        <v>2.5404932438695238</v>
      </c>
      <c r="M10" s="224">
        <f>(50-Calculations!T58)*Calculations!T85/1000000</f>
        <v>2.7945425682564764</v>
      </c>
      <c r="N10" s="224"/>
      <c r="O10" s="224">
        <f>(50-Calculations!F58)*Calculations!F85/1000000</f>
        <v>0.50757882475147853</v>
      </c>
    </row>
    <row r="11" spans="1:15" x14ac:dyDescent="0.25">
      <c r="A11" s="10" t="s">
        <v>199</v>
      </c>
      <c r="B11" s="224">
        <f>(89.38-Calculations!I71)*Calculations!I96/1000000</f>
        <v>0.15296938488660836</v>
      </c>
      <c r="C11" s="224">
        <f>(89.38-Calculations!J71)*Calculations!J96/1000000</f>
        <v>0.30593876977321671</v>
      </c>
      <c r="D11" s="224">
        <f>(89.38-Calculations!K71)*Calculations!K96/1000000</f>
        <v>0.61187753954643342</v>
      </c>
      <c r="E11" s="224">
        <f>(89.38-Calculations!L71)*Calculations!L96/1000000</f>
        <v>1.1472703866495626</v>
      </c>
      <c r="F11" s="224">
        <f>(89.38-Calculations!M71)*Calculations!M96/1000000</f>
        <v>1.3384821177578228</v>
      </c>
      <c r="G11" s="224">
        <f>(89.38-Calculations!N71)*Calculations!N96/1000000</f>
        <v>1.3384821177578228</v>
      </c>
      <c r="H11" s="224">
        <f>(89.38-Calculations!O71)*Calculations!O96/1000000</f>
        <v>1.3384821177578228</v>
      </c>
      <c r="I11" s="224">
        <f>(89.38-Calculations!P71)*Calculations!P96/1000000</f>
        <v>1.3384821177578228</v>
      </c>
      <c r="J11" s="224">
        <f>(89.38-Calculations!Q71)*Calculations!Q96/1000000</f>
        <v>1.3384821177578228</v>
      </c>
      <c r="K11" s="224">
        <f>(89.38-Calculations!R71)*Calculations!R96/1000000</f>
        <v>1.5296938488660832</v>
      </c>
      <c r="L11" s="224">
        <f>(89.38-Calculations!S71)*Calculations!S96/1000000</f>
        <v>1.5296938488660832</v>
      </c>
      <c r="M11" s="224">
        <f>(89.38-Calculations!T71)*Calculations!T96/1000000</f>
        <v>1.7209055799743438</v>
      </c>
      <c r="N11" s="224"/>
      <c r="O11" s="224">
        <v>0</v>
      </c>
    </row>
    <row r="12" spans="1:15" x14ac:dyDescent="0.25">
      <c r="A12" s="10" t="s">
        <v>200</v>
      </c>
      <c r="B12" s="224">
        <f>Calculations!I134+Calculations!I135</f>
        <v>0.16749999999999998</v>
      </c>
      <c r="C12" s="224">
        <f>Calculations!J134+Calculations!J135</f>
        <v>0.33499999999999996</v>
      </c>
      <c r="D12" s="224">
        <f>Calculations!K134+Calculations!K135</f>
        <v>0.33499999999999996</v>
      </c>
      <c r="E12" s="224">
        <f>Calculations!L134+Calculations!L135</f>
        <v>0.35499999999999998</v>
      </c>
      <c r="F12" s="224">
        <f>Calculations!M134+Calculations!M135</f>
        <v>0.51500000000000001</v>
      </c>
      <c r="G12" s="224">
        <f>Calculations!N134+Calculations!N135</f>
        <v>0.55333333333333334</v>
      </c>
      <c r="H12" s="224">
        <f>Calculations!O134+Calculations!O135</f>
        <v>0.68</v>
      </c>
      <c r="I12" s="224">
        <f>Calculations!P134+Calculations!P135</f>
        <v>0.68500000000000005</v>
      </c>
      <c r="J12" s="224">
        <f>Calculations!Q134+Calculations!Q135</f>
        <v>0.69</v>
      </c>
      <c r="K12" s="224">
        <f>Calculations!R134+Calculations!R135</f>
        <v>0.71833333333333327</v>
      </c>
      <c r="L12" s="224">
        <f>Calculations!S134+Calculations!S135</f>
        <v>0.71833333333333327</v>
      </c>
      <c r="M12" s="224">
        <f>Calculations!T134+Calculations!T135</f>
        <v>0.71833333333333327</v>
      </c>
      <c r="N12" s="224"/>
      <c r="O12" s="224">
        <f>Calculations!F134+Calculations!F135</f>
        <v>0</v>
      </c>
    </row>
    <row r="13" spans="1:15" x14ac:dyDescent="0.25">
      <c r="A13" s="10" t="s">
        <v>201</v>
      </c>
      <c r="B13" s="224">
        <f>Calculations!I136</f>
        <v>0.02</v>
      </c>
      <c r="C13" s="224">
        <f>Calculations!J136</f>
        <v>0.25</v>
      </c>
      <c r="D13" s="224">
        <f>Calculations!K136</f>
        <v>0.375</v>
      </c>
      <c r="E13" s="224">
        <f>Calculations!L136</f>
        <v>0.5</v>
      </c>
      <c r="F13" s="224">
        <f>Calculations!M136</f>
        <v>0.625</v>
      </c>
      <c r="G13" s="224">
        <f>Calculations!N136</f>
        <v>0.75</v>
      </c>
      <c r="H13" s="224">
        <f>Calculations!O136</f>
        <v>0.875</v>
      </c>
      <c r="I13" s="224">
        <f>Calculations!P136</f>
        <v>1</v>
      </c>
      <c r="J13" s="224">
        <f>Calculations!Q136</f>
        <v>1.125</v>
      </c>
      <c r="K13" s="224">
        <f>Calculations!R136</f>
        <v>1.25</v>
      </c>
      <c r="L13" s="224">
        <f>Calculations!S136</f>
        <v>1.375</v>
      </c>
      <c r="M13" s="224">
        <f>Calculations!T136</f>
        <v>1.5</v>
      </c>
      <c r="N13" s="224"/>
      <c r="O13" s="224">
        <f>Calculations!F136</f>
        <v>1.431E-3</v>
      </c>
    </row>
    <row r="14" spans="1:15" x14ac:dyDescent="0.25">
      <c r="A14" s="10" t="s">
        <v>191</v>
      </c>
      <c r="B14" s="310">
        <f t="shared" ref="B14:M14" si="0">SUM(B4:B13)</f>
        <v>3.8688853973744166</v>
      </c>
      <c r="C14" s="310">
        <f t="shared" si="0"/>
        <v>5.039525896549879</v>
      </c>
      <c r="D14" s="310">
        <f t="shared" si="0"/>
        <v>6.5148704860154396</v>
      </c>
      <c r="E14" s="310">
        <f t="shared" si="0"/>
        <v>8.3565533885051941</v>
      </c>
      <c r="F14" s="310">
        <f t="shared" si="0"/>
        <v>9.5801513642074578</v>
      </c>
      <c r="G14" s="310">
        <f t="shared" si="0"/>
        <v>10.437478664638689</v>
      </c>
      <c r="H14" s="310">
        <f t="shared" si="0"/>
        <v>11.288712414951391</v>
      </c>
      <c r="I14" s="310">
        <f t="shared" si="0"/>
        <v>12.018752660693675</v>
      </c>
      <c r="J14" s="310">
        <f t="shared" si="0"/>
        <v>12.885160798080573</v>
      </c>
      <c r="K14" s="310">
        <f t="shared" si="0"/>
        <v>14.07593275831249</v>
      </c>
      <c r="L14" s="310">
        <f t="shared" si="0"/>
        <v>14.911871564325969</v>
      </c>
      <c r="M14" s="310">
        <f t="shared" si="0"/>
        <v>15.891946527960407</v>
      </c>
      <c r="N14" s="310">
        <f>SUM(B14:M14)</f>
        <v>124.86984192161557</v>
      </c>
      <c r="O14" s="310">
        <f>SUM(O4:O13)</f>
        <v>2.3525756930338551</v>
      </c>
    </row>
    <row r="18" spans="1:29" x14ac:dyDescent="0.25">
      <c r="A18" s="10" t="s">
        <v>206</v>
      </c>
      <c r="P18" s="10" t="s">
        <v>205</v>
      </c>
    </row>
    <row r="19" spans="1:29" x14ac:dyDescent="0.25">
      <c r="B19" s="141">
        <v>2019</v>
      </c>
      <c r="C19" s="141">
        <v>2020</v>
      </c>
      <c r="D19" s="141">
        <v>2021</v>
      </c>
      <c r="E19" s="141">
        <v>2022</v>
      </c>
      <c r="F19" s="141">
        <v>2023</v>
      </c>
      <c r="G19" s="141">
        <v>2024</v>
      </c>
      <c r="H19" s="141">
        <v>2025</v>
      </c>
      <c r="I19" s="142">
        <v>2026</v>
      </c>
      <c r="J19" s="142">
        <v>2027</v>
      </c>
      <c r="K19" s="142">
        <v>2028</v>
      </c>
      <c r="L19" s="142">
        <v>2029</v>
      </c>
      <c r="M19" s="142">
        <v>2030</v>
      </c>
      <c r="N19" s="142" t="s">
        <v>253</v>
      </c>
      <c r="Q19" s="141">
        <v>2019</v>
      </c>
      <c r="R19" s="141">
        <v>2020</v>
      </c>
      <c r="S19" s="141">
        <v>2021</v>
      </c>
      <c r="T19" s="141">
        <v>2022</v>
      </c>
      <c r="U19" s="141">
        <v>2023</v>
      </c>
      <c r="V19" s="141">
        <v>2024</v>
      </c>
      <c r="W19" s="141">
        <v>2025</v>
      </c>
      <c r="X19" s="142">
        <v>2026</v>
      </c>
      <c r="Y19" s="142">
        <v>2027</v>
      </c>
      <c r="Z19" s="142">
        <v>2028</v>
      </c>
      <c r="AA19" s="142">
        <v>2029</v>
      </c>
      <c r="AB19" s="142">
        <v>2030</v>
      </c>
      <c r="AC19" s="142" t="s">
        <v>253</v>
      </c>
    </row>
    <row r="20" spans="1:29" x14ac:dyDescent="0.25">
      <c r="A20" t="s">
        <v>174</v>
      </c>
      <c r="B20" s="224">
        <v>3.8688853973744166</v>
      </c>
      <c r="C20" s="224">
        <v>5.039525896549879</v>
      </c>
      <c r="D20" s="224">
        <v>6.5148704860154396</v>
      </c>
      <c r="E20" s="224">
        <v>8.3565533885051941</v>
      </c>
      <c r="F20" s="224">
        <v>9.5801513642074578</v>
      </c>
      <c r="G20" s="224">
        <v>10.437478664638689</v>
      </c>
      <c r="H20" s="224">
        <v>11.288712414951391</v>
      </c>
      <c r="I20" s="224">
        <v>12.018752660693675</v>
      </c>
      <c r="J20" s="224">
        <v>12.885160798080573</v>
      </c>
      <c r="K20" s="224">
        <v>14.07593275831249</v>
      </c>
      <c r="L20" s="224">
        <v>14.911871564325969</v>
      </c>
      <c r="M20" s="224">
        <v>15.891946527960407</v>
      </c>
      <c r="N20" s="224">
        <v>124.86984192161557</v>
      </c>
      <c r="P20" t="s">
        <v>174</v>
      </c>
      <c r="Q20" s="224">
        <v>13.429922021049318</v>
      </c>
      <c r="R20" s="224">
        <v>15.603120909507782</v>
      </c>
      <c r="S20" s="224">
        <v>18.063480835208637</v>
      </c>
      <c r="T20" s="224">
        <v>20.92538627571113</v>
      </c>
      <c r="U20" s="224">
        <v>22.52689711248874</v>
      </c>
      <c r="V20" s="224">
        <v>23.742676484262617</v>
      </c>
      <c r="W20" s="224">
        <v>24.637236002239561</v>
      </c>
      <c r="X20" s="224">
        <v>25.439842142383547</v>
      </c>
      <c r="Y20" s="224">
        <v>26.490043544011989</v>
      </c>
      <c r="Z20" s="224">
        <v>27.806937986125444</v>
      </c>
      <c r="AA20" s="224">
        <v>28.363479953704537</v>
      </c>
      <c r="AB20" s="224">
        <v>29.385501969226198</v>
      </c>
      <c r="AC20" s="224">
        <f>SUM(Q20:AB20)</f>
        <v>276.41452523591954</v>
      </c>
    </row>
    <row r="21" spans="1:29" x14ac:dyDescent="0.25">
      <c r="A21" t="s">
        <v>202</v>
      </c>
      <c r="B21" s="224">
        <v>3.4786426464875175</v>
      </c>
      <c r="C21" s="224">
        <v>4.4144339872914111</v>
      </c>
      <c r="D21" s="224">
        <v>5.2750580661462783</v>
      </c>
      <c r="E21" s="224">
        <v>6.0063695919016737</v>
      </c>
      <c r="F21" s="224">
        <v>6.650988926443004</v>
      </c>
      <c r="G21" s="224">
        <v>6.9603196243432546</v>
      </c>
      <c r="H21" s="224">
        <v>6.3827990986446652</v>
      </c>
      <c r="I21" s="224">
        <v>5.6908093728030105</v>
      </c>
      <c r="J21" s="224">
        <v>4.9498533933782909</v>
      </c>
      <c r="K21" s="224">
        <v>4.3219380850599984</v>
      </c>
      <c r="L21" s="224">
        <v>4.1467018651051752</v>
      </c>
      <c r="M21" s="224">
        <v>3.9678353415863721</v>
      </c>
      <c r="N21" s="224">
        <v>62.245749999190657</v>
      </c>
      <c r="P21" t="s">
        <v>202</v>
      </c>
      <c r="Q21" s="224">
        <v>12.626741715263716</v>
      </c>
      <c r="R21" s="224">
        <v>14.08241392883663</v>
      </c>
      <c r="S21" s="224">
        <v>16.19769412418367</v>
      </c>
      <c r="T21" s="224">
        <v>18.232706271859872</v>
      </c>
      <c r="U21" s="224">
        <v>19.813800032096424</v>
      </c>
      <c r="V21" s="224">
        <v>21.161105024573359</v>
      </c>
      <c r="W21" s="224">
        <v>20.307867997915142</v>
      </c>
      <c r="X21" s="224">
        <v>19.2227065619252</v>
      </c>
      <c r="Y21" s="224">
        <v>17.977601459590769</v>
      </c>
      <c r="Z21" s="224">
        <v>16.982657240463329</v>
      </c>
      <c r="AA21" s="224">
        <v>16.8349988743369</v>
      </c>
      <c r="AB21" s="224">
        <v>16.659491469972156</v>
      </c>
      <c r="AC21" s="224">
        <f>SUM(Q21:AB21)</f>
        <v>210.09978470101717</v>
      </c>
    </row>
    <row r="22" spans="1:29" x14ac:dyDescent="0.25">
      <c r="B22" s="141">
        <v>2019</v>
      </c>
      <c r="C22" s="141">
        <v>2020</v>
      </c>
      <c r="D22" s="141">
        <v>2021</v>
      </c>
      <c r="E22" s="141">
        <v>2022</v>
      </c>
      <c r="F22" s="141">
        <v>2023</v>
      </c>
      <c r="G22" s="141">
        <v>2024</v>
      </c>
      <c r="H22" s="141">
        <v>2025</v>
      </c>
      <c r="I22" s="142">
        <v>2026</v>
      </c>
      <c r="J22" s="142">
        <v>2027</v>
      </c>
      <c r="K22" s="142">
        <v>2028</v>
      </c>
      <c r="L22" s="142">
        <v>2029</v>
      </c>
      <c r="M22" s="142">
        <v>2030</v>
      </c>
      <c r="N22" s="142" t="s">
        <v>253</v>
      </c>
      <c r="P22" t="s">
        <v>207</v>
      </c>
      <c r="Q22" s="224">
        <f>Q20-Q21</f>
        <v>0.8031803057856024</v>
      </c>
      <c r="R22" s="224">
        <f t="shared" ref="R22:AA22" si="1">R20-R21</f>
        <v>1.520706980671152</v>
      </c>
      <c r="S22" s="224">
        <f t="shared" si="1"/>
        <v>1.8657867110249668</v>
      </c>
      <c r="T22" s="224">
        <f t="shared" si="1"/>
        <v>2.6926800038512582</v>
      </c>
      <c r="U22" s="224">
        <f t="shared" si="1"/>
        <v>2.7130970803923162</v>
      </c>
      <c r="V22" s="224">
        <f t="shared" si="1"/>
        <v>2.5815714596892576</v>
      </c>
      <c r="W22" s="224">
        <f t="shared" si="1"/>
        <v>4.3293680043244187</v>
      </c>
      <c r="X22" s="224">
        <f t="shared" si="1"/>
        <v>6.217135580458347</v>
      </c>
      <c r="Y22" s="224">
        <f t="shared" si="1"/>
        <v>8.5124420844212203</v>
      </c>
      <c r="Z22" s="224">
        <f t="shared" si="1"/>
        <v>10.824280745662115</v>
      </c>
      <c r="AA22" s="224">
        <f t="shared" si="1"/>
        <v>11.528481079367637</v>
      </c>
      <c r="AB22" s="224">
        <f>AB20-AB21</f>
        <v>12.726010499254041</v>
      </c>
      <c r="AC22" s="224">
        <f>SUM(Q22:AB22)</f>
        <v>66.314740534902342</v>
      </c>
    </row>
    <row r="23" spans="1:29" x14ac:dyDescent="0.25">
      <c r="A23" t="s">
        <v>203</v>
      </c>
      <c r="B23" s="313">
        <v>4.1782603973744159</v>
      </c>
      <c r="C23" s="313">
        <v>5.758275896549879</v>
      </c>
      <c r="D23" s="313">
        <v>7.8953767950333926</v>
      </c>
      <c r="E23" s="313">
        <v>10.071624699793402</v>
      </c>
      <c r="F23" s="313">
        <v>12.260265505358717</v>
      </c>
      <c r="G23" s="313">
        <v>14.240814791368805</v>
      </c>
      <c r="H23" s="313">
        <v>15.775925330323657</v>
      </c>
      <c r="I23" s="313">
        <v>17.000427803804268</v>
      </c>
      <c r="J23" s="313">
        <v>17.560381385624584</v>
      </c>
      <c r="K23" s="313">
        <v>19.241186965435194</v>
      </c>
      <c r="L23" s="313">
        <v>20.796912115166968</v>
      </c>
      <c r="M23" s="313">
        <v>22.049255052238596</v>
      </c>
      <c r="N23" s="313">
        <v>166.82870673807187</v>
      </c>
    </row>
    <row r="24" spans="1:29" x14ac:dyDescent="0.25">
      <c r="A24" t="s">
        <v>202</v>
      </c>
      <c r="B24" s="224">
        <v>3.4786426464875175</v>
      </c>
      <c r="C24" s="224">
        <v>4.4144339872914111</v>
      </c>
      <c r="D24" s="224">
        <v>5.2750580661462783</v>
      </c>
      <c r="E24" s="224">
        <v>6.0063695919016737</v>
      </c>
      <c r="F24" s="224">
        <v>6.650988926443004</v>
      </c>
      <c r="G24" s="224">
        <v>6.9603196243432546</v>
      </c>
      <c r="H24" s="224">
        <v>6.3827990986446652</v>
      </c>
      <c r="I24" s="224">
        <v>5.6908093728030105</v>
      </c>
      <c r="J24" s="224">
        <v>4.9498533933782909</v>
      </c>
      <c r="K24" s="224">
        <v>4.3219380850599984</v>
      </c>
      <c r="L24" s="224">
        <v>4.1467018651051752</v>
      </c>
      <c r="M24" s="224">
        <v>3.9678353415863721</v>
      </c>
      <c r="N24" s="224">
        <v>62.245749999190657</v>
      </c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</row>
    <row r="25" spans="1:29" x14ac:dyDescent="0.25">
      <c r="B25" s="141">
        <v>2019</v>
      </c>
      <c r="C25" s="141">
        <v>2020</v>
      </c>
      <c r="D25" s="141">
        <v>2021</v>
      </c>
      <c r="E25" s="141">
        <v>2022</v>
      </c>
      <c r="F25" s="141">
        <v>2023</v>
      </c>
      <c r="G25" s="141">
        <v>2024</v>
      </c>
      <c r="H25" s="141">
        <v>2025</v>
      </c>
      <c r="I25" s="142">
        <v>2026</v>
      </c>
      <c r="J25" s="142">
        <v>2027</v>
      </c>
      <c r="K25" s="142">
        <v>2028</v>
      </c>
      <c r="L25" s="142">
        <v>2029</v>
      </c>
      <c r="M25" s="142">
        <v>2030</v>
      </c>
      <c r="N25" s="142" t="s">
        <v>253</v>
      </c>
    </row>
    <row r="26" spans="1:29" x14ac:dyDescent="0.25">
      <c r="A26" t="s">
        <v>204</v>
      </c>
      <c r="B26" s="313">
        <v>3.9270103973744166</v>
      </c>
      <c r="C26" s="313">
        <v>5.2557758965498795</v>
      </c>
      <c r="D26" s="313">
        <v>7.2399074101467846</v>
      </c>
      <c r="E26" s="313">
        <v>9.5391246997934012</v>
      </c>
      <c r="F26" s="313">
        <v>10.199383613226745</v>
      </c>
      <c r="G26" s="313">
        <v>10.45922394215328</v>
      </c>
      <c r="H26" s="313">
        <v>10.958756079917697</v>
      </c>
      <c r="I26" s="313">
        <v>11.664163562779656</v>
      </c>
      <c r="J26" s="313">
        <v>12.383123046932532</v>
      </c>
      <c r="K26" s="313">
        <v>13.016096395718554</v>
      </c>
      <c r="L26" s="313">
        <v>14.037025925497423</v>
      </c>
      <c r="M26" s="313">
        <v>14.191175133636646</v>
      </c>
      <c r="N26" s="313">
        <v>122.87076610372699</v>
      </c>
    </row>
    <row r="27" spans="1:29" x14ac:dyDescent="0.25">
      <c r="A27" t="s">
        <v>202</v>
      </c>
      <c r="B27" s="224">
        <v>3.4786426464875175</v>
      </c>
      <c r="C27" s="224">
        <v>4.4144339872914111</v>
      </c>
      <c r="D27" s="224">
        <v>5.2750580661462783</v>
      </c>
      <c r="E27" s="224">
        <v>6.0063695919016737</v>
      </c>
      <c r="F27" s="224">
        <v>6.650988926443004</v>
      </c>
      <c r="G27" s="224">
        <v>6.9603196243432546</v>
      </c>
      <c r="H27" s="224">
        <v>6.3827990986446652</v>
      </c>
      <c r="I27" s="224">
        <v>5.6908093728030105</v>
      </c>
      <c r="J27" s="224">
        <v>4.9498533933782909</v>
      </c>
      <c r="K27" s="224">
        <v>4.3219380850599984</v>
      </c>
      <c r="L27" s="224">
        <v>4.1467018651051752</v>
      </c>
      <c r="M27" s="224">
        <v>3.9678353415863721</v>
      </c>
      <c r="N27" s="224">
        <v>62.245749999190657</v>
      </c>
    </row>
    <row r="28" spans="1:29" x14ac:dyDescent="0.25">
      <c r="A28" s="10" t="s">
        <v>208</v>
      </c>
    </row>
    <row r="29" spans="1:29" x14ac:dyDescent="0.25">
      <c r="B29" s="141">
        <v>2019</v>
      </c>
      <c r="C29" s="141">
        <v>2020</v>
      </c>
      <c r="D29" s="141">
        <v>2021</v>
      </c>
      <c r="E29" s="141">
        <v>2022</v>
      </c>
      <c r="F29" s="141">
        <v>2023</v>
      </c>
      <c r="G29" s="141">
        <v>2024</v>
      </c>
      <c r="H29" s="141">
        <v>2025</v>
      </c>
      <c r="I29" s="142">
        <v>2026</v>
      </c>
      <c r="J29" s="142">
        <v>2027</v>
      </c>
      <c r="K29" s="142">
        <v>2028</v>
      </c>
      <c r="L29" s="142">
        <v>2029</v>
      </c>
      <c r="M29" s="142">
        <v>2030</v>
      </c>
      <c r="N29" s="142" t="s">
        <v>256</v>
      </c>
    </row>
    <row r="30" spans="1:29" x14ac:dyDescent="0.25">
      <c r="A30" t="s">
        <v>203</v>
      </c>
      <c r="B30" s="224">
        <f>B23-B24</f>
        <v>0.69961775088689837</v>
      </c>
      <c r="C30" s="224">
        <f t="shared" ref="C30:N30" si="2">C23-C24</f>
        <v>1.3438419092584679</v>
      </c>
      <c r="D30" s="224">
        <f t="shared" si="2"/>
        <v>2.6203187288871144</v>
      </c>
      <c r="E30" s="224">
        <f t="shared" si="2"/>
        <v>4.0652551078917281</v>
      </c>
      <c r="F30" s="224">
        <f t="shared" si="2"/>
        <v>5.6092765789157131</v>
      </c>
      <c r="G30" s="224">
        <f t="shared" si="2"/>
        <v>7.2804951670255509</v>
      </c>
      <c r="H30" s="224">
        <f t="shared" si="2"/>
        <v>9.3931262316789912</v>
      </c>
      <c r="I30" s="224">
        <f t="shared" si="2"/>
        <v>11.309618431001258</v>
      </c>
      <c r="J30" s="224">
        <f t="shared" si="2"/>
        <v>12.610527992246293</v>
      </c>
      <c r="K30" s="224">
        <f t="shared" si="2"/>
        <v>14.919248880375196</v>
      </c>
      <c r="L30" s="224">
        <f t="shared" si="2"/>
        <v>16.650210250061793</v>
      </c>
      <c r="M30" s="224">
        <f t="shared" si="2"/>
        <v>18.081419710652224</v>
      </c>
      <c r="N30" s="224">
        <f t="shared" si="2"/>
        <v>104.58295673888122</v>
      </c>
      <c r="O30" s="210"/>
    </row>
    <row r="31" spans="1:29" x14ac:dyDescent="0.25">
      <c r="A31" t="s">
        <v>204</v>
      </c>
      <c r="B31" s="224">
        <f t="shared" ref="B31:N31" si="3">B26-B27</f>
        <v>0.44836775088689906</v>
      </c>
      <c r="C31" s="224">
        <f t="shared" si="3"/>
        <v>0.84134190925846841</v>
      </c>
      <c r="D31" s="224">
        <f t="shared" si="3"/>
        <v>1.9648493440005064</v>
      </c>
      <c r="E31" s="224">
        <f t="shared" si="3"/>
        <v>3.5327551078917274</v>
      </c>
      <c r="F31" s="224">
        <f t="shared" si="3"/>
        <v>3.548394686783741</v>
      </c>
      <c r="G31" s="224">
        <f t="shared" si="3"/>
        <v>3.498904317810025</v>
      </c>
      <c r="H31" s="224">
        <f t="shared" si="3"/>
        <v>4.5759569812730314</v>
      </c>
      <c r="I31" s="224">
        <f t="shared" si="3"/>
        <v>5.9733541899766456</v>
      </c>
      <c r="J31" s="224">
        <f t="shared" si="3"/>
        <v>7.4332696535542411</v>
      </c>
      <c r="K31" s="224">
        <f t="shared" si="3"/>
        <v>8.6941583106585547</v>
      </c>
      <c r="L31" s="224">
        <f t="shared" si="3"/>
        <v>9.8903240603922473</v>
      </c>
      <c r="M31" s="224">
        <f t="shared" si="3"/>
        <v>10.223339792050274</v>
      </c>
      <c r="N31" s="224">
        <f t="shared" si="3"/>
        <v>60.625016104536336</v>
      </c>
      <c r="O31" s="210"/>
    </row>
    <row r="32" spans="1:29" x14ac:dyDescent="0.25">
      <c r="A32" t="s">
        <v>174</v>
      </c>
      <c r="B32" s="224">
        <f t="shared" ref="B32:N32" si="4">B20-B21</f>
        <v>0.39024275088689908</v>
      </c>
      <c r="C32" s="224">
        <f t="shared" si="4"/>
        <v>0.62509190925846791</v>
      </c>
      <c r="D32" s="224">
        <f t="shared" si="4"/>
        <v>1.2398124198691614</v>
      </c>
      <c r="E32" s="224">
        <f t="shared" si="4"/>
        <v>2.3501837966035204</v>
      </c>
      <c r="F32" s="224">
        <f t="shared" si="4"/>
        <v>2.9291624377644538</v>
      </c>
      <c r="G32" s="224">
        <f t="shared" si="4"/>
        <v>3.4771590402954349</v>
      </c>
      <c r="H32" s="224">
        <f t="shared" si="4"/>
        <v>4.9059133163067257</v>
      </c>
      <c r="I32" s="224">
        <f t="shared" si="4"/>
        <v>6.3279432878906645</v>
      </c>
      <c r="J32" s="224">
        <f t="shared" si="4"/>
        <v>7.9353074047022822</v>
      </c>
      <c r="K32" s="224">
        <f t="shared" si="4"/>
        <v>9.7539946732524925</v>
      </c>
      <c r="L32" s="224">
        <f t="shared" si="4"/>
        <v>10.765169699220793</v>
      </c>
      <c r="M32" s="224">
        <f t="shared" si="4"/>
        <v>11.924111186374034</v>
      </c>
      <c r="N32" s="224">
        <f t="shared" si="4"/>
        <v>62.624091922424917</v>
      </c>
    </row>
    <row r="42" spans="16:31" x14ac:dyDescent="0.25">
      <c r="P42" s="10" t="s">
        <v>209</v>
      </c>
    </row>
    <row r="43" spans="16:31" x14ac:dyDescent="0.25">
      <c r="Q43" s="141">
        <v>2019</v>
      </c>
      <c r="R43" s="141">
        <v>2020</v>
      </c>
      <c r="S43" s="141">
        <v>2021</v>
      </c>
      <c r="T43" s="141">
        <v>2022</v>
      </c>
      <c r="U43" s="141">
        <v>2023</v>
      </c>
      <c r="V43" s="141">
        <v>2024</v>
      </c>
      <c r="W43" s="141">
        <v>2025</v>
      </c>
      <c r="X43" s="142">
        <v>2026</v>
      </c>
      <c r="Y43" s="142">
        <v>2027</v>
      </c>
      <c r="Z43" s="142">
        <v>2028</v>
      </c>
      <c r="AA43" s="142">
        <v>2029</v>
      </c>
      <c r="AB43" s="142">
        <v>2030</v>
      </c>
      <c r="AC43" s="142" t="s">
        <v>253</v>
      </c>
      <c r="AD43" t="s">
        <v>210</v>
      </c>
      <c r="AE43" t="s">
        <v>211</v>
      </c>
    </row>
    <row r="44" spans="16:31" x14ac:dyDescent="0.25">
      <c r="P44" t="s">
        <v>203</v>
      </c>
      <c r="Q44" s="224">
        <v>-15.205042019736435</v>
      </c>
      <c r="R44" s="224">
        <v>-18.337967050389071</v>
      </c>
      <c r="S44" s="224">
        <v>-21.066100027794253</v>
      </c>
      <c r="T44" s="224">
        <v>-23.572903408340323</v>
      </c>
      <c r="U44" s="224">
        <v>-25.546686287511303</v>
      </c>
      <c r="V44" s="224">
        <v>-27.216653861398193</v>
      </c>
      <c r="W44" s="224">
        <v>-28.679636429533897</v>
      </c>
      <c r="X44" s="224">
        <v>-29.923613577812365</v>
      </c>
      <c r="Y44" s="224">
        <v>-31.493669964381812</v>
      </c>
      <c r="Z44" s="224">
        <v>-32.776193329023201</v>
      </c>
      <c r="AA44" s="224">
        <v>-34.042779397996355</v>
      </c>
      <c r="AB44" s="224">
        <v>-35.276933774467906</v>
      </c>
      <c r="AC44" s="224">
        <f>SUM(Q44:AB44)</f>
        <v>-323.13817912838516</v>
      </c>
      <c r="AD44" s="224">
        <f>AC44-AC46</f>
        <v>-43.032069735330879</v>
      </c>
      <c r="AE44" s="224">
        <f>AC44-AC47</f>
        <v>-109.58225057582666</v>
      </c>
    </row>
    <row r="45" spans="16:31" x14ac:dyDescent="0.25">
      <c r="P45" t="s">
        <v>204</v>
      </c>
      <c r="Q45" s="313">
        <v>-16.833806799818326</v>
      </c>
      <c r="R45" s="313">
        <v>-21.474445847121377</v>
      </c>
      <c r="S45" s="313">
        <v>-21.085533988105183</v>
      </c>
      <c r="T45" s="313">
        <v>-20.82175338108383</v>
      </c>
      <c r="U45" s="313">
        <v>-21.777417203734419</v>
      </c>
      <c r="V45" s="313">
        <v>-22.799720553169998</v>
      </c>
      <c r="W45" s="313">
        <v>-23.643280199718834</v>
      </c>
      <c r="X45" s="313">
        <v>-24.381937024512016</v>
      </c>
      <c r="Y45" s="313">
        <v>-25.227952904015204</v>
      </c>
      <c r="Z45" s="313">
        <v>-25.989948224018555</v>
      </c>
      <c r="AA45" s="313">
        <v>-26.776628031213001</v>
      </c>
      <c r="AB45" s="313">
        <v>-27.694133270360322</v>
      </c>
      <c r="AC45" s="224">
        <f>SUM(Q45:AB45)</f>
        <v>-278.5065574268711</v>
      </c>
      <c r="AD45" s="224">
        <f>AC45-AC46</f>
        <v>1.599551966183185</v>
      </c>
      <c r="AE45" s="224">
        <f>AC45-AC47</f>
        <v>-64.950628874312599</v>
      </c>
    </row>
    <row r="46" spans="16:31" x14ac:dyDescent="0.25">
      <c r="P46" t="s">
        <v>174</v>
      </c>
      <c r="Q46" s="224">
        <v>-14.390659629695495</v>
      </c>
      <c r="R46" s="224">
        <v>-16.76972765202289</v>
      </c>
      <c r="S46" s="224">
        <v>-18.799365556252457</v>
      </c>
      <c r="T46" s="224">
        <v>-20.675407714811907</v>
      </c>
      <c r="U46" s="224">
        <v>-22.12896428460628</v>
      </c>
      <c r="V46" s="224">
        <v>-23.448732397249714</v>
      </c>
      <c r="W46" s="224">
        <v>-24.646965908090102</v>
      </c>
      <c r="X46" s="224">
        <v>-25.713758704600561</v>
      </c>
      <c r="Y46" s="224">
        <v>-26.766268376919349</v>
      </c>
      <c r="Z46" s="224">
        <v>-27.816169144644789</v>
      </c>
      <c r="AA46" s="224">
        <v>-29.007128465126808</v>
      </c>
      <c r="AB46" s="224">
        <v>-29.942961559033897</v>
      </c>
      <c r="AC46" s="224">
        <f>SUM(Q46:AB46)</f>
        <v>-280.10610939305428</v>
      </c>
      <c r="AD46" s="224"/>
      <c r="AE46" s="224"/>
    </row>
    <row r="47" spans="16:31" x14ac:dyDescent="0.25">
      <c r="P47" t="s">
        <v>202</v>
      </c>
      <c r="Q47" s="224">
        <v>-16.6553146620214</v>
      </c>
      <c r="R47" s="224">
        <v>-20.731246868472844</v>
      </c>
      <c r="S47" s="224">
        <v>-20.038844238740889</v>
      </c>
      <c r="T47" s="224">
        <v>-19.415269623635059</v>
      </c>
      <c r="U47" s="224">
        <v>-18.809730145392255</v>
      </c>
      <c r="V47" s="224">
        <v>-18.033234911026788</v>
      </c>
      <c r="W47" s="224">
        <v>-17.426485729764163</v>
      </c>
      <c r="X47" s="224">
        <v>-16.947109854298841</v>
      </c>
      <c r="Y47" s="224">
        <v>-16.705899048840639</v>
      </c>
      <c r="Z47" s="224">
        <v>-16.463443497776368</v>
      </c>
      <c r="AA47" s="224">
        <v>-16.249449266449442</v>
      </c>
      <c r="AB47" s="224">
        <v>-16.079900706139803</v>
      </c>
      <c r="AC47" s="224">
        <f>SUM(Q47:AB47)</f>
        <v>-213.5559285525585</v>
      </c>
      <c r="AD47" s="224"/>
      <c r="AE47" s="224"/>
    </row>
    <row r="51" spans="1:15" x14ac:dyDescent="0.25">
      <c r="A51" s="10" t="s">
        <v>214</v>
      </c>
    </row>
    <row r="52" spans="1:15" x14ac:dyDescent="0.25">
      <c r="B52" s="141">
        <v>2019</v>
      </c>
      <c r="C52" s="141">
        <v>2020</v>
      </c>
      <c r="D52" s="141">
        <v>2021</v>
      </c>
      <c r="E52" s="141">
        <v>2022</v>
      </c>
      <c r="F52" s="141">
        <v>2023</v>
      </c>
      <c r="G52" s="141">
        <v>2024</v>
      </c>
      <c r="H52" s="141">
        <v>2025</v>
      </c>
      <c r="I52" s="142">
        <v>2026</v>
      </c>
      <c r="J52" s="142">
        <v>2027</v>
      </c>
      <c r="K52" s="142">
        <v>2028</v>
      </c>
      <c r="L52" s="142">
        <v>2029</v>
      </c>
      <c r="M52" s="142">
        <v>2030</v>
      </c>
      <c r="N52" s="142" t="s">
        <v>253</v>
      </c>
    </row>
    <row r="53" spans="1:15" x14ac:dyDescent="0.25">
      <c r="A53" t="s">
        <v>174</v>
      </c>
      <c r="B53" s="224">
        <f>B20</f>
        <v>3.8688853973744166</v>
      </c>
      <c r="C53" s="224">
        <f t="shared" ref="C53:N53" si="5">C20</f>
        <v>5.039525896549879</v>
      </c>
      <c r="D53" s="224">
        <f t="shared" si="5"/>
        <v>6.5148704860154396</v>
      </c>
      <c r="E53" s="224">
        <f t="shared" si="5"/>
        <v>8.3565533885051941</v>
      </c>
      <c r="F53" s="224">
        <f t="shared" si="5"/>
        <v>9.5801513642074578</v>
      </c>
      <c r="G53" s="224">
        <f t="shared" si="5"/>
        <v>10.437478664638689</v>
      </c>
      <c r="H53" s="224">
        <f t="shared" si="5"/>
        <v>11.288712414951391</v>
      </c>
      <c r="I53" s="224">
        <f t="shared" si="5"/>
        <v>12.018752660693675</v>
      </c>
      <c r="J53" s="224">
        <f t="shared" si="5"/>
        <v>12.885160798080573</v>
      </c>
      <c r="K53" s="224">
        <f t="shared" si="5"/>
        <v>14.07593275831249</v>
      </c>
      <c r="L53" s="224">
        <f t="shared" si="5"/>
        <v>14.911871564325969</v>
      </c>
      <c r="M53" s="224">
        <f t="shared" si="5"/>
        <v>15.891946527960407</v>
      </c>
      <c r="N53" s="224">
        <f t="shared" si="5"/>
        <v>124.86984192161557</v>
      </c>
    </row>
    <row r="54" spans="1:15" x14ac:dyDescent="0.25">
      <c r="A54" t="s">
        <v>212</v>
      </c>
      <c r="B54" s="224">
        <f>B21</f>
        <v>3.4786426464875175</v>
      </c>
      <c r="C54" s="224">
        <f t="shared" ref="C54:N54" si="6">C21</f>
        <v>4.4144339872914111</v>
      </c>
      <c r="D54" s="224">
        <f t="shared" si="6"/>
        <v>5.2750580661462783</v>
      </c>
      <c r="E54" s="224">
        <f t="shared" si="6"/>
        <v>6.0063695919016737</v>
      </c>
      <c r="F54" s="224">
        <f t="shared" si="6"/>
        <v>6.650988926443004</v>
      </c>
      <c r="G54" s="224">
        <f t="shared" si="6"/>
        <v>6.9603196243432546</v>
      </c>
      <c r="H54" s="224">
        <f t="shared" si="6"/>
        <v>6.3827990986446652</v>
      </c>
      <c r="I54" s="224">
        <f t="shared" si="6"/>
        <v>5.6908093728030105</v>
      </c>
      <c r="J54" s="224">
        <f t="shared" si="6"/>
        <v>4.9498533933782909</v>
      </c>
      <c r="K54" s="224">
        <f t="shared" si="6"/>
        <v>4.3219380850599984</v>
      </c>
      <c r="L54" s="224">
        <f t="shared" si="6"/>
        <v>4.1467018651051752</v>
      </c>
      <c r="M54" s="224">
        <f t="shared" si="6"/>
        <v>3.9678353415863721</v>
      </c>
      <c r="N54" s="224">
        <f t="shared" si="6"/>
        <v>62.245749999190657</v>
      </c>
      <c r="O54" s="210"/>
    </row>
    <row r="55" spans="1:15" x14ac:dyDescent="0.25">
      <c r="A55" t="s">
        <v>213</v>
      </c>
      <c r="B55" s="224">
        <f>$O$14</f>
        <v>2.3525756930338551</v>
      </c>
      <c r="C55" s="224">
        <f t="shared" ref="C55:M55" si="7">$O$14</f>
        <v>2.3525756930338551</v>
      </c>
      <c r="D55" s="224">
        <f t="shared" si="7"/>
        <v>2.3525756930338551</v>
      </c>
      <c r="E55" s="224">
        <f t="shared" si="7"/>
        <v>2.3525756930338551</v>
      </c>
      <c r="F55" s="224">
        <f t="shared" si="7"/>
        <v>2.3525756930338551</v>
      </c>
      <c r="G55" s="224">
        <f t="shared" si="7"/>
        <v>2.3525756930338551</v>
      </c>
      <c r="H55" s="224">
        <f t="shared" si="7"/>
        <v>2.3525756930338551</v>
      </c>
      <c r="I55" s="224">
        <f t="shared" si="7"/>
        <v>2.3525756930338551</v>
      </c>
      <c r="J55" s="224">
        <f t="shared" si="7"/>
        <v>2.3525756930338551</v>
      </c>
      <c r="K55" s="224">
        <f t="shared" si="7"/>
        <v>2.3525756930338551</v>
      </c>
      <c r="L55" s="224">
        <f t="shared" si="7"/>
        <v>2.3525756930338551</v>
      </c>
      <c r="M55" s="224">
        <f t="shared" si="7"/>
        <v>2.3525756930338551</v>
      </c>
      <c r="N55" s="210">
        <f>SUM(B55:M55)</f>
        <v>28.230908316406268</v>
      </c>
      <c r="O55" s="210"/>
    </row>
    <row r="75" spans="1:15" x14ac:dyDescent="0.25">
      <c r="A75" s="10" t="s">
        <v>206</v>
      </c>
    </row>
    <row r="76" spans="1:15" x14ac:dyDescent="0.25">
      <c r="B76" s="141">
        <v>2019</v>
      </c>
      <c r="C76" s="141">
        <v>2020</v>
      </c>
      <c r="D76" s="141">
        <v>2021</v>
      </c>
      <c r="E76" s="141">
        <v>2022</v>
      </c>
      <c r="F76" s="141">
        <v>2023</v>
      </c>
      <c r="G76" s="141">
        <v>2024</v>
      </c>
      <c r="H76" s="141">
        <v>2025</v>
      </c>
      <c r="I76" s="142">
        <v>2026</v>
      </c>
      <c r="J76" s="142">
        <v>2027</v>
      </c>
      <c r="K76" s="142">
        <v>2028</v>
      </c>
      <c r="L76" s="142">
        <v>2029</v>
      </c>
      <c r="M76" s="142">
        <v>2030</v>
      </c>
      <c r="N76" s="142" t="s">
        <v>253</v>
      </c>
    </row>
    <row r="77" spans="1:15" x14ac:dyDescent="0.25">
      <c r="A77" t="s">
        <v>246</v>
      </c>
      <c r="B77" s="313">
        <v>3.8270103973744165</v>
      </c>
      <c r="C77" s="313">
        <v>4.9557758965498788</v>
      </c>
      <c r="D77" s="313">
        <v>6.4311204860154394</v>
      </c>
      <c r="E77" s="313">
        <v>8.2678033885051931</v>
      </c>
      <c r="F77" s="313">
        <v>9.0624047033745097</v>
      </c>
      <c r="G77" s="313">
        <v>10.026846395257211</v>
      </c>
      <c r="H77" s="313">
        <v>10.838466679225855</v>
      </c>
      <c r="I77" s="313">
        <v>11.443589323963495</v>
      </c>
      <c r="J77" s="313">
        <v>11.953889797812311</v>
      </c>
      <c r="K77" s="313">
        <v>12.038727759676814</v>
      </c>
      <c r="L77" s="313">
        <v>12.581725550830946</v>
      </c>
      <c r="M77" s="313">
        <v>12.991254252614365</v>
      </c>
      <c r="N77" s="313">
        <v>114.41861463120043</v>
      </c>
      <c r="O77" s="224">
        <f>N77-N78</f>
        <v>56.996415485807951</v>
      </c>
    </row>
    <row r="78" spans="1:15" x14ac:dyDescent="0.25">
      <c r="A78" t="s">
        <v>247</v>
      </c>
      <c r="B78" s="224">
        <v>3.4786426464875175</v>
      </c>
      <c r="C78" s="224">
        <v>4.4144339872914111</v>
      </c>
      <c r="D78" s="224">
        <v>5.2750580661462783</v>
      </c>
      <c r="E78" s="224">
        <v>6.0063695919016737</v>
      </c>
      <c r="F78" s="224">
        <v>6.6537141348123328</v>
      </c>
      <c r="G78" s="224">
        <v>6.6071361184492146</v>
      </c>
      <c r="H78" s="224">
        <v>5.6573737562691413</v>
      </c>
      <c r="I78" s="224">
        <v>4.7865252531256619</v>
      </c>
      <c r="J78" s="224">
        <v>4.2363936561014537</v>
      </c>
      <c r="K78" s="224">
        <v>3.826613330902688</v>
      </c>
      <c r="L78" s="224">
        <v>3.4361845925281513</v>
      </c>
      <c r="M78" s="224">
        <v>3.0437540113769548</v>
      </c>
      <c r="N78" s="224">
        <v>57.422199145392476</v>
      </c>
    </row>
    <row r="80" spans="1:15" x14ac:dyDescent="0.25">
      <c r="A80" s="10" t="s">
        <v>206</v>
      </c>
    </row>
    <row r="81" spans="1:15" x14ac:dyDescent="0.25">
      <c r="B81" s="141">
        <v>2019</v>
      </c>
      <c r="C81" s="141">
        <v>2020</v>
      </c>
      <c r="D81" s="141">
        <v>2021</v>
      </c>
      <c r="E81" s="141">
        <v>2022</v>
      </c>
      <c r="F81" s="141">
        <v>2023</v>
      </c>
      <c r="G81" s="141">
        <v>2024</v>
      </c>
      <c r="H81" s="141">
        <v>2025</v>
      </c>
      <c r="I81" s="142">
        <v>2026</v>
      </c>
      <c r="J81" s="142">
        <v>2027</v>
      </c>
      <c r="K81" s="142">
        <v>2028</v>
      </c>
      <c r="L81" s="142">
        <v>2029</v>
      </c>
      <c r="M81" s="142">
        <v>2030</v>
      </c>
      <c r="N81" s="142" t="s">
        <v>253</v>
      </c>
    </row>
    <row r="82" spans="1:15" x14ac:dyDescent="0.25">
      <c r="A82" t="s">
        <v>175</v>
      </c>
      <c r="B82" s="224">
        <v>4.0866331127833826</v>
      </c>
      <c r="C82" s="224">
        <v>5.5527495609660713</v>
      </c>
      <c r="D82" s="224">
        <v>7.5884382747386958</v>
      </c>
      <c r="E82" s="224">
        <v>9.3907380822109268</v>
      </c>
      <c r="F82" s="224">
        <v>10.817335818519176</v>
      </c>
      <c r="G82" s="224">
        <v>11.997978133062151</v>
      </c>
      <c r="H82" s="224">
        <v>13.827907717044923</v>
      </c>
      <c r="I82" s="224">
        <v>15.182604468227495</v>
      </c>
      <c r="J82" s="224">
        <v>16.560209154973197</v>
      </c>
      <c r="K82" s="224">
        <v>17.721866408916114</v>
      </c>
      <c r="L82" s="224">
        <v>19.415768755964923</v>
      </c>
      <c r="M82" s="224">
        <v>20.54081514879616</v>
      </c>
      <c r="N82" s="224">
        <v>152.68304463620322</v>
      </c>
      <c r="O82" s="224">
        <f>N82-N83</f>
        <v>76.000088283115048</v>
      </c>
    </row>
    <row r="83" spans="1:15" x14ac:dyDescent="0.25">
      <c r="A83" t="s">
        <v>248</v>
      </c>
      <c r="B83" s="224">
        <v>3.5126403618964841</v>
      </c>
      <c r="C83" s="224">
        <v>4.4983557267076026</v>
      </c>
      <c r="D83" s="224">
        <v>5.4455439839527155</v>
      </c>
      <c r="E83" s="224">
        <v>6.5250852787044504</v>
      </c>
      <c r="F83" s="224">
        <v>7.3451821385317757</v>
      </c>
      <c r="G83" s="224">
        <v>8.1296152988819266</v>
      </c>
      <c r="H83" s="224">
        <v>8.4287108333002028</v>
      </c>
      <c r="I83" s="224">
        <v>7.7298707353192366</v>
      </c>
      <c r="J83" s="224">
        <v>6.8823571540532935</v>
      </c>
      <c r="K83" s="224">
        <v>6.5570983951845463</v>
      </c>
      <c r="L83" s="224">
        <v>6.272520626713046</v>
      </c>
      <c r="M83" s="224">
        <v>5.3559758198429037</v>
      </c>
      <c r="N83" s="224">
        <v>76.682956353088173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6"/>
  <sheetViews>
    <sheetView zoomScaleNormal="100" workbookViewId="0"/>
  </sheetViews>
  <sheetFormatPr defaultColWidth="8.85546875" defaultRowHeight="15" x14ac:dyDescent="0.25"/>
  <cols>
    <col min="1" max="1" width="20.28515625" bestFit="1" customWidth="1"/>
    <col min="2" max="2" width="13.42578125" bestFit="1" customWidth="1"/>
    <col min="3" max="4" width="13.42578125" customWidth="1"/>
    <col min="5" max="5" width="13.7109375" bestFit="1" customWidth="1"/>
    <col min="17" max="17" width="11.140625" bestFit="1" customWidth="1"/>
  </cols>
  <sheetData>
    <row r="1" spans="1:19" x14ac:dyDescent="0.25">
      <c r="B1" s="207" t="s">
        <v>172</v>
      </c>
      <c r="C1" s="207"/>
      <c r="D1" s="207"/>
      <c r="E1" s="207"/>
      <c r="F1" s="207"/>
      <c r="G1" s="207"/>
    </row>
    <row r="2" spans="1:19" x14ac:dyDescent="0.25"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>
        <v>2024</v>
      </c>
      <c r="K2" s="3">
        <v>2025</v>
      </c>
      <c r="L2" s="16">
        <v>2026</v>
      </c>
      <c r="M2" s="16">
        <v>2027</v>
      </c>
      <c r="N2" s="16">
        <v>2028</v>
      </c>
      <c r="O2" s="16">
        <v>2029</v>
      </c>
      <c r="P2" s="16">
        <v>2030</v>
      </c>
      <c r="Q2" s="16" t="s">
        <v>253</v>
      </c>
    </row>
    <row r="3" spans="1:19" x14ac:dyDescent="0.25">
      <c r="A3" t="s">
        <v>5</v>
      </c>
      <c r="B3" s="209">
        <f>(Calculations!F79+Calculations!F88)/Calculations!$C$173</f>
        <v>3.0075110075110075E-3</v>
      </c>
      <c r="C3" s="209">
        <f>(Calculations!G79+Calculations!G88)/Calculations!$C$173</f>
        <v>0.27785029785029786</v>
      </c>
      <c r="D3" s="209">
        <f>(Calculations!H79+Calculations!H88)/Calculations!$C$173</f>
        <v>0.79440095893920959</v>
      </c>
      <c r="E3" s="209">
        <f>(Calculations!I79+Calculations!I88)/Calculations!$C$173</f>
        <v>1.4777253571745246</v>
      </c>
      <c r="F3" s="209">
        <f>(Calculations!J79+Calculations!J88)/Calculations!$C$173</f>
        <v>2.6080712817739387</v>
      </c>
      <c r="G3" s="209">
        <f>(Calculations!K79+Calculations!K88)/Calculations!$C$173</f>
        <v>4.2086555129353327</v>
      </c>
      <c r="H3" s="209">
        <f>(Calculations!L79+Calculations!L88)/Calculations!$C$173</f>
        <v>6.6624587650452325</v>
      </c>
      <c r="I3" s="209">
        <f>(Calculations!M79+Calculations!M88)/Calculations!$C$173</f>
        <v>9.9942480845224466</v>
      </c>
      <c r="J3" s="209">
        <f>(Calculations!N79+Calculations!N88)/Calculations!$C$173</f>
        <v>14.003271227826094</v>
      </c>
      <c r="K3" s="209">
        <f>(Calculations!O79+Calculations!O88)/Calculations!$C$173</f>
        <v>18.649150478638298</v>
      </c>
      <c r="L3" s="209">
        <f>(Calculations!P79+Calculations!P88)/Calculations!$C$173</f>
        <v>23.682331117918331</v>
      </c>
      <c r="M3" s="209">
        <f>(Calculations!Q79+Calculations!Q88)/Calculations!$C$173</f>
        <v>28.823920280484622</v>
      </c>
      <c r="N3" s="209">
        <f>(Calculations!R79+Calculations!R88)/Calculations!$C$173</f>
        <v>34.071820663342137</v>
      </c>
      <c r="O3" s="209">
        <f>(Calculations!S79+Calculations!S88)/Calculations!$C$173</f>
        <v>39.493057084357716</v>
      </c>
      <c r="P3" s="209">
        <f>(Calculations!T79+Calculations!T88)/Calculations!$C$173</f>
        <v>45.143032307417606</v>
      </c>
      <c r="Q3" s="209">
        <f>SUM(E3:P3)</f>
        <v>228.81774216143626</v>
      </c>
    </row>
    <row r="4" spans="1:19" x14ac:dyDescent="0.25">
      <c r="A4" t="s">
        <v>63</v>
      </c>
      <c r="B4" s="209">
        <f>(Calculations!F80+Calculations!F89+Calculations!F90)/115.83</f>
        <v>60.327741144251007</v>
      </c>
      <c r="C4" s="209">
        <f>(Calculations!G80+Calculations!G89+Calculations!G90)/115.83</f>
        <v>75.70654474991656</v>
      </c>
      <c r="D4" s="209">
        <f>(Calculations!H80+Calculations!H89+Calculations!H90)/115.83</f>
        <v>81.306672412203071</v>
      </c>
      <c r="E4" s="209">
        <f>(Calculations!I80+Calculations!I89+Calculations!I90)/115.83</f>
        <v>86.569329650057696</v>
      </c>
      <c r="F4" s="209">
        <f>(Calculations!J80+Calculations!J89+Calculations!J90)/115.83</f>
        <v>93.662062861576118</v>
      </c>
      <c r="G4" s="209">
        <f>(Calculations!K80+Calculations!K89+Calculations!K90)/115.83</f>
        <v>102.5138873681929</v>
      </c>
      <c r="H4" s="209">
        <f>(Calculations!L80+Calculations!L89+Calculations!L90)/115.83</f>
        <v>112.93016826130344</v>
      </c>
      <c r="I4" s="209">
        <f>(Calculations!M80+Calculations!M89+Calculations!M90)/115.83</f>
        <v>124.3995229605878</v>
      </c>
      <c r="J4" s="209">
        <f>(Calculations!N80+Calculations!N89+Calculations!N90)/115.83</f>
        <v>138.16220571777978</v>
      </c>
      <c r="K4" s="209">
        <f>(Calculations!O80+Calculations!O89+Calculations!O90)/115.83</f>
        <v>153.42326496917136</v>
      </c>
      <c r="L4" s="209">
        <f>(Calculations!P80+Calculations!P89+Calculations!P90)/115.83</f>
        <v>169.76770115569767</v>
      </c>
      <c r="M4" s="209">
        <f>(Calculations!Q80+Calculations!Q89+Calculations!Q90)/115.83</f>
        <v>186.34958616783621</v>
      </c>
      <c r="N4" s="209">
        <f>(Calculations!R80+Calculations!R89+Calculations!R90)/115.83</f>
        <v>202.69299019430517</v>
      </c>
      <c r="O4" s="209">
        <f>(Calculations!S80+Calculations!S89+Calculations!S90)/115.83</f>
        <v>219.04461671001422</v>
      </c>
      <c r="P4" s="209">
        <f>(Calculations!T80+Calculations!T89+Calculations!T90)/115.83</f>
        <v>235.47580014111716</v>
      </c>
      <c r="Q4" s="209">
        <f t="shared" ref="Q4:Q11" si="0">SUM(E4:P4)</f>
        <v>1824.9911361576394</v>
      </c>
    </row>
    <row r="5" spans="1:19" x14ac:dyDescent="0.25">
      <c r="A5" t="s">
        <v>1</v>
      </c>
      <c r="B5" s="209">
        <f>(Calculations!F85)/115.83</f>
        <v>286.17599503626008</v>
      </c>
      <c r="C5" s="209">
        <f>(Calculations!G85)/115.83</f>
        <v>375.48958544504882</v>
      </c>
      <c r="D5" s="209">
        <f>(Calculations!H85)/115.83</f>
        <v>503.6907536907537</v>
      </c>
      <c r="E5" s="209">
        <f>(Calculations!I85)/115.83</f>
        <v>615.62203228869896</v>
      </c>
      <c r="F5" s="209">
        <f>(Calculations!J85)/115.83</f>
        <v>727.55331088664423</v>
      </c>
      <c r="G5" s="209">
        <f>(Calculations!K85)/115.83</f>
        <v>839.48458948458949</v>
      </c>
      <c r="H5" s="209">
        <f>(Calculations!L85)/115.83</f>
        <v>951.41586808253476</v>
      </c>
      <c r="I5" s="209">
        <f>(Calculations!M85)/115.83</f>
        <v>1007.3815073815074</v>
      </c>
      <c r="J5" s="209">
        <f>(Calculations!N85)/115.83</f>
        <v>1007.3815073815074</v>
      </c>
      <c r="K5" s="209">
        <f>(Calculations!O85)/115.83</f>
        <v>1007.3815073815074</v>
      </c>
      <c r="L5" s="209">
        <f>(Calculations!P85)/115.83</f>
        <v>1007.3815073815074</v>
      </c>
      <c r="M5" s="209">
        <f>(Calculations!Q85)/115.83</f>
        <v>1063.3471466804801</v>
      </c>
      <c r="N5" s="209">
        <f>(Calculations!R85)/115.83</f>
        <v>1119.3127859794527</v>
      </c>
      <c r="O5" s="209">
        <f>(Calculations!S85)/115.83</f>
        <v>1119.3127859794527</v>
      </c>
      <c r="P5" s="209">
        <f>(Calculations!T85)/115.83</f>
        <v>1231.2440645773979</v>
      </c>
      <c r="Q5" s="209">
        <f t="shared" si="0"/>
        <v>11696.818613485282</v>
      </c>
      <c r="S5" s="209"/>
    </row>
    <row r="6" spans="1:19" x14ac:dyDescent="0.25">
      <c r="A6" t="s">
        <v>38</v>
      </c>
      <c r="B6" s="209">
        <f>Calculations!F84/115.83</f>
        <v>177.87701262617307</v>
      </c>
      <c r="C6" s="209">
        <f>Calculations!G84/115.83</f>
        <v>186.73058210725819</v>
      </c>
      <c r="D6" s="209">
        <f>Calculations!H84/115.83</f>
        <v>217.7880396988094</v>
      </c>
      <c r="E6" s="209">
        <f>Calculations!I84/115.83</f>
        <v>299.45855458586294</v>
      </c>
      <c r="F6" s="209">
        <f>Calculations!J84/115.83</f>
        <v>381.1290694729164</v>
      </c>
      <c r="G6" s="209">
        <f>Calculations!K84/115.83</f>
        <v>462.79958435996991</v>
      </c>
      <c r="H6" s="209">
        <f>Calculations!L84/115.83</f>
        <v>544.47009924702343</v>
      </c>
      <c r="I6" s="209">
        <f>Calculations!M84/115.83</f>
        <v>544.47009924702343</v>
      </c>
      <c r="J6" s="209">
        <f>Calculations!N84/115.83</f>
        <v>544.47009924702343</v>
      </c>
      <c r="K6" s="209">
        <f>Calculations!O84/115.83</f>
        <v>544.47009924702343</v>
      </c>
      <c r="L6" s="209">
        <f>Calculations!P84/115.83</f>
        <v>544.47009924702343</v>
      </c>
      <c r="M6" s="209">
        <f>Calculations!Q84/115.83</f>
        <v>544.47009924702343</v>
      </c>
      <c r="N6" s="209">
        <f>Calculations!R84/115.83</f>
        <v>544.47009924702343</v>
      </c>
      <c r="O6" s="209">
        <f>Calculations!S84/115.83</f>
        <v>544.47009924702343</v>
      </c>
      <c r="P6" s="209">
        <f>Calculations!T84/115.83</f>
        <v>544.47009924702343</v>
      </c>
      <c r="Q6" s="209">
        <f t="shared" si="0"/>
        <v>6043.6181016419605</v>
      </c>
      <c r="S6" s="209"/>
    </row>
    <row r="7" spans="1:19" x14ac:dyDescent="0.25">
      <c r="A7" t="s">
        <v>17</v>
      </c>
      <c r="B7" s="209">
        <f>Calculations!F77/115.83</f>
        <v>0</v>
      </c>
      <c r="C7" s="209">
        <f>Calculations!G77/115.83</f>
        <v>0</v>
      </c>
      <c r="D7" s="209">
        <f>Calculations!H77/115.83</f>
        <v>1.4191168692596732</v>
      </c>
      <c r="E7" s="209">
        <f>Calculations!I77/115.83</f>
        <v>2.8382337385193463</v>
      </c>
      <c r="F7" s="209">
        <f>Calculations!J77/115.83</f>
        <v>5.2683839930828631</v>
      </c>
      <c r="G7" s="209">
        <f>Calculations!K77/115.83</f>
        <v>8.0984312264580502</v>
      </c>
      <c r="H7" s="209">
        <f>Calculations!L77/115.83</f>
        <v>11.434576617738173</v>
      </c>
      <c r="I7" s="209">
        <f>Calculations!M77/115.83</f>
        <v>15.596924259694697</v>
      </c>
      <c r="J7" s="209">
        <f>Calculations!N77/115.83</f>
        <v>21.396856933923868</v>
      </c>
      <c r="K7" s="209">
        <f>Calculations!O77/115.83</f>
        <v>28.860910664379357</v>
      </c>
      <c r="L7" s="209">
        <f>Calculations!P77/115.83</f>
        <v>35.919502432189219</v>
      </c>
      <c r="M7" s="209">
        <f>Calculations!Q77/115.83</f>
        <v>49.259259259259267</v>
      </c>
      <c r="N7" s="209">
        <f>Calculations!R77/115.83</f>
        <v>66.851851851851862</v>
      </c>
      <c r="O7" s="209">
        <f>Calculations!S77/115.83</f>
        <v>77.407407407407405</v>
      </c>
      <c r="P7" s="209">
        <f>Calculations!T77/115.83</f>
        <v>87.962962962962962</v>
      </c>
      <c r="Q7" s="209">
        <f t="shared" si="0"/>
        <v>410.89530134746701</v>
      </c>
      <c r="S7" s="209"/>
    </row>
    <row r="8" spans="1:19" x14ac:dyDescent="0.25">
      <c r="A8" t="s">
        <v>124</v>
      </c>
      <c r="B8" s="209">
        <f>Calculations!F76/115.83</f>
        <v>21.771126777777777</v>
      </c>
      <c r="C8" s="209">
        <f>Calculations!G76/115.83</f>
        <v>47.676015296296299</v>
      </c>
      <c r="D8" s="209">
        <f>Calculations!H76/115.83</f>
        <v>70.370370370370381</v>
      </c>
      <c r="E8" s="209">
        <f>Calculations!I76/115.83</f>
        <v>105.55555555555556</v>
      </c>
      <c r="F8" s="209">
        <f>Calculations!J76/115.83</f>
        <v>105.55555555555556</v>
      </c>
      <c r="G8" s="209">
        <f>Calculations!K76/115.83</f>
        <v>70.370370370370381</v>
      </c>
      <c r="H8" s="209">
        <f>Calculations!L76/115.83</f>
        <v>35.18518518518519</v>
      </c>
      <c r="I8" s="209">
        <f>Calculations!M76/115.83</f>
        <v>0</v>
      </c>
      <c r="J8" s="209">
        <f>Calculations!N76/115.83</f>
        <v>0</v>
      </c>
      <c r="K8" s="209">
        <f>Calculations!O76/115.83</f>
        <v>0</v>
      </c>
      <c r="L8" s="209">
        <f>Calculations!P76/115.83</f>
        <v>0</v>
      </c>
      <c r="M8" s="209">
        <f>Calculations!Q76/115.83</f>
        <v>0</v>
      </c>
      <c r="N8" s="209">
        <f>Calculations!R76/115.83</f>
        <v>0</v>
      </c>
      <c r="O8" s="209">
        <f>Calculations!S76/115.83</f>
        <v>0</v>
      </c>
      <c r="P8" s="209">
        <f>Calculations!T76/115.83</f>
        <v>0</v>
      </c>
      <c r="Q8" s="209">
        <f t="shared" si="0"/>
        <v>316.66666666666674</v>
      </c>
      <c r="S8" s="209"/>
    </row>
    <row r="9" spans="1:19" x14ac:dyDescent="0.25">
      <c r="A9" t="s">
        <v>173</v>
      </c>
      <c r="B9" s="209">
        <f>(Calculations!F75)/115.83</f>
        <v>1102.666954888889</v>
      </c>
      <c r="C9" s="209">
        <f>(Calculations!G75)/115.83</f>
        <v>1060.312952888889</v>
      </c>
      <c r="D9" s="209">
        <f>(Calculations!H75)/115.83</f>
        <v>1008.1846428062906</v>
      </c>
      <c r="E9" s="209">
        <f>(Calculations!I75)/115.83</f>
        <v>942.07879310060321</v>
      </c>
      <c r="F9" s="209">
        <f>(Calculations!J75)/115.83</f>
        <v>910.98208179083304</v>
      </c>
      <c r="G9" s="209">
        <f>(Calculations!K75)/115.83</f>
        <v>914.73997635407432</v>
      </c>
      <c r="H9" s="209">
        <f>(Calculations!L75)/115.83</f>
        <v>914.10933577069886</v>
      </c>
      <c r="I9" s="209">
        <f>(Calculations!M75)/115.83</f>
        <v>915.13654515473399</v>
      </c>
      <c r="J9" s="209">
        <f>(Calculations!N75)/115.83</f>
        <v>881.98964620665879</v>
      </c>
      <c r="K9" s="209">
        <f>(Calculations!O75)/115.83</f>
        <v>846.62145659727582</v>
      </c>
      <c r="L9" s="209">
        <f>(Calculations!P75)/115.83</f>
        <v>812.25036628283135</v>
      </c>
      <c r="M9" s="209">
        <f>(Calculations!Q75)/115.83</f>
        <v>779.47179005361932</v>
      </c>
      <c r="N9" s="209">
        <f>(Calculations!R75)/115.83</f>
        <v>746.04399706783158</v>
      </c>
      <c r="O9" s="209">
        <f>(Calculations!S75)/115.83</f>
        <v>722.77469786049744</v>
      </c>
      <c r="P9" s="209">
        <f>(Calculations!T75)/115.83</f>
        <v>702.0377157594761</v>
      </c>
      <c r="Q9" s="209">
        <f t="shared" si="0"/>
        <v>10088.236401999133</v>
      </c>
      <c r="S9" s="209"/>
    </row>
    <row r="10" spans="1:19" x14ac:dyDescent="0.25">
      <c r="A10" t="s">
        <v>169</v>
      </c>
      <c r="B10" s="209">
        <f>Calculations!F87/115.83</f>
        <v>105.00787143805577</v>
      </c>
      <c r="C10" s="209">
        <f>Calculations!G87/115.83</f>
        <v>123.89202767987568</v>
      </c>
      <c r="D10" s="209">
        <f>Calculations!H87/115.83</f>
        <v>159.04679271345938</v>
      </c>
      <c r="E10" s="209">
        <f>Calculations!I87/115.83</f>
        <v>200.92376759043427</v>
      </c>
      <c r="F10" s="209">
        <f>Calculations!J87/115.83</f>
        <v>223.57765691099024</v>
      </c>
      <c r="G10" s="209">
        <f>Calculations!K87/115.83</f>
        <v>246.90494690494691</v>
      </c>
      <c r="H10" s="209">
        <f>Calculations!L87/115.83</f>
        <v>271.89847189847188</v>
      </c>
      <c r="I10" s="209">
        <f>Calculations!M87/115.83</f>
        <v>296.0459293792627</v>
      </c>
      <c r="J10" s="209">
        <f>Calculations!N87/115.83</f>
        <v>329.56919623586293</v>
      </c>
      <c r="K10" s="209">
        <f>Calculations!O87/115.83</f>
        <v>334.42113442113441</v>
      </c>
      <c r="L10" s="209">
        <f>Calculations!P87/115.83</f>
        <v>342.39834239834238</v>
      </c>
      <c r="M10" s="209">
        <f>Calculations!Q87/115.83</f>
        <v>350.11655011655012</v>
      </c>
      <c r="N10" s="209">
        <f>Calculations!R87/115.83</f>
        <v>356.86782353449013</v>
      </c>
      <c r="O10" s="209">
        <f>Calculations!S87/115.83</f>
        <v>363.43779677113014</v>
      </c>
      <c r="P10" s="209">
        <f>Calculations!T87/115.83</f>
        <v>370.55167055167055</v>
      </c>
      <c r="Q10" s="209">
        <f t="shared" si="0"/>
        <v>3686.7132867132864</v>
      </c>
      <c r="S10" s="209"/>
    </row>
    <row r="11" spans="1:19" x14ac:dyDescent="0.25">
      <c r="A11" t="s">
        <v>68</v>
      </c>
      <c r="B11" s="209">
        <f>Calculations!F96/115.83</f>
        <v>0</v>
      </c>
      <c r="C11" s="209">
        <f>Calculations!G96/115.83</f>
        <v>0</v>
      </c>
      <c r="D11" s="209">
        <f>Calculations!H96/115.83</f>
        <v>0</v>
      </c>
      <c r="E11" s="209">
        <f>Calculations!I96/115.83</f>
        <v>22.393162393162395</v>
      </c>
      <c r="F11" s="209">
        <f>Calculations!J96/115.83</f>
        <v>44.786324786324791</v>
      </c>
      <c r="G11" s="209">
        <f>Calculations!K96/115.83</f>
        <v>89.572649572649581</v>
      </c>
      <c r="H11" s="209">
        <f>Calculations!L96/115.83</f>
        <v>167.94871794871796</v>
      </c>
      <c r="I11" s="209">
        <f>Calculations!M96/115.83</f>
        <v>195.94017094017093</v>
      </c>
      <c r="J11" s="209">
        <f>Calculations!N96/115.83</f>
        <v>195.94017094017093</v>
      </c>
      <c r="K11" s="209">
        <f>Calculations!O96/115.83</f>
        <v>195.94017094017093</v>
      </c>
      <c r="L11" s="209">
        <f>Calculations!P96/115.83</f>
        <v>195.94017094017093</v>
      </c>
      <c r="M11" s="209">
        <f>Calculations!Q96/115.83</f>
        <v>195.94017094017093</v>
      </c>
      <c r="N11" s="209">
        <f>Calculations!R96/115.83</f>
        <v>223.93162393162393</v>
      </c>
      <c r="O11" s="209">
        <f>Calculations!S96/115.83</f>
        <v>223.93162393162393</v>
      </c>
      <c r="P11" s="209">
        <f>Calculations!T96/115.83</f>
        <v>251.92307692307693</v>
      </c>
      <c r="Q11" s="209">
        <f t="shared" si="0"/>
        <v>2004.1880341880342</v>
      </c>
      <c r="S11" s="209"/>
    </row>
    <row r="13" spans="1:19" x14ac:dyDescent="0.25">
      <c r="B13" t="s">
        <v>171</v>
      </c>
    </row>
    <row r="14" spans="1:19" x14ac:dyDescent="0.25">
      <c r="B14" s="3">
        <v>2016</v>
      </c>
      <c r="C14" s="3">
        <v>2017</v>
      </c>
      <c r="D14" s="3">
        <v>2018</v>
      </c>
      <c r="E14" s="3">
        <v>2019</v>
      </c>
      <c r="F14" s="3">
        <v>2020</v>
      </c>
      <c r="G14" s="3">
        <v>2021</v>
      </c>
      <c r="H14" s="3">
        <v>2022</v>
      </c>
      <c r="I14" s="3">
        <v>2023</v>
      </c>
      <c r="J14" s="3">
        <v>2024</v>
      </c>
      <c r="K14" s="3">
        <v>2025</v>
      </c>
      <c r="L14" s="16">
        <v>2026</v>
      </c>
      <c r="M14" s="16">
        <v>2027</v>
      </c>
      <c r="N14" s="16">
        <v>2028</v>
      </c>
      <c r="O14" s="16">
        <v>2029</v>
      </c>
      <c r="P14" s="16">
        <v>2030</v>
      </c>
      <c r="Q14" s="16" t="s">
        <v>253</v>
      </c>
    </row>
    <row r="15" spans="1:19" x14ac:dyDescent="0.25">
      <c r="A15" t="s">
        <v>5</v>
      </c>
      <c r="B15" s="210">
        <f>Calculations!F104+Calculations!F114</f>
        <v>6.3999999999999997E-5</v>
      </c>
      <c r="C15" s="210">
        <f>Calculations!G104+Calculations!G114</f>
        <v>6.8719999999999996E-3</v>
      </c>
      <c r="D15" s="210">
        <f>Calculations!H104+Calculations!H114</f>
        <v>1.2046024530904788E-2</v>
      </c>
      <c r="E15" s="210">
        <f>Calculations!I104+Calculations!I114</f>
        <v>2.2190617713256772E-2</v>
      </c>
      <c r="F15" s="210">
        <f>Calculations!J104+Calculations!J114</f>
        <v>3.8376370206266733E-2</v>
      </c>
      <c r="G15" s="210">
        <f>Calculations!K104+Calculations!K114</f>
        <v>6.0530881890501112E-2</v>
      </c>
      <c r="H15" s="210">
        <f>Calculations!L104+Calculations!L114</f>
        <v>9.3522825723331482E-2</v>
      </c>
      <c r="I15" s="210">
        <f>Calculations!M104+Calculations!M114</f>
        <v>0.13700135929242746</v>
      </c>
      <c r="J15" s="210">
        <f>Calculations!N104+Calculations!N114</f>
        <v>0.18670378528100115</v>
      </c>
      <c r="K15" s="210">
        <f>Calculations!O104+Calculations!O114</f>
        <v>0.24167787636751933</v>
      </c>
      <c r="L15" s="210">
        <f>Calculations!P104+Calculations!P114</f>
        <v>0.29782256661337864</v>
      </c>
      <c r="M15" s="210">
        <f>Calculations!Q104+Calculations!Q114</f>
        <v>0.35114678081849282</v>
      </c>
      <c r="N15" s="210">
        <f>Calculations!R104+Calculations!R114</f>
        <v>0.40154687985749427</v>
      </c>
      <c r="O15" s="210">
        <f>Calculations!S104+Calculations!S114</f>
        <v>0.44935620861348519</v>
      </c>
      <c r="P15" s="210">
        <f>Calculations!T104+Calculations!T114</f>
        <v>0.49476415471925733</v>
      </c>
      <c r="Q15" s="209">
        <f>SUM(E15:P15)</f>
        <v>2.7746403070964121</v>
      </c>
    </row>
    <row r="16" spans="1:19" x14ac:dyDescent="0.25">
      <c r="A16" t="s">
        <v>63</v>
      </c>
      <c r="B16" s="210">
        <f>Calculations!F105+Calculations!F115+Calculations!F116</f>
        <v>0.90980599999999989</v>
      </c>
      <c r="C16" s="210">
        <f>Calculations!G105+Calculations!G115+Calculations!G116</f>
        <v>1.2159579161069531</v>
      </c>
      <c r="D16" s="210">
        <f>Calculations!H105+Calculations!H115+Calculations!H116</f>
        <v>1.442433767526444</v>
      </c>
      <c r="E16" s="210">
        <f>Calculations!I105+Calculations!I115+Calculations!I116</f>
        <v>1.6871461297808052</v>
      </c>
      <c r="F16" s="210">
        <f>Calculations!J105+Calculations!J115+Calculations!J116</f>
        <v>1.983048217943215</v>
      </c>
      <c r="G16" s="210">
        <f>Calculations!K105+Calculations!K115+Calculations!K116</f>
        <v>2.3535051522063268</v>
      </c>
      <c r="H16" s="210">
        <f>Calculations!L105+Calculations!L115+Calculations!L116</f>
        <v>2.8093974293116344</v>
      </c>
      <c r="I16" s="210">
        <f>Calculations!M105+Calculations!M115+Calculations!M116</f>
        <v>3.1447621051646131</v>
      </c>
      <c r="J16" s="210">
        <f>Calculations!N105+Calculations!N115+Calculations!N116</f>
        <v>3.5602912443110659</v>
      </c>
      <c r="K16" s="210">
        <f>Calculations!O105+Calculations!O115+Calculations!O116</f>
        <v>4.0156856359978512</v>
      </c>
      <c r="L16" s="210">
        <f>Calculations!P105+Calculations!P115+Calculations!P116</f>
        <v>4.4966466873631061</v>
      </c>
      <c r="M16" s="210">
        <f>Calculations!Q105+Calculations!Q115+Calculations!Q116</f>
        <v>4.9702798125608272</v>
      </c>
      <c r="N16" s="210">
        <f>Calculations!R105+Calculations!R115+Calculations!R116</f>
        <v>5.4150991166475242</v>
      </c>
      <c r="O16" s="210">
        <f>Calculations!S105+Calculations!S115+Calculations!S116</f>
        <v>5.8423143969430757</v>
      </c>
      <c r="P16" s="210">
        <f>Calculations!T105+Calculations!T115+Calculations!T116</f>
        <v>6.2549467241515355</v>
      </c>
      <c r="Q16" s="209">
        <f t="shared" ref="Q16:Q23" si="1">SUM(E16:P16)</f>
        <v>46.533122652381579</v>
      </c>
    </row>
    <row r="17" spans="1:17" x14ac:dyDescent="0.25">
      <c r="A17" t="s">
        <v>1</v>
      </c>
      <c r="B17" s="210">
        <f>Calculations!F111</f>
        <v>2.1639499999999998</v>
      </c>
      <c r="C17" s="210">
        <f>Calculations!G111</f>
        <v>2.9590429999999999</v>
      </c>
      <c r="D17" s="210">
        <f>Calculations!H111</f>
        <v>3.9693326597412857</v>
      </c>
      <c r="E17" s="210">
        <f>Calculations!I111</f>
        <v>4.547057260690738</v>
      </c>
      <c r="F17" s="210">
        <f>Calculations!J111</f>
        <v>5.2679802866401912</v>
      </c>
      <c r="G17" s="210">
        <f>Calculations!K111</f>
        <v>5.9563449563396427</v>
      </c>
      <c r="H17" s="210">
        <f>Calculations!L111</f>
        <v>6.6121512697890958</v>
      </c>
      <c r="I17" s="210">
        <f>Calculations!M111</f>
        <v>6.8545887413575706</v>
      </c>
      <c r="J17" s="210">
        <f>Calculations!N111</f>
        <v>6.7080761382325713</v>
      </c>
      <c r="K17" s="210">
        <f>Calculations!O111</f>
        <v>6.5615635351075721</v>
      </c>
      <c r="L17" s="210">
        <f>Calculations!P111</f>
        <v>6.415050931982571</v>
      </c>
      <c r="M17" s="210">
        <f>Calculations!Q111</f>
        <v>6.6167904582385475</v>
      </c>
      <c r="N17" s="210">
        <f>Calculations!R111</f>
        <v>6.8022508063695248</v>
      </c>
      <c r="O17" s="210">
        <f>Calculations!S111</f>
        <v>6.6394590251195256</v>
      </c>
      <c r="P17" s="210">
        <f>Calculations!T111</f>
        <v>7.1243339682564786</v>
      </c>
      <c r="Q17" s="209">
        <f t="shared" si="1"/>
        <v>76.105647378124033</v>
      </c>
    </row>
    <row r="18" spans="1:17" x14ac:dyDescent="0.25">
      <c r="A18" t="s">
        <v>38</v>
      </c>
      <c r="B18" s="210">
        <f>Calculations!F110</f>
        <v>1.7109890000000001</v>
      </c>
      <c r="C18" s="210">
        <f>Calculations!G110</f>
        <v>1.3845289999999999</v>
      </c>
      <c r="D18" s="210">
        <f>Calculations!H110</f>
        <v>1.6147856642759102</v>
      </c>
      <c r="E18" s="210">
        <f>Calculations!I110</f>
        <v>2.0722848908698888</v>
      </c>
      <c r="F18" s="210">
        <f>Calculations!J110</f>
        <v>2.5820224500612992</v>
      </c>
      <c r="G18" s="210">
        <f>Calculations!K110</f>
        <v>3.068003846077223</v>
      </c>
      <c r="H18" s="210">
        <f>Calculations!L110</f>
        <v>3.5302290789176611</v>
      </c>
      <c r="I18" s="210">
        <f>Calculations!M110</f>
        <v>3.4510418683327058</v>
      </c>
      <c r="J18" s="210">
        <f>Calculations!N110</f>
        <v>3.3718546577477517</v>
      </c>
      <c r="K18" s="210">
        <f>Calculations!O110</f>
        <v>3.2926674471627972</v>
      </c>
      <c r="L18" s="210">
        <f>Calculations!P110</f>
        <v>3.2134802365778419</v>
      </c>
      <c r="M18" s="210">
        <f>Calculations!Q110</f>
        <v>3.1342930259928874</v>
      </c>
      <c r="N18" s="210">
        <f>Calculations!R110</f>
        <v>3.0551058154079334</v>
      </c>
      <c r="O18" s="210">
        <f>Calculations!S110</f>
        <v>2.9759186048229789</v>
      </c>
      <c r="P18" s="210">
        <f>Calculations!T110</f>
        <v>2.8967313942380244</v>
      </c>
      <c r="Q18" s="209">
        <f t="shared" si="1"/>
        <v>36.643633316208991</v>
      </c>
    </row>
    <row r="19" spans="1:17" x14ac:dyDescent="0.25">
      <c r="A19" t="s">
        <v>17</v>
      </c>
      <c r="B19" s="210">
        <f>Calculations!F102</f>
        <v>0</v>
      </c>
      <c r="C19" s="210">
        <f>Calculations!G102</f>
        <v>5.1330000000000004E-3</v>
      </c>
      <c r="D19" s="210">
        <f>Calculations!H102</f>
        <v>1.0446114307711411E-2</v>
      </c>
      <c r="E19" s="210">
        <f>Calculations!I102</f>
        <v>2.0785384015894699E-2</v>
      </c>
      <c r="F19" s="210">
        <f>Calculations!J102</f>
        <v>3.7823704646442316E-2</v>
      </c>
      <c r="G19" s="210">
        <f>Calculations!K102</f>
        <v>6.0305736425990311E-2</v>
      </c>
      <c r="H19" s="210">
        <f>Calculations!L102</f>
        <v>8.7965800911759595E-2</v>
      </c>
      <c r="I19" s="210">
        <f>Calculations!M102</f>
        <v>0.12352209683393084</v>
      </c>
      <c r="J19" s="210">
        <f>Calculations!N102</f>
        <v>0.17390918335551966</v>
      </c>
      <c r="K19" s="210">
        <f>Calculations!O102</f>
        <v>0.24008130677371167</v>
      </c>
      <c r="L19" s="210">
        <f>Calculations!P102</f>
        <v>0.30506860570381228</v>
      </c>
      <c r="M19" s="210">
        <f>Calculations!Q102</f>
        <v>0.42616443870000004</v>
      </c>
      <c r="N19" s="210">
        <f>Calculations!R102</f>
        <v>0.59754654959999998</v>
      </c>
      <c r="O19" s="210">
        <f>Calculations!S102</f>
        <v>0.68855164950000003</v>
      </c>
      <c r="P19" s="210">
        <f>Calculations!T102</f>
        <v>0.76978044000000001</v>
      </c>
      <c r="Q19" s="209">
        <f t="shared" si="1"/>
        <v>3.531504896467061</v>
      </c>
    </row>
    <row r="20" spans="1:17" x14ac:dyDescent="0.25">
      <c r="A20" t="s">
        <v>124</v>
      </c>
      <c r="B20" s="210">
        <f>Calculations!F101</f>
        <v>0.119611</v>
      </c>
      <c r="C20" s="210">
        <f>Calculations!G101</f>
        <v>0.266872</v>
      </c>
      <c r="D20" s="210">
        <f>Calculations!H101</f>
        <v>0.46909005000000004</v>
      </c>
      <c r="E20" s="210">
        <f>Calculations!I101</f>
        <v>0.72411446249999989</v>
      </c>
      <c r="F20" s="210">
        <f>Calculations!J101</f>
        <v>0.72114342300000001</v>
      </c>
      <c r="G20" s="210">
        <f>Calculations!K101</f>
        <v>0.48693258899999997</v>
      </c>
      <c r="H20" s="210">
        <f>Calculations!L101</f>
        <v>0.24655144800000001</v>
      </c>
      <c r="I20" s="210">
        <f>Calculations!M101</f>
        <v>0</v>
      </c>
      <c r="J20" s="210">
        <f>Calculations!N101</f>
        <v>0</v>
      </c>
      <c r="K20" s="210">
        <f>Calculations!O101</f>
        <v>0</v>
      </c>
      <c r="L20" s="210">
        <f>Calculations!P101</f>
        <v>0</v>
      </c>
      <c r="M20" s="210">
        <f>Calculations!Q101</f>
        <v>0</v>
      </c>
      <c r="N20" s="210">
        <f>Calculations!R101</f>
        <v>0</v>
      </c>
      <c r="O20" s="210">
        <f>Calculations!S101</f>
        <v>0</v>
      </c>
      <c r="P20" s="210">
        <f>Calculations!T101</f>
        <v>0</v>
      </c>
      <c r="Q20" s="209">
        <f t="shared" si="1"/>
        <v>2.1787419225</v>
      </c>
    </row>
    <row r="21" spans="1:17" x14ac:dyDescent="0.25">
      <c r="A21" t="s">
        <v>173</v>
      </c>
      <c r="B21" s="210">
        <f>Calculations!F100</f>
        <v>3.1979850000000001</v>
      </c>
      <c r="C21" s="210">
        <f>Calculations!G100</f>
        <v>2.9321169999999999</v>
      </c>
      <c r="D21" s="210">
        <f>Calculations!H100</f>
        <v>2.6333445128244968</v>
      </c>
      <c r="E21" s="210">
        <f>Calculations!I100</f>
        <v>2.4252139272926319</v>
      </c>
      <c r="F21" s="210">
        <f>Calculations!J100</f>
        <v>2.2140008022288664</v>
      </c>
      <c r="G21" s="210">
        <f>Calculations!K100</f>
        <v>2.4675704253973803</v>
      </c>
      <c r="H21" s="210">
        <f>Calculations!L100</f>
        <v>2.6910787233527262</v>
      </c>
      <c r="I21" s="210">
        <f>Calculations!M100</f>
        <v>2.9015452819097933</v>
      </c>
      <c r="J21" s="210">
        <f>Calculations!N100</f>
        <v>2.9800323072058199</v>
      </c>
      <c r="K21" s="210">
        <f>Calculations!O100</f>
        <v>3.0220433209604036</v>
      </c>
      <c r="L21" s="210">
        <f>Calculations!P100</f>
        <v>3.0411375966654899</v>
      </c>
      <c r="M21" s="210">
        <f>Calculations!Q100</f>
        <v>3.0418329518354144</v>
      </c>
      <c r="N21" s="210">
        <f>Calculations!R100</f>
        <v>3.1254315408915105</v>
      </c>
      <c r="O21" s="210">
        <f>Calculations!S100</f>
        <v>2.9967213634976289</v>
      </c>
      <c r="P21" s="210">
        <f>Calculations!T100</f>
        <v>2.8096659727545483</v>
      </c>
      <c r="Q21" s="209">
        <f t="shared" si="1"/>
        <v>33.716274213992214</v>
      </c>
    </row>
    <row r="22" spans="1:17" x14ac:dyDescent="0.25">
      <c r="A22" t="s">
        <v>169</v>
      </c>
      <c r="B22" s="210">
        <f>Calculations!F113</f>
        <v>0.69339399999999995</v>
      </c>
      <c r="C22" s="210">
        <f>Calculations!G113</f>
        <v>0.68080099999999999</v>
      </c>
      <c r="D22" s="210">
        <f>Calculations!H113</f>
        <v>0.97677354018999996</v>
      </c>
      <c r="E22" s="210">
        <f>Calculations!I113</f>
        <v>1.1960503796874999</v>
      </c>
      <c r="F22" s="210">
        <f>Calculations!J113</f>
        <v>1.3589353636250003</v>
      </c>
      <c r="G22" s="210">
        <f>Calculations!K113</f>
        <v>1.5527701929375002</v>
      </c>
      <c r="H22" s="210">
        <f>Calculations!L113</f>
        <v>1.860177363</v>
      </c>
      <c r="I22" s="210">
        <f>Calculations!M113</f>
        <v>2.1889466963124997</v>
      </c>
      <c r="J22" s="210">
        <f>Calculations!N113</f>
        <v>2.6189034112499998</v>
      </c>
      <c r="K22" s="210">
        <f>Calculations!O113</f>
        <v>2.8422273690000006</v>
      </c>
      <c r="L22" s="210">
        <f>Calculations!P113</f>
        <v>3.0992009549999997</v>
      </c>
      <c r="M22" s="210">
        <f>Calculations!Q113</f>
        <v>3.3625019598749999</v>
      </c>
      <c r="N22" s="210">
        <f>Calculations!R113</f>
        <v>3.6245109909999988</v>
      </c>
      <c r="O22" s="210">
        <f>Calculations!S113</f>
        <v>4.1404109690625006</v>
      </c>
      <c r="P22" s="210">
        <f>Calculations!T113</f>
        <v>4.4261852040000011</v>
      </c>
      <c r="Q22" s="209">
        <f t="shared" si="1"/>
        <v>32.270820854749999</v>
      </c>
    </row>
    <row r="23" spans="1:17" x14ac:dyDescent="0.25">
      <c r="A23" t="s">
        <v>68</v>
      </c>
      <c r="B23" s="210">
        <f>Calculations!F123</f>
        <v>0</v>
      </c>
      <c r="C23" s="210">
        <f>Calculations!G123</f>
        <v>0</v>
      </c>
      <c r="D23" s="210">
        <f>Calculations!H123</f>
        <v>0</v>
      </c>
      <c r="E23" s="210">
        <f>Calculations!I123</f>
        <v>0.15296938488660836</v>
      </c>
      <c r="F23" s="210">
        <f>Calculations!J123</f>
        <v>0.30593876977321671</v>
      </c>
      <c r="G23" s="210">
        <f>Calculations!K123</f>
        <v>0.61187753954643342</v>
      </c>
      <c r="H23" s="210">
        <f>Calculations!L123</f>
        <v>1.1472703866495626</v>
      </c>
      <c r="I23" s="210">
        <f>Calculations!M123</f>
        <v>1.3332479104140729</v>
      </c>
      <c r="J23" s="210">
        <f>Calculations!N123</f>
        <v>1.304750559320323</v>
      </c>
      <c r="K23" s="210">
        <f>Calculations!O123</f>
        <v>1.276253208226573</v>
      </c>
      <c r="L23" s="210">
        <f>Calculations!P123</f>
        <v>1.2477558571328227</v>
      </c>
      <c r="M23" s="210">
        <f>Calculations!Q123</f>
        <v>1.219258506039073</v>
      </c>
      <c r="N23" s="210">
        <f>Calculations!R123</f>
        <v>1.3608698913660835</v>
      </c>
      <c r="O23" s="210">
        <f>Calculations!S123</f>
        <v>1.3283014901160834</v>
      </c>
      <c r="P23" s="210">
        <f>Calculations!T123</f>
        <v>1.4576997249743442</v>
      </c>
      <c r="Q23" s="209">
        <f t="shared" si="1"/>
        <v>12.746193228445197</v>
      </c>
    </row>
    <row r="24" spans="1:17" x14ac:dyDescent="0.25">
      <c r="A24" t="s">
        <v>170</v>
      </c>
      <c r="B24" s="210">
        <f>Calculations!F134+Calculations!F135+Calculations!F136+Calculations!F137</f>
        <v>0.15548999999999999</v>
      </c>
      <c r="C24" s="210">
        <f>Calculations!G134+Calculations!G135+Calculations!G136+Calculations!G137</f>
        <v>0.15689</v>
      </c>
      <c r="D24" s="210">
        <f>Calculations!H134+Calculations!H135+Calculations!H136+Calculations!H137</f>
        <v>0.16700000000000001</v>
      </c>
      <c r="E24" s="210">
        <f>Calculations!I134+Calculations!I135+Calculations!I136+Calculations!I137</f>
        <v>0.34149999999999997</v>
      </c>
      <c r="F24" s="210">
        <f>Calculations!J134+Calculations!J135+Calculations!J136+Calculations!J137</f>
        <v>0.73899999999999999</v>
      </c>
      <c r="G24" s="210">
        <f>Calculations!K134+Calculations!K135+Calculations!K136+Calculations!K137</f>
        <v>0.86399999999999999</v>
      </c>
      <c r="H24" s="210">
        <f>Calculations!L134+Calculations!L135+Calculations!L136+Calculations!L137</f>
        <v>1.0089999999999999</v>
      </c>
      <c r="I24" s="210">
        <f>Calculations!M134+Calculations!M135+Calculations!M136+Calculations!M137</f>
        <v>1.294</v>
      </c>
      <c r="J24" s="210">
        <f>Calculations!N134+Calculations!N135+Calculations!N136+Calculations!N137</f>
        <v>1.4573333333333331</v>
      </c>
      <c r="K24" s="210">
        <f>Calculations!O134+Calculations!O135+Calculations!O136+Calculations!O137</f>
        <v>1.7090000000000001</v>
      </c>
      <c r="L24" s="210">
        <f>Calculations!P134+Calculations!P135+Calculations!P136+Calculations!P137</f>
        <v>1.839</v>
      </c>
      <c r="M24" s="210">
        <f>Calculations!Q134+Calculations!Q135+Calculations!Q136+Calculations!Q137</f>
        <v>1.9689999999999999</v>
      </c>
      <c r="N24" s="210">
        <f>Calculations!R134+Calculations!R135+Calculations!R136+Calculations!R137</f>
        <v>2.1223333333333332</v>
      </c>
      <c r="O24" s="210">
        <f>Calculations!S134+Calculations!S135+Calculations!S136+Calculations!S137</f>
        <v>2.2473333333333332</v>
      </c>
      <c r="P24" s="210">
        <f>Calculations!T134+Calculations!T135+Calculations!T136+Calculations!T137</f>
        <v>2.3723333333333332</v>
      </c>
      <c r="Q24" s="209">
        <f>SUM(E24:P24)</f>
        <v>17.963833333333334</v>
      </c>
    </row>
    <row r="25" spans="1:17" x14ac:dyDescent="0.25">
      <c r="A25" t="s">
        <v>261</v>
      </c>
      <c r="B25" s="210">
        <f>Calculations!F195</f>
        <v>0</v>
      </c>
      <c r="C25" s="210">
        <f>Calculations!G195</f>
        <v>0</v>
      </c>
      <c r="D25" s="210">
        <f>Calculations!H195</f>
        <v>0</v>
      </c>
      <c r="E25" s="210">
        <f>Calculations!I195</f>
        <v>7.1953298148477479E-2</v>
      </c>
      <c r="F25" s="210">
        <f>Calculations!J195</f>
        <v>0.16769727652022889</v>
      </c>
      <c r="G25" s="210">
        <f>Calculations!K195</f>
        <v>0.37598731112504913</v>
      </c>
      <c r="H25" s="210">
        <f>Calculations!L195</f>
        <v>0.62026223144435721</v>
      </c>
      <c r="I25" s="210">
        <f>Calculations!M195</f>
        <v>0.88515857138425125</v>
      </c>
      <c r="J25" s="210">
        <f>Calculations!N195</f>
        <v>1.1724366198624858</v>
      </c>
      <c r="K25" s="210">
        <f>Calculations!O195</f>
        <v>1.2323482954045053</v>
      </c>
      <c r="L25" s="210">
        <f>Calculations!P195</f>
        <v>1.2856879352300281</v>
      </c>
      <c r="M25" s="210">
        <f>Calculations!Q195</f>
        <v>1.2044820769613707</v>
      </c>
      <c r="N25" s="210">
        <f>Calculations!R195</f>
        <v>1.1126467657857917</v>
      </c>
      <c r="O25" s="210">
        <f>Calculations!S195</f>
        <v>0.87021385395380424</v>
      </c>
      <c r="P25" s="210">
        <f>Calculations!T195</f>
        <v>0.59885923118067796</v>
      </c>
      <c r="Q25" s="209">
        <f>SUM(E25:P25)</f>
        <v>9.5977334670010261</v>
      </c>
    </row>
    <row r="26" spans="1:17" x14ac:dyDescent="0.25"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1"/>
  <sheetViews>
    <sheetView workbookViewId="0"/>
  </sheetViews>
  <sheetFormatPr defaultColWidth="8.85546875" defaultRowHeight="15" x14ac:dyDescent="0.25"/>
  <cols>
    <col min="1" max="1" width="45.42578125" bestFit="1" customWidth="1"/>
  </cols>
  <sheetData>
    <row r="1" spans="1:13" ht="15.75" thickBot="1" x14ac:dyDescent="0.3">
      <c r="A1" s="10" t="s">
        <v>254</v>
      </c>
    </row>
    <row r="2" spans="1:13" ht="15.75" thickBot="1" x14ac:dyDescent="0.3">
      <c r="B2" s="184">
        <v>2019</v>
      </c>
      <c r="C2" s="184">
        <v>2020</v>
      </c>
      <c r="D2" s="184">
        <v>2021</v>
      </c>
      <c r="E2" s="184">
        <v>2022</v>
      </c>
      <c r="F2" s="184">
        <v>2023</v>
      </c>
      <c r="G2" s="184">
        <v>2024</v>
      </c>
      <c r="H2" s="184">
        <v>2025</v>
      </c>
      <c r="I2" s="184">
        <v>2026</v>
      </c>
      <c r="J2" s="184">
        <v>2027</v>
      </c>
      <c r="K2" s="184">
        <v>2028</v>
      </c>
      <c r="L2" s="184">
        <v>2029</v>
      </c>
      <c r="M2" s="185">
        <v>2030</v>
      </c>
    </row>
    <row r="3" spans="1:13" x14ac:dyDescent="0.25">
      <c r="A3" t="s">
        <v>168</v>
      </c>
      <c r="B3" s="300">
        <f>'Supply Scenarios'!E30</f>
        <v>150</v>
      </c>
      <c r="C3" s="300">
        <f>'Supply Scenarios'!F30</f>
        <v>200</v>
      </c>
      <c r="D3" s="300">
        <f>'Supply Scenarios'!G30</f>
        <v>200</v>
      </c>
      <c r="E3" s="300">
        <f>'Supply Scenarios'!H30</f>
        <v>200</v>
      </c>
      <c r="F3" s="300">
        <f>'Supply Scenarios'!I30</f>
        <v>150</v>
      </c>
      <c r="G3" s="300">
        <f>'Supply Scenarios'!J30</f>
        <v>150</v>
      </c>
      <c r="H3" s="300">
        <f>'Supply Scenarios'!K30</f>
        <v>100</v>
      </c>
      <c r="I3" s="300">
        <f>'Supply Scenarios'!L30</f>
        <v>75</v>
      </c>
      <c r="J3" s="300">
        <f>'Supply Scenarios'!M30</f>
        <v>50</v>
      </c>
      <c r="K3" s="300">
        <f>'Supply Scenarios'!N30</f>
        <v>25</v>
      </c>
      <c r="L3" s="300">
        <f>'Supply Scenarios'!O30</f>
        <v>25</v>
      </c>
      <c r="M3" s="300">
        <f>'Supply Scenarios'!P30</f>
        <v>25</v>
      </c>
    </row>
    <row r="4" spans="1:13" x14ac:dyDescent="0.25">
      <c r="A4" t="s">
        <v>174</v>
      </c>
      <c r="B4" s="300">
        <f>'Supply Scenarios'!E138</f>
        <v>125</v>
      </c>
      <c r="C4" s="300">
        <f>'Supply Scenarios'!F138</f>
        <v>125</v>
      </c>
      <c r="D4" s="300">
        <f>'Supply Scenarios'!G138</f>
        <v>95</v>
      </c>
      <c r="E4" s="300">
        <f>'Supply Scenarios'!H138</f>
        <v>85</v>
      </c>
      <c r="F4" s="300">
        <f>'Supply Scenarios'!I138</f>
        <v>85</v>
      </c>
      <c r="G4" s="300">
        <f>'Supply Scenarios'!J138</f>
        <v>85</v>
      </c>
      <c r="H4" s="300">
        <f>'Supply Scenarios'!K138</f>
        <v>85</v>
      </c>
      <c r="I4" s="300">
        <f>'Supply Scenarios'!L138</f>
        <v>85</v>
      </c>
      <c r="J4" s="300">
        <f>'Supply Scenarios'!M138</f>
        <v>95</v>
      </c>
      <c r="K4" s="300">
        <f>'Supply Scenarios'!N138</f>
        <v>100</v>
      </c>
      <c r="L4" s="300">
        <f>'Supply Scenarios'!O138</f>
        <v>100</v>
      </c>
      <c r="M4" s="300">
        <f>'Supply Scenarios'!P138</f>
        <v>110</v>
      </c>
    </row>
    <row r="5" spans="1:13" x14ac:dyDescent="0.25">
      <c r="A5" t="s">
        <v>188</v>
      </c>
      <c r="B5" s="300">
        <f>'Supply Scenarios'!E273</f>
        <v>150</v>
      </c>
      <c r="C5" s="300">
        <f>'Supply Scenarios'!F273</f>
        <v>150</v>
      </c>
      <c r="D5" s="300">
        <f>'Supply Scenarios'!G273</f>
        <v>150</v>
      </c>
      <c r="E5" s="300">
        <f>'Supply Scenarios'!H273</f>
        <v>200</v>
      </c>
      <c r="F5" s="300">
        <f>'Supply Scenarios'!I273</f>
        <v>200</v>
      </c>
      <c r="G5" s="300">
        <f>'Supply Scenarios'!J273</f>
        <v>150</v>
      </c>
      <c r="H5" s="300">
        <f>'Supply Scenarios'!K273</f>
        <v>125</v>
      </c>
      <c r="I5" s="300">
        <f>'Supply Scenarios'!L273</f>
        <v>125</v>
      </c>
      <c r="J5" s="300">
        <f>'Supply Scenarios'!M273</f>
        <v>125</v>
      </c>
      <c r="K5" s="300">
        <f>'Supply Scenarios'!N273</f>
        <v>150</v>
      </c>
      <c r="L5" s="300">
        <f>'Supply Scenarios'!O273</f>
        <v>150</v>
      </c>
      <c r="M5" s="300">
        <f>'Supply Scenarios'!P273</f>
        <v>165</v>
      </c>
    </row>
    <row r="6" spans="1:13" x14ac:dyDescent="0.25">
      <c r="A6" t="s">
        <v>189</v>
      </c>
      <c r="B6" s="300">
        <f>'Supply Scenarios'!E246</f>
        <v>150</v>
      </c>
      <c r="C6" s="300">
        <f>'Supply Scenarios'!F246</f>
        <v>200</v>
      </c>
      <c r="D6" s="300">
        <f>'Supply Scenarios'!G246</f>
        <v>200</v>
      </c>
      <c r="E6" s="300">
        <f>'Supply Scenarios'!H246</f>
        <v>150</v>
      </c>
      <c r="F6" s="300">
        <f>'Supply Scenarios'!I246</f>
        <v>100</v>
      </c>
      <c r="G6" s="300">
        <f>'Supply Scenarios'!J246</f>
        <v>75</v>
      </c>
      <c r="H6" s="300">
        <f>'Supply Scenarios'!K246</f>
        <v>75</v>
      </c>
      <c r="I6" s="300">
        <f>'Supply Scenarios'!L246</f>
        <v>75</v>
      </c>
      <c r="J6" s="300">
        <f>'Supply Scenarios'!M246</f>
        <v>75</v>
      </c>
      <c r="K6" s="300">
        <f>'Supply Scenarios'!N246</f>
        <v>80</v>
      </c>
      <c r="L6" s="300">
        <f>'Supply Scenarios'!O246</f>
        <v>85</v>
      </c>
      <c r="M6" s="300">
        <f>'Supply Scenarios'!P246</f>
        <v>95</v>
      </c>
    </row>
    <row r="7" spans="1:13" x14ac:dyDescent="0.25">
      <c r="A7" t="s">
        <v>190</v>
      </c>
      <c r="B7" s="300">
        <f>'Supply Scenarios'!E165</f>
        <v>125</v>
      </c>
      <c r="C7" s="300">
        <f>'Supply Scenarios'!F165</f>
        <v>125</v>
      </c>
      <c r="D7" s="300">
        <f>'Supply Scenarios'!G165</f>
        <v>95</v>
      </c>
      <c r="E7" s="300">
        <f>'Supply Scenarios'!H165</f>
        <v>85</v>
      </c>
      <c r="F7" s="300">
        <f>'Supply Scenarios'!I165</f>
        <v>75</v>
      </c>
      <c r="G7" s="300">
        <f>'Supply Scenarios'!J165</f>
        <v>75</v>
      </c>
      <c r="H7" s="300">
        <f>'Supply Scenarios'!K165</f>
        <v>75</v>
      </c>
      <c r="I7" s="300">
        <f>'Supply Scenarios'!L165</f>
        <v>75</v>
      </c>
      <c r="J7" s="300">
        <f>'Supply Scenarios'!M165</f>
        <v>75</v>
      </c>
      <c r="K7" s="300">
        <f>'Supply Scenarios'!N165</f>
        <v>65</v>
      </c>
      <c r="L7" s="300">
        <f>'Supply Scenarios'!O165</f>
        <v>65</v>
      </c>
      <c r="M7" s="300">
        <f>'Supply Scenarios'!P165</f>
        <v>65</v>
      </c>
    </row>
    <row r="8" spans="1:13" x14ac:dyDescent="0.25">
      <c r="A8" t="s">
        <v>249</v>
      </c>
      <c r="B8" s="300">
        <f>'Supply Scenarios'!E192</f>
        <v>150</v>
      </c>
      <c r="C8" s="300">
        <f>'Supply Scenarios'!F192</f>
        <v>150</v>
      </c>
      <c r="D8" s="300">
        <f>'Supply Scenarios'!G192</f>
        <v>150</v>
      </c>
      <c r="E8" s="300">
        <f>'Supply Scenarios'!H192</f>
        <v>100</v>
      </c>
      <c r="F8" s="300">
        <f>'Supply Scenarios'!I192</f>
        <v>95</v>
      </c>
      <c r="G8" s="300">
        <f>'Supply Scenarios'!J192</f>
        <v>95</v>
      </c>
      <c r="H8" s="300">
        <f>'Supply Scenarios'!K192</f>
        <v>100</v>
      </c>
      <c r="I8" s="300">
        <f>'Supply Scenarios'!L192</f>
        <v>100</v>
      </c>
      <c r="J8" s="300">
        <f>'Supply Scenarios'!M192</f>
        <v>110</v>
      </c>
      <c r="K8" s="300">
        <f>'Supply Scenarios'!N192</f>
        <v>120</v>
      </c>
      <c r="L8" s="300">
        <f>'Supply Scenarios'!O192</f>
        <v>150</v>
      </c>
      <c r="M8" s="300">
        <f>'Supply Scenarios'!P192</f>
        <v>150</v>
      </c>
    </row>
    <row r="26" spans="1:27" ht="15.75" thickBot="1" x14ac:dyDescent="0.3">
      <c r="A26" s="10" t="s">
        <v>255</v>
      </c>
    </row>
    <row r="27" spans="1:27" ht="15.75" thickBot="1" x14ac:dyDescent="0.3">
      <c r="B27" s="106">
        <v>2019</v>
      </c>
      <c r="C27" s="184">
        <v>2020</v>
      </c>
      <c r="D27" s="184">
        <v>2021</v>
      </c>
      <c r="E27" s="184">
        <v>2022</v>
      </c>
      <c r="F27" s="184">
        <v>2023</v>
      </c>
      <c r="G27" s="184">
        <v>2024</v>
      </c>
      <c r="H27" s="184">
        <v>2025</v>
      </c>
      <c r="I27" s="184">
        <v>2026</v>
      </c>
      <c r="J27" s="184">
        <v>2027</v>
      </c>
      <c r="K27" s="184">
        <v>2028</v>
      </c>
      <c r="L27" s="184">
        <v>2029</v>
      </c>
      <c r="M27" s="185">
        <v>2030</v>
      </c>
    </row>
    <row r="28" spans="1:27" x14ac:dyDescent="0.25">
      <c r="A28" s="205" t="s">
        <v>174</v>
      </c>
      <c r="B28" s="225">
        <f>'Reduction Targets'!B4*-1</f>
        <v>-6.25E-2</v>
      </c>
      <c r="C28" s="225">
        <f>'Reduction Targets'!C4*-1</f>
        <v>-7.4999999999999997E-2</v>
      </c>
      <c r="D28" s="225">
        <f>'Reduction Targets'!D4*-1</f>
        <v>-8.7499999999999994E-2</v>
      </c>
      <c r="E28" s="225">
        <f>'Reduction Targets'!E4*-1</f>
        <v>-0.1</v>
      </c>
      <c r="F28" s="225">
        <f>'Reduction Targets'!F4*-1</f>
        <v>-0.1125</v>
      </c>
      <c r="G28" s="225">
        <f>'Reduction Targets'!G4*-1</f>
        <v>-0.125</v>
      </c>
      <c r="H28" s="225">
        <f>'Reduction Targets'!H4*-1</f>
        <v>-0.13750000000000001</v>
      </c>
      <c r="I28" s="225">
        <f>'Reduction Targets'!I4*-1</f>
        <v>-0.15</v>
      </c>
      <c r="J28" s="225">
        <f>'Reduction Targets'!J4*-1</f>
        <v>-0.16250000000000001</v>
      </c>
      <c r="K28" s="225">
        <f>'Reduction Targets'!K4*-1</f>
        <v>-0.17499999999999999</v>
      </c>
      <c r="L28" s="225">
        <f>'Reduction Targets'!L4*-1</f>
        <v>-0.1875</v>
      </c>
      <c r="M28" s="225">
        <f>'Reduction Targets'!M4*-1</f>
        <v>-0.2</v>
      </c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x14ac:dyDescent="0.25">
      <c r="A29" s="205" t="s">
        <v>203</v>
      </c>
      <c r="B29" s="226">
        <f>'Reduction Targets'!B5*-1</f>
        <v>-6.6666666666666666E-2</v>
      </c>
      <c r="C29" s="226">
        <f>'Reduction Targets'!C5*-1</f>
        <v>-8.3333333333333329E-2</v>
      </c>
      <c r="D29" s="226">
        <f>'Reduction Targets'!D5*-1</f>
        <v>-9.9999999999999992E-2</v>
      </c>
      <c r="E29" s="226">
        <f>'Reduction Targets'!E5*-1</f>
        <v>-0.11666666666666665</v>
      </c>
      <c r="F29" s="226">
        <f>'Reduction Targets'!F5*-1</f>
        <v>-0.13333333333333333</v>
      </c>
      <c r="G29" s="226">
        <f>'Reduction Targets'!G5*-1</f>
        <v>-0.15</v>
      </c>
      <c r="H29" s="226">
        <f>'Reduction Targets'!H5*-1</f>
        <v>-0.16666666666666666</v>
      </c>
      <c r="I29" s="226">
        <f>'Reduction Targets'!I5*-1</f>
        <v>-0.18333333333333332</v>
      </c>
      <c r="J29" s="226">
        <f>'Reduction Targets'!J5*-1</f>
        <v>-0.19999999999999998</v>
      </c>
      <c r="K29" s="226">
        <f>'Reduction Targets'!K5*-1</f>
        <v>-0.21666666666666665</v>
      </c>
      <c r="L29" s="226">
        <f>'Reduction Targets'!L5*-1</f>
        <v>-0.23333333333333331</v>
      </c>
      <c r="M29" s="226">
        <f>'Reduction Targets'!M5*-1</f>
        <v>-0.24999999999999997</v>
      </c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x14ac:dyDescent="0.25">
      <c r="A30" s="205" t="s">
        <v>204</v>
      </c>
      <c r="B30" s="227">
        <f>'Reduction Targets'!B3*-1</f>
        <v>-7.4999999999999997E-2</v>
      </c>
      <c r="C30" s="227">
        <f>'Reduction Targets'!C3*-1</f>
        <v>-0.1</v>
      </c>
      <c r="D30" s="227">
        <f>'Reduction Targets'!D3*-1</f>
        <v>-0.1</v>
      </c>
      <c r="E30" s="227">
        <f>'Reduction Targets'!E3*-1</f>
        <v>-0.1</v>
      </c>
      <c r="F30" s="227">
        <f>'Reduction Targets'!F3*-1</f>
        <v>-0.11</v>
      </c>
      <c r="G30" s="227">
        <f>'Reduction Targets'!G3*-1</f>
        <v>-0.12</v>
      </c>
      <c r="H30" s="227">
        <f>'Reduction Targets'!H3*-1</f>
        <v>-0.13</v>
      </c>
      <c r="I30" s="227">
        <f>'Reduction Targets'!I3*-1</f>
        <v>-0.14000000000000001</v>
      </c>
      <c r="J30" s="227">
        <f>'Reduction Targets'!J3*-1</f>
        <v>-0.15000000000000002</v>
      </c>
      <c r="K30" s="227">
        <f>'Reduction Targets'!K3*-1</f>
        <v>-0.16000000000000003</v>
      </c>
      <c r="L30" s="227">
        <f>'Reduction Targets'!L3*-1</f>
        <v>-0.17000000000000004</v>
      </c>
      <c r="M30" s="227">
        <f>'Reduction Targets'!M3*-1</f>
        <v>-0.18000000000000005</v>
      </c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x14ac:dyDescent="0.25">
      <c r="A31" s="205" t="s">
        <v>202</v>
      </c>
      <c r="B31" s="226">
        <v>-7.4999999999999997E-2</v>
      </c>
      <c r="C31" s="228">
        <v>-0.1</v>
      </c>
      <c r="D31" s="228">
        <v>-0.1</v>
      </c>
      <c r="E31" s="228">
        <v>-0.1</v>
      </c>
      <c r="F31" s="228">
        <v>-0.1</v>
      </c>
      <c r="G31" s="228">
        <v>-0.1</v>
      </c>
      <c r="H31" s="228">
        <v>-0.1</v>
      </c>
      <c r="I31" s="228">
        <v>-0.1</v>
      </c>
      <c r="J31" s="228">
        <v>-0.1</v>
      </c>
      <c r="K31" s="228">
        <v>-0.1</v>
      </c>
      <c r="L31" s="228">
        <v>-0.1</v>
      </c>
      <c r="M31" s="229">
        <v>-0.1</v>
      </c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Intermediate Calculations</vt:lpstr>
      <vt:lpstr>Summary</vt:lpstr>
      <vt:lpstr>Reduction Targets</vt:lpstr>
      <vt:lpstr>Demand Reduction Scenarios</vt:lpstr>
      <vt:lpstr>Supply Scenarios</vt:lpstr>
      <vt:lpstr>Calculations</vt:lpstr>
      <vt:lpstr>GHG Calculations</vt:lpstr>
      <vt:lpstr>Figures I</vt:lpstr>
      <vt:lpstr>Figures II</vt:lpstr>
      <vt:lpstr>Maximum Cost Pass-Through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2015-04-01T22:31:20Z</dcterms:created>
  <dcterms:modified xsi:type="dcterms:W3CDTF">2018-08-15T23:41:15Z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4b213ff6-be55-432a-a92f-92cff52a7cda</vt:lpwstr>
  </property>
</Properties>
</file>