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0" windowWidth="27795" windowHeight="9735"/>
  </bookViews>
  <sheets>
    <sheet name="Introduction" sheetId="10" r:id="rId1"/>
    <sheet name="User Input Values" sheetId="9" r:id="rId2"/>
    <sheet name="Summary- Allocation Method Comp" sheetId="6" r:id="rId3"/>
    <sheet name="GHG and energy allocation" sheetId="5" r:id="rId4"/>
    <sheet name="Co-processing-I-O" sheetId="1" r:id="rId5"/>
    <sheet name="Fuel specs and EF" sheetId="4" r:id="rId6"/>
  </sheets>
  <calcPr calcId="145621" calcMode="manual" iterate="1" iterateDelta="1.0000000000000001E-5"/>
</workbook>
</file>

<file path=xl/calcChain.xml><?xml version="1.0" encoding="utf-8"?>
<calcChain xmlns="http://schemas.openxmlformats.org/spreadsheetml/2006/main">
  <c r="H79" i="4" l="1"/>
  <c r="E28" i="1" l="1"/>
  <c r="E27" i="1"/>
  <c r="I26" i="1"/>
  <c r="J22" i="1"/>
  <c r="I22" i="1"/>
  <c r="G5" i="5"/>
  <c r="C27" i="1"/>
  <c r="W13" i="1"/>
  <c r="W12" i="1"/>
  <c r="I12" i="1"/>
  <c r="R11" i="1"/>
  <c r="I31" i="1" s="1"/>
  <c r="I11" i="1"/>
  <c r="K7" i="1"/>
  <c r="G6" i="5" l="1"/>
  <c r="W16" i="1"/>
  <c r="R16" i="1"/>
  <c r="H84" i="4"/>
  <c r="F84" i="4"/>
  <c r="H83" i="4"/>
  <c r="F83" i="4"/>
  <c r="H82" i="4"/>
  <c r="F82" i="4"/>
  <c r="H81" i="4"/>
  <c r="F81" i="4"/>
  <c r="H80" i="4"/>
  <c r="F80" i="4"/>
  <c r="F79" i="4"/>
  <c r="H78" i="4"/>
  <c r="F78" i="4"/>
  <c r="E73" i="4"/>
  <c r="M68" i="4"/>
  <c r="M67" i="4"/>
  <c r="M66" i="4"/>
  <c r="M65" i="4"/>
  <c r="M64" i="4"/>
  <c r="M63" i="4"/>
  <c r="M62" i="4"/>
  <c r="M61" i="4"/>
  <c r="M60" i="4"/>
  <c r="M59" i="4"/>
  <c r="N57" i="4"/>
  <c r="M57" i="4"/>
  <c r="N56" i="4"/>
  <c r="M56" i="4"/>
  <c r="N55" i="4"/>
  <c r="M55" i="4"/>
  <c r="N54" i="4"/>
  <c r="M54" i="4"/>
  <c r="N53" i="4"/>
  <c r="M53" i="4"/>
  <c r="M50"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5" i="4"/>
  <c r="M14" i="4"/>
  <c r="M13" i="4"/>
  <c r="M12" i="4"/>
  <c r="M11" i="4"/>
  <c r="M10" i="4"/>
  <c r="M9" i="4"/>
  <c r="M8" i="4"/>
  <c r="M7" i="4"/>
  <c r="F29" i="1"/>
  <c r="L25" i="1"/>
  <c r="G25" i="1"/>
  <c r="F22" i="1"/>
  <c r="O15" i="1"/>
  <c r="F30" i="1" s="1"/>
  <c r="K15" i="1"/>
  <c r="C30" i="1" s="1"/>
  <c r="C9" i="5" s="1"/>
  <c r="G15" i="1"/>
  <c r="C48" i="5" s="1"/>
  <c r="N28" i="1"/>
  <c r="O13" i="1"/>
  <c r="F28" i="1" s="1"/>
  <c r="M13" i="1"/>
  <c r="L13" i="1"/>
  <c r="D28" i="1" s="1"/>
  <c r="K13" i="1"/>
  <c r="C28" i="1" s="1"/>
  <c r="C13" i="1"/>
  <c r="O12" i="1"/>
  <c r="F27" i="1" s="1"/>
  <c r="M12" i="1"/>
  <c r="L12" i="1"/>
  <c r="D27" i="1" s="1"/>
  <c r="K12" i="1"/>
  <c r="C12" i="1"/>
  <c r="O11" i="1"/>
  <c r="F26" i="1" s="1"/>
  <c r="K11" i="1"/>
  <c r="C26" i="1" s="1"/>
  <c r="C6" i="5" s="1"/>
  <c r="F11" i="1"/>
  <c r="S11" i="1" s="1"/>
  <c r="P7" i="1"/>
  <c r="J11" i="1" s="1"/>
  <c r="W11" i="1" s="1"/>
  <c r="O7" i="1"/>
  <c r="N22" i="1" s="1"/>
  <c r="L7" i="1"/>
  <c r="K22" i="1" s="1"/>
  <c r="H5" i="5" s="1"/>
  <c r="J7" i="1"/>
  <c r="F5" i="5" s="1"/>
  <c r="I7" i="1"/>
  <c r="E11" i="1" s="1"/>
  <c r="P11" i="1" s="1"/>
  <c r="H7" i="1"/>
  <c r="G22" i="1" s="1"/>
  <c r="D5" i="5" s="1"/>
  <c r="G7" i="1"/>
  <c r="F7" i="1"/>
  <c r="E22" i="1" s="1"/>
  <c r="E7" i="1"/>
  <c r="D22" i="1" s="1"/>
  <c r="D7" i="1"/>
  <c r="C7" i="1"/>
  <c r="I6" i="5"/>
  <c r="J16" i="9"/>
  <c r="P13" i="9"/>
  <c r="O13" i="9"/>
  <c r="M13" i="9"/>
  <c r="I13" i="9"/>
  <c r="H13" i="9"/>
  <c r="H16" i="9" s="1"/>
  <c r="E13" i="9"/>
  <c r="L13" i="9" s="1"/>
  <c r="D13" i="9"/>
  <c r="K13" i="9" s="1"/>
  <c r="D17" i="9" s="1"/>
  <c r="E6" i="6"/>
  <c r="F15" i="5" l="1"/>
  <c r="H15" i="5"/>
  <c r="G11" i="5"/>
  <c r="D15" i="5"/>
  <c r="I15" i="5"/>
  <c r="J15" i="5"/>
  <c r="C7" i="5"/>
  <c r="C5" i="5"/>
  <c r="H11" i="1"/>
  <c r="C8" i="5"/>
  <c r="P16" i="1"/>
  <c r="G26" i="1"/>
  <c r="D6" i="5"/>
  <c r="H6" i="5"/>
  <c r="F15" i="1"/>
  <c r="V15" i="1" s="1"/>
  <c r="J26" i="1"/>
  <c r="F6" i="5"/>
  <c r="E13" i="1"/>
  <c r="P13" i="1" s="1"/>
  <c r="H22" i="1"/>
  <c r="E5" i="5" s="1"/>
  <c r="N27" i="1"/>
  <c r="D11" i="1"/>
  <c r="O22" i="1"/>
  <c r="E15" i="5" l="1"/>
  <c r="E24" i="5" s="1"/>
  <c r="G15" i="5"/>
  <c r="G24" i="5" s="1"/>
  <c r="F16" i="5"/>
  <c r="F25" i="5" s="1"/>
  <c r="D24" i="5"/>
  <c r="F24" i="5"/>
  <c r="H24" i="5"/>
  <c r="H16" i="5"/>
  <c r="D16" i="5"/>
  <c r="J24" i="5"/>
  <c r="C11" i="5"/>
  <c r="Q11" i="1"/>
  <c r="H26" i="1" s="1"/>
  <c r="H12" i="1"/>
  <c r="T12" i="1" s="1"/>
  <c r="T16" i="1" s="1"/>
  <c r="I24" i="5"/>
  <c r="G28" i="1"/>
  <c r="E8" i="5" s="1"/>
  <c r="G31" i="1"/>
  <c r="U11" i="1"/>
  <c r="L26" i="1" s="1"/>
  <c r="D14" i="1"/>
  <c r="U14" i="1" s="1"/>
  <c r="E6" i="5"/>
  <c r="J16" i="5" s="1"/>
  <c r="J25" i="5" s="1"/>
  <c r="M30" i="1"/>
  <c r="J9" i="5" s="1"/>
  <c r="V16" i="1"/>
  <c r="M31" i="1" s="1"/>
  <c r="J11" i="5" s="1"/>
  <c r="H25" i="5"/>
  <c r="K27" i="1"/>
  <c r="K31" i="1" s="1"/>
  <c r="K24" i="5" l="1"/>
  <c r="F18" i="5"/>
  <c r="F27" i="5" s="1"/>
  <c r="I18" i="5"/>
  <c r="I27" i="5" s="1"/>
  <c r="E18" i="5"/>
  <c r="G18" i="5"/>
  <c r="G27" i="5" s="1"/>
  <c r="H18" i="5"/>
  <c r="D18" i="5"/>
  <c r="J18" i="5"/>
  <c r="J27" i="5" s="1"/>
  <c r="I19" i="5"/>
  <c r="E19" i="5"/>
  <c r="E28" i="5" s="1"/>
  <c r="D19" i="5"/>
  <c r="J19" i="5"/>
  <c r="J28" i="5" s="1"/>
  <c r="C42" i="5" s="1"/>
  <c r="F7" i="6" s="1"/>
  <c r="G19" i="5"/>
  <c r="G28" i="5" s="1"/>
  <c r="F19" i="5"/>
  <c r="H19" i="5"/>
  <c r="E11" i="5"/>
  <c r="E16" i="5"/>
  <c r="E25" i="5" s="1"/>
  <c r="I16" i="5"/>
  <c r="I25" i="5" s="1"/>
  <c r="G16" i="5"/>
  <c r="G25" i="5" s="1"/>
  <c r="K15" i="5"/>
  <c r="H28" i="5"/>
  <c r="F28" i="5"/>
  <c r="I28" i="5"/>
  <c r="I7" i="5"/>
  <c r="L29" i="1"/>
  <c r="U16" i="1"/>
  <c r="H27" i="5"/>
  <c r="E27" i="5"/>
  <c r="D25" i="5"/>
  <c r="E20" i="5" l="1"/>
  <c r="E17" i="5"/>
  <c r="F17" i="5"/>
  <c r="F26" i="5" s="1"/>
  <c r="J17" i="5"/>
  <c r="J26" i="5" s="1"/>
  <c r="G17" i="5"/>
  <c r="G26" i="5" s="1"/>
  <c r="H17" i="5"/>
  <c r="I17" i="5"/>
  <c r="D17" i="5"/>
  <c r="C41" i="5"/>
  <c r="E7" i="6" s="1"/>
  <c r="K16" i="5"/>
  <c r="K19" i="5"/>
  <c r="D28" i="5"/>
  <c r="K28" i="5" s="1"/>
  <c r="K25" i="5"/>
  <c r="L31" i="1"/>
  <c r="D10" i="5"/>
  <c r="D11" i="5" s="1"/>
  <c r="C49" i="5"/>
  <c r="F9" i="6" s="1"/>
  <c r="C20" i="6" s="1"/>
  <c r="K18" i="5"/>
  <c r="D27" i="5"/>
  <c r="K27" i="5" s="1"/>
  <c r="I26" i="5"/>
  <c r="C39" i="5" s="1"/>
  <c r="E26" i="5"/>
  <c r="I11" i="5"/>
  <c r="H26" i="5"/>
  <c r="H20" i="5" l="1"/>
  <c r="F20" i="5"/>
  <c r="G20" i="5"/>
  <c r="J20" i="5"/>
  <c r="D20" i="5"/>
  <c r="I20" i="5"/>
  <c r="C40" i="5"/>
  <c r="K17" i="5"/>
  <c r="D26" i="5"/>
  <c r="K26" i="5" s="1"/>
  <c r="K29" i="5" s="1"/>
  <c r="C46" i="5" s="1"/>
  <c r="C7" i="6"/>
  <c r="D18" i="6" s="1"/>
  <c r="C43" i="5"/>
  <c r="G7" i="6" s="1"/>
  <c r="C18" i="6" s="1"/>
  <c r="D7" i="6"/>
  <c r="K20" i="5" l="1"/>
  <c r="C35" i="5"/>
  <c r="F6" i="6" s="1"/>
  <c r="C32" i="5"/>
  <c r="C6" i="6" s="1"/>
  <c r="C36" i="5"/>
  <c r="G6" i="6" s="1"/>
  <c r="C33" i="5"/>
  <c r="D6" i="6" s="1"/>
</calcChain>
</file>

<file path=xl/comments1.xml><?xml version="1.0" encoding="utf-8"?>
<comments xmlns="http://schemas.openxmlformats.org/spreadsheetml/2006/main">
  <authors>
    <author>Anil Baral</author>
  </authors>
  <commentList>
    <comment ref="B13" authorId="0">
      <text>
        <r>
          <rPr>
            <b/>
            <sz val="9"/>
            <color indexed="81"/>
            <rFont val="Tahoma"/>
            <family val="2"/>
          </rPr>
          <t>Anil Baral:</t>
        </r>
        <r>
          <rPr>
            <sz val="9"/>
            <color indexed="81"/>
            <rFont val="Tahoma"/>
            <family val="2"/>
          </rPr>
          <t xml:space="preserve">
No loss is assumed.</t>
        </r>
      </text>
    </comment>
    <comment ref="P14" authorId="0">
      <text>
        <r>
          <rPr>
            <b/>
            <sz val="9"/>
            <color indexed="81"/>
            <rFont val="Tahoma"/>
            <family val="2"/>
          </rPr>
          <t>Anil Baral:</t>
        </r>
        <r>
          <rPr>
            <sz val="9"/>
            <color indexed="81"/>
            <rFont val="Tahoma"/>
            <family val="2"/>
          </rPr>
          <t xml:space="preserve">
This is consumed internally</t>
        </r>
      </text>
    </comment>
    <comment ref="P15" authorId="0">
      <text>
        <r>
          <rPr>
            <b/>
            <sz val="9"/>
            <color indexed="81"/>
            <rFont val="Tahoma"/>
            <family val="2"/>
          </rPr>
          <t>Anil Baral:</t>
        </r>
        <r>
          <rPr>
            <sz val="9"/>
            <color indexed="81"/>
            <rFont val="Tahoma"/>
            <family val="2"/>
          </rPr>
          <t xml:space="preserve">
Consumed internally</t>
        </r>
      </text>
    </comment>
    <comment ref="B17" authorId="0">
      <text>
        <r>
          <rPr>
            <b/>
            <sz val="9"/>
            <color indexed="81"/>
            <rFont val="Tahoma"/>
            <family val="2"/>
          </rPr>
          <t>Anil Baral:</t>
        </r>
        <r>
          <rPr>
            <sz val="9"/>
            <color indexed="81"/>
            <rFont val="Tahoma"/>
            <family val="2"/>
          </rPr>
          <t xml:space="preserve">
Althoughthe  Merox unit receives renewable naphtha, it is primarily used to remove sulfur from petroelum naptha, hence any emissions associated with this unit are not attrbitable to co-processed renewable naphtha.</t>
        </r>
      </text>
    </comment>
    <comment ref="B27" authorId="0">
      <text>
        <r>
          <rPr>
            <b/>
            <sz val="9"/>
            <color indexed="81"/>
            <rFont val="Tahoma"/>
            <family val="2"/>
          </rPr>
          <t>Anil Baral:</t>
        </r>
        <r>
          <rPr>
            <sz val="9"/>
            <color indexed="81"/>
            <rFont val="Tahoma"/>
            <family val="2"/>
          </rPr>
          <t xml:space="preserve">
Since the merox unit is primarily used to remove sulfur from petroleum feed, there are no emissions burden associated with renewable stream entering the Merox unit. Hence no energy inputs are required here for CI estimation. </t>
        </r>
      </text>
    </comment>
  </commentList>
</comments>
</file>

<file path=xl/comments2.xml><?xml version="1.0" encoding="utf-8"?>
<comments xmlns="http://schemas.openxmlformats.org/spreadsheetml/2006/main">
  <authors>
    <author>Anil Baral</author>
  </authors>
  <commentList>
    <comment ref="C20" authorId="0">
      <text>
        <r>
          <rPr>
            <b/>
            <sz val="9"/>
            <color indexed="81"/>
            <rFont val="Tahoma"/>
            <family val="2"/>
          </rPr>
          <t>Anil Baral:</t>
        </r>
        <r>
          <rPr>
            <sz val="9"/>
            <color indexed="81"/>
            <rFont val="Tahoma"/>
            <family val="2"/>
          </rPr>
          <t xml:space="preserve">
In addition, should include N2O, VOC+CO, and CH4 emissions from tailpipe</t>
        </r>
      </text>
    </comment>
    <comment ref="D20" authorId="0">
      <text>
        <r>
          <rPr>
            <b/>
            <sz val="9"/>
            <color indexed="81"/>
            <rFont val="Tahoma"/>
            <family val="2"/>
          </rPr>
          <t>Anil Baral:</t>
        </r>
        <r>
          <rPr>
            <sz val="9"/>
            <color indexed="81"/>
            <rFont val="Tahoma"/>
            <family val="2"/>
          </rPr>
          <t xml:space="preserve">
this will include N2O+ CH4+VOC+CO emissons from tailpipe</t>
        </r>
      </text>
    </comment>
  </commentList>
</comments>
</file>

<file path=xl/comments3.xml><?xml version="1.0" encoding="utf-8"?>
<comments xmlns="http://schemas.openxmlformats.org/spreadsheetml/2006/main">
  <authors>
    <author>Anil Baral</author>
  </authors>
  <commentList>
    <comment ref="C5" authorId="0">
      <text>
        <r>
          <rPr>
            <b/>
            <sz val="9"/>
            <color indexed="81"/>
            <rFont val="Tahoma"/>
            <family val="2"/>
          </rPr>
          <t>Anil Boral:</t>
        </r>
        <r>
          <rPr>
            <sz val="9"/>
            <color indexed="81"/>
            <rFont val="Tahoma"/>
            <family val="2"/>
          </rPr>
          <t xml:space="preserve">
Adjusted to exclude CO2 emissions from renewable RFG and renewable Coke, which will be assigned to renewable finished fuels.</t>
        </r>
      </text>
    </comment>
    <comment ref="C7" authorId="0">
      <text>
        <r>
          <rPr>
            <b/>
            <sz val="9"/>
            <color indexed="81"/>
            <rFont val="Tahoma"/>
            <family val="2"/>
          </rPr>
          <t>Anil Boral:</t>
        </r>
        <r>
          <rPr>
            <sz val="9"/>
            <color indexed="81"/>
            <rFont val="Tahoma"/>
            <family val="2"/>
          </rPr>
          <t xml:space="preserve">
For this exercise, assumes 70% of hydrogen req. is met by purchased hydrogen, rest comes from a catalytic reformer</t>
        </r>
      </text>
    </comment>
    <comment ref="C8" authorId="0">
      <text>
        <r>
          <rPr>
            <b/>
            <sz val="9"/>
            <color indexed="81"/>
            <rFont val="Tahoma"/>
            <family val="2"/>
          </rPr>
          <t>Anil Boral:</t>
        </r>
        <r>
          <rPr>
            <sz val="9"/>
            <color indexed="81"/>
            <rFont val="Tahoma"/>
            <family val="2"/>
          </rPr>
          <t xml:space="preserve">
Same as in diesel hydrotreater, 70% of H2 is purchased+ omits CO2 emissions from renewable RFG as they are assigned to renewable finished fuels</t>
        </r>
      </text>
    </comment>
    <comment ref="B10" authorId="0">
      <text>
        <r>
          <rPr>
            <b/>
            <sz val="9"/>
            <color indexed="81"/>
            <rFont val="Tahoma"/>
            <family val="2"/>
          </rPr>
          <t>Anil Baral:</t>
        </r>
        <r>
          <rPr>
            <sz val="9"/>
            <color indexed="81"/>
            <rFont val="Tahoma"/>
            <family val="2"/>
          </rPr>
          <t xml:space="preserve">
Since merox unit is primarily used to remove sulfur from petroleum feed, there are no emissions burden associated with renewable stream entering the Merox unit. Hence no inputs are reuired here for CI estimation. </t>
        </r>
      </text>
    </comment>
  </commentList>
</comments>
</file>

<file path=xl/comments4.xml><?xml version="1.0" encoding="utf-8"?>
<comments xmlns="http://schemas.openxmlformats.org/spreadsheetml/2006/main">
  <authors>
    <author>Anil Baral</author>
  </authors>
  <commentList>
    <comment ref="U14" authorId="0">
      <text>
        <r>
          <rPr>
            <b/>
            <sz val="9"/>
            <color indexed="81"/>
            <rFont val="Tahoma"/>
            <family val="2"/>
          </rPr>
          <t>Anil Baral:</t>
        </r>
        <r>
          <rPr>
            <sz val="9"/>
            <color indexed="81"/>
            <rFont val="Tahoma"/>
            <family val="2"/>
          </rPr>
          <t xml:space="preserve">
assming 0.1% (wt) sulfur content which is removed during caustic treatment.</t>
        </r>
      </text>
    </comment>
    <comment ref="M25" authorId="0">
      <text>
        <r>
          <rPr>
            <b/>
            <sz val="9"/>
            <color indexed="81"/>
            <rFont val="Tahoma"/>
            <family val="2"/>
          </rPr>
          <t>Anil Baral:</t>
        </r>
        <r>
          <rPr>
            <sz val="9"/>
            <color indexed="81"/>
            <rFont val="Tahoma"/>
            <family val="2"/>
          </rPr>
          <t xml:space="preserve">
approximation based on n-hexane
</t>
        </r>
      </text>
    </comment>
    <comment ref="M30" authorId="0">
      <text>
        <r>
          <rPr>
            <b/>
            <sz val="9"/>
            <color indexed="81"/>
            <rFont val="Tahoma"/>
            <family val="2"/>
          </rPr>
          <t>Anil Baral:</t>
        </r>
        <r>
          <rPr>
            <sz val="9"/>
            <color indexed="81"/>
            <rFont val="Tahoma"/>
            <family val="2"/>
          </rPr>
          <t xml:space="preserve">
approximation based on n-hexane</t>
        </r>
      </text>
    </comment>
  </commentList>
</comments>
</file>

<file path=xl/comments5.xml><?xml version="1.0" encoding="utf-8"?>
<comments xmlns="http://schemas.openxmlformats.org/spreadsheetml/2006/main">
  <authors>
    <author>Anil Baral</author>
  </authors>
  <commentList>
    <comment ref="C84" authorId="0">
      <text>
        <r>
          <rPr>
            <b/>
            <sz val="9"/>
            <color indexed="81"/>
            <rFont val="Tahoma"/>
            <family val="2"/>
          </rPr>
          <t>Anil Baral:</t>
        </r>
        <r>
          <rPr>
            <sz val="9"/>
            <color indexed="81"/>
            <rFont val="Tahoma"/>
            <family val="2"/>
          </rPr>
          <t xml:space="preserve">
Upstream emission factor.  Assumption. Need to adjust.</t>
        </r>
      </text>
    </comment>
  </commentList>
</comments>
</file>

<file path=xl/sharedStrings.xml><?xml version="1.0" encoding="utf-8"?>
<sst xmlns="http://schemas.openxmlformats.org/spreadsheetml/2006/main" count="405" uniqueCount="233">
  <si>
    <t>Hypothetical flows and energy consumption</t>
  </si>
  <si>
    <t>FCC</t>
  </si>
  <si>
    <t>Steam</t>
  </si>
  <si>
    <t>Coke</t>
  </si>
  <si>
    <t>Diesel Hydrotreater</t>
  </si>
  <si>
    <t>Alkylation</t>
  </si>
  <si>
    <t>Diesel</t>
  </si>
  <si>
    <t>Gasoline</t>
  </si>
  <si>
    <t>LCO</t>
  </si>
  <si>
    <t>Hydrogen</t>
  </si>
  <si>
    <t>Electricity</t>
  </si>
  <si>
    <t>Net output from system</t>
  </si>
  <si>
    <t>Feedstock input/day</t>
  </si>
  <si>
    <t>Energy input/day</t>
  </si>
  <si>
    <t>Coke (kg)</t>
  </si>
  <si>
    <t>Electricity (KWh)</t>
  </si>
  <si>
    <t>Steam (kg)</t>
  </si>
  <si>
    <t>alkylate</t>
  </si>
  <si>
    <t>Density</t>
  </si>
  <si>
    <t>Output (kg/day)</t>
  </si>
  <si>
    <t>Feedstock input (kg/day)</t>
  </si>
  <si>
    <t>RFG</t>
  </si>
  <si>
    <t>Energy input per day</t>
  </si>
  <si>
    <t>Emission factors</t>
  </si>
  <si>
    <t>Fuel</t>
  </si>
  <si>
    <t>Heating Value</t>
  </si>
  <si>
    <t>C ratio</t>
  </si>
  <si>
    <t>S ratio</t>
  </si>
  <si>
    <t>Calculation: LHV</t>
  </si>
  <si>
    <t>LHV</t>
  </si>
  <si>
    <t>HHV</t>
  </si>
  <si>
    <t>(% by wt)</t>
  </si>
  <si>
    <t>(ppm by wt)</t>
  </si>
  <si>
    <t>Actual ratio by wt</t>
  </si>
  <si>
    <t>LHV/HHV</t>
  </si>
  <si>
    <t>Energy Density</t>
  </si>
  <si>
    <t>Use LHV or HHV in calculations?</t>
  </si>
  <si>
    <t>1 -- LHV; 2 -- HHV</t>
  </si>
  <si>
    <t>Liquid Fuels:</t>
  </si>
  <si>
    <t>Btu/gal</t>
  </si>
  <si>
    <t>grams/gal</t>
  </si>
  <si>
    <t>MJ/gal</t>
  </si>
  <si>
    <t>Crude oil</t>
  </si>
  <si>
    <t>Synthetic crude oil (SCO)</t>
  </si>
  <si>
    <t>Dilbit</t>
  </si>
  <si>
    <t>Diluent</t>
  </si>
  <si>
    <t>Gasoline blendstock</t>
  </si>
  <si>
    <t>CARBOB</t>
  </si>
  <si>
    <t>CA gasoline</t>
  </si>
  <si>
    <t>U.S. conventional diesel</t>
  </si>
  <si>
    <t>CA conventional diesel</t>
  </si>
  <si>
    <t>Diesel for non-road engines</t>
  </si>
  <si>
    <t>Low-sulfur diesel</t>
  </si>
  <si>
    <t>Petroleum naphtha</t>
  </si>
  <si>
    <t>Conventional Jet Fuel</t>
  </si>
  <si>
    <t>ULS Jet Fuel</t>
  </si>
  <si>
    <t>NG-based FT naphtha</t>
  </si>
  <si>
    <t>Residual oil</t>
  </si>
  <si>
    <t>Bunker fuel for ocean tanker</t>
  </si>
  <si>
    <t>Methanol</t>
  </si>
  <si>
    <t>Ethanol</t>
  </si>
  <si>
    <t>Butanol</t>
  </si>
  <si>
    <t>Acetone</t>
  </si>
  <si>
    <t>E-Diesel Additives</t>
  </si>
  <si>
    <t>Liquefied petroleum gas (LPG)</t>
  </si>
  <si>
    <t>Liquefied natural gas (LNG)</t>
  </si>
  <si>
    <t>Dimethyl ether (DME)</t>
  </si>
  <si>
    <t>Dimethoxy methane (DMM)</t>
  </si>
  <si>
    <t>Methyl ester (biodiesel, BD)</t>
  </si>
  <si>
    <t>Fischer-Tropsch diesel (FTD)</t>
  </si>
  <si>
    <t>Renewable Diesel I (SuperCetane)</t>
  </si>
  <si>
    <t>Renewable Diesel II (UOP-HDO)</t>
  </si>
  <si>
    <t>Renewable Diesel III (PNNL-HTL)</t>
  </si>
  <si>
    <t>Renewable Gasoline</t>
  </si>
  <si>
    <t xml:space="preserve">SPK (FT Jet Fuel/HRJ) </t>
  </si>
  <si>
    <t>Liquid hydrogen</t>
  </si>
  <si>
    <t>Methyl tertiary butyl ether (MTBE)</t>
  </si>
  <si>
    <t>Ethyl tertiary butyl ether (ETBE)</t>
  </si>
  <si>
    <t>Tertiary amyl methyl ether (TAME)</t>
  </si>
  <si>
    <t>Butane</t>
  </si>
  <si>
    <t>Isobutane</t>
  </si>
  <si>
    <t>Isobutylene</t>
  </si>
  <si>
    <t>Propane</t>
  </si>
  <si>
    <t>Natural gas liquids</t>
  </si>
  <si>
    <t>n-Hexane</t>
  </si>
  <si>
    <t>Still gas (in refineries)</t>
  </si>
  <si>
    <t>Gaseous Fuels (at 32F and 1atm):</t>
  </si>
  <si>
    <t>Btu/ft3</t>
  </si>
  <si>
    <t>gms/ft3</t>
  </si>
  <si>
    <t>MJ/unit</t>
  </si>
  <si>
    <t>Natural gas</t>
  </si>
  <si>
    <t>Pure Methane</t>
  </si>
  <si>
    <t>Gaseous hydrogen</t>
  </si>
  <si>
    <t>Carbon Dioxide</t>
  </si>
  <si>
    <t>Solid Fuels:</t>
  </si>
  <si>
    <t>Btu/ton</t>
  </si>
  <si>
    <t>Coal Mix for Electricity Generation</t>
  </si>
  <si>
    <t>Bituminous coal</t>
  </si>
  <si>
    <t>Subbituminous coal</t>
  </si>
  <si>
    <t>Lignite coal</t>
  </si>
  <si>
    <t>Synthetic coal</t>
  </si>
  <si>
    <t>Waste coal</t>
  </si>
  <si>
    <t>Pet Coke</t>
  </si>
  <si>
    <t>Tire Derived Fuel</t>
  </si>
  <si>
    <t>Coking coal</t>
  </si>
  <si>
    <t>E</t>
  </si>
  <si>
    <t>Process units</t>
  </si>
  <si>
    <t>% share based on energy basis</t>
  </si>
  <si>
    <t>Btu/kg</t>
  </si>
  <si>
    <t>Heating Values of Steam</t>
  </si>
  <si>
    <t>Petroleum refinery steam: 750 psi (5171.06775 kPa) pressure and 1050 F (565.55C or 838.7055 K) temperature (Haynes, 1976, p.14)</t>
  </si>
  <si>
    <t xml:space="preserve">MJ/kg </t>
  </si>
  <si>
    <t xml:space="preserve">Energy content: </t>
  </si>
  <si>
    <t>btu/kg</t>
  </si>
  <si>
    <t>Output (btu/day)</t>
  </si>
  <si>
    <t>Energy input (btu per day)</t>
  </si>
  <si>
    <t xml:space="preserve">RFG </t>
  </si>
  <si>
    <t xml:space="preserve">Coke </t>
  </si>
  <si>
    <t>Unit</t>
  </si>
  <si>
    <t xml:space="preserve">Steam </t>
  </si>
  <si>
    <t>Electricity (kwh)</t>
  </si>
  <si>
    <t>Output (kg/)day</t>
  </si>
  <si>
    <t>Total</t>
  </si>
  <si>
    <t>Total system</t>
  </si>
  <si>
    <t>Total System</t>
  </si>
  <si>
    <t>Energy output in btu</t>
  </si>
  <si>
    <t>g CO2/MJ</t>
  </si>
  <si>
    <t>g/MJ</t>
  </si>
  <si>
    <t>Source</t>
  </si>
  <si>
    <t>Prelim</t>
  </si>
  <si>
    <t>GREET</t>
  </si>
  <si>
    <t>gCO2/mmbtu</t>
  </si>
  <si>
    <t>GHG (g/day)</t>
  </si>
  <si>
    <t>gCO2/btu</t>
  </si>
  <si>
    <t>Energy input (Btu/day)</t>
  </si>
  <si>
    <t>Total emissions</t>
  </si>
  <si>
    <t>Options</t>
  </si>
  <si>
    <t>Renewable Diesel</t>
  </si>
  <si>
    <t>Co-processing in FCC</t>
  </si>
  <si>
    <t>Carbon Intensity Estimation Scheme- For illustration purpose only</t>
  </si>
  <si>
    <t>Renewable Alkylate</t>
  </si>
  <si>
    <t>GHG and energy allocation</t>
  </si>
  <si>
    <t>Fig. 1. System boundary for FCC co-processing</t>
  </si>
  <si>
    <t>RFG (kg)</t>
  </si>
  <si>
    <t>NG (MCF)</t>
  </si>
  <si>
    <t>Naphtha</t>
  </si>
  <si>
    <t xml:space="preserve"> FCC -coprocessing  diagram</t>
  </si>
  <si>
    <t>Refinery  Carbon Intensity (g CO2e/MJ)</t>
  </si>
  <si>
    <t>FCC -Refinery level  allocation- Energy content</t>
  </si>
  <si>
    <t>Process unit level allocation- Energy Content</t>
  </si>
  <si>
    <t>Alkylate</t>
  </si>
  <si>
    <t>Tallow (kg)</t>
  </si>
  <si>
    <t>Energy content-based allocation at FCC boundary level</t>
  </si>
  <si>
    <t>Check aggregate refinery CI</t>
  </si>
  <si>
    <t>Fossil carbon in isobutane</t>
  </si>
  <si>
    <t>kg</t>
  </si>
  <si>
    <t>g/MJ- renewable gasoline</t>
  </si>
  <si>
    <t>Tailpipe CO2 contributed by fossil isobutane in renewable gasoline</t>
  </si>
  <si>
    <t>Fractionater</t>
  </si>
  <si>
    <t>Use input values</t>
  </si>
  <si>
    <t>N/A</t>
  </si>
  <si>
    <t>Process unit level allocation-preferred option</t>
  </si>
  <si>
    <t>Material Flows</t>
  </si>
  <si>
    <t>Light cracked Naphtha (LCN)</t>
  </si>
  <si>
    <t>Heavy cracked Naphtha (HCN)</t>
  </si>
  <si>
    <t>Light Cycle Oil (LCO)</t>
  </si>
  <si>
    <t>Feed input (kg)/day</t>
  </si>
  <si>
    <t>Note: Coke and RFG are consumed internally, hence they are not real outputs</t>
  </si>
  <si>
    <t>Merox unit</t>
  </si>
  <si>
    <t>FCC fractionator</t>
  </si>
  <si>
    <t>Feed input (kg/day)</t>
  </si>
  <si>
    <t>Output(kg/day)</t>
  </si>
  <si>
    <t xml:space="preserve">FCC </t>
  </si>
  <si>
    <t>Heavy Cracked Naptha  Hydrotreater</t>
  </si>
  <si>
    <t>Biogenic feedstock (e.g Tallow)</t>
  </si>
  <si>
    <t>Process Energy Input</t>
  </si>
  <si>
    <t>Yellow cells indicate user input values. Applicants may provide their own refinery specific values in yellow cells. The current input values are hypothetical for illustration purpose only.</t>
  </si>
  <si>
    <t>Mixed C4s</t>
  </si>
  <si>
    <t>Merox</t>
  </si>
  <si>
    <t xml:space="preserve">Light Naphtha </t>
  </si>
  <si>
    <t xml:space="preserve">Heavy Naphtha </t>
  </si>
  <si>
    <t>Heavy  Naphtha</t>
  </si>
  <si>
    <t xml:space="preserve">Light  Naphtha </t>
  </si>
  <si>
    <t>Heavy Cracked Naphtha  Hydrotreater</t>
  </si>
  <si>
    <t>Electricity (kWh)</t>
  </si>
  <si>
    <t>Vacuum Gas oil (kg)</t>
  </si>
  <si>
    <t xml:space="preserve">Vaccum Gas oil </t>
  </si>
  <si>
    <t>RFG (kg/day)</t>
  </si>
  <si>
    <t xml:space="preserve">NG </t>
  </si>
  <si>
    <t>Heavy Cracked Naphtha  (HCN)</t>
  </si>
  <si>
    <t>Heavy cracked naphtha hydrotreater</t>
  </si>
  <si>
    <t>Renewable Light Naphtha</t>
  </si>
  <si>
    <t>Renewable Heavy Naphtha</t>
  </si>
  <si>
    <t xml:space="preserve"> Renewable Gasoline (Naphtha + Alkylate)</t>
  </si>
  <si>
    <t>Renewable Gasoline (Naphtha + Alkylate)</t>
  </si>
  <si>
    <t>Finished renewable gasoline (alkylate + naphtha blend)</t>
  </si>
  <si>
    <t xml:space="preserve">Renewable light naphtha </t>
  </si>
  <si>
    <t xml:space="preserve">Renewable heavy naphtha </t>
  </si>
  <si>
    <t>Tailpipe CO2 emissions from renewable gasoline contributed by fossil isobutane</t>
  </si>
  <si>
    <t>Light Naphtha</t>
  </si>
  <si>
    <t>Biomass production</t>
  </si>
  <si>
    <t>g CO2e/MJ</t>
  </si>
  <si>
    <t>Biomass transport</t>
  </si>
  <si>
    <t>Co-processing</t>
  </si>
  <si>
    <t>Fuel Transport</t>
  </si>
  <si>
    <t>Fuel use</t>
  </si>
  <si>
    <t xml:space="preserve"> Renewable Diesel</t>
  </si>
  <si>
    <t>Well to wheel GHG emissions are calculated as follows</t>
  </si>
  <si>
    <t>placeholder</t>
  </si>
  <si>
    <t>Carbon Intensity</t>
  </si>
  <si>
    <t>This template is created to illustrate the proposed methodology for estimating carbon intensities of renewable fuels produced from FCC co-processing.</t>
  </si>
  <si>
    <t xml:space="preserve"> This illustration is based on hypothetical data. Actual CIs depend on refinery specific data and configurations.</t>
  </si>
  <si>
    <t>This template includes the following worksheets</t>
  </si>
  <si>
    <t>Provides a summary of carbon intensities of various renewable fuels produced from co-processing.</t>
  </si>
  <si>
    <t>and (2) process unit allocation on energy content basis within the FCC system boundary</t>
  </si>
  <si>
    <t>Worksheet</t>
  </si>
  <si>
    <t>Description</t>
  </si>
  <si>
    <t>Co-processing-I-O</t>
  </si>
  <si>
    <t>Fuel specs and EF</t>
  </si>
  <si>
    <t>1) Specifications of Fuels (CA_GREET model)</t>
  </si>
  <si>
    <t>Allocation of GHG emissions at process unit level</t>
  </si>
  <si>
    <t>Provides a step-by-step illustration of allocating GHG emissions among intermediate and final products.</t>
  </si>
  <si>
    <t>Shows the material and energy flows to and from various units involved in FCC-co-processing and energy use</t>
  </si>
  <si>
    <t>Provides fuels specifications for various fuels and emissions factors to enable estimations of GHG emissions.</t>
  </si>
  <si>
    <t>This provides an useful comparison of CIs obtained from the two allocation methods: (1) FCC refinery level energy content based allocation</t>
  </si>
  <si>
    <t xml:space="preserve">Heavy Naphtha  </t>
  </si>
  <si>
    <t xml:space="preserve">Heavy  Naphtha  </t>
  </si>
  <si>
    <t>Refinery Carbon intensity  of final  product (g/MJ)</t>
  </si>
  <si>
    <t>Summary- Allocation Method Comp.</t>
  </si>
  <si>
    <t xml:space="preserve">User Input Values </t>
  </si>
  <si>
    <t>Provides a list of input values in yellow cells required to perform CI estimation calculations. Users may use their refinery specific data.</t>
  </si>
  <si>
    <t>Bottoms (HCO+ Slurry oil)</t>
  </si>
  <si>
    <t>Draft: Do Not Quote or Cite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</si>
</sst>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0.000"/>
    <numFmt numFmtId="166" formatCode="_(* #,##0_);_(* \(#,##0\);_(* &quot;-&quot;??_);_(@_)"/>
    <numFmt numFmtId="167" formatCode="0.0"/>
  </numFmts>
  <fonts count="20" x14ac:knownFonts="1">
    <font>
      <sz val="11"/>
      <color theme="1"/>
      <name val="Calibri"/>
      <family val="2"/>
      <scheme val="minor"/>
    </font>
    <font>
      <b/>
      <sz val="11"/>
      <color theme="1"/>
      <name val="Calibri"/>
      <family val="2"/>
      <scheme val="minor"/>
    </font>
    <font>
      <sz val="16"/>
      <color theme="0"/>
      <name val="Calibri"/>
      <family val="2"/>
    </font>
    <font>
      <sz val="10"/>
      <name val="Calibri"/>
      <family val="2"/>
    </font>
    <font>
      <sz val="10"/>
      <name val="Arial"/>
      <family val="2"/>
    </font>
    <font>
      <b/>
      <sz val="16"/>
      <color rgb="FFFF0000"/>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9"/>
      <color indexed="81"/>
      <name val="Tahoma"/>
      <family val="2"/>
    </font>
    <font>
      <b/>
      <sz val="9"/>
      <color indexed="81"/>
      <name val="Tahoma"/>
      <family val="2"/>
    </font>
    <font>
      <b/>
      <sz val="11"/>
      <color theme="0"/>
      <name val="Calibri"/>
      <family val="2"/>
      <scheme val="minor"/>
    </font>
    <font>
      <sz val="12"/>
      <color rgb="FFFF0000"/>
      <name val="Calibri"/>
      <family val="2"/>
      <scheme val="minor"/>
    </font>
    <font>
      <sz val="12"/>
      <color theme="1"/>
      <name val="Calibri"/>
      <family val="2"/>
      <scheme val="minor"/>
    </font>
    <font>
      <sz val="11"/>
      <color rgb="FF1F497D"/>
      <name val="Calibri"/>
      <family val="2"/>
      <scheme val="minor"/>
    </font>
    <font>
      <b/>
      <sz val="12"/>
      <name val="Calibri"/>
      <family val="2"/>
      <scheme val="minor"/>
    </font>
    <font>
      <b/>
      <sz val="12"/>
      <name val="Calibri"/>
      <family val="2"/>
    </font>
    <font>
      <sz val="12"/>
      <name val="Calibri"/>
      <family val="2"/>
    </font>
    <font>
      <sz val="11"/>
      <color rgb="FFFF0000"/>
      <name val="Calibri"/>
      <family val="2"/>
      <scheme val="minor"/>
    </font>
    <font>
      <b/>
      <sz val="20"/>
      <color rgb="FFFF0000"/>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0"/>
        <bgColor indexed="64"/>
      </patternFill>
    </fill>
    <fill>
      <patternFill patternType="solid">
        <fgColor rgb="FFDBDBDB"/>
        <bgColor indexed="64"/>
      </patternFill>
    </fill>
    <fill>
      <patternFill patternType="solid">
        <fgColor theme="0"/>
        <bgColor indexed="9"/>
      </patternFill>
    </fill>
    <fill>
      <patternFill patternType="solid">
        <fgColor theme="9" tint="0.79998168889431442"/>
        <bgColor indexed="64"/>
      </patternFill>
    </fill>
    <fill>
      <patternFill patternType="solid">
        <fgColor theme="2" tint="-0.249977111117893"/>
        <bgColor indexed="64"/>
      </patternFill>
    </fill>
    <fill>
      <patternFill patternType="solid">
        <fgColor rgb="FF00B05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7" tint="0.59999389629810485"/>
        <bgColor indexed="64"/>
      </patternFill>
    </fill>
  </fills>
  <borders count="34">
    <border>
      <left/>
      <right/>
      <top/>
      <bottom/>
      <diagonal/>
    </border>
    <border>
      <left style="thin">
        <color auto="1"/>
      </left>
      <right/>
      <top/>
      <bottom/>
      <diagonal/>
    </border>
    <border>
      <left style="medium">
        <color auto="1"/>
      </left>
      <right/>
      <top/>
      <bottom/>
      <diagonal/>
    </border>
    <border>
      <left style="thin">
        <color theme="0"/>
      </left>
      <right style="thin">
        <color theme="0"/>
      </right>
      <top style="thin">
        <color theme="0"/>
      </top>
      <bottom style="thin">
        <color theme="0"/>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43" fontId="4" fillId="0" borderId="0" applyFont="0" applyFill="0" applyBorder="0" applyAlignment="0" applyProtection="0"/>
  </cellStyleXfs>
  <cellXfs count="208">
    <xf numFmtId="0" fontId="0" fillId="0" borderId="0" xfId="0"/>
    <xf numFmtId="0" fontId="1" fillId="0" borderId="0" xfId="0" applyFont="1"/>
    <xf numFmtId="0" fontId="1" fillId="0" borderId="0" xfId="0" applyFont="1" applyAlignment="1">
      <alignment horizontal="center"/>
    </xf>
    <xf numFmtId="0" fontId="0" fillId="2" borderId="0" xfId="0" applyFill="1"/>
    <xf numFmtId="0" fontId="0" fillId="0" borderId="0" xfId="0" applyAlignment="1">
      <alignment horizontal="center"/>
    </xf>
    <xf numFmtId="0" fontId="0" fillId="5" borderId="0" xfId="0" applyFill="1"/>
    <xf numFmtId="0" fontId="1" fillId="5" borderId="0" xfId="0" applyFont="1" applyFill="1"/>
    <xf numFmtId="0" fontId="2" fillId="7" borderId="1" xfId="0" applyFont="1" applyFill="1" applyBorder="1" applyAlignment="1">
      <alignment horizontal="left" indent="1"/>
    </xf>
    <xf numFmtId="0" fontId="2" fillId="7" borderId="2" xfId="0" applyFont="1" applyFill="1" applyBorder="1" applyAlignment="1">
      <alignment horizontal="left" indent="1"/>
    </xf>
    <xf numFmtId="0" fontId="2" fillId="7" borderId="0" xfId="0" applyFont="1" applyFill="1" applyBorder="1" applyAlignment="1">
      <alignment horizontal="left" indent="1"/>
    </xf>
    <xf numFmtId="0" fontId="3" fillId="8" borderId="1" xfId="0" applyFont="1" applyFill="1" applyBorder="1"/>
    <xf numFmtId="0" fontId="3" fillId="8" borderId="0" xfId="0" applyFont="1" applyFill="1" applyBorder="1"/>
    <xf numFmtId="0" fontId="3" fillId="8" borderId="4" xfId="0" applyFont="1" applyFill="1" applyBorder="1"/>
    <xf numFmtId="165" fontId="0" fillId="0" borderId="0" xfId="0" applyNumberFormat="1"/>
    <xf numFmtId="0" fontId="0" fillId="0" borderId="0" xfId="0" applyFill="1"/>
    <xf numFmtId="0" fontId="0" fillId="12" borderId="0" xfId="0" applyFill="1"/>
    <xf numFmtId="0" fontId="1" fillId="12" borderId="0" xfId="0" applyFont="1" applyFill="1"/>
    <xf numFmtId="167" fontId="0" fillId="0" borderId="0" xfId="0" applyNumberFormat="1"/>
    <xf numFmtId="167" fontId="0" fillId="0" borderId="0" xfId="0" applyNumberFormat="1" applyAlignment="1">
      <alignment horizontal="center"/>
    </xf>
    <xf numFmtId="0" fontId="1" fillId="0" borderId="0" xfId="0" applyFont="1" applyAlignment="1">
      <alignment horizontal="center"/>
    </xf>
    <xf numFmtId="2" fontId="0" fillId="0" borderId="0" xfId="0" applyNumberFormat="1"/>
    <xf numFmtId="0" fontId="5" fillId="0" borderId="0" xfId="0" applyFont="1"/>
    <xf numFmtId="0" fontId="6" fillId="0" borderId="0" xfId="0" applyFont="1"/>
    <xf numFmtId="0" fontId="7" fillId="0" borderId="0" xfId="0" applyFont="1"/>
    <xf numFmtId="0" fontId="8" fillId="0" borderId="0" xfId="0" applyFont="1"/>
    <xf numFmtId="0" fontId="0" fillId="0" borderId="6" xfId="0" applyBorder="1"/>
    <xf numFmtId="0" fontId="0" fillId="13" borderId="6" xfId="0" applyFill="1" applyBorder="1"/>
    <xf numFmtId="0" fontId="1" fillId="14" borderId="6" xfId="0" applyFont="1" applyFill="1" applyBorder="1"/>
    <xf numFmtId="0" fontId="1" fillId="14" borderId="6" xfId="0" applyFont="1" applyFill="1" applyBorder="1" applyAlignment="1">
      <alignment horizontal="center" wrapText="1"/>
    </xf>
    <xf numFmtId="2" fontId="0" fillId="14" borderId="6" xfId="0" applyNumberFormat="1" applyFill="1" applyBorder="1"/>
    <xf numFmtId="0" fontId="1" fillId="0" borderId="0" xfId="0" applyFont="1" applyAlignment="1"/>
    <xf numFmtId="0" fontId="0" fillId="0" borderId="0" xfId="0" applyAlignment="1"/>
    <xf numFmtId="11" fontId="0" fillId="0" borderId="0" xfId="0" applyNumberFormat="1"/>
    <xf numFmtId="0" fontId="1" fillId="0" borderId="6" xfId="0" applyFont="1" applyBorder="1" applyAlignment="1">
      <alignment horizontal="center"/>
    </xf>
    <xf numFmtId="0" fontId="1" fillId="6" borderId="6" xfId="0" applyFont="1" applyFill="1" applyBorder="1" applyAlignment="1">
      <alignment horizontal="center"/>
    </xf>
    <xf numFmtId="0" fontId="0" fillId="0" borderId="6" xfId="0" applyBorder="1" applyAlignment="1">
      <alignment horizontal="center"/>
    </xf>
    <xf numFmtId="0" fontId="0" fillId="0" borderId="0" xfId="0" applyAlignment="1">
      <alignment wrapText="1"/>
    </xf>
    <xf numFmtId="11" fontId="1" fillId="6" borderId="6" xfId="0" applyNumberFormat="1" applyFont="1" applyFill="1" applyBorder="1" applyAlignment="1">
      <alignment horizontal="center"/>
    </xf>
    <xf numFmtId="0" fontId="1" fillId="6" borderId="0" xfId="0" applyFont="1" applyFill="1" applyAlignment="1">
      <alignment horizontal="center"/>
    </xf>
    <xf numFmtId="2" fontId="0" fillId="0" borderId="6" xfId="0" applyNumberFormat="1" applyBorder="1" applyAlignment="1">
      <alignment horizontal="center"/>
    </xf>
    <xf numFmtId="11" fontId="0" fillId="0" borderId="6" xfId="0" applyNumberFormat="1" applyBorder="1" applyAlignment="1">
      <alignment horizontal="center"/>
    </xf>
    <xf numFmtId="0" fontId="0" fillId="13" borderId="6" xfId="0" applyFill="1" applyBorder="1" applyAlignment="1">
      <alignment horizontal="center"/>
    </xf>
    <xf numFmtId="0" fontId="0" fillId="3" borderId="6" xfId="0" applyFill="1" applyBorder="1" applyAlignment="1"/>
    <xf numFmtId="0" fontId="0" fillId="4" borderId="6" xfId="0" applyFill="1" applyBorder="1" applyAlignment="1"/>
    <xf numFmtId="0" fontId="0" fillId="5" borderId="6" xfId="0" applyFill="1" applyBorder="1" applyAlignment="1"/>
    <xf numFmtId="4" fontId="0" fillId="4" borderId="6" xfId="0" applyNumberFormat="1" applyFill="1" applyBorder="1" applyAlignment="1"/>
    <xf numFmtId="11" fontId="0" fillId="0" borderId="0" xfId="0" applyNumberFormat="1" applyAlignment="1"/>
    <xf numFmtId="0" fontId="0" fillId="11" borderId="6" xfId="0" applyFill="1" applyBorder="1" applyAlignment="1"/>
    <xf numFmtId="0" fontId="0" fillId="0" borderId="0" xfId="0" applyFill="1" applyAlignment="1"/>
    <xf numFmtId="0" fontId="0" fillId="6" borderId="6" xfId="0" applyFill="1" applyBorder="1" applyAlignment="1"/>
    <xf numFmtId="166" fontId="0" fillId="11" borderId="6" xfId="0" applyNumberFormat="1" applyFill="1" applyBorder="1" applyAlignment="1"/>
    <xf numFmtId="0" fontId="1" fillId="0" borderId="0" xfId="0" applyFont="1" applyAlignment="1">
      <alignment wrapText="1"/>
    </xf>
    <xf numFmtId="11" fontId="0" fillId="6" borderId="6" xfId="0" applyNumberFormat="1" applyFont="1" applyFill="1" applyBorder="1" applyAlignment="1">
      <alignment horizontal="center"/>
    </xf>
    <xf numFmtId="1" fontId="0" fillId="0" borderId="6" xfId="0" applyNumberFormat="1" applyBorder="1" applyAlignment="1">
      <alignment horizontal="center"/>
    </xf>
    <xf numFmtId="0" fontId="0" fillId="14" borderId="6" xfId="0" applyFill="1" applyBorder="1" applyAlignment="1">
      <alignment wrapText="1"/>
    </xf>
    <xf numFmtId="0" fontId="0" fillId="0" borderId="0"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0" fillId="0" borderId="10" xfId="0" applyBorder="1"/>
    <xf numFmtId="0" fontId="0" fillId="15" borderId="0" xfId="0" applyFill="1" applyBorder="1"/>
    <xf numFmtId="0" fontId="1" fillId="15" borderId="6" xfId="0" applyFont="1" applyFill="1" applyBorder="1"/>
    <xf numFmtId="0" fontId="0" fillId="15" borderId="6" xfId="0" applyFill="1" applyBorder="1"/>
    <xf numFmtId="0" fontId="1" fillId="15" borderId="0" xfId="0" applyFont="1" applyFill="1" applyAlignment="1">
      <alignment wrapText="1"/>
    </xf>
    <xf numFmtId="0" fontId="1" fillId="15" borderId="0" xfId="0" applyFont="1" applyFill="1"/>
    <xf numFmtId="2" fontId="1" fillId="15" borderId="0" xfId="0" applyNumberFormat="1" applyFont="1" applyFill="1"/>
    <xf numFmtId="0" fontId="0" fillId="15" borderId="0" xfId="0" applyFont="1" applyFill="1" applyAlignment="1">
      <alignment wrapText="1"/>
    </xf>
    <xf numFmtId="1" fontId="0" fillId="15" borderId="0" xfId="0" applyNumberFormat="1" applyFont="1" applyFill="1"/>
    <xf numFmtId="0" fontId="0" fillId="15" borderId="0" xfId="0" applyFont="1" applyFill="1"/>
    <xf numFmtId="2" fontId="0" fillId="0" borderId="0" xfId="0" applyNumberFormat="1" applyAlignment="1">
      <alignment horizontal="center"/>
    </xf>
    <xf numFmtId="0" fontId="1" fillId="11" borderId="7" xfId="0" applyFont="1" applyFill="1" applyBorder="1" applyAlignment="1"/>
    <xf numFmtId="0" fontId="1" fillId="11" borderId="8" xfId="0" applyFont="1" applyFill="1" applyBorder="1" applyAlignment="1"/>
    <xf numFmtId="2" fontId="1" fillId="16" borderId="6" xfId="0" applyNumberFormat="1" applyFont="1" applyFill="1" applyBorder="1"/>
    <xf numFmtId="0" fontId="1" fillId="16" borderId="6" xfId="0" applyFont="1" applyFill="1" applyBorder="1" applyAlignment="1">
      <alignment wrapText="1"/>
    </xf>
    <xf numFmtId="0" fontId="1" fillId="0" borderId="6" xfId="0" applyFont="1" applyBorder="1"/>
    <xf numFmtId="0" fontId="1" fillId="6" borderId="6" xfId="0" applyFont="1" applyFill="1" applyBorder="1" applyAlignment="1"/>
    <xf numFmtId="0" fontId="1" fillId="17" borderId="6" xfId="0" applyFont="1" applyFill="1" applyBorder="1"/>
    <xf numFmtId="0" fontId="1" fillId="17" borderId="6" xfId="0" applyFont="1" applyFill="1" applyBorder="1" applyAlignment="1"/>
    <xf numFmtId="0" fontId="0" fillId="0" borderId="6" xfId="0" applyBorder="1" applyAlignment="1">
      <alignment wrapText="1"/>
    </xf>
    <xf numFmtId="0" fontId="12" fillId="2" borderId="0" xfId="0" applyFont="1" applyFill="1"/>
    <xf numFmtId="0" fontId="13" fillId="2" borderId="0" xfId="0" applyFont="1" applyFill="1"/>
    <xf numFmtId="0" fontId="13" fillId="0" borderId="0" xfId="0" applyFont="1"/>
    <xf numFmtId="165" fontId="0" fillId="0" borderId="0" xfId="0" applyNumberFormat="1" applyAlignment="1"/>
    <xf numFmtId="0" fontId="0" fillId="0" borderId="0" xfId="0" applyFill="1" applyBorder="1" applyAlignment="1"/>
    <xf numFmtId="0" fontId="11" fillId="0" borderId="0" xfId="0" applyFont="1" applyFill="1" applyBorder="1" applyAlignment="1"/>
    <xf numFmtId="0" fontId="0" fillId="0" borderId="0" xfId="0" applyBorder="1"/>
    <xf numFmtId="0" fontId="1" fillId="0" borderId="6" xfId="0" applyFont="1" applyBorder="1" applyAlignment="1"/>
    <xf numFmtId="0" fontId="0" fillId="6" borderId="6" xfId="0" applyFill="1" applyBorder="1" applyAlignment="1">
      <alignment horizontal="center"/>
    </xf>
    <xf numFmtId="0" fontId="0" fillId="6" borderId="7" xfId="0" applyFill="1" applyBorder="1" applyAlignment="1">
      <alignment horizontal="center"/>
    </xf>
    <xf numFmtId="0" fontId="1" fillId="5" borderId="7" xfId="0" applyFont="1" applyFill="1" applyBorder="1" applyAlignment="1"/>
    <xf numFmtId="0" fontId="1" fillId="5" borderId="8" xfId="0" applyFont="1" applyFill="1" applyBorder="1" applyAlignment="1"/>
    <xf numFmtId="0" fontId="0" fillId="5" borderId="6" xfId="0" applyFill="1" applyBorder="1" applyAlignment="1">
      <alignment horizontal="center"/>
    </xf>
    <xf numFmtId="0" fontId="0" fillId="4" borderId="6" xfId="0" applyFill="1" applyBorder="1" applyAlignment="1">
      <alignment horizontal="center"/>
    </xf>
    <xf numFmtId="0" fontId="0" fillId="3" borderId="6" xfId="0" applyFill="1" applyBorder="1" applyAlignment="1">
      <alignment horizontal="center" wrapText="1"/>
    </xf>
    <xf numFmtId="0" fontId="0" fillId="4" borderId="6" xfId="0" applyFill="1" applyBorder="1" applyAlignment="1">
      <alignment horizontal="center" wrapText="1"/>
    </xf>
    <xf numFmtId="0" fontId="0" fillId="5" borderId="6" xfId="0" applyFill="1" applyBorder="1" applyAlignment="1">
      <alignment horizontal="center" wrapText="1"/>
    </xf>
    <xf numFmtId="0" fontId="0" fillId="11" borderId="6" xfId="0" applyFill="1" applyBorder="1" applyAlignment="1">
      <alignment horizontal="center" wrapText="1"/>
    </xf>
    <xf numFmtId="0" fontId="0" fillId="11" borderId="6" xfId="0" applyFill="1" applyBorder="1" applyAlignment="1">
      <alignment horizontal="center"/>
    </xf>
    <xf numFmtId="0" fontId="0" fillId="0" borderId="7" xfId="0" applyBorder="1"/>
    <xf numFmtId="0" fontId="0" fillId="0" borderId="13" xfId="0" applyBorder="1"/>
    <xf numFmtId="0" fontId="0" fillId="0" borderId="15" xfId="0" applyBorder="1"/>
    <xf numFmtId="0" fontId="0" fillId="0" borderId="16" xfId="0" applyBorder="1"/>
    <xf numFmtId="0" fontId="0" fillId="0" borderId="18" xfId="0" applyBorder="1"/>
    <xf numFmtId="0" fontId="0" fillId="0" borderId="13" xfId="0" applyBorder="1" applyAlignment="1">
      <alignment wrapText="1"/>
    </xf>
    <xf numFmtId="0" fontId="1" fillId="0" borderId="11" xfId="0" applyFont="1" applyBorder="1" applyAlignment="1"/>
    <xf numFmtId="0" fontId="1" fillId="0" borderId="12" xfId="0" applyFont="1" applyBorder="1" applyAlignment="1"/>
    <xf numFmtId="0" fontId="0" fillId="0" borderId="13" xfId="0" applyBorder="1" applyAlignment="1">
      <alignment horizontal="center" wrapText="1"/>
    </xf>
    <xf numFmtId="0" fontId="7" fillId="0" borderId="20" xfId="0" applyFont="1" applyBorder="1" applyAlignment="1">
      <alignment wrapText="1"/>
    </xf>
    <xf numFmtId="0" fontId="1" fillId="0" borderId="13" xfId="0" applyFont="1" applyBorder="1"/>
    <xf numFmtId="0" fontId="0" fillId="11" borderId="14" xfId="0" applyFill="1" applyBorder="1" applyAlignment="1"/>
    <xf numFmtId="0" fontId="1" fillId="17" borderId="10" xfId="0" applyFont="1" applyFill="1" applyBorder="1" applyAlignment="1"/>
    <xf numFmtId="0" fontId="0" fillId="4" borderId="6" xfId="0" applyFill="1" applyBorder="1"/>
    <xf numFmtId="0" fontId="0" fillId="17" borderId="0" xfId="0" applyFill="1"/>
    <xf numFmtId="0" fontId="1" fillId="0" borderId="6" xfId="0" applyFont="1" applyBorder="1" applyAlignment="1">
      <alignment horizontal="center" wrapText="1"/>
    </xf>
    <xf numFmtId="0" fontId="0" fillId="0" borderId="10" xfId="0" applyBorder="1" applyAlignment="1">
      <alignment horizontal="center" wrapText="1"/>
    </xf>
    <xf numFmtId="2" fontId="0" fillId="0" borderId="0" xfId="0" applyNumberFormat="1" applyAlignment="1"/>
    <xf numFmtId="0" fontId="14" fillId="0" borderId="0" xfId="0" applyFont="1" applyAlignment="1">
      <alignment vertical="center"/>
    </xf>
    <xf numFmtId="2" fontId="1" fillId="11" borderId="0" xfId="0" applyNumberFormat="1" applyFont="1" applyFill="1"/>
    <xf numFmtId="0" fontId="1" fillId="11" borderId="0" xfId="0" applyFont="1" applyFill="1"/>
    <xf numFmtId="0" fontId="1" fillId="8" borderId="0" xfId="0" applyFont="1" applyFill="1" applyBorder="1" applyAlignment="1">
      <alignment wrapText="1"/>
    </xf>
    <xf numFmtId="0" fontId="0" fillId="17" borderId="6" xfId="0" applyFill="1" applyBorder="1"/>
    <xf numFmtId="2" fontId="0" fillId="0" borderId="6" xfId="0" applyNumberFormat="1" applyBorder="1"/>
    <xf numFmtId="0" fontId="8" fillId="0" borderId="0" xfId="0" applyFont="1" applyAlignment="1">
      <alignment horizontal="left"/>
    </xf>
    <xf numFmtId="0" fontId="0" fillId="0" borderId="5" xfId="0" applyBorder="1"/>
    <xf numFmtId="0" fontId="0" fillId="0" borderId="26" xfId="0" applyBorder="1"/>
    <xf numFmtId="0" fontId="0" fillId="0" borderId="8" xfId="0" applyFill="1" applyBorder="1"/>
    <xf numFmtId="0" fontId="0" fillId="0" borderId="8" xfId="0" applyBorder="1"/>
    <xf numFmtId="0" fontId="0" fillId="0" borderId="9" xfId="0" applyBorder="1"/>
    <xf numFmtId="0" fontId="15" fillId="9" borderId="3" xfId="1" applyFont="1" applyFill="1" applyBorder="1" applyAlignment="1">
      <alignment wrapText="1"/>
    </xf>
    <xf numFmtId="0" fontId="16" fillId="9" borderId="3" xfId="1" applyFont="1" applyFill="1" applyBorder="1" applyAlignment="1">
      <alignment wrapText="1"/>
    </xf>
    <xf numFmtId="0" fontId="17" fillId="8" borderId="5" xfId="0" applyFont="1" applyFill="1" applyBorder="1"/>
    <xf numFmtId="43" fontId="17" fillId="10" borderId="5" xfId="2" applyNumberFormat="1" applyFont="1" applyFill="1" applyBorder="1"/>
    <xf numFmtId="164" fontId="13" fillId="0" borderId="0" xfId="0" applyNumberFormat="1" applyFont="1"/>
    <xf numFmtId="0" fontId="0" fillId="0" borderId="0" xfId="0" applyFill="1" applyBorder="1" applyAlignment="1">
      <alignment horizontal="left"/>
    </xf>
    <xf numFmtId="0" fontId="0" fillId="0" borderId="23" xfId="0" applyBorder="1"/>
    <xf numFmtId="0" fontId="0" fillId="0" borderId="29" xfId="0" applyBorder="1" applyAlignment="1">
      <alignment horizontal="center" wrapText="1"/>
    </xf>
    <xf numFmtId="0" fontId="0" fillId="0" borderId="30" xfId="0" applyBorder="1" applyAlignment="1">
      <alignment horizontal="center" wrapText="1"/>
    </xf>
    <xf numFmtId="0" fontId="0" fillId="0" borderId="0" xfId="0" applyAlignment="1">
      <alignment horizontal="center" wrapText="1"/>
    </xf>
    <xf numFmtId="0" fontId="0" fillId="3" borderId="6" xfId="0" applyFill="1" applyBorder="1"/>
    <xf numFmtId="0" fontId="0" fillId="2" borderId="6" xfId="0" applyFill="1" applyBorder="1" applyAlignment="1">
      <alignment horizontal="center"/>
    </xf>
    <xf numFmtId="1" fontId="0" fillId="2" borderId="14" xfId="0" applyNumberFormat="1" applyFill="1" applyBorder="1" applyAlignment="1">
      <alignment horizontal="center"/>
    </xf>
    <xf numFmtId="167" fontId="0" fillId="2" borderId="6" xfId="0" applyNumberForma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2" borderId="14"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1" fontId="0" fillId="2" borderId="15" xfId="0" applyNumberFormat="1" applyFill="1" applyBorder="1" applyAlignment="1">
      <alignment horizontal="center"/>
    </xf>
    <xf numFmtId="1" fontId="0" fillId="2" borderId="17" xfId="0" applyNumberFormat="1" applyFill="1" applyBorder="1" applyAlignment="1">
      <alignment horizontal="center"/>
    </xf>
    <xf numFmtId="1" fontId="0" fillId="2" borderId="16" xfId="0" applyNumberFormat="1" applyFill="1" applyBorder="1" applyAlignment="1">
      <alignment horizontal="center"/>
    </xf>
    <xf numFmtId="1" fontId="0" fillId="2" borderId="6" xfId="0" applyNumberFormat="1" applyFill="1" applyBorder="1" applyAlignment="1">
      <alignment horizontal="center"/>
    </xf>
    <xf numFmtId="1" fontId="0" fillId="2" borderId="18" xfId="0" applyNumberFormat="1" applyFill="1" applyBorder="1" applyAlignment="1">
      <alignment horizontal="center"/>
    </xf>
    <xf numFmtId="0" fontId="0" fillId="0" borderId="30" xfId="0" applyFill="1" applyBorder="1" applyAlignment="1">
      <alignment wrapText="1"/>
    </xf>
    <xf numFmtId="0" fontId="0" fillId="0" borderId="29" xfId="0" applyBorder="1" applyAlignment="1">
      <alignment wrapText="1"/>
    </xf>
    <xf numFmtId="0" fontId="0" fillId="0" borderId="10" xfId="0" applyBorder="1" applyAlignment="1">
      <alignment wrapText="1"/>
    </xf>
    <xf numFmtId="0" fontId="0" fillId="0" borderId="30" xfId="0" applyBorder="1" applyAlignment="1">
      <alignment wrapText="1"/>
    </xf>
    <xf numFmtId="0" fontId="0" fillId="0" borderId="29" xfId="0" applyBorder="1"/>
    <xf numFmtId="0" fontId="0" fillId="0" borderId="4" xfId="0" applyBorder="1" applyAlignment="1">
      <alignment wrapText="1"/>
    </xf>
    <xf numFmtId="1" fontId="0" fillId="2" borderId="13" xfId="0" applyNumberFormat="1" applyFill="1" applyBorder="1" applyAlignment="1">
      <alignment horizontal="center"/>
    </xf>
    <xf numFmtId="1" fontId="0" fillId="2" borderId="0" xfId="0" applyNumberFormat="1" applyFill="1" applyBorder="1" applyAlignment="1">
      <alignment horizontal="center"/>
    </xf>
    <xf numFmtId="1" fontId="0" fillId="3" borderId="6" xfId="0" applyNumberFormat="1" applyFill="1" applyBorder="1" applyAlignment="1"/>
    <xf numFmtId="0" fontId="0" fillId="3" borderId="0" xfId="0" applyFill="1" applyAlignment="1">
      <alignment horizontal="center" wrapText="1"/>
    </xf>
    <xf numFmtId="0" fontId="0" fillId="6" borderId="6" xfId="0" applyFill="1" applyBorder="1"/>
    <xf numFmtId="0" fontId="0" fillId="6" borderId="6" xfId="0" applyFill="1" applyBorder="1" applyAlignment="1">
      <alignment horizontal="center" wrapText="1"/>
    </xf>
    <xf numFmtId="1" fontId="0" fillId="4" borderId="6" xfId="0" applyNumberFormat="1" applyFill="1" applyBorder="1" applyAlignment="1"/>
    <xf numFmtId="1" fontId="0" fillId="3" borderId="6" xfId="0" applyNumberFormat="1" applyFill="1" applyBorder="1"/>
    <xf numFmtId="1" fontId="1" fillId="17" borderId="6" xfId="0" applyNumberFormat="1" applyFont="1" applyFill="1" applyBorder="1"/>
    <xf numFmtId="0" fontId="1" fillId="6" borderId="6" xfId="0" applyFont="1" applyFill="1" applyBorder="1"/>
    <xf numFmtId="1" fontId="0" fillId="0" borderId="0" xfId="0" applyNumberFormat="1"/>
    <xf numFmtId="0" fontId="18" fillId="0" borderId="0" xfId="0" applyFont="1"/>
    <xf numFmtId="0" fontId="19" fillId="0" borderId="0" xfId="0" applyFont="1"/>
    <xf numFmtId="1" fontId="0" fillId="0" borderId="6" xfId="0" applyNumberFormat="1" applyFill="1" applyBorder="1" applyAlignment="1">
      <alignment horizontal="center"/>
    </xf>
    <xf numFmtId="0" fontId="0" fillId="0" borderId="6" xfId="0" applyBorder="1" applyAlignment="1">
      <alignment horizontal="left"/>
    </xf>
    <xf numFmtId="0" fontId="1" fillId="0" borderId="0" xfId="0" applyFont="1" applyAlignment="1">
      <alignment horizontal="left"/>
    </xf>
    <xf numFmtId="0" fontId="1" fillId="0" borderId="6" xfId="0" applyFont="1" applyBorder="1" applyAlignment="1">
      <alignment horizontal="center"/>
    </xf>
    <xf numFmtId="0" fontId="0" fillId="0" borderId="24" xfId="0" applyFill="1" applyBorder="1" applyAlignment="1">
      <alignment horizontal="left"/>
    </xf>
    <xf numFmtId="0" fontId="0" fillId="0" borderId="25" xfId="0" applyFill="1" applyBorder="1" applyAlignment="1">
      <alignment horizontal="left"/>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0" xfId="0" applyFont="1" applyBorder="1" applyAlignment="1">
      <alignment horizontal="left" vertical="center" wrapText="1"/>
    </xf>
    <xf numFmtId="0" fontId="1" fillId="0" borderId="19" xfId="0" applyFont="1" applyBorder="1" applyAlignment="1">
      <alignment horizontal="center"/>
    </xf>
    <xf numFmtId="0" fontId="1" fillId="0" borderId="4"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0" fillId="0" borderId="7" xfId="0"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14" borderId="0" xfId="0" applyFont="1" applyFill="1" applyAlignment="1">
      <alignment horizontal="center"/>
    </xf>
    <xf numFmtId="0" fontId="1" fillId="15" borderId="0" xfId="0" applyFont="1" applyFill="1" applyBorder="1" applyAlignment="1">
      <alignment horizontal="center"/>
    </xf>
    <xf numFmtId="0" fontId="1" fillId="15" borderId="7" xfId="0" applyFont="1" applyFill="1" applyBorder="1" applyAlignment="1">
      <alignment horizontal="center" wrapText="1"/>
    </xf>
    <xf numFmtId="0" fontId="1" fillId="15" borderId="8" xfId="0" applyFont="1" applyFill="1" applyBorder="1" applyAlignment="1">
      <alignment horizontal="center" wrapText="1"/>
    </xf>
    <xf numFmtId="0" fontId="1" fillId="11" borderId="7" xfId="0" applyFont="1" applyFill="1" applyBorder="1" applyAlignment="1">
      <alignment horizontal="center"/>
    </xf>
    <xf numFmtId="0" fontId="1" fillId="11" borderId="8" xfId="0" applyFont="1" applyFill="1" applyBorder="1" applyAlignment="1">
      <alignment horizontal="center"/>
    </xf>
    <xf numFmtId="0" fontId="1" fillId="11" borderId="9" xfId="0" applyFont="1" applyFill="1" applyBorder="1" applyAlignment="1">
      <alignment horizontal="center"/>
    </xf>
    <xf numFmtId="0" fontId="1" fillId="4" borderId="6" xfId="0" applyFont="1" applyFill="1" applyBorder="1" applyAlignment="1"/>
    <xf numFmtId="0" fontId="1" fillId="3" borderId="6"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26" xfId="0" applyFont="1" applyFill="1" applyBorder="1" applyAlignment="1">
      <alignment horizontal="center"/>
    </xf>
    <xf numFmtId="0" fontId="1" fillId="3" borderId="5" xfId="0" applyFont="1" applyFill="1" applyBorder="1" applyAlignment="1">
      <alignment horizontal="center"/>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6" borderId="4" xfId="0" applyFont="1" applyFill="1" applyBorder="1" applyAlignment="1">
      <alignment horizontal="center"/>
    </xf>
    <xf numFmtId="0" fontId="1" fillId="6" borderId="5" xfId="0" applyFont="1" applyFill="1" applyBorder="1" applyAlignment="1">
      <alignment horizontal="center"/>
    </xf>
  </cellXfs>
  <cellStyles count="3">
    <cellStyle name="Comma 5" xfId="2"/>
    <cellStyle name="Normal" xfId="0" builtinId="0"/>
    <cellStyle name="Normal 4 10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38005</xdr:colOff>
      <xdr:row>3</xdr:row>
      <xdr:rowOff>0</xdr:rowOff>
    </xdr:from>
    <xdr:to>
      <xdr:col>10</xdr:col>
      <xdr:colOff>596291</xdr:colOff>
      <xdr:row>22</xdr:row>
      <xdr:rowOff>158704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9982105" y="723900"/>
          <a:ext cx="6130411" cy="4578304"/>
        </a:xfrm>
        <a:prstGeom prst="rect">
          <a:avLst/>
        </a:prstGeom>
        <a:solidFill>
          <a:schemeClr val="accent6">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381000</xdr:colOff>
      <xdr:row>7</xdr:row>
      <xdr:rowOff>142875</xdr:rowOff>
    </xdr:from>
    <xdr:to>
      <xdr:col>24</xdr:col>
      <xdr:colOff>418108</xdr:colOff>
      <xdr:row>27</xdr:row>
      <xdr:rowOff>149368</xdr:rowOff>
    </xdr:to>
    <xdr:pic>
      <xdr:nvPicPr>
        <xdr:cNvPr id="6" name="Picture 5"/>
        <xdr:cNvPicPr>
          <a:picLocks noChangeAspect="1"/>
        </xdr:cNvPicPr>
      </xdr:nvPicPr>
      <xdr:blipFill>
        <a:blip xmlns:r="http://schemas.openxmlformats.org/officeDocument/2006/relationships" r:embed="rId1"/>
        <a:stretch>
          <a:fillRect/>
        </a:stretch>
      </xdr:blipFill>
      <xdr:spPr>
        <a:xfrm>
          <a:off x="14201775" y="1905000"/>
          <a:ext cx="6133108" cy="45784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6"/>
  <sheetViews>
    <sheetView tabSelected="1" workbookViewId="0">
      <selection activeCell="B2" sqref="B2:N2"/>
    </sheetView>
  </sheetViews>
  <sheetFormatPr defaultRowHeight="15" x14ac:dyDescent="0.25"/>
  <cols>
    <col min="2" max="2" width="27.7109375" customWidth="1"/>
  </cols>
  <sheetData>
    <row r="1" spans="2:16" ht="26.25" x14ac:dyDescent="0.4">
      <c r="B1" s="171" t="s">
        <v>232</v>
      </c>
    </row>
    <row r="2" spans="2:16" x14ac:dyDescent="0.25">
      <c r="B2" s="174" t="s">
        <v>210</v>
      </c>
      <c r="C2" s="174"/>
      <c r="D2" s="174"/>
      <c r="E2" s="174"/>
      <c r="F2" s="174"/>
      <c r="G2" s="174"/>
      <c r="H2" s="174"/>
      <c r="I2" s="174"/>
      <c r="J2" s="174"/>
      <c r="K2" s="174"/>
      <c r="L2" s="174"/>
      <c r="M2" s="174"/>
      <c r="N2" s="174"/>
      <c r="O2" s="1"/>
      <c r="P2" s="1"/>
    </row>
    <row r="3" spans="2:16" x14ac:dyDescent="0.25">
      <c r="B3" s="122" t="s">
        <v>211</v>
      </c>
      <c r="C3" s="24"/>
      <c r="D3" s="24"/>
      <c r="E3" s="24"/>
      <c r="F3" s="24"/>
    </row>
    <row r="4" spans="2:16" x14ac:dyDescent="0.25">
      <c r="B4" s="24"/>
      <c r="C4" s="24"/>
      <c r="D4" s="24"/>
      <c r="E4" s="24"/>
      <c r="F4" s="24"/>
    </row>
    <row r="5" spans="2:16" ht="15.75" x14ac:dyDescent="0.25">
      <c r="B5" s="81" t="s">
        <v>212</v>
      </c>
    </row>
    <row r="6" spans="2:16" x14ac:dyDescent="0.25">
      <c r="B6" s="74" t="s">
        <v>215</v>
      </c>
      <c r="C6" s="175" t="s">
        <v>216</v>
      </c>
      <c r="D6" s="175"/>
      <c r="E6" s="175"/>
      <c r="F6" s="175"/>
      <c r="G6" s="175"/>
      <c r="H6" s="175"/>
      <c r="I6" s="175"/>
      <c r="J6" s="175"/>
      <c r="K6" s="175"/>
      <c r="L6" s="175"/>
      <c r="M6" s="175"/>
      <c r="N6" s="175"/>
      <c r="O6" s="175"/>
      <c r="P6" s="175"/>
    </row>
    <row r="7" spans="2:16" x14ac:dyDescent="0.25">
      <c r="B7" s="74" t="s">
        <v>229</v>
      </c>
      <c r="C7" s="125" t="s">
        <v>230</v>
      </c>
      <c r="D7" s="126"/>
      <c r="E7" s="126"/>
      <c r="F7" s="126"/>
      <c r="G7" s="126"/>
      <c r="H7" s="126"/>
      <c r="I7" s="126"/>
      <c r="J7" s="126"/>
      <c r="K7" s="126"/>
      <c r="L7" s="126"/>
      <c r="M7" s="126"/>
      <c r="N7" s="126"/>
      <c r="O7" s="126"/>
      <c r="P7" s="127"/>
    </row>
    <row r="8" spans="2:16" x14ac:dyDescent="0.25">
      <c r="B8" s="178" t="s">
        <v>228</v>
      </c>
      <c r="C8" s="176" t="s">
        <v>213</v>
      </c>
      <c r="D8" s="176"/>
      <c r="E8" s="176"/>
      <c r="F8" s="176"/>
      <c r="G8" s="176"/>
      <c r="H8" s="176"/>
      <c r="I8" s="176"/>
      <c r="J8" s="176"/>
      <c r="K8" s="176"/>
      <c r="L8" s="176"/>
      <c r="M8" s="176"/>
      <c r="N8" s="176"/>
      <c r="O8" s="176"/>
      <c r="P8" s="177"/>
    </row>
    <row r="9" spans="2:16" x14ac:dyDescent="0.25">
      <c r="B9" s="179"/>
      <c r="C9" s="133" t="s">
        <v>224</v>
      </c>
      <c r="D9" s="85"/>
      <c r="E9" s="85"/>
      <c r="F9" s="85"/>
      <c r="G9" s="85"/>
      <c r="H9" s="85"/>
      <c r="I9" s="85"/>
      <c r="J9" s="85"/>
      <c r="K9" s="85"/>
      <c r="L9" s="85"/>
      <c r="M9" s="85"/>
      <c r="N9" s="85"/>
      <c r="O9" s="85"/>
      <c r="P9" s="134"/>
    </row>
    <row r="10" spans="2:16" x14ac:dyDescent="0.25">
      <c r="B10" s="180"/>
      <c r="C10" s="123" t="s">
        <v>214</v>
      </c>
      <c r="D10" s="123"/>
      <c r="E10" s="123"/>
      <c r="F10" s="123"/>
      <c r="G10" s="123"/>
      <c r="H10" s="123"/>
      <c r="I10" s="123"/>
      <c r="J10" s="123"/>
      <c r="K10" s="123"/>
      <c r="L10" s="123"/>
      <c r="M10" s="123"/>
      <c r="N10" s="123"/>
      <c r="O10" s="123"/>
      <c r="P10" s="124"/>
    </row>
    <row r="11" spans="2:16" x14ac:dyDescent="0.25">
      <c r="B11" s="74" t="s">
        <v>141</v>
      </c>
      <c r="C11" s="173" t="s">
        <v>221</v>
      </c>
      <c r="D11" s="173"/>
      <c r="E11" s="173"/>
      <c r="F11" s="173"/>
      <c r="G11" s="173"/>
      <c r="H11" s="173"/>
      <c r="I11" s="173"/>
      <c r="J11" s="173"/>
      <c r="K11" s="173"/>
      <c r="L11" s="173"/>
      <c r="M11" s="173"/>
      <c r="N11" s="173"/>
      <c r="O11" s="173"/>
      <c r="P11" s="173"/>
    </row>
    <row r="12" spans="2:16" x14ac:dyDescent="0.25">
      <c r="B12" s="74" t="s">
        <v>217</v>
      </c>
      <c r="C12" s="173" t="s">
        <v>222</v>
      </c>
      <c r="D12" s="173"/>
      <c r="E12" s="173"/>
      <c r="F12" s="173"/>
      <c r="G12" s="173"/>
      <c r="H12" s="173"/>
      <c r="I12" s="173"/>
      <c r="J12" s="173"/>
      <c r="K12" s="173"/>
      <c r="L12" s="173"/>
      <c r="M12" s="173"/>
      <c r="N12" s="173"/>
      <c r="O12" s="173"/>
      <c r="P12" s="173"/>
    </row>
    <row r="13" spans="2:16" x14ac:dyDescent="0.25">
      <c r="B13" s="74" t="s">
        <v>218</v>
      </c>
      <c r="C13" s="173" t="s">
        <v>223</v>
      </c>
      <c r="D13" s="173"/>
      <c r="E13" s="173"/>
      <c r="F13" s="173"/>
      <c r="G13" s="173"/>
      <c r="H13" s="173"/>
      <c r="I13" s="173"/>
      <c r="J13" s="173"/>
      <c r="K13" s="173"/>
      <c r="L13" s="173"/>
      <c r="M13" s="173"/>
      <c r="N13" s="173"/>
      <c r="O13" s="173"/>
      <c r="P13" s="173"/>
    </row>
    <row r="16" spans="2:16" x14ac:dyDescent="0.25">
      <c r="F16" s="170"/>
    </row>
  </sheetData>
  <mergeCells count="7">
    <mergeCell ref="C11:P11"/>
    <mergeCell ref="C12:P12"/>
    <mergeCell ref="C13:P13"/>
    <mergeCell ref="B2:N2"/>
    <mergeCell ref="C6:P6"/>
    <mergeCell ref="C8:P8"/>
    <mergeCell ref="B8: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27"/>
  <sheetViews>
    <sheetView topLeftCell="B4" workbookViewId="0">
      <selection activeCell="C25" sqref="C25"/>
    </sheetView>
  </sheetViews>
  <sheetFormatPr defaultRowHeight="15" x14ac:dyDescent="0.25"/>
  <cols>
    <col min="2" max="2" width="21.28515625" customWidth="1"/>
    <col min="3" max="3" width="13.7109375" customWidth="1"/>
    <col min="4" max="4" width="12.140625" customWidth="1"/>
    <col min="5" max="5" width="15.5703125" customWidth="1"/>
    <col min="6" max="6" width="20.140625" customWidth="1"/>
    <col min="7" max="7" width="21" customWidth="1"/>
    <col min="8" max="8" width="13.7109375" customWidth="1"/>
    <col min="9" max="9" width="11.28515625" customWidth="1"/>
    <col min="10" max="10" width="10.5703125" bestFit="1" customWidth="1"/>
    <col min="11" max="11" width="12" customWidth="1"/>
  </cols>
  <sheetData>
    <row r="2" spans="2:20" ht="18.75" x14ac:dyDescent="0.3">
      <c r="B2" s="22" t="s">
        <v>159</v>
      </c>
      <c r="C2" s="1"/>
      <c r="D2" s="1"/>
    </row>
    <row r="3" spans="2:20" ht="15.75" x14ac:dyDescent="0.25">
      <c r="B3" s="79" t="s">
        <v>176</v>
      </c>
      <c r="C3" s="80"/>
      <c r="D3" s="81"/>
      <c r="E3" s="81"/>
      <c r="F3" s="81"/>
      <c r="G3" s="81"/>
      <c r="H3" s="81"/>
      <c r="I3" s="81"/>
      <c r="J3" s="81"/>
      <c r="K3" s="81"/>
      <c r="L3" s="81"/>
      <c r="M3" s="81"/>
    </row>
    <row r="5" spans="2:20" ht="16.5" thickBot="1" x14ac:dyDescent="0.3">
      <c r="B5" s="23" t="s">
        <v>162</v>
      </c>
    </row>
    <row r="6" spans="2:20" ht="15.75" thickBot="1" x14ac:dyDescent="0.3">
      <c r="B6" s="181" t="s">
        <v>118</v>
      </c>
      <c r="C6" s="104" t="s">
        <v>166</v>
      </c>
      <c r="D6" s="105"/>
      <c r="E6" s="186" t="s">
        <v>121</v>
      </c>
      <c r="F6" s="187"/>
      <c r="G6" s="187"/>
      <c r="H6" s="187"/>
      <c r="I6" s="187"/>
      <c r="J6" s="187"/>
      <c r="K6" s="188"/>
    </row>
    <row r="7" spans="2:20" ht="45" x14ac:dyDescent="0.25">
      <c r="B7" s="182"/>
      <c r="C7" s="106" t="s">
        <v>174</v>
      </c>
      <c r="D7" s="98" t="s">
        <v>186</v>
      </c>
      <c r="E7" s="135" t="s">
        <v>163</v>
      </c>
      <c r="F7" s="114" t="s">
        <v>164</v>
      </c>
      <c r="G7" s="114" t="s">
        <v>165</v>
      </c>
      <c r="H7" s="137" t="s">
        <v>231</v>
      </c>
      <c r="I7" s="114" t="s">
        <v>177</v>
      </c>
      <c r="J7" s="114" t="s">
        <v>3</v>
      </c>
      <c r="K7" s="136" t="s">
        <v>21</v>
      </c>
    </row>
    <row r="8" spans="2:20" ht="15.75" thickBot="1" x14ac:dyDescent="0.3">
      <c r="B8" s="98" t="s">
        <v>1</v>
      </c>
      <c r="C8" s="148">
        <v>548200.8336064301</v>
      </c>
      <c r="D8" s="149">
        <v>4933807.5024578702</v>
      </c>
      <c r="E8" s="148">
        <v>2766769.6072116476</v>
      </c>
      <c r="F8" s="150">
        <v>827344.69807882386</v>
      </c>
      <c r="G8" s="151">
        <v>844229.28375390219</v>
      </c>
      <c r="H8" s="151">
        <v>230244.35011470059</v>
      </c>
      <c r="I8" s="151">
        <v>268618.4084671507</v>
      </c>
      <c r="J8" s="150">
        <v>257873.67212846427</v>
      </c>
      <c r="K8" s="152">
        <v>177288.14958831956</v>
      </c>
      <c r="L8" t="s">
        <v>167</v>
      </c>
    </row>
    <row r="10" spans="2:20" ht="16.5" thickBot="1" x14ac:dyDescent="0.3">
      <c r="B10" s="23" t="s">
        <v>162</v>
      </c>
    </row>
    <row r="11" spans="2:20" ht="15.75" thickBot="1" x14ac:dyDescent="0.3">
      <c r="B11" s="185" t="s">
        <v>118</v>
      </c>
      <c r="C11" s="186" t="s">
        <v>170</v>
      </c>
      <c r="D11" s="187"/>
      <c r="E11" s="187"/>
      <c r="F11" s="187"/>
      <c r="G11" s="187"/>
      <c r="H11" s="187"/>
      <c r="I11" s="188"/>
      <c r="J11" s="186" t="s">
        <v>171</v>
      </c>
      <c r="K11" s="187"/>
      <c r="L11" s="187"/>
      <c r="M11" s="187"/>
      <c r="N11" s="187"/>
      <c r="O11" s="187"/>
      <c r="P11" s="187"/>
      <c r="Q11" s="187"/>
      <c r="R11" s="187"/>
      <c r="S11" s="188"/>
    </row>
    <row r="12" spans="2:20" ht="60" x14ac:dyDescent="0.25">
      <c r="B12" s="185"/>
      <c r="C12" s="157" t="s">
        <v>9</v>
      </c>
      <c r="D12" s="155" t="s">
        <v>163</v>
      </c>
      <c r="E12" s="155" t="s">
        <v>164</v>
      </c>
      <c r="F12" s="155" t="s">
        <v>165</v>
      </c>
      <c r="G12" s="114" t="s">
        <v>231</v>
      </c>
      <c r="H12" s="158" t="s">
        <v>177</v>
      </c>
      <c r="I12" s="155" t="s">
        <v>21</v>
      </c>
      <c r="J12" s="153" t="s">
        <v>80</v>
      </c>
      <c r="K12" s="154" t="s">
        <v>179</v>
      </c>
      <c r="L12" s="155" t="s">
        <v>180</v>
      </c>
      <c r="M12" s="155" t="s">
        <v>165</v>
      </c>
      <c r="N12" s="114" t="s">
        <v>231</v>
      </c>
      <c r="O12" s="155" t="s">
        <v>177</v>
      </c>
      <c r="P12" s="155" t="s">
        <v>21</v>
      </c>
      <c r="Q12" s="155" t="s">
        <v>145</v>
      </c>
      <c r="R12" s="155" t="s">
        <v>6</v>
      </c>
      <c r="S12" s="156" t="s">
        <v>150</v>
      </c>
    </row>
    <row r="13" spans="2:20" x14ac:dyDescent="0.25">
      <c r="B13" s="98" t="s">
        <v>169</v>
      </c>
      <c r="C13" s="142"/>
      <c r="D13" s="151">
        <f>E8</f>
        <v>2766769.6072116476</v>
      </c>
      <c r="E13" s="151">
        <f>F8</f>
        <v>827344.69807882386</v>
      </c>
      <c r="F13" s="151">
        <v>844229.28375390219</v>
      </c>
      <c r="G13" s="151">
        <v>230244.35011470059</v>
      </c>
      <c r="H13" s="151">
        <f>I8</f>
        <v>268618.4084671507</v>
      </c>
      <c r="I13" s="139">
        <f>K8</f>
        <v>177288.14958831956</v>
      </c>
      <c r="J13" s="143"/>
      <c r="K13" s="159">
        <f>D13</f>
        <v>2766769.6072116476</v>
      </c>
      <c r="L13" s="151">
        <f>E13</f>
        <v>827344.69807882386</v>
      </c>
      <c r="M13" s="151">
        <f>F13</f>
        <v>844229.28375390219</v>
      </c>
      <c r="N13" s="35"/>
      <c r="O13" s="139">
        <f>H13</f>
        <v>268618.4084671507</v>
      </c>
      <c r="P13" s="151">
        <f>I13</f>
        <v>177288.14958831956</v>
      </c>
      <c r="Q13" s="35"/>
      <c r="R13" s="35"/>
      <c r="S13" s="143"/>
      <c r="T13" s="4"/>
    </row>
    <row r="14" spans="2:20" x14ac:dyDescent="0.25">
      <c r="B14" s="98" t="s">
        <v>4</v>
      </c>
      <c r="C14" s="159">
        <v>18846.958689371164</v>
      </c>
      <c r="D14" s="35"/>
      <c r="E14" s="35"/>
      <c r="F14" s="151">
        <v>844229.28375390219</v>
      </c>
      <c r="G14" s="172"/>
      <c r="H14" s="35"/>
      <c r="I14" s="35"/>
      <c r="J14" s="143"/>
      <c r="K14" s="142"/>
      <c r="L14" s="35"/>
      <c r="M14" s="35"/>
      <c r="N14" s="35"/>
      <c r="O14" s="35"/>
      <c r="P14" s="160">
        <v>1688.458567507804</v>
      </c>
      <c r="Q14" s="35"/>
      <c r="R14" s="139">
        <v>844229.28375390219</v>
      </c>
      <c r="S14" s="143"/>
      <c r="T14" s="4"/>
    </row>
    <row r="15" spans="2:20" x14ac:dyDescent="0.25">
      <c r="B15" s="98" t="s">
        <v>183</v>
      </c>
      <c r="C15" s="159">
        <v>3926.4361901655657</v>
      </c>
      <c r="D15" s="35"/>
      <c r="E15" s="151">
        <v>827344.69807882386</v>
      </c>
      <c r="F15" s="35"/>
      <c r="G15" s="35"/>
      <c r="H15" s="35"/>
      <c r="I15" s="35"/>
      <c r="J15" s="143"/>
      <c r="K15" s="142"/>
      <c r="L15" s="139">
        <v>827344.69807882386</v>
      </c>
      <c r="M15" s="35"/>
      <c r="N15" s="35"/>
      <c r="O15" s="35"/>
      <c r="P15" s="151">
        <v>1654.6893961576507</v>
      </c>
      <c r="Q15" s="35"/>
      <c r="R15" s="35"/>
      <c r="S15" s="143"/>
      <c r="T15" s="4"/>
    </row>
    <row r="16" spans="2:20" x14ac:dyDescent="0.25">
      <c r="B16" s="98" t="s">
        <v>5</v>
      </c>
      <c r="C16" s="142"/>
      <c r="D16" s="35"/>
      <c r="E16" s="35"/>
      <c r="F16" s="35"/>
      <c r="G16" s="35"/>
      <c r="H16" s="151">
        <f>H13</f>
        <v>268618.4084671507</v>
      </c>
      <c r="I16" s="35"/>
      <c r="J16" s="140">
        <f>268618.408467151*0.1</f>
        <v>26861.840846715102</v>
      </c>
      <c r="K16" s="142"/>
      <c r="L16" s="35"/>
      <c r="M16" s="35"/>
      <c r="N16" s="35"/>
      <c r="O16" s="35"/>
      <c r="P16" s="35"/>
      <c r="Q16" s="35"/>
      <c r="R16" s="35"/>
      <c r="S16" s="144">
        <v>537236.8169343014</v>
      </c>
      <c r="T16" s="4"/>
    </row>
    <row r="17" spans="2:20" ht="15.75" thickBot="1" x14ac:dyDescent="0.3">
      <c r="B17" s="98" t="s">
        <v>168</v>
      </c>
      <c r="C17" s="145"/>
      <c r="D17" s="150">
        <f>K13</f>
        <v>2766769.6072116476</v>
      </c>
      <c r="E17" s="146"/>
      <c r="F17" s="146"/>
      <c r="G17" s="146"/>
      <c r="H17" s="146"/>
      <c r="I17" s="146"/>
      <c r="J17" s="147"/>
      <c r="K17" s="148">
        <v>2766769.6072116476</v>
      </c>
      <c r="L17" s="146"/>
      <c r="M17" s="146"/>
      <c r="N17" s="146"/>
      <c r="O17" s="146"/>
      <c r="P17" s="146"/>
      <c r="Q17" s="146"/>
      <c r="R17" s="146"/>
      <c r="S17" s="147"/>
      <c r="T17" s="4"/>
    </row>
    <row r="19" spans="2:20" ht="15.75" thickBot="1" x14ac:dyDescent="0.3">
      <c r="H19" s="169"/>
    </row>
    <row r="20" spans="2:20" ht="31.5" x14ac:dyDescent="0.25">
      <c r="B20" s="107" t="s">
        <v>175</v>
      </c>
      <c r="C20" s="183" t="s">
        <v>13</v>
      </c>
      <c r="D20" s="183"/>
      <c r="E20" s="183"/>
      <c r="F20" s="183"/>
      <c r="G20" s="184"/>
    </row>
    <row r="21" spans="2:20" x14ac:dyDescent="0.25">
      <c r="B21" s="108"/>
      <c r="C21" s="25" t="s">
        <v>143</v>
      </c>
      <c r="D21" s="25" t="s">
        <v>14</v>
      </c>
      <c r="E21" s="47" t="s">
        <v>16</v>
      </c>
      <c r="F21" s="47" t="s">
        <v>144</v>
      </c>
      <c r="G21" s="109" t="s">
        <v>184</v>
      </c>
    </row>
    <row r="22" spans="2:20" x14ac:dyDescent="0.25">
      <c r="B22" s="99" t="s">
        <v>172</v>
      </c>
      <c r="C22" s="151">
        <v>82.311666814676684</v>
      </c>
      <c r="D22" s="151">
        <v>263136.40013108641</v>
      </c>
      <c r="E22" s="139"/>
      <c r="F22" s="35"/>
      <c r="G22" s="140">
        <v>26523.687673670978</v>
      </c>
    </row>
    <row r="23" spans="2:20" x14ac:dyDescent="0.25">
      <c r="B23" s="99" t="s">
        <v>169</v>
      </c>
      <c r="C23" s="53"/>
      <c r="D23" s="35"/>
      <c r="E23" s="151">
        <v>17654.746289317474</v>
      </c>
      <c r="F23" s="35"/>
      <c r="G23" s="140">
        <v>18056.62255009641</v>
      </c>
    </row>
    <row r="24" spans="2:20" x14ac:dyDescent="0.25">
      <c r="B24" s="99" t="s">
        <v>4</v>
      </c>
      <c r="C24" s="151">
        <v>1688.458567507804</v>
      </c>
      <c r="D24" s="35"/>
      <c r="E24" s="151">
        <v>25411.347323338065</v>
      </c>
      <c r="F24" s="141">
        <v>1127.805399085184</v>
      </c>
      <c r="G24" s="140">
        <v>34299.447649400463</v>
      </c>
    </row>
    <row r="25" spans="2:20" ht="30" x14ac:dyDescent="0.25">
      <c r="B25" s="103" t="s">
        <v>183</v>
      </c>
      <c r="C25" s="151">
        <v>1654.6893961576507</v>
      </c>
      <c r="D25" s="35"/>
      <c r="E25" s="151">
        <v>15182.425525097311</v>
      </c>
      <c r="F25" s="141">
        <v>624.867754330754</v>
      </c>
      <c r="G25" s="140">
        <v>12551.819537686424</v>
      </c>
    </row>
    <row r="26" spans="2:20" x14ac:dyDescent="0.25">
      <c r="B26" s="99" t="s">
        <v>5</v>
      </c>
      <c r="C26" s="35"/>
      <c r="D26" s="35"/>
      <c r="E26" s="151">
        <v>197951.53534209289</v>
      </c>
      <c r="F26" s="35"/>
      <c r="G26" s="140">
        <v>11137.572300526253</v>
      </c>
    </row>
    <row r="27" spans="2:20" ht="15.75" thickBot="1" x14ac:dyDescent="0.3">
      <c r="B27" s="100" t="s">
        <v>168</v>
      </c>
      <c r="C27" s="101" t="s">
        <v>160</v>
      </c>
      <c r="D27" s="101" t="s">
        <v>160</v>
      </c>
      <c r="E27" s="101" t="s">
        <v>160</v>
      </c>
      <c r="F27" s="101" t="s">
        <v>160</v>
      </c>
      <c r="G27" s="102" t="s">
        <v>160</v>
      </c>
    </row>
  </sheetData>
  <mergeCells count="6">
    <mergeCell ref="B6:B7"/>
    <mergeCell ref="C20:G20"/>
    <mergeCell ref="B11:B12"/>
    <mergeCell ref="C11:I11"/>
    <mergeCell ref="E6:K6"/>
    <mergeCell ref="J11:S1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4"/>
  <sheetViews>
    <sheetView workbookViewId="0">
      <selection activeCell="I4" sqref="I4"/>
    </sheetView>
  </sheetViews>
  <sheetFormatPr defaultRowHeight="15" x14ac:dyDescent="0.25"/>
  <cols>
    <col min="2" max="2" width="33.42578125" customWidth="1"/>
    <col min="3" max="3" width="20.28515625" customWidth="1"/>
    <col min="4" max="5" width="21.28515625" customWidth="1"/>
    <col min="6" max="6" width="14" customWidth="1"/>
    <col min="7" max="7" width="20.5703125" customWidth="1"/>
    <col min="9" max="9" width="74.42578125" customWidth="1"/>
  </cols>
  <sheetData>
    <row r="1" spans="2:9" ht="21" x14ac:dyDescent="0.35">
      <c r="B1" s="21" t="s">
        <v>139</v>
      </c>
      <c r="C1" s="21"/>
      <c r="D1" s="21"/>
      <c r="E1" s="21"/>
      <c r="F1" s="21"/>
      <c r="G1" s="21"/>
      <c r="H1" s="21"/>
      <c r="I1" s="21"/>
    </row>
    <row r="2" spans="2:9" x14ac:dyDescent="0.25">
      <c r="G2" s="24"/>
      <c r="H2" s="24"/>
      <c r="I2" s="24"/>
    </row>
    <row r="3" spans="2:9" ht="21" x14ac:dyDescent="0.35">
      <c r="B3" s="21"/>
      <c r="C3" s="21"/>
      <c r="D3" s="21"/>
      <c r="E3" s="21"/>
      <c r="F3" s="21"/>
      <c r="G3" s="21"/>
      <c r="H3" s="21"/>
      <c r="I3" s="21"/>
    </row>
    <row r="4" spans="2:9" ht="18.75" x14ac:dyDescent="0.3">
      <c r="B4" s="22" t="s">
        <v>138</v>
      </c>
      <c r="C4" s="189" t="s">
        <v>147</v>
      </c>
      <c r="D4" s="189"/>
      <c r="E4" s="189"/>
      <c r="F4" s="189"/>
      <c r="G4" s="189"/>
    </row>
    <row r="5" spans="2:9" ht="44.25" customHeight="1" x14ac:dyDescent="0.25">
      <c r="B5" s="27" t="s">
        <v>136</v>
      </c>
      <c r="C5" s="28" t="s">
        <v>137</v>
      </c>
      <c r="D5" s="28" t="s">
        <v>196</v>
      </c>
      <c r="E5" s="28" t="s">
        <v>197</v>
      </c>
      <c r="F5" s="28" t="s">
        <v>140</v>
      </c>
      <c r="G5" s="28" t="s">
        <v>195</v>
      </c>
      <c r="I5" s="1"/>
    </row>
    <row r="6" spans="2:9" ht="30" x14ac:dyDescent="0.25">
      <c r="B6" s="54" t="s">
        <v>152</v>
      </c>
      <c r="C6" s="29">
        <f>'GHG and energy allocation'!C32</f>
        <v>1.9262827095631103</v>
      </c>
      <c r="D6" s="29">
        <f>'GHG and energy allocation'!C33</f>
        <v>1.9262827095631105</v>
      </c>
      <c r="E6" s="29">
        <f>'GHG and energy allocation'!C34</f>
        <v>0</v>
      </c>
      <c r="F6" s="29">
        <f>'GHG and energy allocation'!C35</f>
        <v>1.9262827095631105</v>
      </c>
      <c r="G6" s="29">
        <f>'GHG and energy allocation'!C36</f>
        <v>1.9262827095631105</v>
      </c>
    </row>
    <row r="7" spans="2:9" ht="30" x14ac:dyDescent="0.25">
      <c r="B7" s="73" t="s">
        <v>161</v>
      </c>
      <c r="C7" s="72">
        <f>'GHG and energy allocation'!C39</f>
        <v>7.966275659166925</v>
      </c>
      <c r="D7" s="72">
        <f>'GHG and energy allocation'!C40</f>
        <v>9.4738553534687339E-2</v>
      </c>
      <c r="E7" s="72">
        <f>'GHG and energy allocation'!C41</f>
        <v>2.9636338573796053</v>
      </c>
      <c r="F7" s="72">
        <f>'GHG and energy allocation'!C42</f>
        <v>1.3232613968228042</v>
      </c>
      <c r="G7" s="72">
        <f>'GHG and energy allocation'!C43</f>
        <v>0.74100376226170428</v>
      </c>
      <c r="H7" s="14"/>
    </row>
    <row r="9" spans="2:9" x14ac:dyDescent="0.25">
      <c r="B9" s="1" t="s">
        <v>198</v>
      </c>
      <c r="C9" s="1"/>
      <c r="D9" s="1"/>
      <c r="E9" s="1"/>
      <c r="F9" s="117">
        <f>'GHG and energy allocation'!C49</f>
        <v>0.47892822482703901</v>
      </c>
      <c r="G9" s="118" t="s">
        <v>127</v>
      </c>
    </row>
    <row r="14" spans="2:9" x14ac:dyDescent="0.25">
      <c r="B14" s="1" t="s">
        <v>207</v>
      </c>
      <c r="C14" s="1"/>
    </row>
    <row r="15" spans="2:9" x14ac:dyDescent="0.25">
      <c r="B15" s="25"/>
      <c r="C15" s="25" t="s">
        <v>73</v>
      </c>
      <c r="D15" s="25" t="s">
        <v>206</v>
      </c>
      <c r="E15" s="25" t="s">
        <v>209</v>
      </c>
      <c r="F15" s="112" t="s">
        <v>208</v>
      </c>
    </row>
    <row r="16" spans="2:9" x14ac:dyDescent="0.25">
      <c r="B16" s="25" t="s">
        <v>200</v>
      </c>
      <c r="C16" s="120"/>
      <c r="D16" s="120"/>
      <c r="E16" s="25" t="s">
        <v>201</v>
      </c>
    </row>
    <row r="17" spans="2:9" x14ac:dyDescent="0.25">
      <c r="B17" s="25" t="s">
        <v>202</v>
      </c>
      <c r="C17" s="120"/>
      <c r="D17" s="120"/>
      <c r="E17" s="25" t="s">
        <v>201</v>
      </c>
      <c r="I17" s="14"/>
    </row>
    <row r="18" spans="2:9" x14ac:dyDescent="0.25">
      <c r="B18" s="25" t="s">
        <v>203</v>
      </c>
      <c r="C18" s="121">
        <f>G7</f>
        <v>0.74100376226170428</v>
      </c>
      <c r="D18" s="121">
        <f>C7</f>
        <v>7.966275659166925</v>
      </c>
      <c r="E18" s="25" t="s">
        <v>201</v>
      </c>
    </row>
    <row r="19" spans="2:9" x14ac:dyDescent="0.25">
      <c r="B19" s="25" t="s">
        <v>204</v>
      </c>
      <c r="C19" s="120"/>
      <c r="D19" s="120"/>
      <c r="E19" s="25" t="s">
        <v>201</v>
      </c>
    </row>
    <row r="20" spans="2:9" x14ac:dyDescent="0.25">
      <c r="B20" s="25" t="s">
        <v>205</v>
      </c>
      <c r="C20" s="121">
        <f>F9</f>
        <v>0.47892822482703901</v>
      </c>
      <c r="D20" s="120"/>
      <c r="E20" s="25" t="s">
        <v>201</v>
      </c>
    </row>
    <row r="21" spans="2:9" x14ac:dyDescent="0.25">
      <c r="B21" s="74" t="s">
        <v>122</v>
      </c>
      <c r="C21" s="120"/>
      <c r="D21" s="120"/>
      <c r="E21" s="74" t="s">
        <v>201</v>
      </c>
    </row>
    <row r="23" spans="2:9" x14ac:dyDescent="0.25">
      <c r="I23" s="116"/>
    </row>
    <row r="24" spans="2:9" x14ac:dyDescent="0.25">
      <c r="I24" s="30" t="s">
        <v>142</v>
      </c>
    </row>
    <row r="34" spans="3:7" x14ac:dyDescent="0.25">
      <c r="C34" s="31"/>
      <c r="D34" s="31"/>
      <c r="E34" s="31"/>
      <c r="F34" s="31"/>
      <c r="G34" s="31"/>
    </row>
  </sheetData>
  <mergeCells count="1">
    <mergeCell ref="C4:G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topLeftCell="E1" workbookViewId="0">
      <selection activeCell="S29" sqref="S29"/>
    </sheetView>
  </sheetViews>
  <sheetFormatPr defaultRowHeight="15" x14ac:dyDescent="0.25"/>
  <cols>
    <col min="1" max="1" width="12.7109375" customWidth="1"/>
    <col min="2" max="2" width="33" customWidth="1"/>
    <col min="3" max="3" width="23.42578125" customWidth="1"/>
    <col min="4" max="4" width="19.7109375" customWidth="1"/>
    <col min="5" max="5" width="15.7109375" customWidth="1"/>
    <col min="6" max="7" width="11.7109375" customWidth="1"/>
    <col min="8" max="9" width="12.140625" bestFit="1" customWidth="1"/>
    <col min="10" max="10" width="11" bestFit="1" customWidth="1"/>
    <col min="11" max="11" width="11.5703125" bestFit="1" customWidth="1"/>
    <col min="12" max="12" width="12.140625" bestFit="1" customWidth="1"/>
    <col min="13" max="13" width="11.140625" bestFit="1" customWidth="1"/>
  </cols>
  <sheetData>
    <row r="1" spans="1:13" ht="18.75" x14ac:dyDescent="0.3">
      <c r="A1" t="s">
        <v>105</v>
      </c>
      <c r="B1" s="22" t="s">
        <v>141</v>
      </c>
    </row>
    <row r="3" spans="1:13" ht="15" customHeight="1" x14ac:dyDescent="0.25">
      <c r="B3" s="61" t="s">
        <v>106</v>
      </c>
      <c r="C3" s="62"/>
      <c r="D3" s="191" t="s">
        <v>125</v>
      </c>
      <c r="E3" s="192"/>
      <c r="F3" s="192"/>
      <c r="G3" s="192"/>
      <c r="H3" s="192"/>
      <c r="I3" s="192"/>
      <c r="J3" s="192"/>
      <c r="K3" s="192"/>
      <c r="L3" s="119"/>
      <c r="M3" s="4"/>
    </row>
    <row r="4" spans="1:13" ht="45" x14ac:dyDescent="0.25">
      <c r="B4" s="25"/>
      <c r="C4" s="33" t="s">
        <v>132</v>
      </c>
      <c r="D4" s="113" t="s">
        <v>163</v>
      </c>
      <c r="E4" s="113" t="s">
        <v>189</v>
      </c>
      <c r="F4" s="33" t="s">
        <v>8</v>
      </c>
      <c r="G4" s="113" t="s">
        <v>231</v>
      </c>
      <c r="H4" s="33" t="s">
        <v>177</v>
      </c>
      <c r="I4" s="33" t="s">
        <v>6</v>
      </c>
      <c r="J4" s="33" t="s">
        <v>150</v>
      </c>
      <c r="K4" s="33"/>
      <c r="M4" s="4"/>
    </row>
    <row r="5" spans="1:13" x14ac:dyDescent="0.25">
      <c r="B5" s="25" t="s">
        <v>1</v>
      </c>
      <c r="C5" s="52">
        <f>'Co-processing-I-O'!D22*'Fuel specs and EF'!H79*0+'Co-processing-I-O'!E22*'Fuel specs and EF'!H80*0+'Co-processing-I-O'!F22*'Fuel specs and EF'!H81</f>
        <v>10025950.54251764</v>
      </c>
      <c r="D5" s="35">
        <f>'Co-processing-I-O'!G22</f>
        <v>117847250446.33363</v>
      </c>
      <c r="E5" s="35">
        <f>'Co-processing-I-O'!H22</f>
        <v>30948804665.551193</v>
      </c>
      <c r="F5" s="53">
        <f>'Co-processing-I-O'!I22</f>
        <v>31580412924.031841</v>
      </c>
      <c r="G5" s="53">
        <f>'Co-processing-I-O'!J22</f>
        <v>8612839888.3723202</v>
      </c>
      <c r="H5" s="35">
        <f>'Co-processing-I-O'!K22</f>
        <v>11866424232.597219</v>
      </c>
      <c r="I5" s="35"/>
      <c r="J5" s="53"/>
      <c r="K5" s="53"/>
      <c r="M5" s="4"/>
    </row>
    <row r="6" spans="1:13" x14ac:dyDescent="0.25">
      <c r="B6" s="25" t="s">
        <v>158</v>
      </c>
      <c r="C6" s="52">
        <f>'Co-processing-I-O'!C26*'Fuel specs and EF'!H82+'Co-processing-I-O'!F26*'Fuel specs and EF'!H81</f>
        <v>10030403.157165593</v>
      </c>
      <c r="D6" s="35">
        <f t="shared" ref="D6:I6" si="0">D5</f>
        <v>117847250446.33363</v>
      </c>
      <c r="E6" s="35">
        <f t="shared" si="0"/>
        <v>30948804665.551193</v>
      </c>
      <c r="F6" s="53">
        <f t="shared" si="0"/>
        <v>31580412924.031841</v>
      </c>
      <c r="G6" s="53">
        <f t="shared" si="0"/>
        <v>8612839888.3723202</v>
      </c>
      <c r="H6" s="35">
        <f t="shared" si="0"/>
        <v>11866424232.597219</v>
      </c>
      <c r="I6" s="35">
        <f t="shared" si="0"/>
        <v>0</v>
      </c>
      <c r="J6" s="53"/>
      <c r="K6" s="53"/>
      <c r="M6" s="4"/>
    </row>
    <row r="7" spans="1:13" x14ac:dyDescent="0.25">
      <c r="B7" s="25" t="s">
        <v>4</v>
      </c>
      <c r="C7" s="52">
        <f>'Co-processing-I-O'!C27*'Fuel specs and EF'!H82+'Co-processing-I-O'!D27*'Fuel specs and EF'!H83+'Co-processing-I-O'!F27*'Fuel specs and EF'!H81+'Co-processing-I-O'!E27*'Fuel specs and EF'!H79*0+'Co-processing-I-O'!C12*'Fuel specs and EF'!N55*'Fuel specs and EF'!H78*70%</f>
        <v>284691750.30241597</v>
      </c>
      <c r="D7" s="35"/>
      <c r="E7" s="35"/>
      <c r="F7" s="35"/>
      <c r="G7" s="35"/>
      <c r="H7" s="35"/>
      <c r="I7" s="35">
        <f>'Co-processing-I-O'!K27</f>
        <v>34247442554.828888</v>
      </c>
      <c r="J7" s="53"/>
      <c r="K7" s="53"/>
      <c r="M7" s="4"/>
    </row>
    <row r="8" spans="1:13" x14ac:dyDescent="0.25">
      <c r="B8" s="25" t="s">
        <v>190</v>
      </c>
      <c r="C8" s="52">
        <f>'Co-processing-I-O'!C28*'Fuel specs and EF'!H82+'Co-processing-I-O'!D28*'Fuel specs and EF'!H83+'Co-processing-I-O'!F28*'Fuel specs and EF'!H81+'Co-processing-I-O'!E28*'Fuel specs and EF'!H79*0+'Co-processing-I-O'!C13*'Fuel specs and EF'!N55*'Fuel specs and EF'!H78*70%</f>
        <v>93680334.433624148</v>
      </c>
      <c r="E8" s="35">
        <f>'Co-processing-I-O'!G28</f>
        <v>35239760327.641556</v>
      </c>
      <c r="F8" s="35"/>
      <c r="G8" s="35"/>
      <c r="H8" s="35"/>
      <c r="I8" s="35"/>
      <c r="J8" s="53"/>
      <c r="K8" s="53"/>
      <c r="M8" s="4"/>
    </row>
    <row r="9" spans="1:13" x14ac:dyDescent="0.25">
      <c r="B9" s="25" t="s">
        <v>5</v>
      </c>
      <c r="C9" s="52">
        <f>'Co-processing-I-O'!C30*'Fuel specs and EF'!H82+'Co-processing-I-O'!F30*'Fuel specs and EF'!H81+'Co-processing-I-O'!G15*'Fuel specs and EF'!M46*'Fuel specs and EF'!H84</f>
        <v>16310763.868975716</v>
      </c>
      <c r="D9" s="35"/>
      <c r="E9" s="35"/>
      <c r="F9" s="35"/>
      <c r="G9" s="35"/>
      <c r="H9" s="35"/>
      <c r="I9" s="35"/>
      <c r="J9" s="35">
        <f>'Co-processing-I-O'!M30</f>
        <v>12531690851.281027</v>
      </c>
      <c r="K9" s="35"/>
      <c r="M9" s="4"/>
    </row>
    <row r="10" spans="1:13" x14ac:dyDescent="0.25">
      <c r="B10" s="25" t="s">
        <v>168</v>
      </c>
      <c r="C10" s="52">
        <v>0</v>
      </c>
      <c r="D10" s="35">
        <f>'Co-processing-I-O'!L29</f>
        <v>117729403195.8873</v>
      </c>
      <c r="E10" s="35"/>
      <c r="F10" s="35"/>
      <c r="G10" s="35"/>
      <c r="H10" s="35"/>
      <c r="I10" s="35"/>
      <c r="J10" s="35"/>
      <c r="K10" s="35"/>
      <c r="M10" s="4"/>
    </row>
    <row r="11" spans="1:13" x14ac:dyDescent="0.25">
      <c r="B11" s="25" t="s">
        <v>123</v>
      </c>
      <c r="C11" s="37">
        <f>SUM(C5:C9)</f>
        <v>414739202.30469906</v>
      </c>
      <c r="D11" s="35">
        <f>D10</f>
        <v>117729403195.8873</v>
      </c>
      <c r="E11" s="35">
        <f>E6</f>
        <v>30948804665.551193</v>
      </c>
      <c r="F11" s="35"/>
      <c r="G11" s="53">
        <f>G6</f>
        <v>8612839888.3723202</v>
      </c>
      <c r="H11" s="35"/>
      <c r="I11" s="35">
        <f>I7</f>
        <v>34247442554.828888</v>
      </c>
      <c r="J11" s="35">
        <f>'Co-processing-I-O'!M31</f>
        <v>12531690851.281027</v>
      </c>
      <c r="K11" s="35"/>
      <c r="M11" s="4"/>
    </row>
    <row r="12" spans="1:13" x14ac:dyDescent="0.25">
      <c r="C12" s="38"/>
      <c r="D12" s="4"/>
      <c r="E12" s="4"/>
      <c r="F12" s="4"/>
      <c r="G12" s="4"/>
      <c r="H12" s="4"/>
      <c r="I12" s="4"/>
      <c r="J12" s="4"/>
      <c r="K12" s="4"/>
      <c r="L12" s="4"/>
      <c r="M12" s="4"/>
    </row>
    <row r="13" spans="1:13" x14ac:dyDescent="0.25">
      <c r="B13" s="190" t="s">
        <v>107</v>
      </c>
      <c r="C13" s="190"/>
      <c r="D13" s="190"/>
      <c r="E13" s="190"/>
      <c r="F13" s="190"/>
      <c r="G13" s="190"/>
      <c r="H13" s="190"/>
      <c r="I13" s="190"/>
      <c r="J13" s="190"/>
      <c r="K13" s="190"/>
      <c r="L13" s="58"/>
      <c r="M13" s="55"/>
    </row>
    <row r="14" spans="1:13" ht="45" x14ac:dyDescent="0.25">
      <c r="B14" s="59"/>
      <c r="C14" s="56"/>
      <c r="D14" s="114" t="s">
        <v>179</v>
      </c>
      <c r="E14" s="114" t="s">
        <v>225</v>
      </c>
      <c r="F14" s="114" t="s">
        <v>8</v>
      </c>
      <c r="G14" s="114" t="s">
        <v>231</v>
      </c>
      <c r="H14" s="114" t="s">
        <v>177</v>
      </c>
      <c r="I14" s="114" t="s">
        <v>6</v>
      </c>
      <c r="J14" s="56" t="s">
        <v>150</v>
      </c>
      <c r="K14" s="56" t="s">
        <v>122</v>
      </c>
    </row>
    <row r="15" spans="1:13" x14ac:dyDescent="0.25">
      <c r="B15" s="25" t="s">
        <v>1</v>
      </c>
      <c r="C15" s="35"/>
      <c r="D15" s="39">
        <f>D5/($D5+$E5+$F5+$G5+$H5+$I5+$J5)</f>
        <v>0.5867258513403264</v>
      </c>
      <c r="E15" s="39">
        <f t="shared" ref="E15:I15" si="1">E5/($D5+$E5+$F5+$G5+$H5+$I5+$J5)</f>
        <v>0.15408474696344451</v>
      </c>
      <c r="F15" s="39">
        <f t="shared" si="1"/>
        <v>0.15722933363616792</v>
      </c>
      <c r="G15" s="39">
        <f t="shared" si="1"/>
        <v>4.2880727355318525E-2</v>
      </c>
      <c r="H15" s="39">
        <f t="shared" si="1"/>
        <v>5.9079340704742675E-2</v>
      </c>
      <c r="I15" s="39">
        <f t="shared" si="1"/>
        <v>0</v>
      </c>
      <c r="J15" s="39">
        <f>J5/($D5+$E5+$F5+$G5+$H5+$I5+$J5)</f>
        <v>0</v>
      </c>
      <c r="K15" s="39">
        <f t="shared" ref="K15:K20" si="2">SUM(D15:J15)</f>
        <v>1</v>
      </c>
    </row>
    <row r="16" spans="1:13" x14ac:dyDescent="0.25">
      <c r="B16" s="25" t="s">
        <v>158</v>
      </c>
      <c r="C16" s="35"/>
      <c r="D16" s="39">
        <f>D6/($D6+$E6+$F6+$G6+$H6+$I6+$J6)</f>
        <v>0.5867258513403264</v>
      </c>
      <c r="E16" s="39">
        <f t="shared" ref="E16:J16" si="3">E6/($D6+$E6+$F6+$G6+$H6+$I6+$J6)</f>
        <v>0.15408474696344451</v>
      </c>
      <c r="F16" s="39">
        <f t="shared" si="3"/>
        <v>0.15722933363616792</v>
      </c>
      <c r="G16" s="39">
        <f t="shared" si="3"/>
        <v>4.2880727355318525E-2</v>
      </c>
      <c r="H16" s="39">
        <f t="shared" si="3"/>
        <v>5.9079340704742675E-2</v>
      </c>
      <c r="I16" s="39">
        <f t="shared" si="3"/>
        <v>0</v>
      </c>
      <c r="J16" s="39">
        <f t="shared" si="3"/>
        <v>0</v>
      </c>
      <c r="K16" s="39">
        <f t="shared" si="2"/>
        <v>1</v>
      </c>
    </row>
    <row r="17" spans="2:19" x14ac:dyDescent="0.25">
      <c r="B17" s="25" t="s">
        <v>4</v>
      </c>
      <c r="C17" s="35"/>
      <c r="D17" s="39">
        <f>D7/($D7+$E7+$F7+G7+$H7+$I7+$J7)</f>
        <v>0</v>
      </c>
      <c r="E17" s="39">
        <f t="shared" ref="E17:I17" si="4">E7/($D7+$E7+$F7+H7+$H7+$I7+$J7)</f>
        <v>0</v>
      </c>
      <c r="F17" s="39">
        <f t="shared" si="4"/>
        <v>0</v>
      </c>
      <c r="G17" s="39">
        <f t="shared" si="4"/>
        <v>0</v>
      </c>
      <c r="H17" s="39">
        <f t="shared" si="4"/>
        <v>0</v>
      </c>
      <c r="I17" s="39">
        <f t="shared" si="4"/>
        <v>1</v>
      </c>
      <c r="J17" s="39">
        <f t="shared" ref="J17:J19" si="5">J7/($D7+$E7+$F7+$G7+$H7+$I7+$J7)</f>
        <v>0</v>
      </c>
      <c r="K17" s="39">
        <f t="shared" si="2"/>
        <v>1</v>
      </c>
    </row>
    <row r="18" spans="2:19" x14ac:dyDescent="0.25">
      <c r="B18" s="25" t="s">
        <v>190</v>
      </c>
      <c r="C18" s="35"/>
      <c r="D18" s="39">
        <f>D8/($D8+$E8+$F8+$G8+$H8+$I8+$J8)</f>
        <v>0</v>
      </c>
      <c r="E18" s="39">
        <f t="shared" ref="E18:I18" si="6">E8/($D8+$E8+$F8+$G8+$H8+$I8+$J8)</f>
        <v>1</v>
      </c>
      <c r="F18" s="39">
        <f t="shared" si="6"/>
        <v>0</v>
      </c>
      <c r="G18" s="39">
        <f t="shared" si="6"/>
        <v>0</v>
      </c>
      <c r="H18" s="39">
        <f t="shared" si="6"/>
        <v>0</v>
      </c>
      <c r="I18" s="39">
        <f t="shared" si="6"/>
        <v>0</v>
      </c>
      <c r="J18" s="39">
        <f t="shared" si="5"/>
        <v>0</v>
      </c>
      <c r="K18" s="39">
        <f t="shared" si="2"/>
        <v>1</v>
      </c>
    </row>
    <row r="19" spans="2:19" x14ac:dyDescent="0.25">
      <c r="B19" s="25" t="s">
        <v>5</v>
      </c>
      <c r="C19" s="35"/>
      <c r="D19" s="39">
        <f>D9/($D9+$E9+$F9+$G9+$H9+$I9+$J9)</f>
        <v>0</v>
      </c>
      <c r="E19" s="39">
        <f t="shared" ref="E19:I19" si="7">E9/($D9+$E9+$F9+$G9+$H9+$I9+$J9)</f>
        <v>0</v>
      </c>
      <c r="F19" s="39">
        <f t="shared" si="7"/>
        <v>0</v>
      </c>
      <c r="G19" s="39">
        <f t="shared" si="7"/>
        <v>0</v>
      </c>
      <c r="H19" s="39">
        <f t="shared" si="7"/>
        <v>0</v>
      </c>
      <c r="I19" s="39">
        <f t="shared" si="7"/>
        <v>0</v>
      </c>
      <c r="J19" s="39">
        <f t="shared" si="5"/>
        <v>1</v>
      </c>
      <c r="K19" s="39">
        <f t="shared" si="2"/>
        <v>1</v>
      </c>
    </row>
    <row r="20" spans="2:19" x14ac:dyDescent="0.25">
      <c r="B20" s="25" t="s">
        <v>124</v>
      </c>
      <c r="C20" s="35"/>
      <c r="D20" s="39">
        <f>D11/($D11+$E11+$F11+$G11+$H11+$I11+$J11)</f>
        <v>0.57690644722824858</v>
      </c>
      <c r="E20" s="39">
        <f t="shared" ref="E20:I20" si="8">E11/($D11+$E11+$F11+$G11+$H11+$I11+$J11)</f>
        <v>0.15165765272636586</v>
      </c>
      <c r="F20" s="39">
        <f t="shared" si="8"/>
        <v>0</v>
      </c>
      <c r="G20" s="39">
        <f t="shared" si="8"/>
        <v>4.2205283690083278E-2</v>
      </c>
      <c r="H20" s="39">
        <f t="shared" si="8"/>
        <v>0</v>
      </c>
      <c r="I20" s="39">
        <f t="shared" si="8"/>
        <v>0.16782188539668116</v>
      </c>
      <c r="J20" s="39">
        <f>J11/($D11+$E11+$F11+$G11+$H11+$I11+$J11)</f>
        <v>6.1408730958621212E-2</v>
      </c>
      <c r="K20" s="39">
        <f t="shared" si="2"/>
        <v>1.0000000000000002</v>
      </c>
    </row>
    <row r="21" spans="2:19" x14ac:dyDescent="0.25">
      <c r="C21" s="4"/>
      <c r="D21" s="4"/>
      <c r="E21" s="4"/>
      <c r="F21" s="4"/>
      <c r="G21" s="4"/>
      <c r="H21" s="4"/>
      <c r="I21" s="4"/>
      <c r="J21" s="4"/>
      <c r="K21" s="4"/>
      <c r="L21" s="4"/>
      <c r="M21" s="4"/>
    </row>
    <row r="22" spans="2:19" x14ac:dyDescent="0.25">
      <c r="B22" s="60"/>
      <c r="C22" s="190" t="s">
        <v>220</v>
      </c>
      <c r="D22" s="190"/>
      <c r="E22" s="190"/>
      <c r="F22" s="190"/>
      <c r="G22" s="190"/>
      <c r="H22" s="190"/>
      <c r="I22" s="190"/>
      <c r="J22" s="190"/>
      <c r="K22" s="190"/>
      <c r="L22" s="58"/>
      <c r="M22" s="58"/>
    </row>
    <row r="23" spans="2:19" ht="45" x14ac:dyDescent="0.25">
      <c r="B23" s="59"/>
      <c r="C23" s="35"/>
      <c r="D23" s="114" t="s">
        <v>199</v>
      </c>
      <c r="E23" s="114" t="s">
        <v>226</v>
      </c>
      <c r="F23" s="114" t="s">
        <v>8</v>
      </c>
      <c r="G23" s="114" t="s">
        <v>231</v>
      </c>
      <c r="H23" s="114" t="s">
        <v>177</v>
      </c>
      <c r="I23" s="56" t="s">
        <v>6</v>
      </c>
      <c r="J23" s="56" t="s">
        <v>17</v>
      </c>
      <c r="K23" s="57" t="s">
        <v>122</v>
      </c>
    </row>
    <row r="24" spans="2:19" x14ac:dyDescent="0.25">
      <c r="B24" s="25" t="s">
        <v>1</v>
      </c>
      <c r="C24" s="35"/>
      <c r="D24" s="40">
        <f t="shared" ref="D24:J28" si="9">$C5*D15</f>
        <v>5882484.3675546693</v>
      </c>
      <c r="E24" s="40">
        <f t="shared" si="9"/>
        <v>1544846.0524118398</v>
      </c>
      <c r="F24" s="40">
        <f>$C5*F15</f>
        <v>1576373.5228692247</v>
      </c>
      <c r="G24" s="40">
        <f>$C5*G15</f>
        <v>429920.05169160676</v>
      </c>
      <c r="H24" s="40">
        <f>$C5*H15</f>
        <v>592326.5479902993</v>
      </c>
      <c r="I24" s="40">
        <f t="shared" si="9"/>
        <v>0</v>
      </c>
      <c r="J24" s="40">
        <f t="shared" si="9"/>
        <v>0</v>
      </c>
      <c r="K24" s="52">
        <f>SUM(D24:J24)</f>
        <v>10025950.54251764</v>
      </c>
    </row>
    <row r="25" spans="2:19" x14ac:dyDescent="0.25">
      <c r="B25" s="25" t="s">
        <v>158</v>
      </c>
      <c r="C25" s="35"/>
      <c r="D25" s="40">
        <f>$C6*D16</f>
        <v>5885096.8316746801</v>
      </c>
      <c r="E25" s="40">
        <f t="shared" si="9"/>
        <v>1545532.1324131952</v>
      </c>
      <c r="F25" s="40">
        <f t="shared" si="9"/>
        <v>1577073.6045032609</v>
      </c>
      <c r="G25" s="40">
        <f t="shared" ref="G25" si="10">$C6*G16</f>
        <v>430110.9830463439</v>
      </c>
      <c r="H25" s="40">
        <f t="shared" si="9"/>
        <v>592589.60552811262</v>
      </c>
      <c r="I25" s="40">
        <f t="shared" si="9"/>
        <v>0</v>
      </c>
      <c r="J25" s="40">
        <f t="shared" si="9"/>
        <v>0</v>
      </c>
      <c r="K25" s="52">
        <f>SUM(D25:J25)</f>
        <v>10030403.157165593</v>
      </c>
    </row>
    <row r="26" spans="2:19" x14ac:dyDescent="0.25">
      <c r="B26" s="25" t="s">
        <v>4</v>
      </c>
      <c r="C26" s="35"/>
      <c r="D26" s="40">
        <f t="shared" si="9"/>
        <v>0</v>
      </c>
      <c r="E26" s="40">
        <f t="shared" si="9"/>
        <v>0</v>
      </c>
      <c r="F26" s="40">
        <f t="shared" si="9"/>
        <v>0</v>
      </c>
      <c r="G26" s="40">
        <f t="shared" ref="G26" si="11">$C7*G17</f>
        <v>0</v>
      </c>
      <c r="H26" s="40">
        <f t="shared" si="9"/>
        <v>0</v>
      </c>
      <c r="I26" s="40">
        <f t="shared" si="9"/>
        <v>284691750.30241597</v>
      </c>
      <c r="J26" s="40">
        <f t="shared" si="9"/>
        <v>0</v>
      </c>
      <c r="K26" s="52">
        <f>SUM(D26:J26)</f>
        <v>284691750.30241597</v>
      </c>
    </row>
    <row r="27" spans="2:19" x14ac:dyDescent="0.25">
      <c r="B27" s="25" t="s">
        <v>190</v>
      </c>
      <c r="C27" s="35"/>
      <c r="D27" s="40">
        <f>$C8*D18</f>
        <v>0</v>
      </c>
      <c r="E27" s="40">
        <f t="shared" si="9"/>
        <v>93680334.433624148</v>
      </c>
      <c r="F27" s="40">
        <f t="shared" si="9"/>
        <v>0</v>
      </c>
      <c r="G27" s="40">
        <f t="shared" ref="G27" si="12">$C8*G18</f>
        <v>0</v>
      </c>
      <c r="H27" s="40">
        <f t="shared" si="9"/>
        <v>0</v>
      </c>
      <c r="I27" s="40">
        <f t="shared" si="9"/>
        <v>0</v>
      </c>
      <c r="J27" s="40">
        <f t="shared" si="9"/>
        <v>0</v>
      </c>
      <c r="K27" s="52">
        <f>SUM(D27:J27)</f>
        <v>93680334.433624148</v>
      </c>
    </row>
    <row r="28" spans="2:19" x14ac:dyDescent="0.25">
      <c r="B28" s="25" t="s">
        <v>5</v>
      </c>
      <c r="C28" s="35"/>
      <c r="D28" s="40">
        <f t="shared" si="9"/>
        <v>0</v>
      </c>
      <c r="E28" s="40">
        <f t="shared" si="9"/>
        <v>0</v>
      </c>
      <c r="F28" s="40">
        <f t="shared" si="9"/>
        <v>0</v>
      </c>
      <c r="G28" s="40">
        <f t="shared" ref="G28" si="13">$C9*G19</f>
        <v>0</v>
      </c>
      <c r="H28" s="40">
        <f t="shared" si="9"/>
        <v>0</v>
      </c>
      <c r="I28" s="40">
        <f t="shared" si="9"/>
        <v>0</v>
      </c>
      <c r="J28" s="40">
        <f t="shared" si="9"/>
        <v>16310763.868975716</v>
      </c>
      <c r="K28" s="52">
        <f>SUM(D28:J28)</f>
        <v>16310763.868975716</v>
      </c>
    </row>
    <row r="29" spans="2:19" x14ac:dyDescent="0.25">
      <c r="B29" s="26" t="s">
        <v>135</v>
      </c>
      <c r="C29" s="41"/>
      <c r="D29" s="41"/>
      <c r="E29" s="41"/>
      <c r="F29" s="41"/>
      <c r="G29" s="41"/>
      <c r="H29" s="41"/>
      <c r="I29" s="41"/>
      <c r="J29" s="41"/>
      <c r="K29" s="37">
        <f>SUM(K24:K28)</f>
        <v>414739202.30469906</v>
      </c>
      <c r="S29" s="1" t="s">
        <v>146</v>
      </c>
    </row>
    <row r="30" spans="2:19" x14ac:dyDescent="0.25">
      <c r="B30" s="14"/>
      <c r="C30" s="14"/>
      <c r="D30" s="14"/>
      <c r="E30" s="14"/>
      <c r="F30" s="14"/>
      <c r="G30" s="14"/>
      <c r="H30" s="14"/>
      <c r="I30" s="14"/>
      <c r="J30" s="14"/>
      <c r="K30" s="14"/>
      <c r="L30" s="14"/>
      <c r="M30" s="14"/>
      <c r="N30" s="14"/>
    </row>
    <row r="31" spans="2:19" ht="45" x14ac:dyDescent="0.25">
      <c r="B31" s="51" t="s">
        <v>148</v>
      </c>
      <c r="C31" s="51" t="s">
        <v>227</v>
      </c>
      <c r="D31" s="1"/>
      <c r="E31" s="1"/>
      <c r="F31" s="1"/>
      <c r="G31" s="1"/>
      <c r="H31" s="1"/>
    </row>
    <row r="32" spans="2:19" x14ac:dyDescent="0.25">
      <c r="B32" t="s">
        <v>137</v>
      </c>
      <c r="C32" s="20">
        <f>($K$29)*I20*1/(I11*1055.056/1000000)</f>
        <v>1.9262827095631103</v>
      </c>
    </row>
    <row r="33" spans="2:4" x14ac:dyDescent="0.25">
      <c r="B33" t="s">
        <v>191</v>
      </c>
      <c r="C33" s="20">
        <f>($K$29)*D20/(D11*1055.056/1000000)</f>
        <v>1.9262827095631105</v>
      </c>
    </row>
    <row r="34" spans="2:4" x14ac:dyDescent="0.25">
      <c r="B34" t="s">
        <v>192</v>
      </c>
      <c r="C34" s="20"/>
    </row>
    <row r="35" spans="2:4" x14ac:dyDescent="0.25">
      <c r="B35" t="s">
        <v>140</v>
      </c>
      <c r="C35" s="20">
        <f>($K$29)*J20*1/(J11*1055.056/1000000)</f>
        <v>1.9262827095631105</v>
      </c>
    </row>
    <row r="36" spans="2:4" ht="30" x14ac:dyDescent="0.25">
      <c r="B36" s="36" t="s">
        <v>193</v>
      </c>
      <c r="C36" s="20">
        <f>($K$29)*(J20+D20)/((D11+J11)*1055.056/10^6)</f>
        <v>1.9262827095631105</v>
      </c>
    </row>
    <row r="38" spans="2:4" ht="30" x14ac:dyDescent="0.25">
      <c r="B38" s="51" t="s">
        <v>149</v>
      </c>
      <c r="C38" s="19" t="s">
        <v>126</v>
      </c>
    </row>
    <row r="39" spans="2:4" x14ac:dyDescent="0.25">
      <c r="B39" t="s">
        <v>137</v>
      </c>
      <c r="C39" s="20">
        <f>(F24+F25+I26)/(I11*1055.056/1000000)</f>
        <v>7.966275659166925</v>
      </c>
    </row>
    <row r="40" spans="2:4" x14ac:dyDescent="0.25">
      <c r="B40" t="s">
        <v>191</v>
      </c>
      <c r="C40" s="20">
        <f>(D24+D25)/(D11*1055.056/1000000)</f>
        <v>9.4738553534687339E-2</v>
      </c>
    </row>
    <row r="41" spans="2:4" x14ac:dyDescent="0.25">
      <c r="B41" t="s">
        <v>192</v>
      </c>
      <c r="C41" s="20">
        <f>(E24+E25+E27)/(E11*1055.056/1000000)</f>
        <v>2.9636338573796053</v>
      </c>
    </row>
    <row r="42" spans="2:4" x14ac:dyDescent="0.25">
      <c r="B42" t="s">
        <v>140</v>
      </c>
      <c r="C42" s="20">
        <f>(H24+H25+J28)/(J11*1055.056/10^6)</f>
        <v>1.3232613968228042</v>
      </c>
    </row>
    <row r="43" spans="2:4" ht="30" x14ac:dyDescent="0.25">
      <c r="B43" s="36" t="s">
        <v>194</v>
      </c>
      <c r="C43" s="115">
        <f>C40*D11/(D11+E11+J11)+C41*E11/(D11+E11+J11)+C42*J11/(D11+E11+J11)</f>
        <v>0.74100376226170428</v>
      </c>
    </row>
    <row r="46" spans="2:4" x14ac:dyDescent="0.25">
      <c r="B46" s="1" t="s">
        <v>153</v>
      </c>
      <c r="C46" s="20">
        <f>K29/((D11+E11+G11+I11+J11)*1055.056/10^6)</f>
        <v>1.9262827095631103</v>
      </c>
    </row>
    <row r="48" spans="2:4" x14ac:dyDescent="0.25">
      <c r="B48" s="66" t="s">
        <v>154</v>
      </c>
      <c r="C48" s="67">
        <f>'Co-processing-I-O'!G15*(12.017*4)/58.12</f>
        <v>22216.01799414834</v>
      </c>
      <c r="D48" s="68" t="s">
        <v>155</v>
      </c>
    </row>
    <row r="49" spans="2:4" ht="30" x14ac:dyDescent="0.25">
      <c r="B49" s="63" t="s">
        <v>157</v>
      </c>
      <c r="C49" s="65">
        <f>(C48*1000)/((D11+E11+J11)*1055.056/10^6)*44/12</f>
        <v>0.47892822482703901</v>
      </c>
      <c r="D49" s="64" t="s">
        <v>156</v>
      </c>
    </row>
  </sheetData>
  <mergeCells count="3">
    <mergeCell ref="C22:K22"/>
    <mergeCell ref="B13:K13"/>
    <mergeCell ref="D3:K3"/>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31"/>
  <sheetViews>
    <sheetView topLeftCell="A7" workbookViewId="0">
      <selection activeCell="C13" sqref="C13"/>
    </sheetView>
  </sheetViews>
  <sheetFormatPr defaultRowHeight="15" x14ac:dyDescent="0.25"/>
  <cols>
    <col min="2" max="2" width="23" customWidth="1"/>
    <col min="3" max="3" width="12.140625" customWidth="1"/>
    <col min="4" max="4" width="13.5703125" customWidth="1"/>
    <col min="5" max="5" width="14.85546875" customWidth="1"/>
    <col min="6" max="7" width="15.28515625" customWidth="1"/>
    <col min="8" max="8" width="16.5703125" customWidth="1"/>
    <col min="9" max="9" width="15.42578125" customWidth="1"/>
    <col min="10" max="10" width="14" customWidth="1"/>
    <col min="11" max="11" width="16.7109375" customWidth="1"/>
    <col min="12" max="12" width="12.5703125" customWidth="1"/>
    <col min="13" max="13" width="16.85546875" customWidth="1"/>
    <col min="14" max="14" width="14.85546875" customWidth="1"/>
    <col min="15" max="21" width="12" bestFit="1" customWidth="1"/>
    <col min="22" max="22" width="11.7109375" bestFit="1" customWidth="1"/>
  </cols>
  <sheetData>
    <row r="2" spans="2:23" x14ac:dyDescent="0.25">
      <c r="E2" s="32"/>
    </row>
    <row r="4" spans="2:23" ht="18.75" x14ac:dyDescent="0.3">
      <c r="B4" s="22" t="s">
        <v>0</v>
      </c>
      <c r="C4" s="22"/>
      <c r="D4" s="22"/>
    </row>
    <row r="5" spans="2:23" x14ac:dyDescent="0.25">
      <c r="B5" s="25"/>
      <c r="C5" s="196" t="s">
        <v>12</v>
      </c>
      <c r="D5" s="196"/>
      <c r="E5" s="89" t="s">
        <v>13</v>
      </c>
      <c r="F5" s="90"/>
      <c r="G5" s="90"/>
      <c r="H5" s="197" t="s">
        <v>121</v>
      </c>
      <c r="I5" s="197"/>
      <c r="J5" s="197"/>
      <c r="K5" s="197"/>
      <c r="L5" s="197"/>
      <c r="M5" s="197"/>
      <c r="N5" s="197"/>
      <c r="O5" s="197"/>
      <c r="P5" s="197"/>
      <c r="T5" s="31"/>
      <c r="U5" s="31"/>
    </row>
    <row r="6" spans="2:23" ht="30" x14ac:dyDescent="0.25">
      <c r="B6" s="25" t="s">
        <v>118</v>
      </c>
      <c r="C6" s="92" t="s">
        <v>151</v>
      </c>
      <c r="D6" s="92" t="s">
        <v>185</v>
      </c>
      <c r="E6" s="91" t="s">
        <v>187</v>
      </c>
      <c r="F6" s="91" t="s">
        <v>14</v>
      </c>
      <c r="G6" s="91" t="s">
        <v>15</v>
      </c>
      <c r="H6" s="93" t="s">
        <v>163</v>
      </c>
      <c r="I6" s="93" t="s">
        <v>164</v>
      </c>
      <c r="J6" s="93" t="s">
        <v>8</v>
      </c>
      <c r="K6" s="162" t="s">
        <v>231</v>
      </c>
      <c r="L6" s="93" t="s">
        <v>177</v>
      </c>
      <c r="M6" s="93" t="s">
        <v>6</v>
      </c>
      <c r="N6" s="93" t="s">
        <v>7</v>
      </c>
      <c r="O6" s="93" t="s">
        <v>3</v>
      </c>
      <c r="P6" s="93" t="s">
        <v>21</v>
      </c>
      <c r="T6" s="31"/>
      <c r="U6" s="31"/>
    </row>
    <row r="7" spans="2:23" x14ac:dyDescent="0.25">
      <c r="B7" s="25" t="s">
        <v>1</v>
      </c>
      <c r="C7" s="43">
        <f>'User Input Values'!C8</f>
        <v>548200.8336064301</v>
      </c>
      <c r="D7" s="43">
        <f>'User Input Values'!D8</f>
        <v>4933807.5024578702</v>
      </c>
      <c r="E7" s="44">
        <f>'User Input Values'!C22</f>
        <v>82.311666814676684</v>
      </c>
      <c r="F7" s="44">
        <f>'User Input Values'!D22</f>
        <v>263136.40013108641</v>
      </c>
      <c r="G7" s="44">
        <f>'User Input Values'!G22</f>
        <v>26523.687673670978</v>
      </c>
      <c r="H7" s="42">
        <f>'User Input Values'!E8</f>
        <v>2766769.6072116476</v>
      </c>
      <c r="I7" s="42">
        <f>'User Input Values'!F8</f>
        <v>827344.69807882386</v>
      </c>
      <c r="J7" s="42">
        <f>'User Input Values'!G8</f>
        <v>844229.28375390219</v>
      </c>
      <c r="K7" s="161">
        <f>'User Input Values'!H8</f>
        <v>230244.35011470059</v>
      </c>
      <c r="L7" s="42">
        <f>'User Input Values'!I8</f>
        <v>268618.4084671507</v>
      </c>
      <c r="M7" s="42"/>
      <c r="N7" s="42"/>
      <c r="O7" s="42">
        <f>'User Input Values'!J8</f>
        <v>257873.67212846427</v>
      </c>
      <c r="P7" s="42">
        <f>'User Input Values'!K8</f>
        <v>177288.14958831956</v>
      </c>
      <c r="T7" s="31"/>
      <c r="U7" s="31"/>
    </row>
    <row r="8" spans="2:23" x14ac:dyDescent="0.25">
      <c r="C8" s="31"/>
      <c r="D8" s="31"/>
      <c r="E8" s="31"/>
      <c r="F8" s="31"/>
      <c r="G8" s="31"/>
      <c r="H8" s="31"/>
      <c r="I8" s="31"/>
      <c r="J8" s="31"/>
      <c r="K8" s="31"/>
      <c r="L8" s="31"/>
      <c r="M8" s="31"/>
      <c r="N8" s="31"/>
      <c r="O8" s="31"/>
      <c r="P8" s="31"/>
      <c r="Q8" s="31"/>
      <c r="R8" s="31"/>
      <c r="S8" s="31"/>
      <c r="T8" s="31"/>
      <c r="U8" s="31"/>
    </row>
    <row r="9" spans="2:23" x14ac:dyDescent="0.25">
      <c r="B9" s="25"/>
      <c r="C9" s="200" t="s">
        <v>20</v>
      </c>
      <c r="D9" s="201"/>
      <c r="E9" s="201"/>
      <c r="F9" s="201"/>
      <c r="G9" s="201"/>
      <c r="H9" s="201"/>
      <c r="I9" s="201"/>
      <c r="J9" s="202"/>
      <c r="K9" s="198" t="s">
        <v>22</v>
      </c>
      <c r="L9" s="199"/>
      <c r="M9" s="199"/>
      <c r="N9" s="199"/>
      <c r="O9" s="199"/>
      <c r="P9" s="203" t="s">
        <v>19</v>
      </c>
      <c r="Q9" s="203"/>
      <c r="R9" s="203"/>
      <c r="S9" s="203"/>
      <c r="T9" s="203"/>
      <c r="U9" s="203"/>
      <c r="V9" s="203"/>
      <c r="W9" s="203"/>
    </row>
    <row r="10" spans="2:23" ht="45" x14ac:dyDescent="0.25">
      <c r="B10" s="25" t="s">
        <v>118</v>
      </c>
      <c r="C10" s="94" t="s">
        <v>9</v>
      </c>
      <c r="D10" s="94" t="s">
        <v>163</v>
      </c>
      <c r="E10" s="94" t="s">
        <v>164</v>
      </c>
      <c r="F10" s="94" t="s">
        <v>177</v>
      </c>
      <c r="G10" s="94" t="s">
        <v>80</v>
      </c>
      <c r="H10" s="94" t="s">
        <v>8</v>
      </c>
      <c r="I10" s="94" t="s">
        <v>231</v>
      </c>
      <c r="J10" s="94" t="s">
        <v>21</v>
      </c>
      <c r="K10" s="95" t="s">
        <v>16</v>
      </c>
      <c r="L10" s="95" t="s">
        <v>144</v>
      </c>
      <c r="M10" s="95" t="s">
        <v>143</v>
      </c>
      <c r="N10" s="95" t="s">
        <v>3</v>
      </c>
      <c r="O10" s="95" t="s">
        <v>120</v>
      </c>
      <c r="P10" s="93" t="s">
        <v>181</v>
      </c>
      <c r="Q10" s="93" t="s">
        <v>8</v>
      </c>
      <c r="R10" s="93" t="s">
        <v>231</v>
      </c>
      <c r="S10" s="93" t="s">
        <v>177</v>
      </c>
      <c r="T10" s="93" t="s">
        <v>6</v>
      </c>
      <c r="U10" s="93" t="s">
        <v>182</v>
      </c>
      <c r="V10" s="93" t="s">
        <v>150</v>
      </c>
      <c r="W10" s="93" t="s">
        <v>21</v>
      </c>
    </row>
    <row r="11" spans="2:23" x14ac:dyDescent="0.25">
      <c r="B11" s="25" t="s">
        <v>169</v>
      </c>
      <c r="C11" s="43"/>
      <c r="D11" s="43">
        <f>H7</f>
        <v>2766769.6072116476</v>
      </c>
      <c r="E11" s="43">
        <f>I7</f>
        <v>827344.69807882386</v>
      </c>
      <c r="F11" s="43">
        <f>L7</f>
        <v>268618.4084671507</v>
      </c>
      <c r="G11" s="43"/>
      <c r="H11" s="43">
        <f>J7</f>
        <v>844229.28375390219</v>
      </c>
      <c r="I11" s="165">
        <f>K7</f>
        <v>230244.35011470059</v>
      </c>
      <c r="J11" s="111">
        <f>P7</f>
        <v>177288.14958831956</v>
      </c>
      <c r="K11" s="44">
        <f>'User Input Values'!E23</f>
        <v>17654.746289317474</v>
      </c>
      <c r="L11" s="44"/>
      <c r="M11" s="44"/>
      <c r="N11" s="44"/>
      <c r="O11" s="44">
        <f>'User Input Values'!G22</f>
        <v>26523.687673670978</v>
      </c>
      <c r="P11" s="42">
        <f>E11</f>
        <v>827344.69807882386</v>
      </c>
      <c r="Q11" s="42">
        <f>H11</f>
        <v>844229.28375390219</v>
      </c>
      <c r="R11" s="166">
        <f>I11</f>
        <v>230244.35011470059</v>
      </c>
      <c r="S11" s="42">
        <f>F11</f>
        <v>268618.4084671507</v>
      </c>
      <c r="T11" s="42"/>
      <c r="U11" s="42">
        <f>D11</f>
        <v>2766769.6072116476</v>
      </c>
      <c r="V11" s="42"/>
      <c r="W11" s="42">
        <f>J11</f>
        <v>177288.14958831956</v>
      </c>
    </row>
    <row r="12" spans="2:23" x14ac:dyDescent="0.25">
      <c r="B12" s="25" t="s">
        <v>4</v>
      </c>
      <c r="C12" s="43">
        <f>'User Input Values'!C14</f>
        <v>18846.958689371164</v>
      </c>
      <c r="D12" s="43"/>
      <c r="E12" s="43"/>
      <c r="F12" s="43"/>
      <c r="G12" s="43"/>
      <c r="H12" s="43">
        <f>H11</f>
        <v>844229.28375390219</v>
      </c>
      <c r="I12" s="165">
        <f>I11</f>
        <v>230244.35011470059</v>
      </c>
      <c r="J12" s="111"/>
      <c r="K12" s="44">
        <f>'User Input Values'!E24</f>
        <v>25411.347323338065</v>
      </c>
      <c r="L12" s="44">
        <f>'User Input Values'!F24</f>
        <v>1127.805399085184</v>
      </c>
      <c r="M12" s="44">
        <f>'User Input Values'!C24</f>
        <v>1688.458567507804</v>
      </c>
      <c r="N12" s="44"/>
      <c r="O12" s="44">
        <f>'User Input Values'!G24</f>
        <v>34299.447649400463</v>
      </c>
      <c r="P12" s="42"/>
      <c r="Q12" s="42"/>
      <c r="R12" s="138"/>
      <c r="S12" s="42"/>
      <c r="T12" s="42">
        <f>H12</f>
        <v>844229.28375390219</v>
      </c>
      <c r="U12" s="42"/>
      <c r="V12" s="42"/>
      <c r="W12" s="161">
        <f>'User Input Values'!P14</f>
        <v>1688.458567507804</v>
      </c>
    </row>
    <row r="13" spans="2:23" ht="30" x14ac:dyDescent="0.25">
      <c r="B13" s="78" t="s">
        <v>173</v>
      </c>
      <c r="C13" s="43">
        <f>'User Input Values'!C15</f>
        <v>3926.4361901655657</v>
      </c>
      <c r="D13" s="43"/>
      <c r="E13" s="43">
        <f>P11</f>
        <v>827344.69807882386</v>
      </c>
      <c r="F13" s="43"/>
      <c r="G13" s="43"/>
      <c r="H13" s="43"/>
      <c r="I13" s="111"/>
      <c r="J13" s="111"/>
      <c r="K13" s="44">
        <f>'User Input Values'!E25</f>
        <v>15182.425525097311</v>
      </c>
      <c r="L13" s="44">
        <f>'User Input Values'!F25</f>
        <v>624.867754330754</v>
      </c>
      <c r="M13" s="44">
        <f>'User Input Values'!C25</f>
        <v>1654.6893961576507</v>
      </c>
      <c r="N13" s="44"/>
      <c r="O13" s="44">
        <f>'User Input Values'!G25</f>
        <v>12551.819537686424</v>
      </c>
      <c r="P13" s="42">
        <f>E13</f>
        <v>827344.69807882386</v>
      </c>
      <c r="Q13" s="42"/>
      <c r="R13" s="138"/>
      <c r="S13" s="42"/>
      <c r="T13" s="42"/>
      <c r="U13" s="42"/>
      <c r="V13" s="42"/>
      <c r="W13" s="161">
        <f>'User Input Values'!P15</f>
        <v>1654.6893961576507</v>
      </c>
    </row>
    <row r="14" spans="2:23" x14ac:dyDescent="0.25">
      <c r="B14" s="25" t="s">
        <v>178</v>
      </c>
      <c r="C14" s="45"/>
      <c r="D14" s="43">
        <f>D11</f>
        <v>2766769.6072116476</v>
      </c>
      <c r="E14" s="43"/>
      <c r="F14" s="43"/>
      <c r="G14" s="43"/>
      <c r="H14" s="43"/>
      <c r="I14" s="111"/>
      <c r="J14" s="111"/>
      <c r="K14" s="44"/>
      <c r="L14" s="44"/>
      <c r="M14" s="44"/>
      <c r="N14" s="44"/>
      <c r="O14" s="44"/>
      <c r="P14" s="42"/>
      <c r="Q14" s="42"/>
      <c r="R14" s="138"/>
      <c r="S14" s="42"/>
      <c r="T14" s="42"/>
      <c r="U14" s="42">
        <f>D14*0.999</f>
        <v>2764002.8376044361</v>
      </c>
      <c r="V14" s="42"/>
      <c r="W14" s="42"/>
    </row>
    <row r="15" spans="2:23" x14ac:dyDescent="0.25">
      <c r="B15" s="25" t="s">
        <v>5</v>
      </c>
      <c r="C15" s="43"/>
      <c r="D15" s="43"/>
      <c r="E15" s="43"/>
      <c r="F15" s="43">
        <f>S11</f>
        <v>268618.4084671507</v>
      </c>
      <c r="G15" s="43">
        <f>'User Input Values'!J16</f>
        <v>26861.840846715102</v>
      </c>
      <c r="H15" s="43"/>
      <c r="I15" s="111"/>
      <c r="J15" s="111"/>
      <c r="K15" s="44">
        <f>'User Input Values'!E26</f>
        <v>197951.53534209289</v>
      </c>
      <c r="L15" s="44"/>
      <c r="M15" s="44"/>
      <c r="N15" s="44"/>
      <c r="O15" s="44">
        <f>'User Input Values'!G26</f>
        <v>11137.572300526253</v>
      </c>
      <c r="P15" s="42"/>
      <c r="Q15" s="42"/>
      <c r="R15" s="138"/>
      <c r="S15" s="42"/>
      <c r="T15" s="42"/>
      <c r="U15" s="42"/>
      <c r="V15" s="42">
        <f>F15+G15</f>
        <v>295480.24931386579</v>
      </c>
      <c r="W15" s="42"/>
    </row>
    <row r="16" spans="2:23" x14ac:dyDescent="0.25">
      <c r="B16" s="76" t="s">
        <v>11</v>
      </c>
      <c r="C16" s="77"/>
      <c r="D16" s="77"/>
      <c r="E16" s="77"/>
      <c r="F16" s="77"/>
      <c r="G16" s="77"/>
      <c r="H16" s="110"/>
      <c r="I16" s="120"/>
      <c r="J16" s="77"/>
      <c r="K16" s="77"/>
      <c r="L16" s="77"/>
      <c r="M16" s="77"/>
      <c r="N16" s="77"/>
      <c r="O16" s="112"/>
      <c r="P16" s="77">
        <f>P11</f>
        <v>827344.69807882386</v>
      </c>
      <c r="Q16" s="77"/>
      <c r="R16" s="167">
        <f>R11</f>
        <v>230244.35011470059</v>
      </c>
      <c r="S16" s="120"/>
      <c r="T16" s="77">
        <f>T12</f>
        <v>844229.28375390219</v>
      </c>
      <c r="U16" s="77">
        <f>U14</f>
        <v>2764002.8376044361</v>
      </c>
      <c r="V16" s="77">
        <f>V15</f>
        <v>295480.24931386579</v>
      </c>
      <c r="W16" s="77">
        <f>W12+W13</f>
        <v>3343.1479636654549</v>
      </c>
    </row>
    <row r="17" spans="2:21" x14ac:dyDescent="0.25">
      <c r="C17" s="31"/>
      <c r="D17" s="31"/>
      <c r="E17" s="31"/>
      <c r="F17" s="31"/>
      <c r="G17" s="31"/>
      <c r="H17" s="31"/>
      <c r="I17" s="31"/>
      <c r="J17" s="31"/>
      <c r="K17" s="31"/>
      <c r="L17" s="31"/>
      <c r="M17" s="31"/>
      <c r="N17" s="31"/>
      <c r="O17" s="31"/>
      <c r="P17" s="31"/>
      <c r="Q17" s="31"/>
      <c r="R17" s="31"/>
      <c r="S17" s="31"/>
      <c r="T17" s="31"/>
      <c r="U17" s="31"/>
    </row>
    <row r="18" spans="2:21" x14ac:dyDescent="0.25">
      <c r="C18" s="82"/>
      <c r="D18" s="31"/>
      <c r="E18" s="31"/>
      <c r="F18" s="31"/>
      <c r="G18" s="31"/>
      <c r="H18" s="31"/>
      <c r="I18" s="31"/>
      <c r="J18" s="31"/>
      <c r="K18" s="31"/>
      <c r="L18" s="31"/>
      <c r="M18" s="31"/>
      <c r="N18" s="31"/>
      <c r="O18" s="31"/>
      <c r="P18" s="31"/>
      <c r="Q18" s="31"/>
      <c r="R18" s="31"/>
      <c r="S18" s="31"/>
      <c r="T18" s="31"/>
      <c r="U18" s="31"/>
    </row>
    <row r="19" spans="2:21" ht="15.75" customHeight="1" x14ac:dyDescent="0.25">
      <c r="C19" s="31"/>
      <c r="D19" s="31"/>
      <c r="E19" s="31"/>
      <c r="F19" s="31"/>
      <c r="G19" s="31"/>
      <c r="H19" s="31"/>
      <c r="I19" s="31"/>
      <c r="J19" s="31"/>
      <c r="K19" s="31"/>
      <c r="L19" s="31"/>
      <c r="M19" s="31"/>
      <c r="N19" s="31"/>
      <c r="O19" s="31"/>
      <c r="P19" s="31"/>
      <c r="Q19" s="31"/>
      <c r="R19" s="31"/>
      <c r="S19" s="46"/>
      <c r="T19" s="31"/>
      <c r="U19" s="31"/>
    </row>
    <row r="20" spans="2:21" ht="15" customHeight="1" x14ac:dyDescent="0.25">
      <c r="B20" s="25" t="s">
        <v>118</v>
      </c>
      <c r="C20" s="70" t="s">
        <v>134</v>
      </c>
      <c r="D20" s="71"/>
      <c r="E20" s="71"/>
      <c r="F20" s="71"/>
      <c r="G20" s="204" t="s">
        <v>114</v>
      </c>
      <c r="H20" s="205"/>
      <c r="I20" s="205"/>
      <c r="J20" s="205"/>
      <c r="K20" s="205"/>
      <c r="L20" s="205"/>
      <c r="M20" s="205"/>
      <c r="N20" s="205"/>
      <c r="O20" s="205"/>
      <c r="Q20" s="31"/>
      <c r="R20" s="31"/>
      <c r="S20" s="31"/>
      <c r="T20" s="31"/>
      <c r="U20" s="31"/>
    </row>
    <row r="21" spans="2:21" ht="45" x14ac:dyDescent="0.25">
      <c r="B21" s="25"/>
      <c r="C21" s="96" t="s">
        <v>2</v>
      </c>
      <c r="D21" s="96" t="s">
        <v>116</v>
      </c>
      <c r="E21" s="96" t="s">
        <v>117</v>
      </c>
      <c r="F21" s="96" t="s">
        <v>10</v>
      </c>
      <c r="G21" s="93" t="s">
        <v>163</v>
      </c>
      <c r="H21" s="93" t="s">
        <v>164</v>
      </c>
      <c r="I21" s="93" t="s">
        <v>8</v>
      </c>
      <c r="J21" s="93" t="s">
        <v>231</v>
      </c>
      <c r="K21" s="93" t="s">
        <v>177</v>
      </c>
      <c r="L21" s="93" t="s">
        <v>6</v>
      </c>
      <c r="M21" s="93" t="s">
        <v>7</v>
      </c>
      <c r="N21" s="93" t="s">
        <v>3</v>
      </c>
      <c r="O21" s="93" t="s">
        <v>21</v>
      </c>
      <c r="Q21" s="31"/>
      <c r="R21" s="31"/>
      <c r="S21" s="31"/>
      <c r="T21" s="31"/>
      <c r="U21" s="31"/>
    </row>
    <row r="22" spans="2:21" x14ac:dyDescent="0.25">
      <c r="B22" s="25" t="s">
        <v>1</v>
      </c>
      <c r="C22" s="47"/>
      <c r="D22" s="47">
        <f>E7*1000*'Fuel specs and EF'!M57</f>
        <v>80830056.812012509</v>
      </c>
      <c r="E22" s="47">
        <f>F7*'Fuel specs and EF'!M65</f>
        <v>7818495769.4413929</v>
      </c>
      <c r="F22" s="47">
        <f>G7*3412.14</f>
        <v>90502535.658839688</v>
      </c>
      <c r="G22" s="42">
        <f>H7*'Fuel specs and EF'!M19</f>
        <v>117847250446.33363</v>
      </c>
      <c r="H22" s="42">
        <f>I7*'Fuel specs and EF'!M23</f>
        <v>30948804665.551193</v>
      </c>
      <c r="I22" s="42">
        <f>J7*'Fuel specs and EF'!M23</f>
        <v>31580412924.031841</v>
      </c>
      <c r="J22" s="42">
        <f>K7*'Fuel specs and EF'!M23</f>
        <v>8612839888.3723202</v>
      </c>
      <c r="K22" s="42">
        <f>L7*'Fuel specs and EF'!M30</f>
        <v>11866424232.597219</v>
      </c>
      <c r="L22" s="42"/>
      <c r="M22" s="42"/>
      <c r="N22" s="42">
        <f>O7*'Fuel specs and EF'!M65</f>
        <v>7662125854.0525532</v>
      </c>
      <c r="O22" s="42">
        <f>P7*'Fuel specs and EF'!N57</f>
        <v>8576205068.7551632</v>
      </c>
      <c r="Q22" s="31"/>
      <c r="R22" s="31"/>
      <c r="S22" s="31"/>
      <c r="T22" s="31"/>
      <c r="U22" s="31"/>
    </row>
    <row r="23" spans="2:21" x14ac:dyDescent="0.25">
      <c r="C23" s="48"/>
      <c r="D23" s="48"/>
      <c r="E23" s="48"/>
      <c r="F23" s="48"/>
      <c r="G23" s="48"/>
      <c r="H23" s="48"/>
      <c r="I23" s="48"/>
      <c r="J23" s="48"/>
      <c r="K23" s="48"/>
      <c r="L23" s="48"/>
      <c r="M23" s="48"/>
      <c r="N23" s="48"/>
      <c r="O23" s="48"/>
      <c r="P23" s="48"/>
      <c r="Q23" s="48"/>
      <c r="R23" s="83"/>
      <c r="S23" s="48"/>
      <c r="T23" s="31"/>
      <c r="U23" s="31"/>
    </row>
    <row r="24" spans="2:21" x14ac:dyDescent="0.25">
      <c r="B24" s="25" t="s">
        <v>118</v>
      </c>
      <c r="C24" s="193" t="s">
        <v>115</v>
      </c>
      <c r="D24" s="194"/>
      <c r="E24" s="194"/>
      <c r="F24" s="195"/>
      <c r="G24" s="206" t="s">
        <v>114</v>
      </c>
      <c r="H24" s="207"/>
      <c r="I24" s="207"/>
      <c r="J24" s="207"/>
      <c r="K24" s="207"/>
      <c r="L24" s="207"/>
      <c r="M24" s="207"/>
      <c r="N24" s="207"/>
      <c r="R24" s="84"/>
      <c r="S24" s="31"/>
      <c r="T24" s="31"/>
      <c r="U24" s="31"/>
    </row>
    <row r="25" spans="2:21" ht="30" x14ac:dyDescent="0.25">
      <c r="B25" s="25"/>
      <c r="C25" s="97" t="s">
        <v>119</v>
      </c>
      <c r="D25" s="97" t="s">
        <v>188</v>
      </c>
      <c r="E25" s="97" t="s">
        <v>116</v>
      </c>
      <c r="F25" s="97" t="s">
        <v>10</v>
      </c>
      <c r="G25" s="87" t="str">
        <f>P10</f>
        <v>Heavy  Naphtha</v>
      </c>
      <c r="H25" s="87" t="s">
        <v>8</v>
      </c>
      <c r="I25" s="164" t="s">
        <v>231</v>
      </c>
      <c r="J25" s="87" t="s">
        <v>177</v>
      </c>
      <c r="K25" s="87" t="s">
        <v>6</v>
      </c>
      <c r="L25" s="87" t="str">
        <f>U10</f>
        <v xml:space="preserve">Light  Naphtha </v>
      </c>
      <c r="M25" s="87" t="s">
        <v>150</v>
      </c>
      <c r="N25" s="88" t="s">
        <v>21</v>
      </c>
      <c r="R25" s="85"/>
      <c r="S25" s="31"/>
      <c r="T25" s="31"/>
      <c r="U25" s="31"/>
    </row>
    <row r="26" spans="2:21" x14ac:dyDescent="0.25">
      <c r="B26" s="25" t="s">
        <v>169</v>
      </c>
      <c r="C26" s="50">
        <f>K11*'Fuel specs and EF'!$D$73</f>
        <v>57554.472903174959</v>
      </c>
      <c r="D26" s="47"/>
      <c r="E26" s="47"/>
      <c r="F26" s="47">
        <f>O11*3412.14</f>
        <v>90502535.658839688</v>
      </c>
      <c r="G26" s="49">
        <f>P11*'Fuel specs and EF'!M19</f>
        <v>35239760327.641556</v>
      </c>
      <c r="H26" s="87">
        <f>'Fuel specs and EF'!M23*Q11</f>
        <v>31580412924.031841</v>
      </c>
      <c r="I26" s="87">
        <f>'Fuel specs and EF'!M23*R11</f>
        <v>8612839888.3723202</v>
      </c>
      <c r="J26" s="87">
        <f>S11*'Fuel specs and EF'!M30</f>
        <v>11866424232.597219</v>
      </c>
      <c r="K26" s="87"/>
      <c r="L26" s="87">
        <f>U11*'Fuel specs and EF'!M19</f>
        <v>117847250446.33363</v>
      </c>
      <c r="M26" s="87"/>
      <c r="N26" s="87"/>
      <c r="S26" s="31"/>
      <c r="T26" s="31"/>
      <c r="U26" s="31"/>
    </row>
    <row r="27" spans="2:21" x14ac:dyDescent="0.25">
      <c r="B27" s="25" t="s">
        <v>4</v>
      </c>
      <c r="C27" s="50">
        <f>K12*'Fuel specs and EF'!$D$73</f>
        <v>82840.992274082091</v>
      </c>
      <c r="D27" s="47">
        <f>L12*'Fuel specs and EF'!$M$53*1000</f>
        <v>1108632707.300736</v>
      </c>
      <c r="E27" s="47">
        <f>M12*'Fuel specs and EF'!$M$57*1000</f>
        <v>1658066313.2926636</v>
      </c>
      <c r="F27" s="47">
        <f>O12*3412.14</f>
        <v>117034517.3024253</v>
      </c>
      <c r="G27" s="49"/>
      <c r="H27" s="87"/>
      <c r="I27" s="163"/>
      <c r="J27" s="87"/>
      <c r="K27" s="87">
        <f>T12*'Fuel specs and EF'!$M$18</f>
        <v>34247442554.828888</v>
      </c>
      <c r="L27" s="87"/>
      <c r="M27" s="87"/>
      <c r="N27" s="87">
        <f>W12*'Fuel specs and EF'!$N$57</f>
        <v>81678143.511953875</v>
      </c>
      <c r="S27" s="31"/>
      <c r="T27" s="31"/>
      <c r="U27" s="31"/>
    </row>
    <row r="28" spans="2:21" ht="30" x14ac:dyDescent="0.25">
      <c r="B28" s="78" t="s">
        <v>173</v>
      </c>
      <c r="C28" s="50">
        <f>K13*'Fuel specs and EF'!$D$73</f>
        <v>49494.707211817229</v>
      </c>
      <c r="D28" s="47">
        <f>L13*'Fuel specs and EF'!$M$53*1000</f>
        <v>614245002.50713122</v>
      </c>
      <c r="E28" s="47">
        <f>M13*'Fuel specs and EF'!$M$57*1000</f>
        <v>1624904987.026813</v>
      </c>
      <c r="F28" s="47">
        <f>O13*3412.14</f>
        <v>42828565.517321356</v>
      </c>
      <c r="G28" s="49">
        <f>G26</f>
        <v>35239760327.641556</v>
      </c>
      <c r="H28" s="87"/>
      <c r="I28" s="163"/>
      <c r="J28" s="87"/>
      <c r="K28" s="87"/>
      <c r="L28" s="87"/>
      <c r="M28" s="87"/>
      <c r="N28" s="87">
        <f>W13*'Fuel specs and EF'!$N$57</f>
        <v>80044580.641714931</v>
      </c>
      <c r="S28" s="31"/>
      <c r="T28" s="31"/>
      <c r="U28" s="31"/>
    </row>
    <row r="29" spans="2:21" x14ac:dyDescent="0.25">
      <c r="B29" s="25" t="s">
        <v>178</v>
      </c>
      <c r="C29" s="50"/>
      <c r="D29" s="47"/>
      <c r="E29" s="47"/>
      <c r="F29" s="47">
        <f>O14*3412.14</f>
        <v>0</v>
      </c>
      <c r="G29" s="49"/>
      <c r="H29" s="87"/>
      <c r="I29" s="163"/>
      <c r="J29" s="87"/>
      <c r="K29" s="87"/>
      <c r="L29" s="87">
        <f>U14*'Fuel specs and EF'!M19</f>
        <v>117729403195.8873</v>
      </c>
      <c r="M29" s="87"/>
      <c r="N29" s="87"/>
      <c r="S29" s="31"/>
      <c r="T29" s="31"/>
      <c r="U29" s="31"/>
    </row>
    <row r="30" spans="2:21" x14ac:dyDescent="0.25">
      <c r="B30" s="25" t="s">
        <v>5</v>
      </c>
      <c r="C30" s="50">
        <f>K15*'Fuel specs and EF'!$D$73</f>
        <v>645322.00521522271</v>
      </c>
      <c r="D30" s="47"/>
      <c r="E30" s="47"/>
      <c r="F30" s="47">
        <f>O15*3412.14</f>
        <v>38002955.949517652</v>
      </c>
      <c r="G30" s="49"/>
      <c r="H30" s="87"/>
      <c r="I30" s="163"/>
      <c r="J30" s="87"/>
      <c r="K30" s="87"/>
      <c r="L30" s="87"/>
      <c r="M30" s="87">
        <f>V15*'Fuel specs and EF'!$M$50</f>
        <v>12531690851.281027</v>
      </c>
      <c r="N30" s="87"/>
      <c r="S30" s="31"/>
      <c r="T30" s="31"/>
      <c r="U30" s="31"/>
    </row>
    <row r="31" spans="2:21" x14ac:dyDescent="0.25">
      <c r="B31" s="74" t="s">
        <v>11</v>
      </c>
      <c r="C31" s="86"/>
      <c r="D31" s="86"/>
      <c r="E31" s="86"/>
      <c r="F31" s="86"/>
      <c r="G31" s="75">
        <f>G26</f>
        <v>35239760327.641556</v>
      </c>
      <c r="H31" s="34"/>
      <c r="I31" s="168">
        <f>I26</f>
        <v>8612839888.3723202</v>
      </c>
      <c r="J31" s="34"/>
      <c r="K31" s="34">
        <f>K27</f>
        <v>34247442554.828888</v>
      </c>
      <c r="L31" s="34">
        <f>L29</f>
        <v>117729403195.8873</v>
      </c>
      <c r="M31" s="34">
        <f>V16*'Fuel specs and EF'!$M$50</f>
        <v>12531690851.281027</v>
      </c>
      <c r="N31" s="34"/>
      <c r="S31" s="31"/>
      <c r="T31" s="31"/>
      <c r="U31" s="31"/>
    </row>
  </sheetData>
  <mergeCells count="8">
    <mergeCell ref="C24:F24"/>
    <mergeCell ref="C5:D5"/>
    <mergeCell ref="H5:P5"/>
    <mergeCell ref="K9:O9"/>
    <mergeCell ref="C9:J9"/>
    <mergeCell ref="P9:W9"/>
    <mergeCell ref="G20:O20"/>
    <mergeCell ref="G24:N2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84"/>
  <sheetViews>
    <sheetView topLeftCell="A91" workbookViewId="0">
      <selection activeCell="J78" sqref="J78"/>
    </sheetView>
  </sheetViews>
  <sheetFormatPr defaultRowHeight="15" x14ac:dyDescent="0.25"/>
  <cols>
    <col min="2" max="2" width="32.28515625" customWidth="1"/>
    <col min="3" max="3" width="13.28515625" customWidth="1"/>
    <col min="5" max="5" width="19.7109375" customWidth="1"/>
    <col min="6" max="6" width="13.140625" customWidth="1"/>
    <col min="7" max="7" width="12.7109375" customWidth="1"/>
    <col min="8" max="8" width="15" customWidth="1"/>
    <col min="9" max="9" width="13.42578125" customWidth="1"/>
    <col min="10" max="10" width="12.28515625" customWidth="1"/>
    <col min="11" max="11" width="20.42578125" customWidth="1"/>
  </cols>
  <sheetData>
    <row r="2" spans="2:14" ht="15.75" x14ac:dyDescent="0.25">
      <c r="B2" s="23" t="s">
        <v>219</v>
      </c>
    </row>
    <row r="3" spans="2:14" x14ac:dyDescent="0.25">
      <c r="B3" s="2" t="s">
        <v>24</v>
      </c>
      <c r="C3" s="2" t="s">
        <v>25</v>
      </c>
      <c r="D3" s="2"/>
      <c r="E3" s="2"/>
      <c r="F3" s="2" t="s">
        <v>18</v>
      </c>
      <c r="G3" s="2" t="s">
        <v>26</v>
      </c>
      <c r="H3" s="2" t="s">
        <v>27</v>
      </c>
      <c r="I3" s="2" t="s">
        <v>27</v>
      </c>
      <c r="J3" s="2"/>
      <c r="K3" s="2"/>
    </row>
    <row r="4" spans="2:14" x14ac:dyDescent="0.25">
      <c r="B4" s="2"/>
      <c r="C4" s="2" t="s">
        <v>28</v>
      </c>
      <c r="D4" s="2" t="s">
        <v>29</v>
      </c>
      <c r="E4" s="2" t="s">
        <v>30</v>
      </c>
      <c r="F4" s="2"/>
      <c r="G4" s="2" t="s">
        <v>31</v>
      </c>
      <c r="H4" s="2" t="s">
        <v>32</v>
      </c>
      <c r="I4" s="2" t="s">
        <v>33</v>
      </c>
      <c r="J4" s="2" t="s">
        <v>34</v>
      </c>
      <c r="K4" s="2" t="s">
        <v>35</v>
      </c>
    </row>
    <row r="5" spans="2:14" x14ac:dyDescent="0.25">
      <c r="B5" s="2" t="s">
        <v>36</v>
      </c>
      <c r="C5" s="2">
        <v>1</v>
      </c>
      <c r="D5" s="2" t="s">
        <v>37</v>
      </c>
      <c r="E5" s="2"/>
      <c r="F5" s="2"/>
      <c r="G5" s="2"/>
      <c r="H5" s="2"/>
      <c r="I5" s="2"/>
      <c r="J5" s="2"/>
      <c r="K5" s="2"/>
      <c r="M5" s="15"/>
    </row>
    <row r="6" spans="2:14" x14ac:dyDescent="0.25">
      <c r="B6" s="4" t="s">
        <v>38</v>
      </c>
      <c r="C6" s="2" t="s">
        <v>39</v>
      </c>
      <c r="D6" s="2" t="s">
        <v>39</v>
      </c>
      <c r="E6" s="2" t="s">
        <v>39</v>
      </c>
      <c r="F6" s="2" t="s">
        <v>40</v>
      </c>
      <c r="G6" s="2"/>
      <c r="H6" s="2"/>
      <c r="I6" s="2"/>
      <c r="J6" s="2"/>
      <c r="K6" s="2" t="s">
        <v>41</v>
      </c>
      <c r="L6" s="1"/>
      <c r="M6" s="16" t="s">
        <v>108</v>
      </c>
      <c r="N6" s="1"/>
    </row>
    <row r="7" spans="2:14" x14ac:dyDescent="0.25">
      <c r="B7" t="s">
        <v>42</v>
      </c>
      <c r="C7">
        <v>129670</v>
      </c>
      <c r="D7">
        <v>129670</v>
      </c>
      <c r="E7">
        <v>138350</v>
      </c>
      <c r="F7">
        <v>3205</v>
      </c>
      <c r="G7">
        <v>0.85299999999999998</v>
      </c>
      <c r="H7">
        <v>16000</v>
      </c>
      <c r="I7">
        <v>1.6E-2</v>
      </c>
      <c r="J7">
        <v>0.93726057101554028</v>
      </c>
      <c r="M7" s="15">
        <f>C7/(F7/1000)</f>
        <v>40458.658346333854</v>
      </c>
    </row>
    <row r="8" spans="2:14" x14ac:dyDescent="0.25">
      <c r="B8" t="s">
        <v>43</v>
      </c>
      <c r="C8">
        <v>135084.91292306196</v>
      </c>
      <c r="D8">
        <v>135084.91292306196</v>
      </c>
      <c r="E8">
        <v>144475.84269846199</v>
      </c>
      <c r="F8">
        <v>3266</v>
      </c>
      <c r="G8">
        <v>0.85562068501529054</v>
      </c>
      <c r="H8">
        <v>1800</v>
      </c>
      <c r="I8">
        <v>1.8E-3</v>
      </c>
      <c r="J8">
        <v>0.93500000000000005</v>
      </c>
      <c r="M8" s="15">
        <f t="shared" ref="M8:M50" si="0">C8/(F8/1000)</f>
        <v>41360.965377544999</v>
      </c>
    </row>
    <row r="9" spans="2:14" x14ac:dyDescent="0.25">
      <c r="B9" t="s">
        <v>44</v>
      </c>
      <c r="C9">
        <v>145312.73768741236</v>
      </c>
      <c r="D9">
        <v>145312.73768741236</v>
      </c>
      <c r="E9">
        <v>155414.69271380999</v>
      </c>
      <c r="F9">
        <v>3513</v>
      </c>
      <c r="G9">
        <v>0.83446983606557368</v>
      </c>
      <c r="H9">
        <v>38000</v>
      </c>
      <c r="I9">
        <v>3.7999999999999999E-2</v>
      </c>
      <c r="J9">
        <v>0.93500000000000016</v>
      </c>
      <c r="M9" s="15">
        <f t="shared" si="0"/>
        <v>41364.286275950006</v>
      </c>
    </row>
    <row r="10" spans="2:14" x14ac:dyDescent="0.25">
      <c r="B10" t="s">
        <v>45</v>
      </c>
      <c r="C10">
        <v>128448.52692210001</v>
      </c>
      <c r="D10">
        <v>128448.52692210001</v>
      </c>
      <c r="E10">
        <v>137378.10365999999</v>
      </c>
      <c r="F10">
        <v>2709</v>
      </c>
      <c r="G10">
        <v>0.84059083544303792</v>
      </c>
      <c r="H10">
        <v>1600</v>
      </c>
      <c r="I10">
        <v>1.6000000000000001E-3</v>
      </c>
      <c r="J10">
        <v>0.93500000000000005</v>
      </c>
      <c r="M10" s="15">
        <f t="shared" si="0"/>
        <v>47415.476900000001</v>
      </c>
    </row>
    <row r="11" spans="2:14" x14ac:dyDescent="0.25">
      <c r="B11" t="s">
        <v>46</v>
      </c>
      <c r="C11">
        <v>116090</v>
      </c>
      <c r="D11">
        <v>116090</v>
      </c>
      <c r="E11">
        <v>124340</v>
      </c>
      <c r="F11">
        <v>2819</v>
      </c>
      <c r="G11">
        <v>0.86299999999999999</v>
      </c>
      <c r="H11">
        <v>25.5</v>
      </c>
      <c r="I11">
        <v>2.55E-5</v>
      </c>
      <c r="J11">
        <v>0.93364967025896739</v>
      </c>
      <c r="K11">
        <v>122.48143362649999</v>
      </c>
      <c r="M11" s="15">
        <f t="shared" si="0"/>
        <v>41181.269953884359</v>
      </c>
    </row>
    <row r="12" spans="2:14" x14ac:dyDescent="0.25">
      <c r="B12" t="s">
        <v>47</v>
      </c>
      <c r="C12">
        <v>113300</v>
      </c>
      <c r="D12">
        <v>113300</v>
      </c>
      <c r="E12">
        <v>121351.72710827805</v>
      </c>
      <c r="F12">
        <v>2767</v>
      </c>
      <c r="G12">
        <v>0.85899999999999999</v>
      </c>
      <c r="K12">
        <v>119.53782780499999</v>
      </c>
      <c r="M12" s="15">
        <f t="shared" si="0"/>
        <v>40946.873870618001</v>
      </c>
    </row>
    <row r="13" spans="2:14" x14ac:dyDescent="0.25">
      <c r="B13" t="s">
        <v>7</v>
      </c>
      <c r="C13">
        <v>112193.52</v>
      </c>
      <c r="D13">
        <v>112193.52</v>
      </c>
      <c r="E13">
        <v>120438.62000000001</v>
      </c>
      <c r="F13">
        <v>2835.5620000000004</v>
      </c>
      <c r="G13">
        <v>0.82778546968819577</v>
      </c>
      <c r="H13">
        <v>22.86665535791494</v>
      </c>
      <c r="I13">
        <v>2.286665535791494E-5</v>
      </c>
      <c r="J13">
        <v>0.931541062160958</v>
      </c>
      <c r="M13" s="15">
        <f t="shared" si="0"/>
        <v>39566.590326714773</v>
      </c>
    </row>
    <row r="14" spans="2:14" x14ac:dyDescent="0.25">
      <c r="B14" t="s">
        <v>48</v>
      </c>
      <c r="C14">
        <v>109786.18634999999</v>
      </c>
      <c r="D14">
        <v>109786.18634999999</v>
      </c>
      <c r="E14">
        <v>117852.00605527176</v>
      </c>
      <c r="F14">
        <v>2788.0049449999997</v>
      </c>
      <c r="G14">
        <v>0.82467216899999995</v>
      </c>
      <c r="H14">
        <v>22.902493499999999</v>
      </c>
      <c r="I14">
        <v>2.2902493499999999E-5</v>
      </c>
      <c r="J14">
        <v>0.93155975892774401</v>
      </c>
      <c r="K14">
        <v>115.83055815775764</v>
      </c>
      <c r="M14" s="15">
        <f t="shared" si="0"/>
        <v>39378.04577674449</v>
      </c>
    </row>
    <row r="15" spans="2:14" x14ac:dyDescent="0.25">
      <c r="B15" t="s">
        <v>49</v>
      </c>
      <c r="C15">
        <v>128450</v>
      </c>
      <c r="D15">
        <v>128450</v>
      </c>
      <c r="E15">
        <v>137380</v>
      </c>
      <c r="F15">
        <v>3167</v>
      </c>
      <c r="G15">
        <v>0.86499999999999999</v>
      </c>
      <c r="H15">
        <v>200</v>
      </c>
      <c r="I15">
        <v>2.0000000000000001E-4</v>
      </c>
      <c r="J15">
        <v>0.93499781627602274</v>
      </c>
      <c r="K15">
        <v>135.52192393249999</v>
      </c>
      <c r="M15" s="15">
        <f t="shared" si="0"/>
        <v>40558.888538048632</v>
      </c>
    </row>
    <row r="16" spans="2:14" x14ac:dyDescent="0.25">
      <c r="B16" t="s">
        <v>50</v>
      </c>
      <c r="H16">
        <v>120</v>
      </c>
      <c r="I16">
        <v>1.2E-4</v>
      </c>
      <c r="K16">
        <v>0</v>
      </c>
      <c r="M16" s="15"/>
    </row>
    <row r="17" spans="2:13" x14ac:dyDescent="0.25">
      <c r="B17" t="s">
        <v>51</v>
      </c>
      <c r="C17">
        <v>128450</v>
      </c>
      <c r="D17">
        <v>128450</v>
      </c>
      <c r="E17">
        <v>137380</v>
      </c>
      <c r="F17">
        <v>3167</v>
      </c>
      <c r="G17">
        <v>0.86499999999999999</v>
      </c>
      <c r="H17">
        <v>163</v>
      </c>
      <c r="I17">
        <v>1.63E-4</v>
      </c>
      <c r="J17">
        <v>0.93499781627602274</v>
      </c>
      <c r="K17">
        <v>135.52192393249999</v>
      </c>
      <c r="M17" s="15">
        <f t="shared" si="0"/>
        <v>40558.888538048632</v>
      </c>
    </row>
    <row r="18" spans="2:13" x14ac:dyDescent="0.25">
      <c r="B18" t="s">
        <v>52</v>
      </c>
      <c r="C18">
        <v>127460</v>
      </c>
      <c r="D18">
        <v>127460</v>
      </c>
      <c r="E18">
        <v>133075.138792035</v>
      </c>
      <c r="F18">
        <v>3142</v>
      </c>
      <c r="G18">
        <v>0.86499999999999999</v>
      </c>
      <c r="H18">
        <v>11</v>
      </c>
      <c r="I18">
        <v>1.1E-5</v>
      </c>
      <c r="J18">
        <v>0.95780474968498719</v>
      </c>
      <c r="K18">
        <v>134.47741864099999</v>
      </c>
      <c r="M18" s="15">
        <f t="shared" si="0"/>
        <v>40566.518141311266</v>
      </c>
    </row>
    <row r="19" spans="2:13" x14ac:dyDescent="0.25">
      <c r="B19" t="s">
        <v>53</v>
      </c>
      <c r="C19">
        <v>116920</v>
      </c>
      <c r="D19">
        <v>116920</v>
      </c>
      <c r="E19">
        <v>125080</v>
      </c>
      <c r="F19">
        <v>2745</v>
      </c>
      <c r="G19">
        <v>0.85</v>
      </c>
      <c r="H19">
        <v>1</v>
      </c>
      <c r="I19">
        <v>9.9999999999999995E-7</v>
      </c>
      <c r="J19">
        <v>0.93476175247841387</v>
      </c>
      <c r="K19">
        <v>123.357129982</v>
      </c>
      <c r="M19" s="15">
        <f t="shared" si="0"/>
        <v>42593.806921675772</v>
      </c>
    </row>
    <row r="20" spans="2:13" x14ac:dyDescent="0.25">
      <c r="B20" t="s">
        <v>54</v>
      </c>
      <c r="C20">
        <v>124307.03423937227</v>
      </c>
      <c r="D20">
        <v>124307.03423937227</v>
      </c>
      <c r="E20">
        <v>132948.69438683367</v>
      </c>
      <c r="F20">
        <v>3035.8996219999995</v>
      </c>
      <c r="G20">
        <v>0.86199999999999999</v>
      </c>
      <c r="H20">
        <v>700</v>
      </c>
      <c r="I20">
        <v>6.9999999999999999E-4</v>
      </c>
      <c r="J20">
        <v>0.93500003751584637</v>
      </c>
      <c r="K20">
        <v>131.15086367040001</v>
      </c>
      <c r="M20" s="15">
        <f t="shared" si="0"/>
        <v>40945.699699214987</v>
      </c>
    </row>
    <row r="21" spans="2:13" x14ac:dyDescent="0.25">
      <c r="B21" t="s">
        <v>55</v>
      </c>
      <c r="C21">
        <v>123041.23110601204</v>
      </c>
      <c r="D21">
        <v>123041.23110601204</v>
      </c>
      <c r="E21">
        <v>131594.89429852215</v>
      </c>
      <c r="F21">
        <v>2998.0455119999997</v>
      </c>
      <c r="G21">
        <v>0.86</v>
      </c>
      <c r="H21">
        <v>11</v>
      </c>
      <c r="I21">
        <v>1.1E-5</v>
      </c>
      <c r="J21">
        <v>0.93500003751584626</v>
      </c>
      <c r="K21">
        <v>129.81537066959996</v>
      </c>
      <c r="M21" s="15">
        <f t="shared" si="0"/>
        <v>41040.481411481676</v>
      </c>
    </row>
    <row r="22" spans="2:13" x14ac:dyDescent="0.25">
      <c r="B22" t="s">
        <v>56</v>
      </c>
      <c r="C22">
        <v>111520</v>
      </c>
      <c r="D22">
        <v>111520</v>
      </c>
      <c r="E22">
        <v>119740</v>
      </c>
      <c r="F22">
        <v>2651</v>
      </c>
      <c r="G22">
        <v>0.84199999999999997</v>
      </c>
      <c r="H22">
        <v>0</v>
      </c>
      <c r="I22">
        <v>0</v>
      </c>
      <c r="J22">
        <v>0.93135126106564226</v>
      </c>
      <c r="K22">
        <v>117.65982839199999</v>
      </c>
      <c r="M22" s="15">
        <f t="shared" si="0"/>
        <v>42067.144473783483</v>
      </c>
    </row>
    <row r="23" spans="2:13" x14ac:dyDescent="0.25">
      <c r="B23" t="s">
        <v>57</v>
      </c>
      <c r="C23">
        <v>140352.52220119376</v>
      </c>
      <c r="D23">
        <v>140352.52220119376</v>
      </c>
      <c r="E23">
        <v>150110</v>
      </c>
      <c r="F23">
        <v>3752</v>
      </c>
      <c r="G23">
        <v>0.86799999999999999</v>
      </c>
      <c r="H23">
        <v>5000</v>
      </c>
      <c r="I23">
        <v>5.0000000000000001E-3</v>
      </c>
      <c r="J23">
        <v>0.93499781627602263</v>
      </c>
      <c r="K23">
        <v>148.07974961062436</v>
      </c>
      <c r="M23" s="15">
        <f t="shared" si="0"/>
        <v>37407.388646373605</v>
      </c>
    </row>
    <row r="24" spans="2:13" x14ac:dyDescent="0.25">
      <c r="B24" t="s">
        <v>58</v>
      </c>
      <c r="C24">
        <v>140352.52220119376</v>
      </c>
      <c r="D24">
        <v>140352.52220119376</v>
      </c>
      <c r="E24">
        <v>150110</v>
      </c>
      <c r="F24">
        <v>3752</v>
      </c>
      <c r="G24">
        <v>0.86799999999999999</v>
      </c>
      <c r="H24">
        <v>27000</v>
      </c>
      <c r="I24">
        <v>2.7E-2</v>
      </c>
      <c r="J24">
        <v>0.93499781627602263</v>
      </c>
      <c r="K24">
        <v>148.07974961062436</v>
      </c>
      <c r="M24" s="15">
        <f t="shared" si="0"/>
        <v>37407.388646373605</v>
      </c>
    </row>
    <row r="25" spans="2:13" x14ac:dyDescent="0.25">
      <c r="B25" t="s">
        <v>59</v>
      </c>
      <c r="C25">
        <v>57250</v>
      </c>
      <c r="D25">
        <v>57250</v>
      </c>
      <c r="E25">
        <v>65200</v>
      </c>
      <c r="F25">
        <v>3006</v>
      </c>
      <c r="G25">
        <v>0.375</v>
      </c>
      <c r="H25">
        <v>0</v>
      </c>
      <c r="I25">
        <v>0</v>
      </c>
      <c r="J25">
        <v>0.87806748466257667</v>
      </c>
      <c r="K25">
        <v>60.4019474125</v>
      </c>
      <c r="M25" s="15">
        <f t="shared" si="0"/>
        <v>19045.242847638059</v>
      </c>
    </row>
    <row r="26" spans="2:13" x14ac:dyDescent="0.25">
      <c r="B26" t="s">
        <v>60</v>
      </c>
      <c r="C26">
        <v>76330</v>
      </c>
      <c r="D26">
        <v>76330</v>
      </c>
      <c r="E26">
        <v>84530</v>
      </c>
      <c r="F26">
        <v>2988</v>
      </c>
      <c r="G26">
        <v>0.52200000000000002</v>
      </c>
      <c r="H26">
        <v>0</v>
      </c>
      <c r="I26">
        <v>0</v>
      </c>
      <c r="J26">
        <v>0.90299302022950434</v>
      </c>
      <c r="K26">
        <v>80.532413030499995</v>
      </c>
      <c r="M26" s="15">
        <f t="shared" si="0"/>
        <v>25545.515394912985</v>
      </c>
    </row>
    <row r="27" spans="2:13" x14ac:dyDescent="0.25">
      <c r="B27" t="s">
        <v>61</v>
      </c>
      <c r="C27">
        <v>99837</v>
      </c>
      <c r="D27">
        <v>99837</v>
      </c>
      <c r="E27">
        <v>108458</v>
      </c>
      <c r="F27">
        <v>3065</v>
      </c>
      <c r="G27">
        <v>0.64859999999999995</v>
      </c>
      <c r="H27">
        <v>0</v>
      </c>
      <c r="I27">
        <v>0</v>
      </c>
      <c r="J27">
        <v>0.92051300964428628</v>
      </c>
      <c r="K27">
        <v>105.33361089645</v>
      </c>
      <c r="M27" s="15">
        <f t="shared" si="0"/>
        <v>32573.246329526919</v>
      </c>
    </row>
    <row r="28" spans="2:13" x14ac:dyDescent="0.25">
      <c r="B28" t="s">
        <v>62</v>
      </c>
      <c r="C28">
        <v>83127</v>
      </c>
      <c r="D28">
        <v>83127</v>
      </c>
      <c r="E28">
        <v>89511</v>
      </c>
      <c r="F28">
        <v>2964</v>
      </c>
      <c r="G28">
        <v>0.61980000000000002</v>
      </c>
      <c r="H28">
        <v>0</v>
      </c>
      <c r="I28">
        <v>0</v>
      </c>
      <c r="J28">
        <v>0.92867915675168411</v>
      </c>
      <c r="K28">
        <v>87.703627642949996</v>
      </c>
      <c r="M28" s="15">
        <f t="shared" si="0"/>
        <v>28045.546558704453</v>
      </c>
    </row>
    <row r="29" spans="2:13" x14ac:dyDescent="0.25">
      <c r="B29" t="s">
        <v>63</v>
      </c>
      <c r="C29">
        <v>116090</v>
      </c>
      <c r="D29">
        <v>116090</v>
      </c>
      <c r="E29">
        <v>124340</v>
      </c>
      <c r="F29">
        <v>2819</v>
      </c>
      <c r="G29">
        <v>0.86299999999999999</v>
      </c>
      <c r="H29">
        <v>25.5</v>
      </c>
      <c r="I29">
        <v>2.55E-5</v>
      </c>
      <c r="J29">
        <v>0.93364967025896739</v>
      </c>
      <c r="K29">
        <v>122.48143362649999</v>
      </c>
      <c r="M29" s="15">
        <f t="shared" si="0"/>
        <v>41181.269953884359</v>
      </c>
    </row>
    <row r="30" spans="2:13" x14ac:dyDescent="0.25">
      <c r="B30" t="s">
        <v>64</v>
      </c>
      <c r="C30">
        <v>84950</v>
      </c>
      <c r="D30">
        <v>84950</v>
      </c>
      <c r="E30">
        <v>91410</v>
      </c>
      <c r="F30">
        <v>1923</v>
      </c>
      <c r="G30">
        <v>0.82</v>
      </c>
      <c r="H30">
        <v>0</v>
      </c>
      <c r="I30">
        <v>0</v>
      </c>
      <c r="J30">
        <v>0.9293293950333662</v>
      </c>
      <c r="K30">
        <v>89.626994457500004</v>
      </c>
      <c r="M30" s="15">
        <f t="shared" si="0"/>
        <v>44175.767030681229</v>
      </c>
    </row>
    <row r="31" spans="2:13" x14ac:dyDescent="0.25">
      <c r="B31" t="s">
        <v>65</v>
      </c>
      <c r="C31">
        <v>74720</v>
      </c>
      <c r="D31">
        <v>74720</v>
      </c>
      <c r="E31">
        <v>84820</v>
      </c>
      <c r="F31">
        <v>1621</v>
      </c>
      <c r="G31">
        <v>0.75</v>
      </c>
      <c r="H31">
        <v>0</v>
      </c>
      <c r="I31">
        <v>0</v>
      </c>
      <c r="J31">
        <v>0.88092431030417351</v>
      </c>
      <c r="K31">
        <v>78.833773112000003</v>
      </c>
      <c r="M31" s="15">
        <f t="shared" si="0"/>
        <v>46095.003084515731</v>
      </c>
    </row>
    <row r="32" spans="2:13" x14ac:dyDescent="0.25">
      <c r="B32" t="s">
        <v>66</v>
      </c>
      <c r="C32">
        <v>68930</v>
      </c>
      <c r="D32">
        <v>68930</v>
      </c>
      <c r="E32">
        <v>75610</v>
      </c>
      <c r="F32">
        <v>2518</v>
      </c>
      <c r="G32">
        <v>0.52200000000000002</v>
      </c>
      <c r="H32">
        <v>0</v>
      </c>
      <c r="I32">
        <v>0</v>
      </c>
      <c r="J32">
        <v>0.91165189789710355</v>
      </c>
      <c r="K32">
        <v>72.724999740499996</v>
      </c>
      <c r="M32" s="15">
        <f t="shared" si="0"/>
        <v>27374.900714853062</v>
      </c>
    </row>
    <row r="33" spans="2:13" x14ac:dyDescent="0.25">
      <c r="B33" t="s">
        <v>67</v>
      </c>
      <c r="C33">
        <v>72200</v>
      </c>
      <c r="D33">
        <v>72200</v>
      </c>
      <c r="E33">
        <v>79196.89540113158</v>
      </c>
      <c r="F33">
        <v>3255</v>
      </c>
      <c r="G33">
        <v>0.47399999999999998</v>
      </c>
      <c r="H33">
        <v>0</v>
      </c>
      <c r="I33">
        <v>0</v>
      </c>
      <c r="J33">
        <v>0.91165189789710355</v>
      </c>
      <c r="K33">
        <v>76.175032369999997</v>
      </c>
      <c r="M33" s="15">
        <f t="shared" si="0"/>
        <v>22181.259600614441</v>
      </c>
    </row>
    <row r="34" spans="2:13" x14ac:dyDescent="0.25">
      <c r="B34" t="s">
        <v>68</v>
      </c>
      <c r="C34">
        <v>119550</v>
      </c>
      <c r="D34">
        <v>119550</v>
      </c>
      <c r="E34">
        <v>127960</v>
      </c>
      <c r="F34">
        <v>3361</v>
      </c>
      <c r="G34">
        <v>0.77600000000000002</v>
      </c>
      <c r="H34">
        <v>0</v>
      </c>
      <c r="I34">
        <v>0</v>
      </c>
      <c r="J34">
        <v>0.93427633635511098</v>
      </c>
      <c r="K34">
        <v>126.1319268675</v>
      </c>
      <c r="M34" s="15">
        <f t="shared" si="0"/>
        <v>35569.770901517404</v>
      </c>
    </row>
    <row r="35" spans="2:13" x14ac:dyDescent="0.25">
      <c r="B35" t="s">
        <v>69</v>
      </c>
      <c r="C35">
        <v>123670</v>
      </c>
      <c r="D35">
        <v>123670</v>
      </c>
      <c r="E35">
        <v>130030</v>
      </c>
      <c r="F35">
        <v>3017</v>
      </c>
      <c r="G35">
        <v>0.85299999999999998</v>
      </c>
      <c r="H35">
        <v>0</v>
      </c>
      <c r="I35">
        <v>0</v>
      </c>
      <c r="J35">
        <v>0.95108821041298164</v>
      </c>
      <c r="K35">
        <v>130.47875696949998</v>
      </c>
      <c r="M35" s="15">
        <f t="shared" si="0"/>
        <v>40991.050712628443</v>
      </c>
    </row>
    <row r="36" spans="2:13" x14ac:dyDescent="0.25">
      <c r="B36" t="s">
        <v>70</v>
      </c>
      <c r="C36">
        <v>117059</v>
      </c>
      <c r="D36">
        <v>117059</v>
      </c>
      <c r="E36">
        <v>125293.76528649101</v>
      </c>
      <c r="F36">
        <v>2835</v>
      </c>
      <c r="G36">
        <v>0.871</v>
      </c>
      <c r="H36">
        <v>0</v>
      </c>
      <c r="I36">
        <v>0</v>
      </c>
      <c r="J36">
        <v>0.93427633635511098</v>
      </c>
      <c r="K36">
        <v>123.50378274514999</v>
      </c>
      <c r="M36" s="15">
        <f t="shared" si="0"/>
        <v>41290.652557319227</v>
      </c>
    </row>
    <row r="37" spans="2:13" x14ac:dyDescent="0.25">
      <c r="B37" t="s">
        <v>71</v>
      </c>
      <c r="C37">
        <v>122887</v>
      </c>
      <c r="D37">
        <v>122887</v>
      </c>
      <c r="E37">
        <v>130817</v>
      </c>
      <c r="F37">
        <v>2948</v>
      </c>
      <c r="G37">
        <v>0.871</v>
      </c>
      <c r="H37">
        <v>0</v>
      </c>
      <c r="I37">
        <v>0</v>
      </c>
      <c r="J37">
        <v>0.93938096730547249</v>
      </c>
      <c r="K37">
        <v>129.65264823895001</v>
      </c>
      <c r="M37" s="15">
        <f t="shared" si="0"/>
        <v>41684.871099050208</v>
      </c>
    </row>
    <row r="38" spans="2:13" x14ac:dyDescent="0.25">
      <c r="B38" t="s">
        <v>72</v>
      </c>
      <c r="C38">
        <v>123542.426446789</v>
      </c>
      <c r="D38">
        <v>123542.426446789</v>
      </c>
      <c r="E38">
        <v>133070.13702382601</v>
      </c>
      <c r="F38">
        <v>3003.2639480974099</v>
      </c>
      <c r="G38">
        <v>0.871</v>
      </c>
      <c r="H38">
        <v>0</v>
      </c>
      <c r="I38">
        <v>0</v>
      </c>
      <c r="J38">
        <v>0.92840083590406852</v>
      </c>
      <c r="K38">
        <v>130.34415974587944</v>
      </c>
      <c r="M38" s="15">
        <f t="shared" si="0"/>
        <v>41136.053501076407</v>
      </c>
    </row>
    <row r="39" spans="2:13" x14ac:dyDescent="0.25">
      <c r="B39" t="s">
        <v>73</v>
      </c>
      <c r="C39">
        <v>115983</v>
      </c>
      <c r="D39">
        <v>115983</v>
      </c>
      <c r="E39">
        <v>124230</v>
      </c>
      <c r="F39">
        <v>2830</v>
      </c>
      <c r="G39">
        <v>0.84</v>
      </c>
      <c r="H39">
        <v>0</v>
      </c>
      <c r="I39">
        <v>0</v>
      </c>
      <c r="J39">
        <v>0.93361506882395562</v>
      </c>
      <c r="K39">
        <v>122.36854265055</v>
      </c>
      <c r="M39" s="15">
        <f t="shared" si="0"/>
        <v>40983.392226148411</v>
      </c>
    </row>
    <row r="40" spans="2:13" x14ac:dyDescent="0.25">
      <c r="B40" t="s">
        <v>74</v>
      </c>
      <c r="C40">
        <v>119776.6214942081</v>
      </c>
      <c r="D40">
        <v>119776.6214942081</v>
      </c>
      <c r="E40">
        <v>128103.33335647394</v>
      </c>
      <c r="F40">
        <v>2865.5561269999994</v>
      </c>
      <c r="G40">
        <v>0.84699999999999998</v>
      </c>
      <c r="H40">
        <v>0</v>
      </c>
      <c r="I40">
        <v>0</v>
      </c>
      <c r="J40">
        <v>0.93500003751584626</v>
      </c>
      <c r="K40">
        <v>126.37102520069999</v>
      </c>
      <c r="M40" s="15">
        <f t="shared" si="0"/>
        <v>41798.7351096153</v>
      </c>
    </row>
    <row r="41" spans="2:13" x14ac:dyDescent="0.25">
      <c r="B41" t="s">
        <v>75</v>
      </c>
      <c r="C41">
        <v>30500</v>
      </c>
      <c r="D41">
        <v>30500</v>
      </c>
      <c r="E41">
        <v>36020</v>
      </c>
      <c r="F41">
        <v>268</v>
      </c>
      <c r="G41">
        <v>0</v>
      </c>
      <c r="H41">
        <v>0</v>
      </c>
      <c r="I41">
        <v>0</v>
      </c>
      <c r="J41">
        <v>0.84675180455302612</v>
      </c>
      <c r="K41">
        <v>32.179203424999997</v>
      </c>
      <c r="M41" s="15">
        <f t="shared" si="0"/>
        <v>113805.97014925373</v>
      </c>
    </row>
    <row r="42" spans="2:13" x14ac:dyDescent="0.25">
      <c r="B42" t="s">
        <v>76</v>
      </c>
      <c r="C42">
        <v>93540</v>
      </c>
      <c r="D42">
        <v>93540</v>
      </c>
      <c r="E42">
        <v>101130</v>
      </c>
      <c r="F42">
        <v>2811</v>
      </c>
      <c r="G42">
        <v>0.68100000000000005</v>
      </c>
      <c r="H42">
        <v>0</v>
      </c>
      <c r="I42">
        <v>0</v>
      </c>
      <c r="J42">
        <v>0.92494808662118067</v>
      </c>
      <c r="K42">
        <v>98.689924208999997</v>
      </c>
      <c r="M42" s="15">
        <f t="shared" si="0"/>
        <v>33276.414087513338</v>
      </c>
    </row>
    <row r="43" spans="2:13" x14ac:dyDescent="0.25">
      <c r="B43" t="s">
        <v>77</v>
      </c>
      <c r="C43">
        <v>96720</v>
      </c>
      <c r="D43">
        <v>96720</v>
      </c>
      <c r="E43">
        <v>104530</v>
      </c>
      <c r="F43">
        <v>2810</v>
      </c>
      <c r="G43">
        <v>0.70599999999999996</v>
      </c>
      <c r="H43">
        <v>0</v>
      </c>
      <c r="I43">
        <v>0</v>
      </c>
      <c r="J43">
        <v>0.92528460728977324</v>
      </c>
      <c r="K43">
        <v>102.045001812</v>
      </c>
      <c r="M43" s="15">
        <f t="shared" si="0"/>
        <v>34419.928825622774</v>
      </c>
    </row>
    <row r="44" spans="2:13" x14ac:dyDescent="0.25">
      <c r="B44" t="s">
        <v>78</v>
      </c>
      <c r="C44">
        <v>100480</v>
      </c>
      <c r="D44">
        <v>100480</v>
      </c>
      <c r="E44">
        <v>108570</v>
      </c>
      <c r="F44">
        <v>2913</v>
      </c>
      <c r="G44">
        <v>0.70599999999999996</v>
      </c>
      <c r="H44">
        <v>0</v>
      </c>
      <c r="I44">
        <v>0</v>
      </c>
      <c r="J44">
        <v>0.92548586165607438</v>
      </c>
      <c r="K44">
        <v>106.012011808</v>
      </c>
      <c r="M44" s="15">
        <f t="shared" si="0"/>
        <v>34493.649158942673</v>
      </c>
    </row>
    <row r="45" spans="2:13" x14ac:dyDescent="0.25">
      <c r="B45" t="s">
        <v>79</v>
      </c>
      <c r="C45">
        <v>94970</v>
      </c>
      <c r="D45">
        <v>94970</v>
      </c>
      <c r="E45">
        <v>103220</v>
      </c>
      <c r="F45">
        <v>2213</v>
      </c>
      <c r="G45">
        <v>0.82799999999999996</v>
      </c>
      <c r="H45">
        <v>0</v>
      </c>
      <c r="I45">
        <v>0</v>
      </c>
      <c r="J45">
        <v>0.92007362914163926</v>
      </c>
      <c r="K45">
        <v>100.1986540745</v>
      </c>
      <c r="M45" s="15">
        <f t="shared" si="0"/>
        <v>42914.595571622231</v>
      </c>
    </row>
    <row r="46" spans="2:13" x14ac:dyDescent="0.25">
      <c r="B46" t="s">
        <v>80</v>
      </c>
      <c r="C46">
        <v>90060</v>
      </c>
      <c r="D46">
        <v>90060</v>
      </c>
      <c r="E46">
        <v>98560</v>
      </c>
      <c r="F46">
        <v>2118</v>
      </c>
      <c r="G46">
        <v>0.82799999999999996</v>
      </c>
      <c r="H46">
        <v>0</v>
      </c>
      <c r="I46">
        <v>0</v>
      </c>
      <c r="J46">
        <v>0.91375811688311692</v>
      </c>
      <c r="K46">
        <v>95.018329851000004</v>
      </c>
      <c r="M46" s="15">
        <f t="shared" si="0"/>
        <v>42521.246458923517</v>
      </c>
    </row>
    <row r="47" spans="2:13" x14ac:dyDescent="0.25">
      <c r="B47" t="s">
        <v>81</v>
      </c>
      <c r="C47">
        <v>95720</v>
      </c>
      <c r="D47">
        <v>95720</v>
      </c>
      <c r="E47">
        <v>103010</v>
      </c>
      <c r="F47">
        <v>2253</v>
      </c>
      <c r="G47">
        <v>0.85699999999999998</v>
      </c>
      <c r="H47">
        <v>0</v>
      </c>
      <c r="I47">
        <v>0</v>
      </c>
      <c r="J47">
        <v>0.92923017182797785</v>
      </c>
      <c r="K47">
        <v>100.98994596199999</v>
      </c>
      <c r="M47" s="15">
        <f t="shared" si="0"/>
        <v>42485.574789169994</v>
      </c>
    </row>
    <row r="48" spans="2:13" x14ac:dyDescent="0.25">
      <c r="B48" t="s">
        <v>82</v>
      </c>
      <c r="C48">
        <v>84250</v>
      </c>
      <c r="D48">
        <v>84250</v>
      </c>
      <c r="E48">
        <v>91420</v>
      </c>
      <c r="F48">
        <v>1920</v>
      </c>
      <c r="G48">
        <v>0.81799999999999995</v>
      </c>
      <c r="H48">
        <v>0</v>
      </c>
      <c r="I48">
        <v>0</v>
      </c>
      <c r="J48">
        <v>0.92157077225989936</v>
      </c>
      <c r="K48">
        <v>88.888455362499997</v>
      </c>
      <c r="M48" s="15">
        <f t="shared" si="0"/>
        <v>43880.208333333336</v>
      </c>
    </row>
    <row r="49" spans="2:14" x14ac:dyDescent="0.25">
      <c r="B49" t="s">
        <v>83</v>
      </c>
      <c r="C49">
        <v>83686.11202275462</v>
      </c>
      <c r="D49">
        <v>83686.11202275462</v>
      </c>
      <c r="E49">
        <v>90050</v>
      </c>
      <c r="H49">
        <v>0</v>
      </c>
      <c r="I49">
        <v>0</v>
      </c>
      <c r="J49">
        <v>0.92932939503336609</v>
      </c>
      <c r="K49">
        <v>88.293522053362594</v>
      </c>
      <c r="M49" s="15"/>
    </row>
    <row r="50" spans="2:14" x14ac:dyDescent="0.25">
      <c r="B50" t="s">
        <v>84</v>
      </c>
      <c r="C50">
        <v>105124.8</v>
      </c>
      <c r="D50">
        <v>105124.8</v>
      </c>
      <c r="E50">
        <v>112166.3</v>
      </c>
      <c r="F50">
        <v>2478.6999999999998</v>
      </c>
      <c r="G50">
        <v>0.83625099999999997</v>
      </c>
      <c r="H50">
        <v>0</v>
      </c>
      <c r="I50">
        <v>0</v>
      </c>
      <c r="J50">
        <v>0.93722267739953979</v>
      </c>
      <c r="K50">
        <v>110.91253522008</v>
      </c>
      <c r="M50" s="15">
        <f t="shared" si="0"/>
        <v>42411.263969016021</v>
      </c>
    </row>
    <row r="51" spans="2:14" x14ac:dyDescent="0.25">
      <c r="B51" t="s">
        <v>85</v>
      </c>
      <c r="C51">
        <v>128590</v>
      </c>
      <c r="D51">
        <v>128590</v>
      </c>
      <c r="E51">
        <v>142860</v>
      </c>
      <c r="H51">
        <v>0</v>
      </c>
      <c r="I51">
        <v>0</v>
      </c>
      <c r="J51">
        <v>0.9001119977600448</v>
      </c>
      <c r="K51">
        <v>135.66963175149999</v>
      </c>
      <c r="M51" s="15"/>
    </row>
    <row r="52" spans="2:14" x14ac:dyDescent="0.25">
      <c r="B52" s="5" t="s">
        <v>86</v>
      </c>
      <c r="C52" s="5" t="s">
        <v>87</v>
      </c>
      <c r="D52" s="5" t="s">
        <v>87</v>
      </c>
      <c r="E52" s="5" t="s">
        <v>87</v>
      </c>
      <c r="F52" s="5" t="s">
        <v>88</v>
      </c>
      <c r="G52" s="5"/>
      <c r="H52" s="5"/>
      <c r="I52" s="5"/>
      <c r="J52" s="5" t="s">
        <v>34</v>
      </c>
      <c r="K52" s="5" t="s">
        <v>89</v>
      </c>
      <c r="L52" s="5"/>
      <c r="M52" s="6" t="s">
        <v>87</v>
      </c>
      <c r="N52" s="5" t="s">
        <v>108</v>
      </c>
    </row>
    <row r="53" spans="2:14" x14ac:dyDescent="0.25">
      <c r="B53" s="5" t="s">
        <v>90</v>
      </c>
      <c r="C53" s="5">
        <v>983</v>
      </c>
      <c r="D53" s="5">
        <v>983</v>
      </c>
      <c r="E53" s="5">
        <v>1088.5935769656699</v>
      </c>
      <c r="F53" s="5">
        <v>22</v>
      </c>
      <c r="G53" s="5">
        <v>0.72399999999999998</v>
      </c>
      <c r="H53" s="5">
        <v>6</v>
      </c>
      <c r="I53" s="5">
        <v>6.0000000000000002E-6</v>
      </c>
      <c r="J53" s="5">
        <v>0.90300000000000014</v>
      </c>
      <c r="K53" s="5">
        <v>1.03711990055</v>
      </c>
      <c r="L53" s="5"/>
      <c r="M53" s="5">
        <f>C53</f>
        <v>983</v>
      </c>
      <c r="N53">
        <f>C53/(F53)*1000</f>
        <v>44681.818181818177</v>
      </c>
    </row>
    <row r="54" spans="2:14" x14ac:dyDescent="0.25">
      <c r="B54" s="5" t="s">
        <v>91</v>
      </c>
      <c r="C54" s="5">
        <v>962</v>
      </c>
      <c r="D54" s="5">
        <v>962</v>
      </c>
      <c r="E54" s="5">
        <v>1068</v>
      </c>
      <c r="F54" s="5">
        <v>20.3</v>
      </c>
      <c r="G54" s="5">
        <v>0.75</v>
      </c>
      <c r="H54" s="5">
        <v>0</v>
      </c>
      <c r="I54" s="5">
        <v>0</v>
      </c>
      <c r="J54" s="5">
        <v>0.90074906367041196</v>
      </c>
      <c r="K54" s="5"/>
      <c r="L54" s="5"/>
      <c r="M54" s="5">
        <f>C54</f>
        <v>962</v>
      </c>
      <c r="N54">
        <f>C54/(F54)*1000</f>
        <v>47389.162561576355</v>
      </c>
    </row>
    <row r="55" spans="2:14" x14ac:dyDescent="0.25">
      <c r="B55" s="5" t="s">
        <v>92</v>
      </c>
      <c r="C55" s="5">
        <v>290</v>
      </c>
      <c r="D55" s="5">
        <v>290</v>
      </c>
      <c r="E55" s="5">
        <v>343</v>
      </c>
      <c r="F55" s="5">
        <v>2.5499999999999998</v>
      </c>
      <c r="G55" s="5">
        <v>0</v>
      </c>
      <c r="H55" s="5">
        <v>0</v>
      </c>
      <c r="I55" s="5">
        <v>0</v>
      </c>
      <c r="J55" s="5">
        <v>0.84548104956268222</v>
      </c>
      <c r="K55" s="5">
        <v>119.98674372549021</v>
      </c>
      <c r="L55" s="5"/>
      <c r="M55" s="5">
        <f>C55</f>
        <v>290</v>
      </c>
      <c r="N55">
        <f>C55/(F55)*1000</f>
        <v>113725.49019607843</v>
      </c>
    </row>
    <row r="56" spans="2:14" x14ac:dyDescent="0.25">
      <c r="B56" s="5" t="s">
        <v>93</v>
      </c>
      <c r="C56" s="5"/>
      <c r="D56" s="5"/>
      <c r="E56" s="5"/>
      <c r="F56" s="5">
        <v>55.977829999999997</v>
      </c>
      <c r="G56" s="5">
        <v>0.27272727272727271</v>
      </c>
      <c r="H56" s="5">
        <v>0</v>
      </c>
      <c r="I56" s="5">
        <v>0</v>
      </c>
      <c r="J56" s="5"/>
      <c r="K56" s="5"/>
      <c r="L56" s="5"/>
      <c r="M56" s="5">
        <f>C56</f>
        <v>0</v>
      </c>
      <c r="N56">
        <f>C56/(F56)*1000</f>
        <v>0</v>
      </c>
    </row>
    <row r="57" spans="2:14" x14ac:dyDescent="0.25">
      <c r="B57" s="5" t="s">
        <v>85</v>
      </c>
      <c r="C57" s="5">
        <v>982</v>
      </c>
      <c r="D57" s="5">
        <v>982</v>
      </c>
      <c r="E57" s="5">
        <v>1055</v>
      </c>
      <c r="F57" s="5">
        <v>20.3</v>
      </c>
      <c r="G57" s="5">
        <v>0.75800000000000001</v>
      </c>
      <c r="H57" s="5">
        <v>6</v>
      </c>
      <c r="I57" s="5">
        <v>6.0000000000000002E-6</v>
      </c>
      <c r="J57" s="5">
        <v>0.93080568720379142</v>
      </c>
      <c r="K57" s="5"/>
      <c r="L57" s="5"/>
      <c r="M57" s="5">
        <f>C57</f>
        <v>982</v>
      </c>
      <c r="N57">
        <f>C57/(F57)*1000</f>
        <v>48374.384236453203</v>
      </c>
    </row>
    <row r="58" spans="2:14" x14ac:dyDescent="0.25">
      <c r="B58" s="1" t="s">
        <v>94</v>
      </c>
      <c r="C58" s="1" t="s">
        <v>95</v>
      </c>
      <c r="D58" s="1" t="s">
        <v>95</v>
      </c>
      <c r="E58" s="1" t="s">
        <v>95</v>
      </c>
      <c r="F58" s="1"/>
      <c r="G58" s="1"/>
      <c r="H58" s="1"/>
      <c r="I58" s="1"/>
      <c r="J58" s="1" t="s">
        <v>34</v>
      </c>
      <c r="K58" s="1"/>
      <c r="M58" s="16" t="s">
        <v>113</v>
      </c>
    </row>
    <row r="59" spans="2:14" x14ac:dyDescent="0.25">
      <c r="B59" s="3" t="s">
        <v>96</v>
      </c>
      <c r="C59" s="3">
        <v>19474169.219601419</v>
      </c>
      <c r="D59" s="3">
        <v>19474169.219601419</v>
      </c>
      <c r="E59" s="3">
        <v>20673610.116392747</v>
      </c>
      <c r="F59" s="3"/>
      <c r="G59" s="3">
        <v>0.58571109877499994</v>
      </c>
      <c r="H59" s="3">
        <v>10455.988337376644</v>
      </c>
      <c r="I59" s="3">
        <v>1.0455988337376645E-2</v>
      </c>
      <c r="J59" s="3"/>
      <c r="K59" s="3"/>
      <c r="M59" s="15">
        <f>C59/(1000*0.907)</f>
        <v>21470.969371115127</v>
      </c>
    </row>
    <row r="60" spans="2:14" x14ac:dyDescent="0.25">
      <c r="B60" s="3" t="s">
        <v>97</v>
      </c>
      <c r="C60" s="3">
        <v>22639319.979813498</v>
      </c>
      <c r="D60" s="3">
        <v>22639319.979813498</v>
      </c>
      <c r="E60" s="3">
        <v>23633492.9618803</v>
      </c>
      <c r="F60" s="3"/>
      <c r="G60" s="3">
        <v>0.61199999999999999</v>
      </c>
      <c r="H60" s="3">
        <v>15352.092718927001</v>
      </c>
      <c r="I60" s="3">
        <v>1.5352092718927001E-2</v>
      </c>
      <c r="J60" s="3">
        <v>0.95793372635732021</v>
      </c>
      <c r="K60" s="3"/>
      <c r="M60" s="15">
        <f t="shared" ref="M60:M68" si="1">C60/(1000*0.907)</f>
        <v>24960.661499243106</v>
      </c>
    </row>
    <row r="61" spans="2:14" x14ac:dyDescent="0.25">
      <c r="B61" s="3" t="s">
        <v>98</v>
      </c>
      <c r="C61" s="3">
        <v>16085444.010446707</v>
      </c>
      <c r="D61" s="3">
        <v>16085444.010446707</v>
      </c>
      <c r="E61" s="3">
        <v>17449319.671483699</v>
      </c>
      <c r="F61" s="3"/>
      <c r="G61" s="3">
        <v>0.53700000000000003</v>
      </c>
      <c r="H61" s="3">
        <v>3568.253687975</v>
      </c>
      <c r="I61" s="3">
        <v>3.5682536879749998E-3</v>
      </c>
      <c r="J61" s="3">
        <v>0.92183788899999997</v>
      </c>
      <c r="K61" s="3"/>
      <c r="M61" s="15">
        <f t="shared" si="1"/>
        <v>17734.778401815554</v>
      </c>
    </row>
    <row r="62" spans="2:14" x14ac:dyDescent="0.25">
      <c r="B62" s="3" t="s">
        <v>99</v>
      </c>
      <c r="C62" s="3">
        <v>10805182.822031699</v>
      </c>
      <c r="D62" s="3">
        <v>10805182.822031699</v>
      </c>
      <c r="E62" s="3">
        <v>12992301.9717196</v>
      </c>
      <c r="F62" s="3"/>
      <c r="G62" s="3">
        <v>0.49099999999999999</v>
      </c>
      <c r="H62" s="3">
        <v>9064.2347162629994</v>
      </c>
      <c r="I62" s="3">
        <v>9.0642347162629994E-3</v>
      </c>
      <c r="J62" s="3">
        <v>0.83166038209020898</v>
      </c>
      <c r="K62" s="3"/>
      <c r="M62" s="15">
        <f t="shared" si="1"/>
        <v>11913.101237080153</v>
      </c>
    </row>
    <row r="63" spans="2:14" x14ac:dyDescent="0.25">
      <c r="B63" s="3" t="s">
        <v>100</v>
      </c>
      <c r="C63" s="3">
        <v>22639319.979813498</v>
      </c>
      <c r="D63" s="3">
        <v>22639319.979813498</v>
      </c>
      <c r="E63" s="3">
        <v>23633492.9618803</v>
      </c>
      <c r="F63" s="3"/>
      <c r="G63" s="3">
        <v>0.80642049800000004</v>
      </c>
      <c r="H63" s="3">
        <v>16142.739251388</v>
      </c>
      <c r="I63" s="3">
        <v>1.6142739251388E-2</v>
      </c>
      <c r="J63" s="3">
        <v>0.95793372635732021</v>
      </c>
      <c r="K63" s="3"/>
      <c r="M63" s="15">
        <f t="shared" si="1"/>
        <v>24960.661499243106</v>
      </c>
    </row>
    <row r="64" spans="2:14" x14ac:dyDescent="0.25">
      <c r="B64" s="3" t="s">
        <v>101</v>
      </c>
      <c r="C64" s="3">
        <v>9945646.340310514</v>
      </c>
      <c r="D64" s="3">
        <v>9945646.340310514</v>
      </c>
      <c r="E64" s="3">
        <v>11958783.362163</v>
      </c>
      <c r="F64" s="3"/>
      <c r="G64" s="3">
        <v>0.32642858499999999</v>
      </c>
      <c r="H64" s="3">
        <v>9064.2347162629994</v>
      </c>
      <c r="I64" s="3">
        <v>9.0642347162629994E-3</v>
      </c>
      <c r="J64" s="3">
        <v>0.83166038209020898</v>
      </c>
      <c r="K64" s="3"/>
      <c r="M64" s="15">
        <f t="shared" si="1"/>
        <v>10965.43146671501</v>
      </c>
    </row>
    <row r="65" spans="2:13" x14ac:dyDescent="0.25">
      <c r="B65" s="3" t="s">
        <v>102</v>
      </c>
      <c r="C65" s="3">
        <v>26949428.734871496</v>
      </c>
      <c r="D65" s="3">
        <v>26949428.734871496</v>
      </c>
      <c r="E65" s="3">
        <v>28595925.1717753</v>
      </c>
      <c r="F65" s="3"/>
      <c r="G65" s="3">
        <v>0.86670000000000003</v>
      </c>
      <c r="H65" s="3">
        <v>45137.714412408997</v>
      </c>
      <c r="I65" s="3">
        <v>4.5137714412408998E-2</v>
      </c>
      <c r="J65" s="3">
        <v>0.94242199100000001</v>
      </c>
      <c r="K65" s="3">
        <v>30170.302428032563</v>
      </c>
      <c r="M65" s="15">
        <f t="shared" si="1"/>
        <v>29712.710843298231</v>
      </c>
    </row>
    <row r="66" spans="2:13" x14ac:dyDescent="0.25">
      <c r="B66" s="3" t="s">
        <v>103</v>
      </c>
      <c r="C66" s="3">
        <v>26664354.295994278</v>
      </c>
      <c r="D66" s="3">
        <v>26664354.295994278</v>
      </c>
      <c r="E66" s="3">
        <v>28293433.886979699</v>
      </c>
      <c r="F66" s="3"/>
      <c r="G66" s="3">
        <v>0.48798697000000002</v>
      </c>
      <c r="H66" s="3">
        <v>45137.714412408997</v>
      </c>
      <c r="I66" s="3">
        <v>4.5137714412408998E-2</v>
      </c>
      <c r="J66" s="3">
        <v>0.94242199100000001</v>
      </c>
      <c r="K66" s="3"/>
      <c r="M66" s="15">
        <f t="shared" si="1"/>
        <v>29398.406059530625</v>
      </c>
    </row>
    <row r="67" spans="2:13" x14ac:dyDescent="0.25">
      <c r="B67" s="3" t="s">
        <v>104</v>
      </c>
      <c r="C67" s="3">
        <v>24599421.97472629</v>
      </c>
      <c r="D67" s="3">
        <v>24599421.97472629</v>
      </c>
      <c r="E67" s="3">
        <v>25679670</v>
      </c>
      <c r="F67" s="3"/>
      <c r="G67" s="3">
        <v>0.747</v>
      </c>
      <c r="H67" s="3">
        <v>11800</v>
      </c>
      <c r="I67" s="3">
        <v>1.18E-2</v>
      </c>
      <c r="J67" s="3">
        <v>0.95793372635732044</v>
      </c>
      <c r="K67" s="3"/>
      <c r="M67" s="15">
        <f t="shared" si="1"/>
        <v>27121.744183821709</v>
      </c>
    </row>
    <row r="68" spans="2:13" x14ac:dyDescent="0.25">
      <c r="B68" s="3"/>
      <c r="C68" s="3"/>
      <c r="D68" s="3"/>
      <c r="E68" s="3"/>
      <c r="F68" s="3"/>
      <c r="G68" s="3"/>
      <c r="H68" s="3"/>
      <c r="I68" s="3"/>
      <c r="J68" s="3"/>
      <c r="K68" s="3"/>
      <c r="M68" s="15">
        <f t="shared" si="1"/>
        <v>0</v>
      </c>
    </row>
    <row r="70" spans="2:13" ht="21" x14ac:dyDescent="0.35">
      <c r="B70" s="7" t="s">
        <v>109</v>
      </c>
      <c r="C70" s="8"/>
      <c r="D70" s="9"/>
    </row>
    <row r="71" spans="2:13" x14ac:dyDescent="0.25">
      <c r="B71" s="10"/>
      <c r="C71" s="11"/>
      <c r="D71" s="11"/>
    </row>
    <row r="72" spans="2:13" ht="13.5" customHeight="1" x14ac:dyDescent="0.25">
      <c r="B72" s="10"/>
      <c r="C72" s="128"/>
      <c r="D72" s="129" t="s">
        <v>111</v>
      </c>
      <c r="E72" s="81" t="s">
        <v>113</v>
      </c>
    </row>
    <row r="73" spans="2:13" ht="15.75" x14ac:dyDescent="0.25">
      <c r="B73" s="12"/>
      <c r="C73" s="130" t="s">
        <v>112</v>
      </c>
      <c r="D73" s="131">
        <v>3.26</v>
      </c>
      <c r="E73" s="132">
        <f>D73/1055.056*1000000</f>
        <v>3089.8833805978065</v>
      </c>
    </row>
    <row r="74" spans="2:13" x14ac:dyDescent="0.25">
      <c r="D74" t="s">
        <v>110</v>
      </c>
    </row>
    <row r="77" spans="2:13" x14ac:dyDescent="0.25">
      <c r="B77" s="1" t="s">
        <v>23</v>
      </c>
      <c r="E77" t="s">
        <v>128</v>
      </c>
    </row>
    <row r="78" spans="2:13" x14ac:dyDescent="0.25">
      <c r="B78" t="s">
        <v>9</v>
      </c>
      <c r="C78" s="18">
        <v>112.58853984503706</v>
      </c>
      <c r="D78" t="s">
        <v>126</v>
      </c>
      <c r="E78" t="s">
        <v>129</v>
      </c>
      <c r="F78" s="17">
        <f t="shared" ref="F78:F83" si="2">C78*1055.056</f>
        <v>118787.21449474542</v>
      </c>
      <c r="G78" s="13" t="s">
        <v>131</v>
      </c>
      <c r="H78" s="69">
        <f t="shared" ref="H78:H83" si="3">F78/1000000</f>
        <v>0.11878721449474543</v>
      </c>
      <c r="I78" t="s">
        <v>133</v>
      </c>
    </row>
    <row r="79" spans="2:13" x14ac:dyDescent="0.25">
      <c r="B79" t="s">
        <v>21</v>
      </c>
      <c r="C79" s="18">
        <v>59.4</v>
      </c>
      <c r="D79" t="s">
        <v>127</v>
      </c>
      <c r="E79" t="s">
        <v>129</v>
      </c>
      <c r="F79" s="17">
        <f t="shared" si="2"/>
        <v>62670.326399999998</v>
      </c>
      <c r="G79" s="13" t="s">
        <v>131</v>
      </c>
      <c r="H79" s="69">
        <f>F79/1000000</f>
        <v>6.2670326400000004E-2</v>
      </c>
      <c r="I79" t="s">
        <v>133</v>
      </c>
    </row>
    <row r="80" spans="2:13" x14ac:dyDescent="0.25">
      <c r="B80" t="s">
        <v>3</v>
      </c>
      <c r="C80" s="18">
        <v>99.434234089857014</v>
      </c>
      <c r="D80" t="s">
        <v>127</v>
      </c>
      <c r="E80" t="s">
        <v>129</v>
      </c>
      <c r="F80" s="17">
        <f t="shared" si="2"/>
        <v>104908.68528190818</v>
      </c>
      <c r="G80" s="13" t="s">
        <v>131</v>
      </c>
      <c r="H80" s="69">
        <f t="shared" si="3"/>
        <v>0.10490868528190818</v>
      </c>
      <c r="I80" t="s">
        <v>133</v>
      </c>
    </row>
    <row r="81" spans="2:9" x14ac:dyDescent="0.25">
      <c r="B81" t="s">
        <v>10</v>
      </c>
      <c r="C81" s="4">
        <v>105</v>
      </c>
      <c r="D81" t="s">
        <v>127</v>
      </c>
      <c r="E81" t="s">
        <v>130</v>
      </c>
      <c r="F81" s="17">
        <f t="shared" si="2"/>
        <v>110780.88</v>
      </c>
      <c r="G81" s="13" t="s">
        <v>131</v>
      </c>
      <c r="H81" s="69">
        <f t="shared" si="3"/>
        <v>0.11078088</v>
      </c>
      <c r="I81" t="s">
        <v>133</v>
      </c>
    </row>
    <row r="82" spans="2:9" x14ac:dyDescent="0.25">
      <c r="B82" t="s">
        <v>2</v>
      </c>
      <c r="C82" s="18">
        <v>73.326426098304395</v>
      </c>
      <c r="D82" t="s">
        <v>127</v>
      </c>
      <c r="E82" t="s">
        <v>129</v>
      </c>
      <c r="F82" s="17">
        <f t="shared" si="2"/>
        <v>77363.485813572639</v>
      </c>
      <c r="G82" s="13" t="s">
        <v>131</v>
      </c>
      <c r="H82" s="69">
        <f t="shared" si="3"/>
        <v>7.7363485813572636E-2</v>
      </c>
      <c r="I82" t="s">
        <v>133</v>
      </c>
    </row>
    <row r="83" spans="2:9" x14ac:dyDescent="0.25">
      <c r="B83" t="s">
        <v>90</v>
      </c>
      <c r="C83" s="69">
        <v>79.93358940174268</v>
      </c>
      <c r="D83" t="s">
        <v>127</v>
      </c>
      <c r="E83" t="s">
        <v>130</v>
      </c>
      <c r="F83" s="17">
        <f t="shared" si="2"/>
        <v>84334.413099845027</v>
      </c>
      <c r="G83" s="13" t="s">
        <v>131</v>
      </c>
      <c r="H83" s="69">
        <f t="shared" si="3"/>
        <v>8.4334413099845032E-2</v>
      </c>
      <c r="I83" t="s">
        <v>133</v>
      </c>
    </row>
    <row r="84" spans="2:9" x14ac:dyDescent="0.25">
      <c r="B84" t="s">
        <v>80</v>
      </c>
      <c r="C84" s="18">
        <v>10</v>
      </c>
      <c r="D84" t="s">
        <v>127</v>
      </c>
      <c r="F84" s="17">
        <f>C84*1055.056</f>
        <v>10550.560000000001</v>
      </c>
      <c r="G84" s="13" t="s">
        <v>131</v>
      </c>
      <c r="H84" s="69">
        <f>F84/1000000</f>
        <v>1.055056E-2</v>
      </c>
      <c r="I84" t="s">
        <v>133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User Input Values</vt:lpstr>
      <vt:lpstr>Summary- Allocation Method Comp</vt:lpstr>
      <vt:lpstr>GHG and energy allocation</vt:lpstr>
      <vt:lpstr>Co-processing-I-O</vt:lpstr>
      <vt:lpstr>Fuel specs and EF</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Anil Baral</dc:creator>
  <cp:lastModifiedBy>Sarah Penfield</cp:lastModifiedBy>
  <dcterms:created xsi:type="dcterms:W3CDTF">2017-03-23T18:09:10Z</dcterms:created>
  <dcterms:modified xsi:type="dcterms:W3CDTF">2017-05-30T23:28:56Z</dcterms:modified>
</cp:coreProperties>
</file>