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colicchiol\AppData\Local\Microsoft\Windows\INetCache\Content.Outlook\LXSEMC50\"/>
    </mc:Choice>
  </mc:AlternateContent>
  <xr:revisionPtr revIDLastSave="0" documentId="13_ncr:1_{F7FCD594-CB09-407D-8D29-5A92FD4A00D8}" xr6:coauthVersionLast="47" xr6:coauthVersionMax="47" xr10:uidLastSave="{00000000-0000-0000-0000-000000000000}"/>
  <bookViews>
    <workbookView xWindow="-110" yWindow="-110" windowWidth="19420" windowHeight="10420" firstSheet="1" activeTab="4" xr2:uid="{466A1FEB-2DE0-4BA3-BC85-0B47A721E00C}"/>
  </bookViews>
  <sheets>
    <sheet name="summary final" sheetId="21" r:id="rId1"/>
    <sheet name="Fleet actions Reg" sheetId="20" r:id="rId2"/>
    <sheet name="Fleet actions ACP " sheetId="12" r:id="rId3"/>
    <sheet name="Assumptions new" sheetId="11" r:id="rId4"/>
    <sheet name="Mileage, Consumption, Energy" sheetId="1" r:id="rId5"/>
    <sheet name="Penalty Fee - Static Service" sheetId="3" state="hidden" r:id="rId6"/>
    <sheet name="Penalty Fee-Projected Service " sheetId="5" state="hidden" r:id="rId7"/>
    <sheet name="Locomotive Procurement" sheetId="7" state="hidden" r:id="rId8"/>
  </sheets>
  <definedNames>
    <definedName name="_Ref414891824" localSheetId="5">'Penalty Fee - Static Service'!$M$6</definedName>
    <definedName name="_Ref466378391" localSheetId="5">'Penalty Fee - Static Service'!$G$6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" i="21" l="1"/>
  <c r="J5" i="21"/>
  <c r="J6" i="21"/>
  <c r="J7" i="21"/>
  <c r="J8" i="21"/>
  <c r="M8" i="21"/>
  <c r="J9" i="21"/>
  <c r="M9" i="21"/>
  <c r="J10" i="21"/>
  <c r="J11" i="21"/>
  <c r="J12" i="21"/>
  <c r="J13" i="21"/>
  <c r="J14" i="21"/>
  <c r="J15" i="21"/>
  <c r="J16" i="21"/>
  <c r="J17" i="21"/>
  <c r="J18" i="21"/>
  <c r="J19" i="21"/>
  <c r="J20" i="21"/>
  <c r="J21" i="21"/>
  <c r="M21" i="21"/>
  <c r="J22" i="21"/>
  <c r="M22" i="21"/>
  <c r="J23" i="21"/>
  <c r="M23" i="21"/>
  <c r="J24" i="21"/>
  <c r="J25" i="21"/>
  <c r="J26" i="21"/>
  <c r="J27" i="21"/>
  <c r="J28" i="21"/>
  <c r="J29" i="21"/>
  <c r="P3" i="21"/>
  <c r="O3" i="21"/>
  <c r="J3" i="21"/>
  <c r="F3" i="21"/>
  <c r="N16" i="11"/>
  <c r="L4" i="11"/>
  <c r="D47" i="11"/>
  <c r="D46" i="11"/>
  <c r="D4" i="11"/>
  <c r="G99" i="1"/>
  <c r="H99" i="1"/>
  <c r="G100" i="1"/>
  <c r="H100" i="1"/>
  <c r="G101" i="1"/>
  <c r="H101" i="1"/>
  <c r="F101" i="1"/>
  <c r="F100" i="1"/>
  <c r="F99" i="1"/>
  <c r="I139" i="1"/>
  <c r="I140" i="1" s="1"/>
  <c r="K2" i="1"/>
  <c r="K3" i="1" s="1"/>
  <c r="G138" i="1" s="1"/>
  <c r="G140" i="1" s="1"/>
  <c r="J2" i="1"/>
  <c r="J3" i="1" s="1"/>
  <c r="H140" i="1"/>
  <c r="H142" i="1" s="1"/>
  <c r="D2" i="1"/>
  <c r="D4" i="21"/>
  <c r="D5" i="21"/>
  <c r="D6" i="21"/>
  <c r="D7" i="21"/>
  <c r="D8" i="21"/>
  <c r="D9" i="21"/>
  <c r="D10" i="21"/>
  <c r="D11" i="21"/>
  <c r="D12" i="21"/>
  <c r="D13" i="21"/>
  <c r="D14" i="21"/>
  <c r="D15" i="21"/>
  <c r="D16" i="21"/>
  <c r="D18" i="21"/>
  <c r="D19" i="21"/>
  <c r="D20" i="21"/>
  <c r="D21" i="21"/>
  <c r="D22" i="21"/>
  <c r="D23" i="21"/>
  <c r="D24" i="21"/>
  <c r="D25" i="21"/>
  <c r="D26" i="21"/>
  <c r="D27" i="21"/>
  <c r="D28" i="21"/>
  <c r="D29" i="21"/>
  <c r="G3" i="21"/>
  <c r="D3" i="21"/>
  <c r="A4" i="21"/>
  <c r="A5" i="21"/>
  <c r="A6" i="21"/>
  <c r="A7" i="21"/>
  <c r="A8" i="21"/>
  <c r="A9" i="21"/>
  <c r="A10" i="21"/>
  <c r="A11" i="21"/>
  <c r="A12" i="21"/>
  <c r="A13" i="21"/>
  <c r="A14" i="21"/>
  <c r="A15" i="21"/>
  <c r="A16" i="21"/>
  <c r="A17" i="21"/>
  <c r="A18" i="21"/>
  <c r="A19" i="21"/>
  <c r="A20" i="21"/>
  <c r="A21" i="21"/>
  <c r="A22" i="21"/>
  <c r="A23" i="21"/>
  <c r="A24" i="21"/>
  <c r="A25" i="21"/>
  <c r="A26" i="21"/>
  <c r="A27" i="21"/>
  <c r="A28" i="21"/>
  <c r="A29" i="21"/>
  <c r="A3" i="21"/>
  <c r="C119" i="1"/>
  <c r="G105" i="1"/>
  <c r="H141" i="1" l="1"/>
  <c r="I141" i="1"/>
  <c r="D5" i="11"/>
  <c r="E5" i="11"/>
  <c r="D6" i="11"/>
  <c r="E6" i="11"/>
  <c r="D7" i="11"/>
  <c r="E7" i="11"/>
  <c r="D8" i="11"/>
  <c r="E8" i="11"/>
  <c r="D9" i="11"/>
  <c r="E9" i="11"/>
  <c r="D10" i="11"/>
  <c r="E10" i="11"/>
  <c r="D11" i="11"/>
  <c r="E11" i="11"/>
  <c r="D12" i="11"/>
  <c r="E12" i="11"/>
  <c r="D13" i="11"/>
  <c r="E13" i="11"/>
  <c r="D14" i="11"/>
  <c r="E14" i="11"/>
  <c r="D15" i="11"/>
  <c r="E15" i="11"/>
  <c r="D16" i="11"/>
  <c r="E16" i="11"/>
  <c r="D17" i="11"/>
  <c r="E17" i="11"/>
  <c r="D18" i="11"/>
  <c r="E18" i="11"/>
  <c r="D19" i="11"/>
  <c r="E19" i="11"/>
  <c r="D20" i="11"/>
  <c r="E20" i="11"/>
  <c r="D21" i="11"/>
  <c r="E21" i="11"/>
  <c r="D22" i="11"/>
  <c r="E22" i="11"/>
  <c r="D23" i="11"/>
  <c r="E23" i="11"/>
  <c r="D24" i="11"/>
  <c r="E24" i="11"/>
  <c r="D25" i="11"/>
  <c r="E25" i="11"/>
  <c r="D26" i="11"/>
  <c r="E26" i="11"/>
  <c r="D27" i="11"/>
  <c r="E27" i="11"/>
  <c r="D28" i="11"/>
  <c r="E28" i="11"/>
  <c r="D29" i="11"/>
  <c r="E29" i="11"/>
  <c r="D30" i="11"/>
  <c r="E30" i="11"/>
  <c r="D31" i="11"/>
  <c r="E31" i="11"/>
  <c r="D32" i="11"/>
  <c r="E32" i="11"/>
  <c r="E4" i="11"/>
  <c r="R2" i="11" l="1"/>
  <c r="F32" i="11"/>
  <c r="F31" i="11"/>
  <c r="F30" i="11"/>
  <c r="F29" i="1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O5" i="11"/>
  <c r="B8" i="7" l="1"/>
  <c r="B28" i="7"/>
  <c r="B16" i="7"/>
  <c r="B36" i="7"/>
  <c r="B32" i="7" l="1"/>
  <c r="B12" i="7"/>
  <c r="B23" i="7"/>
  <c r="G23" i="7" s="1"/>
  <c r="B24" i="7"/>
  <c r="B14" i="7"/>
  <c r="B6" i="7"/>
  <c r="B10" i="7"/>
  <c r="B15" i="7"/>
  <c r="B11" i="7"/>
  <c r="B7" i="7"/>
  <c r="B13" i="7"/>
  <c r="B5" i="7"/>
  <c r="B35" i="7"/>
  <c r="B31" i="7"/>
  <c r="B27" i="7"/>
  <c r="B4" i="7"/>
  <c r="G4" i="7" s="1"/>
  <c r="B33" i="7"/>
  <c r="B29" i="7"/>
  <c r="B25" i="7"/>
  <c r="B17" i="7"/>
  <c r="B9" i="7"/>
  <c r="E23" i="7"/>
  <c r="B34" i="7"/>
  <c r="B26" i="7"/>
  <c r="B30" i="7"/>
  <c r="I76" i="5"/>
  <c r="K76" i="5" s="1"/>
  <c r="I74" i="5"/>
  <c r="K74" i="5" s="1"/>
  <c r="I70" i="5"/>
  <c r="K70" i="5" s="1"/>
  <c r="I68" i="5"/>
  <c r="K68" i="5" s="1"/>
  <c r="I64" i="5"/>
  <c r="K64" i="5" s="1"/>
  <c r="I62" i="5"/>
  <c r="K62" i="5" s="1"/>
  <c r="I58" i="5"/>
  <c r="K58" i="5" s="1"/>
  <c r="I56" i="5"/>
  <c r="K56" i="5" s="1"/>
  <c r="I52" i="5"/>
  <c r="K52" i="5" s="1"/>
  <c r="I50" i="5"/>
  <c r="K50" i="5" s="1"/>
  <c r="L99" i="3"/>
  <c r="N99" i="3" s="1"/>
  <c r="L97" i="3"/>
  <c r="N97" i="3" s="1"/>
  <c r="L93" i="3"/>
  <c r="N93" i="3" s="1"/>
  <c r="L91" i="3"/>
  <c r="N91" i="3" s="1"/>
  <c r="L87" i="3"/>
  <c r="N87" i="3" s="1"/>
  <c r="L85" i="3"/>
  <c r="N85" i="3" s="1"/>
  <c r="L81" i="3"/>
  <c r="N81" i="3" s="1"/>
  <c r="L79" i="3"/>
  <c r="N79" i="3" s="1"/>
  <c r="L75" i="3"/>
  <c r="N75" i="3" s="1"/>
  <c r="L73" i="3"/>
  <c r="N73" i="3" s="1"/>
  <c r="N76" i="3" s="1"/>
  <c r="L114" i="5"/>
  <c r="K114" i="5"/>
  <c r="K115" i="5" s="1"/>
  <c r="K116" i="5" s="1"/>
  <c r="L113" i="5"/>
  <c r="K113" i="5"/>
  <c r="L111" i="5"/>
  <c r="L112" i="5" s="1"/>
  <c r="K111" i="5"/>
  <c r="K112" i="5" s="1"/>
  <c r="L110" i="5"/>
  <c r="K110" i="5"/>
  <c r="M109" i="5"/>
  <c r="M108" i="5"/>
  <c r="M107" i="5"/>
  <c r="G28" i="7" l="1"/>
  <c r="G24" i="7"/>
  <c r="E24" i="7"/>
  <c r="D25" i="7" s="1"/>
  <c r="E25" i="7" s="1"/>
  <c r="D26" i="7" s="1"/>
  <c r="E26" i="7" s="1"/>
  <c r="E27" i="7" s="1"/>
  <c r="D28" i="7" s="1"/>
  <c r="E28" i="7" s="1"/>
  <c r="G25" i="7"/>
  <c r="E5" i="7"/>
  <c r="D6" i="7" s="1"/>
  <c r="E6" i="7" s="1"/>
  <c r="E7" i="7" s="1"/>
  <c r="D8" i="7" s="1"/>
  <c r="E8" i="7" s="1"/>
  <c r="D9" i="7" s="1"/>
  <c r="E9" i="7" s="1"/>
  <c r="E10" i="7" s="1"/>
  <c r="G5" i="7"/>
  <c r="G16" i="7"/>
  <c r="E4" i="7"/>
  <c r="I9" i="7"/>
  <c r="I13" i="7"/>
  <c r="I14" i="7" s="1"/>
  <c r="I15" i="7" s="1"/>
  <c r="I16" i="7" s="1"/>
  <c r="I17" i="7" s="1"/>
  <c r="I10" i="7"/>
  <c r="I6" i="7"/>
  <c r="I7" i="7"/>
  <c r="I11" i="7"/>
  <c r="I5" i="7"/>
  <c r="I8" i="7"/>
  <c r="I12" i="7"/>
  <c r="I4" i="7"/>
  <c r="G7" i="7"/>
  <c r="G13" i="7"/>
  <c r="G12" i="7"/>
  <c r="G6" i="7"/>
  <c r="G8" i="7"/>
  <c r="G10" i="7"/>
  <c r="G11" i="7"/>
  <c r="G17" i="7"/>
  <c r="G9" i="7"/>
  <c r="G14" i="7"/>
  <c r="G15" i="7"/>
  <c r="G33" i="7"/>
  <c r="G34" i="7"/>
  <c r="G35" i="7" s="1"/>
  <c r="G36" i="7" s="1"/>
  <c r="G31" i="7"/>
  <c r="G27" i="7"/>
  <c r="G26" i="7"/>
  <c r="G32" i="7"/>
  <c r="G29" i="7"/>
  <c r="G30" i="7"/>
  <c r="K77" i="5"/>
  <c r="K71" i="5"/>
  <c r="K65" i="5"/>
  <c r="K59" i="5"/>
  <c r="K53" i="5"/>
  <c r="M114" i="5"/>
  <c r="M112" i="5"/>
  <c r="L115" i="5"/>
  <c r="L116" i="5" s="1"/>
  <c r="M116" i="5" s="1"/>
  <c r="N100" i="3"/>
  <c r="N94" i="3"/>
  <c r="N88" i="3"/>
  <c r="N82" i="3"/>
  <c r="M113" i="5"/>
  <c r="M111" i="5"/>
  <c r="M110" i="5"/>
  <c r="J115" i="5"/>
  <c r="J116" i="5" s="1"/>
  <c r="J112" i="5"/>
  <c r="D29" i="7" l="1"/>
  <c r="E29" i="7" s="1"/>
  <c r="E11" i="7"/>
  <c r="D12" i="7" s="1"/>
  <c r="E12" i="7" s="1"/>
  <c r="D13" i="7" s="1"/>
  <c r="E13" i="7" s="1"/>
  <c r="D14" i="7" s="1"/>
  <c r="E14" i="7" s="1"/>
  <c r="E15" i="7" s="1"/>
  <c r="D16" i="7" s="1"/>
  <c r="E16" i="7" s="1"/>
  <c r="D17" i="7" s="1"/>
  <c r="E17" i="7" s="1"/>
  <c r="D11" i="7"/>
  <c r="M115" i="5"/>
  <c r="D30" i="7" l="1"/>
  <c r="E30" i="7" s="1"/>
  <c r="J41" i="5"/>
  <c r="J46" i="5" s="1"/>
  <c r="J39" i="5"/>
  <c r="J44" i="5" s="1"/>
  <c r="J26" i="5"/>
  <c r="J24" i="5"/>
  <c r="D31" i="7" l="1"/>
  <c r="E31" i="7" s="1"/>
  <c r="R46" i="5"/>
  <c r="T46" i="5" s="1"/>
  <c r="T47" i="5" s="1"/>
  <c r="R41" i="5"/>
  <c r="T41" i="5" s="1"/>
  <c r="R36" i="5"/>
  <c r="T36" i="5" s="1"/>
  <c r="T37" i="5" s="1"/>
  <c r="R31" i="5"/>
  <c r="T31" i="5" s="1"/>
  <c r="T32" i="5" s="1"/>
  <c r="R26" i="5"/>
  <c r="T26" i="5" s="1"/>
  <c r="T27" i="5" s="1"/>
  <c r="R21" i="5"/>
  <c r="T21" i="5" s="1"/>
  <c r="T22" i="5" s="1"/>
  <c r="R16" i="5"/>
  <c r="T16" i="5" s="1"/>
  <c r="T17" i="5" s="1"/>
  <c r="R11" i="5"/>
  <c r="T11" i="5" s="1"/>
  <c r="T12" i="5" s="1"/>
  <c r="R6" i="5"/>
  <c r="T6" i="5" s="1"/>
  <c r="T7" i="5" s="1"/>
  <c r="I46" i="5"/>
  <c r="K46" i="5" s="1"/>
  <c r="I44" i="5"/>
  <c r="K44" i="5" s="1"/>
  <c r="I41" i="5"/>
  <c r="K41" i="5" s="1"/>
  <c r="I39" i="5"/>
  <c r="K39" i="5" s="1"/>
  <c r="I36" i="5"/>
  <c r="K36" i="5" s="1"/>
  <c r="I34" i="5"/>
  <c r="K34" i="5" s="1"/>
  <c r="I31" i="5"/>
  <c r="K31" i="5" s="1"/>
  <c r="I29" i="5"/>
  <c r="K29" i="5" s="1"/>
  <c r="I26" i="5"/>
  <c r="K26" i="5" s="1"/>
  <c r="I24" i="5"/>
  <c r="K24" i="5" s="1"/>
  <c r="K27" i="5" s="1"/>
  <c r="I21" i="5"/>
  <c r="K21" i="5" s="1"/>
  <c r="I19" i="5"/>
  <c r="K19" i="5" s="1"/>
  <c r="I16" i="5"/>
  <c r="K16" i="5" s="1"/>
  <c r="I14" i="5"/>
  <c r="K14" i="5" s="1"/>
  <c r="I11" i="5"/>
  <c r="K11" i="5" s="1"/>
  <c r="I9" i="5"/>
  <c r="K9" i="5" s="1"/>
  <c r="I6" i="5"/>
  <c r="K6" i="5" s="1"/>
  <c r="I4" i="5"/>
  <c r="K4" i="5" s="1"/>
  <c r="D32" i="7" l="1"/>
  <c r="E32" i="7" s="1"/>
  <c r="K17" i="5"/>
  <c r="T42" i="5"/>
  <c r="T83" i="5" s="1"/>
  <c r="M84" i="5" s="1"/>
  <c r="M86" i="5" s="1"/>
  <c r="K12" i="5"/>
  <c r="K7" i="5"/>
  <c r="K37" i="5"/>
  <c r="K32" i="5"/>
  <c r="K22" i="5"/>
  <c r="K42" i="5"/>
  <c r="K47" i="5"/>
  <c r="E57" i="3"/>
  <c r="E54" i="3"/>
  <c r="D33" i="7" l="1"/>
  <c r="E33" i="7" s="1"/>
  <c r="K83" i="5"/>
  <c r="D34" i="7" l="1"/>
  <c r="E34" i="7" s="1"/>
  <c r="L84" i="5"/>
  <c r="L86" i="5" s="1"/>
  <c r="T85" i="5"/>
  <c r="L69" i="3"/>
  <c r="N69" i="3" s="1"/>
  <c r="L67" i="3"/>
  <c r="N67" i="3" s="1"/>
  <c r="L63" i="3"/>
  <c r="N63" i="3" s="1"/>
  <c r="L61" i="3"/>
  <c r="N61" i="3" s="1"/>
  <c r="L57" i="3"/>
  <c r="N57" i="3" s="1"/>
  <c r="L55" i="3"/>
  <c r="N55" i="3" s="1"/>
  <c r="N58" i="3" s="1"/>
  <c r="L51" i="3"/>
  <c r="N51" i="3" s="1"/>
  <c r="L49" i="3"/>
  <c r="N49" i="3" s="1"/>
  <c r="L45" i="3"/>
  <c r="N45" i="3" s="1"/>
  <c r="L43" i="3"/>
  <c r="N43" i="3" s="1"/>
  <c r="N46" i="3" s="1"/>
  <c r="L39" i="3"/>
  <c r="N39" i="3" s="1"/>
  <c r="L37" i="3"/>
  <c r="N37" i="3" s="1"/>
  <c r="N40" i="3" s="1"/>
  <c r="L34" i="3"/>
  <c r="N34" i="3" s="1"/>
  <c r="L32" i="3"/>
  <c r="N32" i="3" s="1"/>
  <c r="L29" i="3"/>
  <c r="N29" i="3" s="1"/>
  <c r="L27" i="3"/>
  <c r="N27" i="3" s="1"/>
  <c r="N30" i="3" s="1"/>
  <c r="D35" i="7" l="1"/>
  <c r="E35" i="7" s="1"/>
  <c r="N70" i="3"/>
  <c r="N64" i="3"/>
  <c r="N52" i="3"/>
  <c r="E43" i="3" s="1"/>
  <c r="N35" i="3"/>
  <c r="D36" i="7" l="1"/>
  <c r="E36" i="7" s="1"/>
  <c r="L24" i="3"/>
  <c r="N24" i="3" s="1"/>
  <c r="L22" i="3"/>
  <c r="N22" i="3" s="1"/>
  <c r="N25" i="3" s="1"/>
  <c r="E41" i="3" s="1"/>
  <c r="E45" i="3" s="1"/>
  <c r="E46" i="3" s="1"/>
  <c r="E51" i="3" s="1"/>
  <c r="U113" i="1" l="1"/>
  <c r="T113" i="1"/>
  <c r="S113" i="1"/>
  <c r="R113" i="1"/>
  <c r="L120" i="1"/>
  <c r="O118" i="1" l="1"/>
  <c r="N118" i="1"/>
  <c r="M118" i="1"/>
  <c r="L118" i="1"/>
  <c r="M115" i="1"/>
  <c r="G106" i="1" l="1"/>
  <c r="B9" i="3" l="1"/>
  <c r="C9" i="3"/>
  <c r="D9" i="3"/>
  <c r="E9" i="3"/>
  <c r="B10" i="3"/>
  <c r="C10" i="3"/>
  <c r="D10" i="3"/>
  <c r="E10" i="3"/>
  <c r="B11" i="3"/>
  <c r="C11" i="3"/>
  <c r="D11" i="3"/>
  <c r="E11" i="3"/>
  <c r="B12" i="3"/>
  <c r="C12" i="3"/>
  <c r="D12" i="3"/>
  <c r="E12" i="3"/>
  <c r="B13" i="3"/>
  <c r="C13" i="3"/>
  <c r="D13" i="3"/>
  <c r="E13" i="3"/>
  <c r="B14" i="3"/>
  <c r="C14" i="3"/>
  <c r="D14" i="3"/>
  <c r="E14" i="3"/>
  <c r="B15" i="3"/>
  <c r="C15" i="3"/>
  <c r="D15" i="3"/>
  <c r="E15" i="3"/>
  <c r="B16" i="3"/>
  <c r="C16" i="3"/>
  <c r="D16" i="3"/>
  <c r="E16" i="3"/>
  <c r="C8" i="3"/>
  <c r="D8" i="3"/>
  <c r="E8" i="3"/>
  <c r="B8" i="3"/>
  <c r="I104" i="1"/>
  <c r="I114" i="1" l="1"/>
  <c r="I113" i="1"/>
  <c r="I135" i="1" l="1"/>
  <c r="G124" i="1"/>
  <c r="G132" i="1" s="1"/>
  <c r="G125" i="1"/>
  <c r="G133" i="1" s="1"/>
  <c r="G126" i="1"/>
  <c r="G127" i="1"/>
  <c r="G135" i="1" s="1"/>
  <c r="G128" i="1"/>
  <c r="F128" i="1"/>
  <c r="F109" i="1"/>
  <c r="F127" i="1"/>
  <c r="F135" i="1" s="1"/>
  <c r="F108" i="1"/>
  <c r="F126" i="1"/>
  <c r="F107" i="1"/>
  <c r="F125" i="1"/>
  <c r="F133" i="1" s="1"/>
  <c r="F106" i="1"/>
  <c r="F124" i="1"/>
  <c r="F105" i="1"/>
  <c r="I116" i="1"/>
  <c r="F104" i="1" l="1"/>
  <c r="F123" i="1"/>
  <c r="G123" i="1"/>
  <c r="F132" i="1"/>
  <c r="F113" i="1"/>
  <c r="H109" i="1" l="1"/>
  <c r="G109" i="1"/>
  <c r="H108" i="1"/>
  <c r="G108" i="1"/>
  <c r="F116" i="1"/>
  <c r="H107" i="1"/>
  <c r="G107" i="1"/>
  <c r="H106" i="1"/>
  <c r="G114" i="1"/>
  <c r="H105" i="1"/>
  <c r="H125" i="1" l="1"/>
  <c r="I125" i="1" s="1"/>
  <c r="I133" i="1" s="1"/>
  <c r="G116" i="1"/>
  <c r="H113" i="1"/>
  <c r="K113" i="1" s="1"/>
  <c r="H126" i="1"/>
  <c r="H134" i="1" s="1"/>
  <c r="I115" i="1"/>
  <c r="G113" i="1"/>
  <c r="G104" i="1"/>
  <c r="H104" i="1"/>
  <c r="H116" i="1"/>
  <c r="H127" i="1"/>
  <c r="H135" i="1" s="1"/>
  <c r="H124" i="1"/>
  <c r="H133" i="1"/>
  <c r="H128" i="1"/>
  <c r="H114" i="1"/>
  <c r="F115" i="1"/>
  <c r="F114" i="1"/>
  <c r="M113" i="1" l="1"/>
  <c r="L113" i="1"/>
  <c r="N113" i="1"/>
  <c r="O113" i="1"/>
  <c r="H115" i="1"/>
  <c r="K114" i="1" s="1"/>
  <c r="G115" i="1"/>
  <c r="G118" i="1" s="1"/>
  <c r="F118" i="1" s="1"/>
  <c r="H136" i="1"/>
  <c r="I117" i="1"/>
  <c r="F117" i="1"/>
  <c r="F112" i="1" s="1"/>
  <c r="I136" i="1"/>
  <c r="G136" i="1"/>
  <c r="F136" i="1"/>
  <c r="H117" i="1"/>
  <c r="K115" i="1" s="1"/>
  <c r="G117" i="1"/>
  <c r="I134" i="1"/>
  <c r="G134" i="1"/>
  <c r="F134" i="1"/>
  <c r="H132" i="1"/>
  <c r="I124" i="1"/>
  <c r="H123" i="1"/>
  <c r="L115" i="1" l="1"/>
  <c r="N115" i="1"/>
  <c r="O115" i="1"/>
  <c r="L114" i="1"/>
  <c r="L116" i="1" s="1"/>
  <c r="M114" i="1"/>
  <c r="M116" i="1" s="1"/>
  <c r="O114" i="1"/>
  <c r="N114" i="1"/>
  <c r="K112" i="1"/>
  <c r="H112" i="1"/>
  <c r="G112" i="1"/>
  <c r="I112" i="1"/>
  <c r="G131" i="1"/>
  <c r="F131" i="1"/>
  <c r="H131" i="1"/>
  <c r="I123" i="1"/>
  <c r="I132" i="1"/>
  <c r="P21" i="11" l="1"/>
  <c r="Q21" i="11"/>
  <c r="Q22" i="11" s="1"/>
  <c r="I4" i="11" s="1"/>
  <c r="N116" i="1"/>
  <c r="O116" i="1"/>
  <c r="I131" i="1"/>
  <c r="D4" i="12" l="1"/>
  <c r="B43" i="11"/>
  <c r="D4" i="20"/>
  <c r="R21" i="11"/>
  <c r="P22" i="11"/>
  <c r="R22" i="11" l="1"/>
  <c r="H4" i="11"/>
  <c r="E47" i="11"/>
  <c r="F47" i="11" s="1"/>
  <c r="D43" i="11"/>
  <c r="E43" i="11" s="1"/>
  <c r="C4" i="20" l="1"/>
  <c r="B42" i="11"/>
  <c r="C4" i="12"/>
  <c r="D42" i="11" l="1"/>
  <c r="E42" i="11" s="1"/>
  <c r="E46" i="11"/>
  <c r="F46" i="11" s="1"/>
  <c r="E12" i="20"/>
  <c r="E13" i="20" s="1"/>
  <c r="E14" i="20" s="1"/>
  <c r="E15" i="20" s="1"/>
  <c r="E16" i="20" s="1"/>
  <c r="E17" i="20" s="1"/>
  <c r="E18" i="20" s="1"/>
  <c r="E19" i="20" s="1"/>
  <c r="E20" i="20" s="1"/>
  <c r="E21" i="20" s="1"/>
  <c r="E22" i="20" s="1"/>
  <c r="E23" i="20" s="1"/>
  <c r="E24" i="20" s="1"/>
  <c r="E25" i="20" s="1"/>
  <c r="E26" i="20" s="1"/>
  <c r="E27" i="20" s="1"/>
  <c r="E28" i="20" s="1"/>
  <c r="E29" i="20" s="1"/>
  <c r="E30" i="20" s="1"/>
  <c r="E31" i="20" s="1"/>
  <c r="E32" i="20" s="1"/>
  <c r="B4" i="12"/>
  <c r="G4" i="12"/>
  <c r="L4" i="12"/>
  <c r="K4" i="12"/>
  <c r="L4" i="20"/>
  <c r="G4" i="20"/>
  <c r="B4" i="20"/>
  <c r="K4" i="20"/>
  <c r="C5" i="20"/>
  <c r="K3" i="21" l="1"/>
  <c r="Q3" i="21" s="1"/>
  <c r="H4" i="12"/>
  <c r="C6" i="20"/>
  <c r="D5" i="20"/>
  <c r="L5" i="20"/>
  <c r="O5" i="20" s="1"/>
  <c r="G4" i="21" s="1"/>
  <c r="B5" i="20"/>
  <c r="B3" i="21"/>
  <c r="H3" i="21" s="1"/>
  <c r="H4" i="20"/>
  <c r="G5" i="20" l="1"/>
  <c r="B4" i="21" s="1"/>
  <c r="H4" i="21" s="1"/>
  <c r="H5" i="21" s="1"/>
  <c r="D6" i="20"/>
  <c r="K6" i="20"/>
  <c r="N6" i="20" s="1"/>
  <c r="F5" i="21" s="1"/>
  <c r="C7" i="20"/>
  <c r="C8" i="20" s="1"/>
  <c r="C9" i="20" s="1"/>
  <c r="G6" i="20"/>
  <c r="B5" i="21" s="1"/>
  <c r="L3" i="21"/>
  <c r="I4" i="12"/>
  <c r="C3" i="21"/>
  <c r="J4" i="20"/>
  <c r="K5" i="20"/>
  <c r="N5" i="20" s="1"/>
  <c r="F4" i="21" s="1"/>
  <c r="M4" i="12" l="1"/>
  <c r="J4" i="12"/>
  <c r="M3" i="21"/>
  <c r="I28" i="12"/>
  <c r="C5" i="12"/>
  <c r="D5" i="12" s="1"/>
  <c r="G5" i="12" s="1"/>
  <c r="K4" i="21" s="1"/>
  <c r="Q4" i="21" s="1"/>
  <c r="D7" i="20"/>
  <c r="L6" i="20"/>
  <c r="O6" i="20" s="1"/>
  <c r="G5" i="21" s="1"/>
  <c r="F5" i="20"/>
  <c r="H5" i="20" s="1"/>
  <c r="E3" i="21"/>
  <c r="B6" i="20"/>
  <c r="C10" i="20"/>
  <c r="L5" i="12"/>
  <c r="O5" i="12" s="1"/>
  <c r="B5" i="12"/>
  <c r="G7" i="20" l="1"/>
  <c r="L7" i="20"/>
  <c r="O7" i="20" s="1"/>
  <c r="G6" i="21" s="1"/>
  <c r="B7" i="20"/>
  <c r="D8" i="20"/>
  <c r="K7" i="20"/>
  <c r="N7" i="20" s="1"/>
  <c r="F6" i="21" s="1"/>
  <c r="F5" i="12"/>
  <c r="H5" i="12" s="1"/>
  <c r="L4" i="21" s="1"/>
  <c r="N3" i="21"/>
  <c r="K5" i="12"/>
  <c r="N5" i="12" s="1"/>
  <c r="O4" i="21" s="1"/>
  <c r="C4" i="21"/>
  <c r="J5" i="20"/>
  <c r="P4" i="21"/>
  <c r="C11" i="20"/>
  <c r="I5" i="12" l="1"/>
  <c r="M5" i="12" s="1"/>
  <c r="G8" i="20"/>
  <c r="B7" i="21" s="1"/>
  <c r="B8" i="20"/>
  <c r="D9" i="20"/>
  <c r="K8" i="20"/>
  <c r="N8" i="20" s="1"/>
  <c r="F7" i="21" s="1"/>
  <c r="L8" i="20"/>
  <c r="O8" i="20" s="1"/>
  <c r="G7" i="21" s="1"/>
  <c r="F6" i="20"/>
  <c r="H6" i="20" s="1"/>
  <c r="E4" i="21"/>
  <c r="I29" i="12"/>
  <c r="M4" i="21"/>
  <c r="C6" i="12"/>
  <c r="C12" i="20"/>
  <c r="J5" i="12"/>
  <c r="J6" i="20" l="1"/>
  <c r="C5" i="21"/>
  <c r="G9" i="20"/>
  <c r="B8" i="21" s="1"/>
  <c r="D10" i="20"/>
  <c r="K9" i="20"/>
  <c r="N9" i="20" s="1"/>
  <c r="F8" i="21" s="1"/>
  <c r="L9" i="20"/>
  <c r="O9" i="20" s="1"/>
  <c r="G8" i="21" s="1"/>
  <c r="B9" i="20"/>
  <c r="F6" i="12"/>
  <c r="N4" i="21"/>
  <c r="C13" i="20"/>
  <c r="D6" i="12"/>
  <c r="B6" i="12" s="1"/>
  <c r="L10" i="20" l="1"/>
  <c r="O10" i="20" s="1"/>
  <c r="G9" i="21" s="1"/>
  <c r="B10" i="20"/>
  <c r="K10" i="20"/>
  <c r="N10" i="20" s="1"/>
  <c r="F9" i="21" s="1"/>
  <c r="D11" i="20"/>
  <c r="G10" i="20"/>
  <c r="B9" i="21" s="1"/>
  <c r="F7" i="20"/>
  <c r="H7" i="20" s="1"/>
  <c r="E5" i="21"/>
  <c r="C14" i="20"/>
  <c r="C15" i="20" s="1"/>
  <c r="C16" i="20" s="1"/>
  <c r="C17" i="20" s="1"/>
  <c r="C18" i="20" s="1"/>
  <c r="C19" i="20" s="1"/>
  <c r="C20" i="20" s="1"/>
  <c r="C21" i="20" s="1"/>
  <c r="C22" i="20" s="1"/>
  <c r="C23" i="20" s="1"/>
  <c r="C24" i="20" s="1"/>
  <c r="C25" i="20" s="1"/>
  <c r="C26" i="20" s="1"/>
  <c r="C27" i="20" s="1"/>
  <c r="C28" i="20" s="1"/>
  <c r="C29" i="20" s="1"/>
  <c r="C30" i="20" s="1"/>
  <c r="C31" i="20" s="1"/>
  <c r="C32" i="20" s="1"/>
  <c r="G6" i="12"/>
  <c r="K5" i="21" s="1"/>
  <c r="Q5" i="21" s="1"/>
  <c r="L6" i="12"/>
  <c r="O6" i="12" s="1"/>
  <c r="K6" i="12"/>
  <c r="N6" i="12" s="1"/>
  <c r="C6" i="21" l="1"/>
  <c r="J7" i="20"/>
  <c r="G11" i="20"/>
  <c r="B11" i="20"/>
  <c r="D12" i="20"/>
  <c r="L11" i="20"/>
  <c r="O11" i="20" s="1"/>
  <c r="G10" i="21" s="1"/>
  <c r="K11" i="20"/>
  <c r="N11" i="20" s="1"/>
  <c r="F10" i="21" s="1"/>
  <c r="P5" i="21"/>
  <c r="O5" i="21"/>
  <c r="H6" i="12"/>
  <c r="G12" i="20" l="1"/>
  <c r="B11" i="21" s="1"/>
  <c r="B12" i="20"/>
  <c r="D13" i="20"/>
  <c r="L12" i="20"/>
  <c r="O12" i="20" s="1"/>
  <c r="G11" i="21" s="1"/>
  <c r="K12" i="20"/>
  <c r="N12" i="20" s="1"/>
  <c r="F11" i="21" s="1"/>
  <c r="F8" i="20"/>
  <c r="H8" i="20" s="1"/>
  <c r="E6" i="21"/>
  <c r="I6" i="12"/>
  <c r="L5" i="21"/>
  <c r="J6" i="12" l="1"/>
  <c r="M6" i="12"/>
  <c r="L13" i="20"/>
  <c r="O13" i="20" s="1"/>
  <c r="G12" i="21" s="1"/>
  <c r="B13" i="20"/>
  <c r="D14" i="20"/>
  <c r="D15" i="20" s="1"/>
  <c r="D16" i="20" s="1"/>
  <c r="D17" i="20" s="1"/>
  <c r="D18" i="20" s="1"/>
  <c r="D19" i="20" s="1"/>
  <c r="D20" i="20" s="1"/>
  <c r="D21" i="20" s="1"/>
  <c r="K13" i="20"/>
  <c r="G13" i="20"/>
  <c r="C7" i="12"/>
  <c r="D7" i="12" s="1"/>
  <c r="C7" i="21"/>
  <c r="J8" i="20"/>
  <c r="F7" i="12"/>
  <c r="N5" i="21"/>
  <c r="M5" i="21"/>
  <c r="I30" i="12"/>
  <c r="F9" i="20" l="1"/>
  <c r="H9" i="20" s="1"/>
  <c r="E7" i="21"/>
  <c r="N13" i="20"/>
  <c r="F12" i="21" s="1"/>
  <c r="B6" i="21"/>
  <c r="H6" i="21" s="1"/>
  <c r="H7" i="21" s="1"/>
  <c r="H8" i="21" s="1"/>
  <c r="H9" i="21" s="1"/>
  <c r="B7" i="12"/>
  <c r="L7" i="12"/>
  <c r="O7" i="12" s="1"/>
  <c r="K7" i="12"/>
  <c r="N7" i="12" s="1"/>
  <c r="G7" i="12"/>
  <c r="K6" i="21" s="1"/>
  <c r="Q6" i="21" s="1"/>
  <c r="G14" i="20"/>
  <c r="J9" i="20" l="1"/>
  <c r="C8" i="21"/>
  <c r="O6" i="21"/>
  <c r="P6" i="21"/>
  <c r="H7" i="12"/>
  <c r="L14" i="20"/>
  <c r="O14" i="20" s="1"/>
  <c r="G13" i="21" s="1"/>
  <c r="K14" i="20"/>
  <c r="B14" i="20"/>
  <c r="F10" i="20" l="1"/>
  <c r="H10" i="20" s="1"/>
  <c r="E8" i="21"/>
  <c r="N14" i="20"/>
  <c r="F13" i="21" s="1"/>
  <c r="I7" i="12"/>
  <c r="L6" i="21"/>
  <c r="M6" i="21" l="1"/>
  <c r="M7" i="12"/>
  <c r="C8" i="12"/>
  <c r="C9" i="21"/>
  <c r="J10" i="20"/>
  <c r="J7" i="12"/>
  <c r="D8" i="12"/>
  <c r="G8" i="12" s="1"/>
  <c r="K7" i="21" s="1"/>
  <c r="Q7" i="21" s="1"/>
  <c r="E9" i="21" l="1"/>
  <c r="F11" i="20"/>
  <c r="H11" i="20" s="1"/>
  <c r="F8" i="12"/>
  <c r="N6" i="21"/>
  <c r="H8" i="12"/>
  <c r="L8" i="12"/>
  <c r="O8" i="12" s="1"/>
  <c r="B8" i="12"/>
  <c r="K8" i="12"/>
  <c r="N8" i="12" s="1"/>
  <c r="C10" i="21" l="1"/>
  <c r="J11" i="20"/>
  <c r="P7" i="21"/>
  <c r="I8" i="12"/>
  <c r="L7" i="21"/>
  <c r="O7" i="21"/>
  <c r="F12" i="20" l="1"/>
  <c r="H12" i="20" s="1"/>
  <c r="E10" i="21"/>
  <c r="M7" i="21"/>
  <c r="M8" i="12"/>
  <c r="M9" i="12" s="1"/>
  <c r="M10" i="12" s="1"/>
  <c r="C9" i="12"/>
  <c r="J8" i="12"/>
  <c r="D9" i="12"/>
  <c r="G9" i="12" s="1"/>
  <c r="K8" i="21" s="1"/>
  <c r="Q8" i="21" s="1"/>
  <c r="G15" i="20"/>
  <c r="J12" i="20" l="1"/>
  <c r="C11" i="21"/>
  <c r="F9" i="12"/>
  <c r="N7" i="21"/>
  <c r="H9" i="12"/>
  <c r="L8" i="21" s="1"/>
  <c r="L9" i="12"/>
  <c r="O9" i="12" s="1"/>
  <c r="B9" i="12"/>
  <c r="K9" i="12"/>
  <c r="N9" i="12" s="1"/>
  <c r="L15" i="20"/>
  <c r="O15" i="20" s="1"/>
  <c r="G14" i="21" s="1"/>
  <c r="K15" i="20"/>
  <c r="B15" i="20"/>
  <c r="B14" i="21"/>
  <c r="F13" i="20" l="1"/>
  <c r="H13" i="20" s="1"/>
  <c r="E11" i="21"/>
  <c r="N15" i="20"/>
  <c r="F14" i="21" s="1"/>
  <c r="P8" i="21"/>
  <c r="O8" i="21"/>
  <c r="J9" i="12"/>
  <c r="J13" i="20" l="1"/>
  <c r="C12" i="21"/>
  <c r="F10" i="12"/>
  <c r="N8" i="21"/>
  <c r="C10" i="12"/>
  <c r="F14" i="20" l="1"/>
  <c r="H14" i="20" s="1"/>
  <c r="E12" i="21"/>
  <c r="D10" i="12"/>
  <c r="B10" i="12" s="1"/>
  <c r="J14" i="20" l="1"/>
  <c r="C13" i="21"/>
  <c r="L10" i="12"/>
  <c r="O10" i="12" s="1"/>
  <c r="G10" i="12"/>
  <c r="K9" i="21" s="1"/>
  <c r="Q9" i="21" s="1"/>
  <c r="K10" i="12"/>
  <c r="N10" i="12" s="1"/>
  <c r="G16" i="20"/>
  <c r="F15" i="20" l="1"/>
  <c r="H15" i="20" s="1"/>
  <c r="E13" i="21"/>
  <c r="O9" i="21"/>
  <c r="P9" i="21"/>
  <c r="H10" i="12"/>
  <c r="L9" i="21" s="1"/>
  <c r="K16" i="20"/>
  <c r="L16" i="20"/>
  <c r="O16" i="20" s="1"/>
  <c r="G15" i="21" s="1"/>
  <c r="B16" i="20"/>
  <c r="B15" i="21"/>
  <c r="J15" i="20" l="1"/>
  <c r="C14" i="21"/>
  <c r="N16" i="20"/>
  <c r="F15" i="21" s="1"/>
  <c r="J10" i="12"/>
  <c r="C11" i="12"/>
  <c r="E14" i="21" l="1"/>
  <c r="F16" i="20"/>
  <c r="H16" i="20" s="1"/>
  <c r="F11" i="12"/>
  <c r="N9" i="21"/>
  <c r="D11" i="12"/>
  <c r="C15" i="21" l="1"/>
  <c r="J16" i="20"/>
  <c r="G11" i="12"/>
  <c r="K10" i="21" s="1"/>
  <c r="Q10" i="21" s="1"/>
  <c r="B11" i="12"/>
  <c r="L11" i="12"/>
  <c r="O11" i="12" s="1"/>
  <c r="K11" i="12"/>
  <c r="N11" i="12" s="1"/>
  <c r="H11" i="12"/>
  <c r="B10" i="21"/>
  <c r="H10" i="21" s="1"/>
  <c r="H11" i="21" s="1"/>
  <c r="F17" i="20" l="1"/>
  <c r="E15" i="21"/>
  <c r="I11" i="12"/>
  <c r="M11" i="12" s="1"/>
  <c r="L10" i="21"/>
  <c r="P10" i="21"/>
  <c r="O10" i="21"/>
  <c r="G17" i="20"/>
  <c r="J11" i="12" l="1"/>
  <c r="N10" i="21" s="1"/>
  <c r="E12" i="12"/>
  <c r="D12" i="12" s="1"/>
  <c r="F12" i="12"/>
  <c r="M10" i="21"/>
  <c r="L17" i="20"/>
  <c r="O17" i="20" s="1"/>
  <c r="G16" i="21" s="1"/>
  <c r="K17" i="20"/>
  <c r="B17" i="20"/>
  <c r="B16" i="21"/>
  <c r="H17" i="20"/>
  <c r="N17" i="20" l="1"/>
  <c r="F16" i="21" s="1"/>
  <c r="G12" i="12"/>
  <c r="K11" i="21" s="1"/>
  <c r="Q11" i="21" s="1"/>
  <c r="L12" i="12"/>
  <c r="K12" i="12"/>
  <c r="B12" i="12"/>
  <c r="C16" i="21"/>
  <c r="J17" i="20"/>
  <c r="N12" i="12" l="1"/>
  <c r="H12" i="12"/>
  <c r="O12" i="12"/>
  <c r="F18" i="20"/>
  <c r="E16" i="21"/>
  <c r="P11" i="21" l="1"/>
  <c r="I12" i="12"/>
  <c r="L11" i="21"/>
  <c r="O11" i="21"/>
  <c r="G18" i="20"/>
  <c r="M11" i="21" l="1"/>
  <c r="M12" i="12"/>
  <c r="J12" i="12"/>
  <c r="E13" i="12"/>
  <c r="D13" i="12" s="1"/>
  <c r="L18" i="20"/>
  <c r="O18" i="20" s="1"/>
  <c r="G17" i="21" s="1"/>
  <c r="K18" i="20"/>
  <c r="B18" i="20"/>
  <c r="N18" i="20" l="1"/>
  <c r="F17" i="21" s="1"/>
  <c r="F13" i="12"/>
  <c r="N11" i="21"/>
  <c r="B12" i="21"/>
  <c r="H12" i="21" s="1"/>
  <c r="L13" i="12"/>
  <c r="K13" i="12"/>
  <c r="G13" i="12"/>
  <c r="K12" i="21" s="1"/>
  <c r="Q12" i="21" s="1"/>
  <c r="B13" i="12"/>
  <c r="B17" i="21"/>
  <c r="H18" i="20"/>
  <c r="O13" i="12" l="1"/>
  <c r="N13" i="12"/>
  <c r="H13" i="12"/>
  <c r="L12" i="21" s="1"/>
  <c r="C17" i="21"/>
  <c r="O12" i="21" l="1"/>
  <c r="P12" i="21"/>
  <c r="I13" i="12"/>
  <c r="J18" i="20"/>
  <c r="D17" i="21"/>
  <c r="M12" i="21" l="1"/>
  <c r="M13" i="12"/>
  <c r="J13" i="12"/>
  <c r="C17" i="12"/>
  <c r="C18" i="12" s="1"/>
  <c r="C19" i="12" s="1"/>
  <c r="C20" i="12" s="1"/>
  <c r="C21" i="12" s="1"/>
  <c r="C22" i="12" s="1"/>
  <c r="C23" i="12" s="1"/>
  <c r="C24" i="12" s="1"/>
  <c r="C25" i="12" s="1"/>
  <c r="C26" i="12" s="1"/>
  <c r="C27" i="12" s="1"/>
  <c r="C28" i="12" s="1"/>
  <c r="C29" i="12" s="1"/>
  <c r="C30" i="12" s="1"/>
  <c r="E14" i="12"/>
  <c r="D14" i="12" s="1"/>
  <c r="F19" i="20"/>
  <c r="E17" i="21"/>
  <c r="F14" i="12" l="1"/>
  <c r="N12" i="21"/>
  <c r="G19" i="20"/>
  <c r="B13" i="21" l="1"/>
  <c r="H13" i="21" s="1"/>
  <c r="H14" i="21" s="1"/>
  <c r="H15" i="21" s="1"/>
  <c r="H16" i="21" s="1"/>
  <c r="H17" i="21" s="1"/>
  <c r="L14" i="12"/>
  <c r="G14" i="12"/>
  <c r="K13" i="21" s="1"/>
  <c r="Q13" i="21" s="1"/>
  <c r="B14" i="12"/>
  <c r="K14" i="12"/>
  <c r="B18" i="21"/>
  <c r="L19" i="20"/>
  <c r="O19" i="20" s="1"/>
  <c r="G18" i="21" s="1"/>
  <c r="K19" i="20"/>
  <c r="B19" i="20"/>
  <c r="H19" i="20"/>
  <c r="N19" i="20" l="1"/>
  <c r="F18" i="21" s="1"/>
  <c r="H18" i="21"/>
  <c r="N14" i="12"/>
  <c r="O14" i="12"/>
  <c r="H14" i="12"/>
  <c r="L13" i="21" s="1"/>
  <c r="C18" i="21"/>
  <c r="J19" i="20"/>
  <c r="P13" i="21" l="1"/>
  <c r="O13" i="21"/>
  <c r="I14" i="12"/>
  <c r="M14" i="12" s="1"/>
  <c r="G20" i="20"/>
  <c r="F20" i="20"/>
  <c r="E18" i="21"/>
  <c r="J14" i="12" l="1"/>
  <c r="M13" i="21"/>
  <c r="E15" i="12"/>
  <c r="D15" i="12" s="1"/>
  <c r="K20" i="20"/>
  <c r="L20" i="20"/>
  <c r="O20" i="20" s="1"/>
  <c r="G19" i="21" s="1"/>
  <c r="B20" i="20"/>
  <c r="N20" i="20" l="1"/>
  <c r="F19" i="21" s="1"/>
  <c r="F15" i="12"/>
  <c r="N13" i="21"/>
  <c r="G21" i="20"/>
  <c r="H20" i="20"/>
  <c r="G15" i="12" l="1"/>
  <c r="K14" i="21" s="1"/>
  <c r="Q14" i="21" s="1"/>
  <c r="L15" i="12"/>
  <c r="B15" i="12"/>
  <c r="K15" i="12"/>
  <c r="D22" i="20"/>
  <c r="G22" i="20" s="1"/>
  <c r="C19" i="21"/>
  <c r="J20" i="20"/>
  <c r="L21" i="20"/>
  <c r="O21" i="20" s="1"/>
  <c r="G20" i="21" s="1"/>
  <c r="K21" i="20"/>
  <c r="B21" i="20"/>
  <c r="N21" i="20" l="1"/>
  <c r="F20" i="21" s="1"/>
  <c r="N15" i="12"/>
  <c r="O15" i="12"/>
  <c r="B22" i="20"/>
  <c r="H15" i="12"/>
  <c r="L14" i="21" s="1"/>
  <c r="K22" i="20"/>
  <c r="L22" i="20"/>
  <c r="O22" i="20" s="1"/>
  <c r="G21" i="21" s="1"/>
  <c r="F21" i="20"/>
  <c r="E19" i="21"/>
  <c r="P14" i="21" l="1"/>
  <c r="O14" i="21"/>
  <c r="N22" i="20"/>
  <c r="F21" i="21" s="1"/>
  <c r="I15" i="12"/>
  <c r="M15" i="12" s="1"/>
  <c r="J15" i="12" l="1"/>
  <c r="M14" i="21"/>
  <c r="E16" i="12"/>
  <c r="D16" i="12" s="1"/>
  <c r="F16" i="12" l="1"/>
  <c r="N14" i="21"/>
  <c r="B20" i="21"/>
  <c r="H21" i="20"/>
  <c r="K16" i="12" l="1"/>
  <c r="B16" i="12"/>
  <c r="G16" i="12"/>
  <c r="K15" i="21" s="1"/>
  <c r="Q15" i="21" s="1"/>
  <c r="L16" i="12"/>
  <c r="C20" i="21"/>
  <c r="J21" i="20"/>
  <c r="O16" i="12" l="1"/>
  <c r="N16" i="12"/>
  <c r="H16" i="12"/>
  <c r="L15" i="21" s="1"/>
  <c r="F22" i="20"/>
  <c r="E20" i="21"/>
  <c r="O15" i="21" l="1"/>
  <c r="P15" i="21"/>
  <c r="I16" i="12"/>
  <c r="M16" i="12" s="1"/>
  <c r="J16" i="12" l="1"/>
  <c r="M15" i="21"/>
  <c r="E17" i="12"/>
  <c r="D17" i="12" s="1"/>
  <c r="H22" i="20"/>
  <c r="F17" i="12" l="1"/>
  <c r="N15" i="21"/>
  <c r="C21" i="21"/>
  <c r="J22" i="20"/>
  <c r="K17" i="12" l="1"/>
  <c r="G17" i="12"/>
  <c r="K16" i="21" s="1"/>
  <c r="Q16" i="21" s="1"/>
  <c r="L17" i="12"/>
  <c r="B17" i="12"/>
  <c r="F23" i="20"/>
  <c r="E21" i="21"/>
  <c r="D23" i="20"/>
  <c r="G23" i="20" s="1"/>
  <c r="O17" i="12" l="1"/>
  <c r="N17" i="12"/>
  <c r="H17" i="12"/>
  <c r="L16" i="21" s="1"/>
  <c r="L23" i="20"/>
  <c r="O23" i="20" s="1"/>
  <c r="G22" i="21" s="1"/>
  <c r="K23" i="20"/>
  <c r="B23" i="20"/>
  <c r="D24" i="20"/>
  <c r="G24" i="20" s="1"/>
  <c r="O16" i="21" l="1"/>
  <c r="P16" i="21"/>
  <c r="N23" i="20"/>
  <c r="F22" i="21" s="1"/>
  <c r="I17" i="12"/>
  <c r="M17" i="12" s="1"/>
  <c r="L24" i="20"/>
  <c r="O24" i="20" s="1"/>
  <c r="G23" i="21" s="1"/>
  <c r="K24" i="20"/>
  <c r="B24" i="20"/>
  <c r="D25" i="20"/>
  <c r="G25" i="20" s="1"/>
  <c r="H23" i="20"/>
  <c r="J17" i="12" l="1"/>
  <c r="M16" i="21"/>
  <c r="N24" i="20"/>
  <c r="F23" i="21" s="1"/>
  <c r="E18" i="12"/>
  <c r="D18" i="12" s="1"/>
  <c r="C22" i="21"/>
  <c r="J23" i="20"/>
  <c r="K25" i="20"/>
  <c r="L25" i="20"/>
  <c r="O25" i="20" s="1"/>
  <c r="G24" i="21" s="1"/>
  <c r="B25" i="20"/>
  <c r="D26" i="20"/>
  <c r="G26" i="20" s="1"/>
  <c r="F18" i="12" l="1"/>
  <c r="N16" i="21"/>
  <c r="N25" i="20"/>
  <c r="F24" i="21" s="1"/>
  <c r="L26" i="20"/>
  <c r="O26" i="20" s="1"/>
  <c r="G25" i="21" s="1"/>
  <c r="K26" i="20"/>
  <c r="B26" i="20"/>
  <c r="D27" i="20"/>
  <c r="G27" i="20" s="1"/>
  <c r="F24" i="20"/>
  <c r="E22" i="21"/>
  <c r="N26" i="20" l="1"/>
  <c r="F25" i="21" s="1"/>
  <c r="L18" i="12"/>
  <c r="B18" i="12"/>
  <c r="K18" i="12"/>
  <c r="G18" i="12"/>
  <c r="K17" i="21" s="1"/>
  <c r="Q17" i="21" s="1"/>
  <c r="L27" i="20"/>
  <c r="O27" i="20" s="1"/>
  <c r="G26" i="21" s="1"/>
  <c r="K27" i="20"/>
  <c r="B27" i="20"/>
  <c r="D28" i="20"/>
  <c r="G28" i="20" s="1"/>
  <c r="N27" i="20" l="1"/>
  <c r="F26" i="21" s="1"/>
  <c r="N18" i="12"/>
  <c r="O18" i="12"/>
  <c r="H18" i="12"/>
  <c r="L17" i="21" s="1"/>
  <c r="B28" i="20"/>
  <c r="L28" i="20"/>
  <c r="O28" i="20" s="1"/>
  <c r="G27" i="21" s="1"/>
  <c r="K28" i="20"/>
  <c r="D29" i="20"/>
  <c r="G29" i="20" s="1"/>
  <c r="P17" i="21" l="1"/>
  <c r="O17" i="21"/>
  <c r="N28" i="20"/>
  <c r="F27" i="21" s="1"/>
  <c r="I18" i="12"/>
  <c r="M18" i="12" s="1"/>
  <c r="B23" i="21"/>
  <c r="H24" i="20"/>
  <c r="B29" i="20"/>
  <c r="L29" i="20"/>
  <c r="O29" i="20" s="1"/>
  <c r="G28" i="21" s="1"/>
  <c r="K29" i="20"/>
  <c r="D30" i="20"/>
  <c r="G30" i="20" s="1"/>
  <c r="J18" i="12" l="1"/>
  <c r="M17" i="21"/>
  <c r="N29" i="20"/>
  <c r="F28" i="21" s="1"/>
  <c r="E19" i="12"/>
  <c r="D19" i="12" s="1"/>
  <c r="K30" i="20"/>
  <c r="D31" i="20"/>
  <c r="G31" i="20" s="1"/>
  <c r="L30" i="20"/>
  <c r="O30" i="20" s="1"/>
  <c r="G29" i="21" s="1"/>
  <c r="B30" i="20"/>
  <c r="C23" i="21"/>
  <c r="J24" i="20"/>
  <c r="F19" i="12" l="1"/>
  <c r="N17" i="21"/>
  <c r="N30" i="20"/>
  <c r="F29" i="21" s="1"/>
  <c r="D32" i="20"/>
  <c r="G32" i="20" s="1"/>
  <c r="B31" i="20"/>
  <c r="K31" i="20"/>
  <c r="N31" i="20" s="1"/>
  <c r="L31" i="20"/>
  <c r="O31" i="20" s="1"/>
  <c r="F25" i="20"/>
  <c r="E23" i="21"/>
  <c r="B19" i="12" l="1"/>
  <c r="L19" i="12"/>
  <c r="K19" i="12"/>
  <c r="G19" i="12"/>
  <c r="K18" i="21" s="1"/>
  <c r="Q18" i="21" s="1"/>
  <c r="B32" i="20"/>
  <c r="K32" i="20"/>
  <c r="N32" i="20" s="1"/>
  <c r="L32" i="20"/>
  <c r="O32" i="20" s="1"/>
  <c r="N19" i="12" l="1"/>
  <c r="O19" i="12"/>
  <c r="H19" i="12"/>
  <c r="L18" i="21" s="1"/>
  <c r="Q17" i="20"/>
  <c r="R17" i="20"/>
  <c r="P18" i="21" l="1"/>
  <c r="O18" i="21"/>
  <c r="I19" i="12"/>
  <c r="M19" i="12" s="1"/>
  <c r="B24" i="21"/>
  <c r="H25" i="20"/>
  <c r="J19" i="12" l="1"/>
  <c r="M18" i="21"/>
  <c r="E20" i="12"/>
  <c r="D20" i="12" s="1"/>
  <c r="C24" i="21"/>
  <c r="J25" i="20"/>
  <c r="F20" i="12" l="1"/>
  <c r="N18" i="21"/>
  <c r="F26" i="20"/>
  <c r="E24" i="21"/>
  <c r="B19" i="21" l="1"/>
  <c r="H19" i="21" s="1"/>
  <c r="H20" i="21" s="1"/>
  <c r="L20" i="12"/>
  <c r="B20" i="12"/>
  <c r="K20" i="12"/>
  <c r="G20" i="12"/>
  <c r="K19" i="21" s="1"/>
  <c r="Q19" i="21" s="1"/>
  <c r="N20" i="12" l="1"/>
  <c r="O20" i="12"/>
  <c r="H20" i="12"/>
  <c r="P19" i="21" l="1"/>
  <c r="I20" i="12"/>
  <c r="L19" i="21"/>
  <c r="O19" i="21"/>
  <c r="B25" i="21"/>
  <c r="H26" i="20"/>
  <c r="M19" i="21" l="1"/>
  <c r="M20" i="12"/>
  <c r="J20" i="12"/>
  <c r="F21" i="12" s="1"/>
  <c r="E21" i="12"/>
  <c r="D21" i="12" s="1"/>
  <c r="C25" i="21"/>
  <c r="J26" i="20"/>
  <c r="N19" i="21" l="1"/>
  <c r="G21" i="12"/>
  <c r="K20" i="21" s="1"/>
  <c r="Q20" i="21" s="1"/>
  <c r="L21" i="12"/>
  <c r="K21" i="12"/>
  <c r="B21" i="12"/>
  <c r="F27" i="20"/>
  <c r="E25" i="21"/>
  <c r="N21" i="12" l="1"/>
  <c r="O21" i="12"/>
  <c r="H21" i="12"/>
  <c r="P20" i="21" l="1"/>
  <c r="I21" i="12"/>
  <c r="L20" i="21"/>
  <c r="O20" i="21"/>
  <c r="M20" i="21" l="1"/>
  <c r="M21" i="12"/>
  <c r="M22" i="12" s="1"/>
  <c r="M23" i="12" s="1"/>
  <c r="M24" i="12" s="1"/>
  <c r="J21" i="12"/>
  <c r="F22" i="12" s="1"/>
  <c r="N20" i="21"/>
  <c r="E22" i="12"/>
  <c r="D22" i="12" s="1"/>
  <c r="B26" i="21"/>
  <c r="H27" i="20"/>
  <c r="C26" i="21" l="1"/>
  <c r="J27" i="20"/>
  <c r="B21" i="21" l="1"/>
  <c r="H21" i="21" s="1"/>
  <c r="B22" i="12"/>
  <c r="G22" i="12"/>
  <c r="K21" i="21" s="1"/>
  <c r="Q21" i="21" s="1"/>
  <c r="L22" i="12"/>
  <c r="K22" i="12"/>
  <c r="F28" i="20"/>
  <c r="H28" i="20" s="1"/>
  <c r="E26" i="21"/>
  <c r="O22" i="12" l="1"/>
  <c r="N22" i="12"/>
  <c r="H22" i="12"/>
  <c r="L21" i="21" s="1"/>
  <c r="C27" i="21"/>
  <c r="J28" i="20"/>
  <c r="O21" i="21" l="1"/>
  <c r="P21" i="21"/>
  <c r="J22" i="12"/>
  <c r="F29" i="20"/>
  <c r="H29" i="20" s="1"/>
  <c r="E27" i="21"/>
  <c r="F23" i="12" l="1"/>
  <c r="N21" i="21"/>
  <c r="E23" i="12"/>
  <c r="D23" i="12" s="1"/>
  <c r="C28" i="21"/>
  <c r="J29" i="20"/>
  <c r="F30" i="20" l="1"/>
  <c r="H30" i="20" s="1"/>
  <c r="E28" i="21"/>
  <c r="B22" i="21" l="1"/>
  <c r="H22" i="21" s="1"/>
  <c r="H23" i="21" s="1"/>
  <c r="H24" i="21" s="1"/>
  <c r="H25" i="21" s="1"/>
  <c r="H26" i="21" s="1"/>
  <c r="G23" i="12"/>
  <c r="K22" i="21" s="1"/>
  <c r="Q22" i="21" s="1"/>
  <c r="K23" i="12"/>
  <c r="B23" i="12"/>
  <c r="L23" i="12"/>
  <c r="C29" i="21"/>
  <c r="J30" i="20"/>
  <c r="N23" i="12" l="1"/>
  <c r="O23" i="12"/>
  <c r="H23" i="12"/>
  <c r="L22" i="21" s="1"/>
  <c r="F31" i="20"/>
  <c r="E29" i="21"/>
  <c r="P22" i="21" l="1"/>
  <c r="O22" i="21"/>
  <c r="J23" i="12"/>
  <c r="E24" i="12"/>
  <c r="D24" i="12" s="1"/>
  <c r="H31" i="20"/>
  <c r="F24" i="12" l="1"/>
  <c r="N22" i="21"/>
  <c r="G33" i="20"/>
  <c r="J31" i="20"/>
  <c r="G24" i="12" l="1"/>
  <c r="K23" i="21" s="1"/>
  <c r="Q23" i="21" s="1"/>
  <c r="B24" i="12"/>
  <c r="K24" i="12"/>
  <c r="L24" i="12"/>
  <c r="F32" i="20"/>
  <c r="H32" i="20" s="1"/>
  <c r="N24" i="12" l="1"/>
  <c r="O24" i="12"/>
  <c r="H24" i="12"/>
  <c r="L23" i="21" s="1"/>
  <c r="J32" i="20"/>
  <c r="P23" i="21" l="1"/>
  <c r="O23" i="21"/>
  <c r="J24" i="12"/>
  <c r="E25" i="12"/>
  <c r="D25" i="12" s="1"/>
  <c r="F25" i="12" l="1"/>
  <c r="N23" i="21"/>
  <c r="G25" i="12" l="1"/>
  <c r="K24" i="21" s="1"/>
  <c r="Q24" i="21" s="1"/>
  <c r="K25" i="12"/>
  <c r="B25" i="12"/>
  <c r="L25" i="12"/>
  <c r="N25" i="12" l="1"/>
  <c r="O25" i="12"/>
  <c r="H25" i="12"/>
  <c r="I25" i="12" l="1"/>
  <c r="L24" i="21"/>
  <c r="P24" i="21"/>
  <c r="O24" i="21"/>
  <c r="M24" i="21" l="1"/>
  <c r="M25" i="12"/>
  <c r="E26" i="12"/>
  <c r="D26" i="12" s="1"/>
  <c r="J25" i="12"/>
  <c r="F26" i="12" l="1"/>
  <c r="N24" i="21"/>
  <c r="G26" i="12"/>
  <c r="K25" i="21" s="1"/>
  <c r="Q25" i="21" s="1"/>
  <c r="B26" i="12"/>
  <c r="L26" i="12"/>
  <c r="K26" i="12"/>
  <c r="N26" i="12" l="1"/>
  <c r="O26" i="12"/>
  <c r="H26" i="12"/>
  <c r="I26" i="12" l="1"/>
  <c r="L25" i="21"/>
  <c r="P25" i="21"/>
  <c r="O25" i="21"/>
  <c r="J26" i="12"/>
  <c r="E27" i="12"/>
  <c r="D27" i="12" s="1"/>
  <c r="M25" i="21" l="1"/>
  <c r="M26" i="12"/>
  <c r="F27" i="12"/>
  <c r="N25" i="21"/>
  <c r="E28" i="12"/>
  <c r="D28" i="12" s="1"/>
  <c r="B27" i="12" l="1"/>
  <c r="K27" i="12"/>
  <c r="G27" i="12"/>
  <c r="K26" i="21" s="1"/>
  <c r="Q26" i="21" s="1"/>
  <c r="L27" i="12"/>
  <c r="O27" i="12" l="1"/>
  <c r="N27" i="12"/>
  <c r="B27" i="21"/>
  <c r="H27" i="21" s="1"/>
  <c r="G28" i="12"/>
  <c r="L28" i="12"/>
  <c r="B28" i="12"/>
  <c r="K28" i="12"/>
  <c r="H27" i="12"/>
  <c r="K27" i="21" l="1"/>
  <c r="Q27" i="21" s="1"/>
  <c r="O26" i="21"/>
  <c r="I27" i="12"/>
  <c r="L26" i="21"/>
  <c r="P26" i="21"/>
  <c r="O28" i="12"/>
  <c r="N28" i="12"/>
  <c r="M26" i="21" l="1"/>
  <c r="M27" i="12"/>
  <c r="M28" i="12" s="1"/>
  <c r="M29" i="12" s="1"/>
  <c r="M30" i="12" s="1"/>
  <c r="J27" i="12"/>
  <c r="O27" i="21"/>
  <c r="P27" i="21"/>
  <c r="E29" i="12"/>
  <c r="D29" i="12" s="1"/>
  <c r="F28" i="12" l="1"/>
  <c r="H28" i="12" s="1"/>
  <c r="N26" i="21"/>
  <c r="L27" i="21" l="1"/>
  <c r="B28" i="21"/>
  <c r="H28" i="21" s="1"/>
  <c r="L29" i="12"/>
  <c r="K29" i="12"/>
  <c r="G29" i="12"/>
  <c r="K28" i="21" s="1"/>
  <c r="Q28" i="21" s="1"/>
  <c r="B29" i="12"/>
  <c r="M27" i="21" l="1"/>
  <c r="E30" i="12"/>
  <c r="D30" i="12" s="1"/>
  <c r="J28" i="12"/>
  <c r="O29" i="12"/>
  <c r="N29" i="12"/>
  <c r="B29" i="21"/>
  <c r="H29" i="21" s="1"/>
  <c r="K30" i="12" l="1"/>
  <c r="O28" i="21"/>
  <c r="P28" i="21"/>
  <c r="F29" i="12"/>
  <c r="H29" i="12" s="1"/>
  <c r="N27" i="21"/>
  <c r="B30" i="12"/>
  <c r="N30" i="12"/>
  <c r="G30" i="12" l="1"/>
  <c r="L30" i="12"/>
  <c r="O30" i="12" s="1"/>
  <c r="P29" i="21" s="1"/>
  <c r="J29" i="12"/>
  <c r="L28" i="21"/>
  <c r="O29" i="21"/>
  <c r="K29" i="21" l="1"/>
  <c r="Q29" i="21" s="1"/>
  <c r="F30" i="12"/>
  <c r="H30" i="12" s="1"/>
  <c r="N28" i="21"/>
  <c r="M28" i="21"/>
  <c r="L29" i="21" l="1"/>
  <c r="M29" i="21" l="1"/>
  <c r="J30" i="12"/>
  <c r="R17" i="12" l="1"/>
  <c r="G31" i="12"/>
  <c r="Q17" i="12"/>
  <c r="N29" i="21"/>
</calcChain>
</file>

<file path=xl/sharedStrings.xml><?xml version="1.0" encoding="utf-8"?>
<sst xmlns="http://schemas.openxmlformats.org/spreadsheetml/2006/main" count="695" uniqueCount="309">
  <si>
    <t>Equipment ID</t>
  </si>
  <si>
    <t>ID</t>
  </si>
  <si>
    <t>SYSTEM</t>
  </si>
  <si>
    <t>Tier</t>
  </si>
  <si>
    <t>SCAX800</t>
  </si>
  <si>
    <t>F40PH</t>
  </si>
  <si>
    <t>SCAX851</t>
  </si>
  <si>
    <t>F59PHu</t>
  </si>
  <si>
    <t>SCAX852</t>
  </si>
  <si>
    <t>SCAX853</t>
  </si>
  <si>
    <t>F59PH</t>
  </si>
  <si>
    <t>SCAX854</t>
  </si>
  <si>
    <t>SCAX856</t>
  </si>
  <si>
    <t>SCAX857</t>
  </si>
  <si>
    <t>SCAX858</t>
  </si>
  <si>
    <t>SCAX859</t>
  </si>
  <si>
    <t>SCAX860</t>
  </si>
  <si>
    <t>SCAX861</t>
  </si>
  <si>
    <t>SCAX862</t>
  </si>
  <si>
    <t>SCAX863</t>
  </si>
  <si>
    <t>SCAX864</t>
  </si>
  <si>
    <t>SCAX865</t>
  </si>
  <si>
    <t>SCAX866</t>
  </si>
  <si>
    <t>SCAX867</t>
  </si>
  <si>
    <t>SCAX868</t>
  </si>
  <si>
    <t>SCAX869</t>
  </si>
  <si>
    <t>SCAX870</t>
  </si>
  <si>
    <t>SCAX871</t>
  </si>
  <si>
    <t>SCAX872</t>
  </si>
  <si>
    <t>SCAX873</t>
  </si>
  <si>
    <t>SCAX874</t>
  </si>
  <si>
    <t>F59PHI</t>
  </si>
  <si>
    <t>SCAX875</t>
  </si>
  <si>
    <t>SCAX876</t>
  </si>
  <si>
    <t>SCAX877</t>
  </si>
  <si>
    <t>SCAX878</t>
  </si>
  <si>
    <t>SCAX879</t>
  </si>
  <si>
    <t>SCAX880</t>
  </si>
  <si>
    <t>SCAX881</t>
  </si>
  <si>
    <t>SCAX882</t>
  </si>
  <si>
    <t>SCAX883</t>
  </si>
  <si>
    <t>SCAX884</t>
  </si>
  <si>
    <t>SCAX885</t>
  </si>
  <si>
    <t>SCAX886</t>
  </si>
  <si>
    <t>SCAX887</t>
  </si>
  <si>
    <t>SCAX888</t>
  </si>
  <si>
    <t>MP36PH-3C</t>
  </si>
  <si>
    <t>SCAX889</t>
  </si>
  <si>
    <t>SCAX890</t>
  </si>
  <si>
    <t>SCAX891</t>
  </si>
  <si>
    <t>SCAX892</t>
  </si>
  <si>
    <t>SCAX893</t>
  </si>
  <si>
    <t>SCAX894</t>
  </si>
  <si>
    <t>SCAX895</t>
  </si>
  <si>
    <t>SCAX896</t>
  </si>
  <si>
    <t>SCAX897</t>
  </si>
  <si>
    <t>SCAX898</t>
  </si>
  <si>
    <t>SCAX899</t>
  </si>
  <si>
    <t>SCAX900</t>
  </si>
  <si>
    <t>SCAX901</t>
  </si>
  <si>
    <t>SCAX902</t>
  </si>
  <si>
    <t>LTE18520</t>
  </si>
  <si>
    <t>LTE18522</t>
  </si>
  <si>
    <t>LTE18533</t>
  </si>
  <si>
    <t>SCAX903</t>
  </si>
  <si>
    <t>EMD F125</t>
  </si>
  <si>
    <t>SCAX904</t>
  </si>
  <si>
    <t>SCAX905</t>
  </si>
  <si>
    <t>SCAX906</t>
  </si>
  <si>
    <t>SCAX907</t>
  </si>
  <si>
    <t>SCAX908</t>
  </si>
  <si>
    <t>SCAX909</t>
  </si>
  <si>
    <t>SCAX910</t>
  </si>
  <si>
    <t>SCAX911</t>
  </si>
  <si>
    <t>SCAX912</t>
  </si>
  <si>
    <t>SCAX913</t>
  </si>
  <si>
    <t>SCAX914</t>
  </si>
  <si>
    <t>SCAX915</t>
  </si>
  <si>
    <t>SCAX916</t>
  </si>
  <si>
    <t>SCAX917</t>
  </si>
  <si>
    <t>SCAX918</t>
  </si>
  <si>
    <t>SCAX919</t>
  </si>
  <si>
    <t>SCAX920</t>
  </si>
  <si>
    <t>SCAX921</t>
  </si>
  <si>
    <t>SCAX922</t>
  </si>
  <si>
    <t>SCAX923</t>
  </si>
  <si>
    <t>SCAX924</t>
  </si>
  <si>
    <t>SCAX925</t>
  </si>
  <si>
    <t>SCAX926</t>
  </si>
  <si>
    <t>SCAX927</t>
  </si>
  <si>
    <t>SCAX928</t>
  </si>
  <si>
    <t>SCAX929</t>
  </si>
  <si>
    <t>SCAX930</t>
  </si>
  <si>
    <t>SCAX931</t>
  </si>
  <si>
    <t>SCAX932</t>
  </si>
  <si>
    <t>SCAX933</t>
  </si>
  <si>
    <t>SCAX934</t>
  </si>
  <si>
    <t>SCAX935</t>
  </si>
  <si>
    <t>SCAX936</t>
  </si>
  <si>
    <t>SCAX937</t>
  </si>
  <si>
    <t>SCAX938</t>
  </si>
  <si>
    <t>SCAX939</t>
  </si>
  <si>
    <t>SCAX940</t>
  </si>
  <si>
    <t>SCAX941</t>
  </si>
  <si>
    <t>SCAX942</t>
  </si>
  <si>
    <t>System</t>
  </si>
  <si>
    <t>Mileage</t>
  </si>
  <si>
    <t>All Loco</t>
  </si>
  <si>
    <t>-</t>
  </si>
  <si>
    <t>F125</t>
  </si>
  <si>
    <t>MP36</t>
  </si>
  <si>
    <t>F59PHR Repower</t>
  </si>
  <si>
    <t>Gal/Mile</t>
  </si>
  <si>
    <t>U.S. EPA Line-haul emission factors (g/bhp-hr)</t>
  </si>
  <si>
    <t>U.S. EPA emission factors, measured in g/gal</t>
  </si>
  <si>
    <t>CO</t>
  </si>
  <si>
    <r>
      <t>PM</t>
    </r>
    <r>
      <rPr>
        <b/>
        <vertAlign val="subscript"/>
        <sz val="12"/>
        <color rgb="FF000000"/>
        <rFont val="Times New Roman"/>
        <family val="1"/>
      </rPr>
      <t>10</t>
    </r>
  </si>
  <si>
    <t xml:space="preserve"> HC</t>
  </si>
  <si>
    <r>
      <t xml:space="preserve"> NO</t>
    </r>
    <r>
      <rPr>
        <b/>
        <vertAlign val="subscript"/>
        <sz val="12"/>
        <color rgb="FF000000"/>
        <rFont val="Times New Roman"/>
        <family val="1"/>
      </rPr>
      <t>x</t>
    </r>
    <r>
      <rPr>
        <b/>
        <sz val="12"/>
        <color rgb="FF000000"/>
        <rFont val="Times New Roman"/>
        <family val="1"/>
      </rPr>
      <t xml:space="preserve"> </t>
    </r>
  </si>
  <si>
    <t>Pre-Tier</t>
  </si>
  <si>
    <t>Tier 0</t>
  </si>
  <si>
    <t>Tier 0+</t>
  </si>
  <si>
    <t>Tier 1</t>
  </si>
  <si>
    <t>Tier 1+</t>
  </si>
  <si>
    <t>Tier 2</t>
  </si>
  <si>
    <t>Tier 2+</t>
  </si>
  <si>
    <t>Tier 3</t>
  </si>
  <si>
    <t>Tier 4</t>
  </si>
  <si>
    <t>Emission Factors</t>
  </si>
  <si>
    <t>Mileage and Consumption</t>
  </si>
  <si>
    <t>Full Service Schedule (projection)</t>
  </si>
  <si>
    <t>U.S. EPA Line-haul emission factors (g/kWh)</t>
  </si>
  <si>
    <t>1 bhp-hr =</t>
  </si>
  <si>
    <t>kWh</t>
  </si>
  <si>
    <t>Mileage (projection)</t>
  </si>
  <si>
    <t>Consumption (projection)</t>
  </si>
  <si>
    <t>2021*</t>
  </si>
  <si>
    <t>* Projection</t>
  </si>
  <si>
    <t>Consumption (gallons)</t>
  </si>
  <si>
    <t>Current/Reduced Service Schedual</t>
  </si>
  <si>
    <t>NOX</t>
  </si>
  <si>
    <t>PM</t>
  </si>
  <si>
    <t>HC</t>
  </si>
  <si>
    <t>GWP</t>
  </si>
  <si>
    <t>2020 Reduction</t>
  </si>
  <si>
    <t>co2</t>
  </si>
  <si>
    <t>https://www.gigacalculator.com/calculators/percent-decrease-calculator.php</t>
  </si>
  <si>
    <t>model scenario if 2020 fuel consumption was only used in Tier 4 locomotives to see the Tier 2/0 delta</t>
  </si>
  <si>
    <t>Tier 2:</t>
  </si>
  <si>
    <t xml:space="preserve">Tier 4: </t>
  </si>
  <si>
    <t>Nox</t>
  </si>
  <si>
    <t>MWhs</t>
  </si>
  <si>
    <t>Based on 2020 reduced service data</t>
  </si>
  <si>
    <r>
      <rPr>
        <b/>
        <sz val="11"/>
        <color theme="1"/>
        <rFont val="Calibri"/>
        <family val="2"/>
        <scheme val="minor"/>
      </rPr>
      <t>2022</t>
    </r>
    <r>
      <rPr>
        <sz val="11"/>
        <color theme="1"/>
        <rFont val="Calibri"/>
        <family val="2"/>
        <scheme val="minor"/>
      </rPr>
      <t xml:space="preserve"> (based on 2020 use)</t>
    </r>
  </si>
  <si>
    <t>Annual</t>
  </si>
  <si>
    <t>Factor</t>
  </si>
  <si>
    <t xml:space="preserve">PM </t>
  </si>
  <si>
    <t>Total</t>
  </si>
  <si>
    <t xml:space="preserve"> Spending Account</t>
  </si>
  <si>
    <t>Per Troy 3/25/21 review</t>
  </si>
  <si>
    <t>by 2025:</t>
  </si>
  <si>
    <t>by 2030</t>
  </si>
  <si>
    <t>per year</t>
  </si>
  <si>
    <t>Annual Operating Budget</t>
  </si>
  <si>
    <t>VMT</t>
  </si>
  <si>
    <t>total</t>
  </si>
  <si>
    <t>GHG</t>
  </si>
  <si>
    <t>Scenario 1: Tier 2 and Tier 4 Fleet</t>
  </si>
  <si>
    <t>Scenario 2: All Tier 4 Fleet</t>
  </si>
  <si>
    <t>2022 *</t>
  </si>
  <si>
    <t>*2022 based on 2020 actual service</t>
  </si>
  <si>
    <t>GRAND TOTAL ALL TIER 4</t>
  </si>
  <si>
    <t>GRAND TOTAL TIER 2/TIER 4</t>
  </si>
  <si>
    <t>Scenario Net Difference</t>
  </si>
  <si>
    <t>Tier 2/4</t>
  </si>
  <si>
    <t>Annual Average</t>
  </si>
  <si>
    <t>Note: Tier 2 service is 12% operating hours</t>
  </si>
  <si>
    <t>Tier 4 service is 88% of operating hours</t>
  </si>
  <si>
    <t>YEAR</t>
  </si>
  <si>
    <t>FARE INCREASE</t>
  </si>
  <si>
    <t>RIDERSHIP GROWTH PROJECTIONS</t>
  </si>
  <si>
    <t>SCORE</t>
  </si>
  <si>
    <t>TIER 2</t>
  </si>
  <si>
    <t>TOTAL</t>
  </si>
  <si>
    <t>REV MILES</t>
  </si>
  <si>
    <t>TIER 4</t>
  </si>
  <si>
    <t>GALLONS</t>
  </si>
  <si>
    <t>miles per gallon</t>
  </si>
  <si>
    <t>CARB ESTIMATED FUEL CONSUMPTION BY TIER TYPE IN LINE WITH SBP WHITE PAPER ASSUMPTIONS</t>
  </si>
  <si>
    <t>2020=2021</t>
  </si>
  <si>
    <t>2020=2022</t>
  </si>
  <si>
    <t>2019=2023</t>
  </si>
  <si>
    <t>2019+15%</t>
  </si>
  <si>
    <t>2019+29%</t>
  </si>
  <si>
    <t>2019+40%</t>
  </si>
  <si>
    <t>2019+52%</t>
  </si>
  <si>
    <t>TOTAL GALLONS</t>
  </si>
  <si>
    <t>Year</t>
  </si>
  <si>
    <t>PM Factor</t>
  </si>
  <si>
    <t>Annual Factor</t>
  </si>
  <si>
    <t>CARB Spending Account Factors</t>
  </si>
  <si>
    <t>Metrolink Emission Factors</t>
  </si>
  <si>
    <t>NOx</t>
  </si>
  <si>
    <t>Activity (MWhrs)</t>
  </si>
  <si>
    <t>CARB Growth (0%)</t>
  </si>
  <si>
    <t>Metrolink Growth</t>
  </si>
  <si>
    <t>Funding Total [$] = {(NOx EF [g/bhp-hr])+(PM Factor)× (PM EF [g/bhp-hr])}×(Annual Factor)×(Usage [MWhs])</t>
  </si>
  <si>
    <t>Spending Account Multiplier</t>
  </si>
  <si>
    <t>Cost Assumptions</t>
  </si>
  <si>
    <t>Tier 4 Locomotive (Bulk)</t>
  </si>
  <si>
    <t>Tier 4 Locomotive (Single Purchase)</t>
  </si>
  <si>
    <t>No. Locomotives for Bulk</t>
  </si>
  <si>
    <t>Bulk</t>
  </si>
  <si>
    <t>Tier 5 required</t>
  </si>
  <si>
    <t>Locomotives Purchased</t>
  </si>
  <si>
    <t>Spending Account Balance After Purchase</t>
  </si>
  <si>
    <t>n/a</t>
  </si>
  <si>
    <t>Single-Purchase Procurement 
(CARB Proposal)</t>
  </si>
  <si>
    <t>Bulk Procurement 
(Typical)</t>
  </si>
  <si>
    <t>Metrolink Growth Scenario</t>
  </si>
  <si>
    <t>CARB Growth Scenario</t>
  </si>
  <si>
    <t xml:space="preserve">Annual Spending Account Contribution </t>
  </si>
  <si>
    <t>Tier 5 Locomotive (Bulk)</t>
  </si>
  <si>
    <t>based on CARB's cost of Tier 5 line haul at the ratio of Tier 4 line haul/passenger</t>
  </si>
  <si>
    <t>Tier 5 Locomotive (Single Purchase)</t>
  </si>
  <si>
    <t>Tier 5</t>
  </si>
  <si>
    <t>Single Purchase</t>
  </si>
  <si>
    <t>does not include engineering or soft costs</t>
  </si>
  <si>
    <t>Spending Account does not include interest</t>
  </si>
  <si>
    <t>Spending Account Balance at Compliance-Year End</t>
  </si>
  <si>
    <t>Metrolink Fleet Plan (CAP)</t>
  </si>
  <si>
    <t>15 Tier-4 locomotives in operation by 2026</t>
  </si>
  <si>
    <t>adds 5% per Metrolink estimates</t>
  </si>
  <si>
    <t xml:space="preserve">ZE locomotive </t>
  </si>
  <si>
    <t>Zero-emissions procurement</t>
  </si>
  <si>
    <t>5 in 2036, then roughly 1 every 3 years</t>
  </si>
  <si>
    <t>1 in 2036, then roughly 1 every 2 years</t>
  </si>
  <si>
    <t>Bulk Procurement 
(10 locomotives)</t>
  </si>
  <si>
    <t>Bulk Procurement 
(5 locomotives)</t>
  </si>
  <si>
    <t xml:space="preserve">Tier 4 </t>
  </si>
  <si>
    <t>Activity Hours</t>
  </si>
  <si>
    <t>Balance After Procurement</t>
  </si>
  <si>
    <t>New locomotives have same activity hours as Tier 2</t>
  </si>
  <si>
    <t>Locomotives Purchased*</t>
  </si>
  <si>
    <t>* Assumes locomotives are purchased at the end of the year with the year-end spending account balance and put into operation the subsequent year.</t>
  </si>
  <si>
    <t>Carryover Balance 
(Year Start)</t>
  </si>
  <si>
    <t>Annual Spending Account Contribution 
(Year End)</t>
  </si>
  <si>
    <t>Total 
(Year End)</t>
  </si>
  <si>
    <t>CARB Procurement Scenario - Single Purchase</t>
  </si>
  <si>
    <t>zero-emission required</t>
  </si>
  <si>
    <t>Zero-Emission</t>
  </si>
  <si>
    <t>ZE</t>
  </si>
  <si>
    <t>Regulatory Assumptions</t>
  </si>
  <si>
    <t>1. Locomotives with engine build date of 2030 or later must be replaced with ZE.</t>
  </si>
  <si>
    <t>2. New locomotive purchases must be ZE beginning in 2030.</t>
  </si>
  <si>
    <t>Tier 2 MP36</t>
  </si>
  <si>
    <t>Type</t>
  </si>
  <si>
    <t>Quantity</t>
  </si>
  <si>
    <t>Engine Date</t>
  </si>
  <si>
    <t>2008-2009</t>
  </si>
  <si>
    <t>Tier 4 F125</t>
  </si>
  <si>
    <t>2017-2021</t>
  </si>
  <si>
    <t>Metrolink Existing Fleet</t>
  </si>
  <si>
    <t>Required Purchases Under New Regulation</t>
  </si>
  <si>
    <t>Tier 4 prior to 2030; ZE after 2030</t>
  </si>
  <si>
    <t>NOx TPY</t>
  </si>
  <si>
    <t>PM TPY</t>
  </si>
  <si>
    <t>delta NOx</t>
  </si>
  <si>
    <t>delta PM</t>
  </si>
  <si>
    <t>F-125 deliveries began in July 2016 and last one delivered on May 2021.  Assume 8 per year for 5 years beginning in 2016.</t>
  </si>
  <si>
    <t>Year (July 1)</t>
  </si>
  <si>
    <t>Annual Spending Account Contribution 
July 1</t>
  </si>
  <si>
    <t>Total Emission Reductions PM (TPY)</t>
  </si>
  <si>
    <t>Total Emission Reductions NOx (TPY)</t>
  </si>
  <si>
    <t>MWhrs/gallon</t>
  </si>
  <si>
    <t>gallons/loco-yr</t>
  </si>
  <si>
    <t>MWhrs/loco-yr</t>
  </si>
  <si>
    <t>F-125</t>
  </si>
  <si>
    <t>loco HP useful life</t>
  </si>
  <si>
    <t>MWhr assumptions</t>
  </si>
  <si>
    <t>Assume all non tier 4 are Tier 2 MP36</t>
  </si>
  <si>
    <t>Fuel gallons</t>
  </si>
  <si>
    <t>Fuel use is 2019 (highest pre pandemic)</t>
  </si>
  <si>
    <t>Activity remains constant no growth</t>
  </si>
  <si>
    <t xml:space="preserve">Reg conversion factor </t>
  </si>
  <si>
    <t>MWhr/gallon</t>
  </si>
  <si>
    <t>MWhrs</t>
  </si>
  <si>
    <t>count of locos (non zero)</t>
  </si>
  <si>
    <t>fleet is 55 locomotives and fuel use equally distributed among them all</t>
  </si>
  <si>
    <t>15 tier 2s and 40 tier 4s</t>
  </si>
  <si>
    <t>Activity Per Locomotive Type (MWhrs)</t>
  </si>
  <si>
    <t>Prop engine HP</t>
  </si>
  <si>
    <t>CARB multiplier for MW hr cap</t>
  </si>
  <si>
    <t>ZE Credits</t>
  </si>
  <si>
    <t>ZE MWhrs</t>
  </si>
  <si>
    <t>SIRIA</t>
  </si>
  <si>
    <t>Fleet Actions Regulation</t>
  </si>
  <si>
    <t>Fleet Actions ACP</t>
  </si>
  <si>
    <t>loco turnover</t>
  </si>
  <si>
    <t>Spending Account Balance After Procurement</t>
  </si>
  <si>
    <t>Spending Account Balance
July 1</t>
  </si>
  <si>
    <t>ACP</t>
  </si>
  <si>
    <t>Regulation</t>
  </si>
  <si>
    <t>Spending Account Total Contributions</t>
  </si>
  <si>
    <t>Gallons</t>
  </si>
  <si>
    <t xml:space="preserve">3. ACP must show equivalent reductions to spending account. </t>
  </si>
  <si>
    <t>3. ACP must show equivalent reductions to spending account.</t>
  </si>
  <si>
    <t>In Service</t>
  </si>
  <si>
    <t>Not Operational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</si>
</sst>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yyyy"/>
    <numFmt numFmtId="165" formatCode="0.0"/>
    <numFmt numFmtId="166" formatCode="_(* #,##0_);_(* \(#,##0\);_(* &quot;-&quot;??_);_(@_)"/>
    <numFmt numFmtId="167" formatCode="0.000000"/>
    <numFmt numFmtId="168" formatCode="_(&quot;$&quot;* #,##0_);_(&quot;$&quot;* \(#,##0\);_(&quot;$&quot;* &quot;-&quot;??_);_(@_)"/>
    <numFmt numFmtId="169" formatCode="0.0%"/>
    <numFmt numFmtId="170" formatCode="&quot;$&quot;#,##0"/>
    <numFmt numFmtId="171" formatCode="&quot;$&quot;#,##0.00"/>
    <numFmt numFmtId="172" formatCode="#,##0.0"/>
  </numFmts>
  <fonts count="22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b/>
      <vertAlign val="subscript"/>
      <sz val="12"/>
      <color rgb="FF000000"/>
      <name val="Times New Roman"/>
      <family val="1"/>
    </font>
    <font>
      <b/>
      <sz val="18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rgb="FF202124"/>
      <name val="Arial"/>
      <family val="2"/>
    </font>
    <font>
      <sz val="8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sz val="11"/>
      <color rgb="FF3F3F3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b/>
      <i/>
      <sz val="11"/>
      <color theme="9" tint="-0.249977111117893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/>
      <bottom/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12" borderId="16" applyNumberFormat="0" applyAlignment="0" applyProtection="0"/>
    <xf numFmtId="44" fontId="5" fillId="0" borderId="0" applyFont="0" applyFill="0" applyBorder="0" applyAlignment="0" applyProtection="0"/>
  </cellStyleXfs>
  <cellXfs count="2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2" fontId="2" fillId="3" borderId="0" xfId="0" applyNumberFormat="1" applyFont="1" applyFill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Border="1"/>
    <xf numFmtId="2" fontId="0" fillId="0" borderId="8" xfId="0" applyNumberFormat="1" applyBorder="1" applyAlignment="1">
      <alignment horizontal="center" vertical="center"/>
    </xf>
    <xf numFmtId="2" fontId="2" fillId="3" borderId="3" xfId="0" applyNumberFormat="1" applyFont="1" applyFill="1" applyBorder="1" applyAlignment="1">
      <alignment vertical="center" wrapText="1"/>
    </xf>
    <xf numFmtId="2" fontId="2" fillId="3" borderId="0" xfId="0" applyNumberFormat="1" applyFont="1" applyFill="1" applyBorder="1" applyAlignment="1">
      <alignment vertical="center" wrapText="1"/>
    </xf>
    <xf numFmtId="1" fontId="4" fillId="3" borderId="0" xfId="0" applyNumberFormat="1" applyFont="1" applyFill="1" applyBorder="1" applyAlignment="1">
      <alignment horizontal="center" vertical="center" wrapText="1"/>
    </xf>
    <xf numFmtId="2" fontId="2" fillId="3" borderId="0" xfId="0" applyNumberFormat="1" applyFont="1" applyFill="1" applyAlignment="1">
      <alignment vertical="center" wrapText="1"/>
    </xf>
    <xf numFmtId="0" fontId="0" fillId="5" borderId="0" xfId="0" applyFill="1" applyAlignment="1">
      <alignment horizontal="center"/>
    </xf>
    <xf numFmtId="0" fontId="0" fillId="5" borderId="0" xfId="0" applyFill="1" applyAlignment="1">
      <alignment horizontal="center" vertical="center"/>
    </xf>
    <xf numFmtId="0" fontId="0" fillId="6" borderId="8" xfId="0" applyFill="1" applyBorder="1"/>
    <xf numFmtId="1" fontId="0" fillId="7" borderId="8" xfId="0" applyNumberFormat="1" applyFill="1" applyBorder="1"/>
    <xf numFmtId="0" fontId="8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0" fillId="0" borderId="0" xfId="0"/>
    <xf numFmtId="2" fontId="8" fillId="0" borderId="13" xfId="0" applyNumberFormat="1" applyFont="1" applyBorder="1" applyAlignment="1">
      <alignment horizontal="center" vertical="center" wrapText="1"/>
    </xf>
    <xf numFmtId="0" fontId="11" fillId="11" borderId="0" xfId="0" applyFont="1" applyFill="1" applyAlignment="1">
      <alignment vertical="center" wrapText="1"/>
    </xf>
    <xf numFmtId="0" fontId="12" fillId="11" borderId="0" xfId="0" applyFont="1" applyFill="1"/>
    <xf numFmtId="0" fontId="0" fillId="11" borderId="0" xfId="0" applyFill="1"/>
    <xf numFmtId="0" fontId="0" fillId="0" borderId="0" xfId="0" applyBorder="1" applyAlignment="1">
      <alignment horizontal="center"/>
    </xf>
    <xf numFmtId="166" fontId="0" fillId="6" borderId="8" xfId="1" applyNumberFormat="1" applyFont="1" applyFill="1" applyBorder="1"/>
    <xf numFmtId="166" fontId="0" fillId="9" borderId="8" xfId="1" applyNumberFormat="1" applyFont="1" applyFill="1" applyBorder="1"/>
    <xf numFmtId="0" fontId="13" fillId="9" borderId="0" xfId="0" applyFont="1" applyFill="1" applyBorder="1" applyAlignment="1"/>
    <xf numFmtId="166" fontId="0" fillId="8" borderId="8" xfId="1" applyNumberFormat="1" applyFont="1" applyFill="1" applyBorder="1"/>
    <xf numFmtId="166" fontId="0" fillId="0" borderId="0" xfId="0" applyNumberFormat="1"/>
    <xf numFmtId="166" fontId="16" fillId="0" borderId="0" xfId="0" applyNumberFormat="1" applyFont="1"/>
    <xf numFmtId="167" fontId="17" fillId="0" borderId="0" xfId="3" applyNumberFormat="1" applyFont="1" applyFill="1" applyBorder="1" applyAlignment="1">
      <alignment horizontal="right" vertical="center" wrapText="1"/>
    </xf>
    <xf numFmtId="0" fontId="0" fillId="0" borderId="5" xfId="0" applyBorder="1"/>
    <xf numFmtId="2" fontId="0" fillId="0" borderId="0" xfId="0" applyNumberFormat="1"/>
    <xf numFmtId="2" fontId="0" fillId="0" borderId="5" xfId="0" applyNumberFormat="1" applyBorder="1"/>
    <xf numFmtId="0" fontId="0" fillId="0" borderId="0" xfId="0" applyAlignment="1">
      <alignment horizontal="center"/>
    </xf>
    <xf numFmtId="9" fontId="15" fillId="0" borderId="0" xfId="2" applyFont="1"/>
    <xf numFmtId="0" fontId="18" fillId="0" borderId="5" xfId="0" applyFont="1" applyBorder="1"/>
    <xf numFmtId="0" fontId="15" fillId="0" borderId="2" xfId="0" applyFont="1" applyBorder="1" applyAlignment="1">
      <alignment horizontal="right"/>
    </xf>
    <xf numFmtId="0" fontId="0" fillId="0" borderId="17" xfId="0" applyBorder="1"/>
    <xf numFmtId="0" fontId="0" fillId="0" borderId="18" xfId="0" applyBorder="1"/>
    <xf numFmtId="0" fontId="0" fillId="0" borderId="4" xfId="0" applyBorder="1"/>
    <xf numFmtId="9" fontId="15" fillId="0" borderId="19" xfId="2" applyFont="1" applyBorder="1"/>
    <xf numFmtId="166" fontId="0" fillId="0" borderId="0" xfId="1" applyNumberFormat="1" applyFont="1"/>
    <xf numFmtId="166" fontId="0" fillId="13" borderId="0" xfId="1" applyNumberFormat="1" applyFont="1" applyFill="1"/>
    <xf numFmtId="0" fontId="0" fillId="13" borderId="0" xfId="0" applyFill="1"/>
    <xf numFmtId="44" fontId="0" fillId="0" borderId="0" xfId="4" applyFont="1"/>
    <xf numFmtId="44" fontId="0" fillId="0" borderId="0" xfId="4" applyFont="1" applyBorder="1"/>
    <xf numFmtId="44" fontId="6" fillId="0" borderId="20" xfId="0" applyNumberFormat="1" applyFont="1" applyBorder="1"/>
    <xf numFmtId="0" fontId="0" fillId="14" borderId="21" xfId="0" applyFill="1" applyBorder="1" applyAlignment="1">
      <alignment horizontal="center"/>
    </xf>
    <xf numFmtId="0" fontId="0" fillId="14" borderId="19" xfId="0" applyFill="1" applyBorder="1" applyAlignment="1">
      <alignment horizontal="center"/>
    </xf>
    <xf numFmtId="0" fontId="0" fillId="14" borderId="23" xfId="0" applyFill="1" applyBorder="1" applyAlignment="1">
      <alignment horizontal="center"/>
    </xf>
    <xf numFmtId="0" fontId="0" fillId="14" borderId="22" xfId="0" applyFill="1" applyBorder="1" applyAlignment="1">
      <alignment horizont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/>
    <xf numFmtId="44" fontId="6" fillId="0" borderId="8" xfId="0" applyNumberFormat="1" applyFont="1" applyBorder="1"/>
    <xf numFmtId="168" fontId="0" fillId="0" borderId="0" xfId="0" applyNumberFormat="1"/>
    <xf numFmtId="168" fontId="0" fillId="0" borderId="0" xfId="4" applyNumberFormat="1" applyFont="1"/>
    <xf numFmtId="43" fontId="0" fillId="0" borderId="0" xfId="0" applyNumberFormat="1"/>
    <xf numFmtId="10" fontId="0" fillId="0" borderId="0" xfId="2" applyNumberFormat="1" applyFont="1"/>
    <xf numFmtId="43" fontId="0" fillId="0" borderId="0" xfId="1" applyFont="1"/>
    <xf numFmtId="166" fontId="0" fillId="0" borderId="0" xfId="1" applyNumberFormat="1" applyFont="1" applyFill="1"/>
    <xf numFmtId="166" fontId="0" fillId="17" borderId="0" xfId="1" applyNumberFormat="1" applyFont="1" applyFill="1"/>
    <xf numFmtId="0" fontId="6" fillId="0" borderId="0" xfId="0" applyFont="1" applyAlignment="1">
      <alignment horizontal="center"/>
    </xf>
    <xf numFmtId="44" fontId="0" fillId="0" borderId="0" xfId="0" applyNumberFormat="1"/>
    <xf numFmtId="0" fontId="0" fillId="8" borderId="0" xfId="0" applyFill="1"/>
    <xf numFmtId="44" fontId="0" fillId="8" borderId="0" xfId="0" applyNumberFormat="1" applyFill="1"/>
    <xf numFmtId="169" fontId="0" fillId="0" borderId="0" xfId="2" applyNumberFormat="1" applyFont="1"/>
    <xf numFmtId="9" fontId="0" fillId="0" borderId="0" xfId="2" applyNumberFormat="1" applyFont="1"/>
    <xf numFmtId="0" fontId="6" fillId="0" borderId="5" xfId="0" applyFont="1" applyBorder="1" applyAlignment="1">
      <alignment horizontal="center"/>
    </xf>
    <xf numFmtId="0" fontId="6" fillId="19" borderId="6" xfId="0" applyFont="1" applyFill="1" applyBorder="1" applyAlignment="1">
      <alignment horizontal="center"/>
    </xf>
    <xf numFmtId="0" fontId="6" fillId="19" borderId="15" xfId="0" applyFont="1" applyFill="1" applyBorder="1" applyAlignment="1">
      <alignment horizontal="center"/>
    </xf>
    <xf numFmtId="0" fontId="6" fillId="19" borderId="7" xfId="0" applyFont="1" applyFill="1" applyBorder="1" applyAlignment="1">
      <alignment horizontal="center"/>
    </xf>
    <xf numFmtId="10" fontId="6" fillId="0" borderId="7" xfId="0" applyNumberFormat="1" applyFont="1" applyBorder="1" applyAlignment="1">
      <alignment horizontal="center"/>
    </xf>
    <xf numFmtId="0" fontId="6" fillId="19" borderId="8" xfId="0" applyFont="1" applyFill="1" applyBorder="1" applyAlignment="1">
      <alignment horizontal="center" wrapText="1"/>
    </xf>
    <xf numFmtId="10" fontId="6" fillId="0" borderId="8" xfId="0" applyNumberFormat="1" applyFont="1" applyBorder="1" applyAlignment="1">
      <alignment horizontal="center"/>
    </xf>
    <xf numFmtId="0" fontId="0" fillId="14" borderId="0" xfId="0" applyFill="1"/>
    <xf numFmtId="44" fontId="0" fillId="14" borderId="0" xfId="4" applyFont="1" applyFill="1"/>
    <xf numFmtId="43" fontId="0" fillId="14" borderId="0" xfId="1" applyFont="1" applyFill="1"/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horizontal="center"/>
    </xf>
    <xf numFmtId="1" fontId="0" fillId="0" borderId="0" xfId="0" applyNumberFormat="1"/>
    <xf numFmtId="166" fontId="0" fillId="16" borderId="8" xfId="1" applyNumberFormat="1" applyFont="1" applyFill="1" applyBorder="1"/>
    <xf numFmtId="166" fontId="0" fillId="16" borderId="8" xfId="1" applyNumberFormat="1" applyFont="1" applyFill="1" applyBorder="1" applyAlignment="1">
      <alignment horizontal="right" vertical="center" shrinkToFit="1"/>
    </xf>
    <xf numFmtId="0" fontId="0" fillId="0" borderId="0" xfId="0" applyAlignment="1">
      <alignment wrapText="1"/>
    </xf>
    <xf numFmtId="44" fontId="6" fillId="0" borderId="0" xfId="0" applyNumberFormat="1" applyFont="1" applyBorder="1"/>
    <xf numFmtId="42" fontId="0" fillId="0" borderId="0" xfId="0" applyNumberForma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6" fillId="10" borderId="3" xfId="0" applyFont="1" applyFill="1" applyBorder="1" applyAlignment="1">
      <alignment horizontal="left"/>
    </xf>
    <xf numFmtId="3" fontId="0" fillId="10" borderId="3" xfId="0" applyNumberForma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21" xfId="0" applyFont="1" applyFill="1" applyBorder="1" applyAlignment="1">
      <alignment horizontal="left"/>
    </xf>
    <xf numFmtId="3" fontId="0" fillId="0" borderId="3" xfId="0" applyNumberFormat="1" applyFill="1" applyBorder="1" applyAlignment="1">
      <alignment horizontal="left"/>
    </xf>
    <xf numFmtId="3" fontId="0" fillId="0" borderId="21" xfId="0" applyNumberFormat="1" applyFill="1" applyBorder="1" applyAlignment="1">
      <alignment horizontal="left"/>
    </xf>
    <xf numFmtId="3" fontId="0" fillId="0" borderId="4" xfId="0" applyNumberFormat="1" applyFill="1" applyBorder="1" applyAlignment="1">
      <alignment horizontal="left"/>
    </xf>
    <xf numFmtId="3" fontId="0" fillId="0" borderId="19" xfId="0" applyNumberFormat="1" applyFill="1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" xfId="0" applyBorder="1"/>
    <xf numFmtId="0" fontId="6" fillId="0" borderId="23" xfId="0" applyFont="1" applyBorder="1" applyAlignment="1">
      <alignment horizontal="left"/>
    </xf>
    <xf numFmtId="170" fontId="0" fillId="0" borderId="0" xfId="0" applyNumberFormat="1"/>
    <xf numFmtId="0" fontId="6" fillId="0" borderId="21" xfId="0" applyFont="1" applyBorder="1" applyAlignment="1">
      <alignment horizontal="left" wrapText="1"/>
    </xf>
    <xf numFmtId="44" fontId="0" fillId="0" borderId="0" xfId="0" applyNumberFormat="1" applyAlignment="1">
      <alignment horizontal="right"/>
    </xf>
    <xf numFmtId="0" fontId="0" fillId="0" borderId="0" xfId="0" applyAlignment="1">
      <alignment horizontal="left" wrapText="1"/>
    </xf>
    <xf numFmtId="0" fontId="19" fillId="0" borderId="0" xfId="0" applyFont="1"/>
    <xf numFmtId="0" fontId="20" fillId="0" borderId="0" xfId="0" applyFont="1"/>
    <xf numFmtId="37" fontId="0" fillId="0" borderId="0" xfId="0" applyNumberFormat="1"/>
    <xf numFmtId="171" fontId="0" fillId="0" borderId="0" xfId="0" applyNumberFormat="1"/>
    <xf numFmtId="37" fontId="20" fillId="0" borderId="0" xfId="0" applyNumberFormat="1" applyFont="1" applyAlignment="1">
      <alignment horizontal="left"/>
    </xf>
    <xf numFmtId="0" fontId="0" fillId="16" borderId="0" xfId="0" applyFill="1" applyAlignment="1">
      <alignment horizontal="left" wrapText="1"/>
    </xf>
    <xf numFmtId="1" fontId="0" fillId="16" borderId="0" xfId="0" applyNumberFormat="1" applyFill="1" applyAlignment="1">
      <alignment horizontal="left" wrapText="1"/>
    </xf>
    <xf numFmtId="170" fontId="0" fillId="16" borderId="0" xfId="0" applyNumberFormat="1" applyFill="1" applyAlignment="1">
      <alignment horizontal="left" wrapText="1"/>
    </xf>
    <xf numFmtId="1" fontId="0" fillId="16" borderId="0" xfId="0" applyNumberFormat="1" applyFill="1" applyAlignment="1">
      <alignment horizontal="left"/>
    </xf>
    <xf numFmtId="170" fontId="0" fillId="16" borderId="0" xfId="0" applyNumberFormat="1" applyFill="1" applyAlignment="1">
      <alignment horizontal="left"/>
    </xf>
    <xf numFmtId="0" fontId="0" fillId="18" borderId="0" xfId="0" applyFill="1" applyAlignment="1">
      <alignment horizontal="left" wrapText="1"/>
    </xf>
    <xf numFmtId="1" fontId="0" fillId="18" borderId="0" xfId="0" applyNumberFormat="1" applyFill="1" applyAlignment="1">
      <alignment horizontal="left" wrapText="1"/>
    </xf>
    <xf numFmtId="170" fontId="0" fillId="18" borderId="0" xfId="0" applyNumberFormat="1" applyFill="1" applyAlignment="1">
      <alignment horizontal="left" wrapText="1"/>
    </xf>
    <xf numFmtId="1" fontId="0" fillId="18" borderId="0" xfId="0" applyNumberFormat="1" applyFill="1" applyAlignment="1">
      <alignment horizontal="left"/>
    </xf>
    <xf numFmtId="170" fontId="0" fillId="18" borderId="0" xfId="0" applyNumberFormat="1" applyFill="1" applyAlignment="1">
      <alignment horizontal="left"/>
    </xf>
    <xf numFmtId="5" fontId="0" fillId="0" borderId="0" xfId="0" applyNumberFormat="1" applyAlignment="1">
      <alignment horizontal="left" wrapText="1"/>
    </xf>
    <xf numFmtId="44" fontId="0" fillId="0" borderId="0" xfId="0" applyNumberFormat="1" applyAlignment="1">
      <alignment horizontal="left"/>
    </xf>
    <xf numFmtId="0" fontId="0" fillId="0" borderId="24" xfId="0" applyBorder="1" applyAlignment="1">
      <alignment horizontal="left" wrapText="1"/>
    </xf>
    <xf numFmtId="5" fontId="0" fillId="0" borderId="24" xfId="0" applyNumberFormat="1" applyBorder="1" applyAlignment="1">
      <alignment horizontal="left" wrapText="1"/>
    </xf>
    <xf numFmtId="1" fontId="0" fillId="16" borderId="24" xfId="0" applyNumberFormat="1" applyFill="1" applyBorder="1" applyAlignment="1">
      <alignment horizontal="left"/>
    </xf>
    <xf numFmtId="170" fontId="0" fillId="16" borderId="24" xfId="0" applyNumberFormat="1" applyFill="1" applyBorder="1" applyAlignment="1">
      <alignment horizontal="left"/>
    </xf>
    <xf numFmtId="1" fontId="0" fillId="18" borderId="24" xfId="0" applyNumberFormat="1" applyFill="1" applyBorder="1" applyAlignment="1">
      <alignment horizontal="left"/>
    </xf>
    <xf numFmtId="170" fontId="0" fillId="18" borderId="24" xfId="0" applyNumberFormat="1" applyFill="1" applyBorder="1" applyAlignment="1">
      <alignment horizontal="left"/>
    </xf>
    <xf numFmtId="44" fontId="19" fillId="0" borderId="24" xfId="0" applyNumberFormat="1" applyFont="1" applyBorder="1"/>
    <xf numFmtId="170" fontId="0" fillId="18" borderId="0" xfId="0" applyNumberFormat="1" applyFill="1" applyBorder="1" applyAlignment="1">
      <alignment horizontal="left"/>
    </xf>
    <xf numFmtId="0" fontId="0" fillId="0" borderId="0" xfId="0" applyBorder="1" applyAlignment="1">
      <alignment horizontal="left" wrapText="1"/>
    </xf>
    <xf numFmtId="1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/>
    </xf>
    <xf numFmtId="0" fontId="0" fillId="5" borderId="0" xfId="0" applyFill="1" applyAlignment="1">
      <alignment horizontal="left" wrapText="1"/>
    </xf>
    <xf numFmtId="1" fontId="0" fillId="5" borderId="0" xfId="0" applyNumberFormat="1" applyFill="1" applyAlignment="1">
      <alignment horizontal="left" wrapText="1"/>
    </xf>
    <xf numFmtId="0" fontId="0" fillId="10" borderId="0" xfId="0" applyFill="1" applyAlignment="1">
      <alignment horizontal="left" wrapText="1"/>
    </xf>
    <xf numFmtId="5" fontId="0" fillId="0" borderId="0" xfId="0" applyNumberFormat="1" applyBorder="1" applyAlignment="1">
      <alignment horizontal="left" wrapText="1"/>
    </xf>
    <xf numFmtId="1" fontId="0" fillId="16" borderId="0" xfId="0" applyNumberFormat="1" applyFill="1" applyBorder="1" applyAlignment="1">
      <alignment horizontal="left"/>
    </xf>
    <xf numFmtId="170" fontId="0" fillId="16" borderId="0" xfId="0" applyNumberFormat="1" applyFill="1" applyBorder="1" applyAlignment="1">
      <alignment horizontal="left"/>
    </xf>
    <xf numFmtId="1" fontId="0" fillId="18" borderId="0" xfId="0" applyNumberFormat="1" applyFill="1" applyBorder="1" applyAlignment="1">
      <alignment horizontal="left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6" fillId="18" borderId="0" xfId="0" applyFont="1" applyFill="1" applyAlignment="1">
      <alignment horizontal="center"/>
    </xf>
    <xf numFmtId="3" fontId="20" fillId="0" borderId="0" xfId="0" applyNumberFormat="1" applyFont="1" applyAlignment="1">
      <alignment horizontal="left"/>
    </xf>
    <xf numFmtId="3" fontId="0" fillId="0" borderId="0" xfId="0" applyNumberFormat="1"/>
    <xf numFmtId="0" fontId="21" fillId="0" borderId="0" xfId="0" applyFont="1" applyAlignment="1">
      <alignment horizontal="left"/>
    </xf>
    <xf numFmtId="0" fontId="6" fillId="10" borderId="0" xfId="0" applyFont="1" applyFill="1" applyBorder="1" applyAlignment="1">
      <alignment horizontal="left"/>
    </xf>
    <xf numFmtId="3" fontId="0" fillId="10" borderId="0" xfId="0" applyNumberFormat="1" applyFill="1" applyBorder="1" applyAlignment="1">
      <alignment horizontal="left"/>
    </xf>
    <xf numFmtId="170" fontId="0" fillId="0" borderId="0" xfId="0" applyNumberFormat="1" applyFill="1" applyAlignment="1">
      <alignment horizontal="left" wrapText="1"/>
    </xf>
    <xf numFmtId="42" fontId="0" fillId="0" borderId="0" xfId="0" applyNumberFormat="1" applyFill="1" applyAlignment="1">
      <alignment wrapText="1"/>
    </xf>
    <xf numFmtId="42" fontId="0" fillId="0" borderId="0" xfId="0" applyNumberFormat="1" applyFill="1"/>
    <xf numFmtId="42" fontId="0" fillId="0" borderId="0" xfId="0" applyNumberFormat="1" applyAlignment="1">
      <alignment wrapText="1"/>
    </xf>
    <xf numFmtId="170" fontId="0" fillId="0" borderId="0" xfId="0" applyNumberFormat="1" applyFill="1" applyAlignment="1">
      <alignment wrapText="1"/>
    </xf>
    <xf numFmtId="0" fontId="20" fillId="0" borderId="0" xfId="0" applyFont="1" applyAlignment="1"/>
    <xf numFmtId="0" fontId="6" fillId="0" borderId="0" xfId="0" applyFont="1" applyAlignment="1"/>
    <xf numFmtId="3" fontId="0" fillId="0" borderId="0" xfId="0" applyNumberFormat="1" applyFill="1" applyAlignment="1">
      <alignment horizontal="right" wrapText="1"/>
    </xf>
    <xf numFmtId="3" fontId="0" fillId="0" borderId="0" xfId="0" applyNumberFormat="1" applyFill="1" applyAlignment="1">
      <alignment horizontal="right"/>
    </xf>
    <xf numFmtId="3" fontId="0" fillId="21" borderId="0" xfId="0" applyNumberFormat="1" applyFill="1" applyBorder="1" applyAlignment="1">
      <alignment horizontal="right"/>
    </xf>
    <xf numFmtId="0" fontId="0" fillId="10" borderId="0" xfId="0" applyFont="1" applyFill="1" applyAlignment="1">
      <alignment horizontal="right" wrapText="1"/>
    </xf>
    <xf numFmtId="0" fontId="0" fillId="5" borderId="0" xfId="0" applyFill="1" applyBorder="1" applyAlignment="1">
      <alignment horizontal="right" wrapText="1"/>
    </xf>
    <xf numFmtId="0" fontId="0" fillId="5" borderId="0" xfId="0" applyFill="1" applyAlignment="1">
      <alignment horizontal="right" wrapText="1"/>
    </xf>
    <xf numFmtId="42" fontId="0" fillId="0" borderId="0" xfId="0" applyNumberFormat="1" applyFill="1" applyBorder="1" applyAlignment="1">
      <alignment wrapText="1"/>
    </xf>
    <xf numFmtId="42" fontId="6" fillId="0" borderId="0" xfId="0" applyNumberFormat="1" applyFont="1" applyFill="1" applyAlignment="1">
      <alignment wrapText="1"/>
    </xf>
    <xf numFmtId="0" fontId="6" fillId="0" borderId="0" xfId="0" applyFont="1" applyAlignment="1">
      <alignment horizontal="left" wrapText="1"/>
    </xf>
    <xf numFmtId="0" fontId="0" fillId="0" borderId="0" xfId="0" applyBorder="1"/>
    <xf numFmtId="0" fontId="0" fillId="0" borderId="0" xfId="0" applyAlignment="1">
      <alignment horizontal="left" wrapText="1"/>
    </xf>
    <xf numFmtId="0" fontId="0" fillId="0" borderId="0" xfId="0" applyAlignment="1"/>
    <xf numFmtId="0" fontId="0" fillId="0" borderId="0" xfId="0" applyBorder="1" applyAlignment="1"/>
    <xf numFmtId="0" fontId="19" fillId="0" borderId="0" xfId="0" applyFont="1" applyAlignment="1">
      <alignment horizontal="left"/>
    </xf>
    <xf numFmtId="0" fontId="0" fillId="0" borderId="0" xfId="0" applyFill="1"/>
    <xf numFmtId="0" fontId="0" fillId="0" borderId="0" xfId="0" applyFill="1" applyAlignment="1"/>
    <xf numFmtId="0" fontId="0" fillId="0" borderId="25" xfId="0" applyBorder="1"/>
    <xf numFmtId="0" fontId="0" fillId="0" borderId="25" xfId="0" applyFill="1" applyBorder="1"/>
    <xf numFmtId="0" fontId="6" fillId="0" borderId="0" xfId="0" applyFont="1" applyAlignment="1">
      <alignment horizontal="left" wrapText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3" fontId="0" fillId="0" borderId="0" xfId="0" applyNumberFormat="1" applyBorder="1" applyAlignment="1">
      <alignment horizontal="left" wrapText="1"/>
    </xf>
    <xf numFmtId="0" fontId="0" fillId="20" borderId="0" xfId="0" applyFill="1" applyAlignment="1">
      <alignment wrapText="1"/>
    </xf>
    <xf numFmtId="0" fontId="19" fillId="0" borderId="14" xfId="0" applyFont="1" applyBorder="1"/>
    <xf numFmtId="0" fontId="0" fillId="0" borderId="14" xfId="0" applyBorder="1" applyAlignment="1">
      <alignment horizontal="left" wrapText="1"/>
    </xf>
    <xf numFmtId="3" fontId="0" fillId="0" borderId="14" xfId="0" applyNumberFormat="1" applyBorder="1" applyAlignment="1">
      <alignment horizontal="left" wrapText="1"/>
    </xf>
    <xf numFmtId="3" fontId="0" fillId="21" borderId="14" xfId="0" applyNumberFormat="1" applyFill="1" applyBorder="1" applyAlignment="1">
      <alignment horizontal="right"/>
    </xf>
    <xf numFmtId="3" fontId="0" fillId="0" borderId="14" xfId="0" applyNumberFormat="1" applyFill="1" applyBorder="1" applyAlignment="1">
      <alignment horizontal="right"/>
    </xf>
    <xf numFmtId="42" fontId="0" fillId="0" borderId="14" xfId="0" applyNumberFormat="1" applyBorder="1" applyAlignment="1">
      <alignment wrapText="1"/>
    </xf>
    <xf numFmtId="42" fontId="0" fillId="0" borderId="14" xfId="0" applyNumberFormat="1" applyFill="1" applyBorder="1" applyAlignment="1">
      <alignment wrapText="1"/>
    </xf>
    <xf numFmtId="42" fontId="0" fillId="0" borderId="14" xfId="0" applyNumberFormat="1" applyFill="1" applyBorder="1"/>
    <xf numFmtId="0" fontId="0" fillId="0" borderId="14" xfId="0" applyBorder="1" applyAlignment="1">
      <alignment wrapText="1"/>
    </xf>
    <xf numFmtId="3" fontId="0" fillId="0" borderId="14" xfId="0" applyNumberFormat="1" applyBorder="1" applyAlignment="1">
      <alignment wrapText="1"/>
    </xf>
    <xf numFmtId="4" fontId="0" fillId="0" borderId="14" xfId="0" applyNumberFormat="1" applyBorder="1" applyAlignment="1">
      <alignment wrapText="1"/>
    </xf>
    <xf numFmtId="0" fontId="0" fillId="5" borderId="0" xfId="0" applyFill="1" applyBorder="1" applyAlignment="1">
      <alignment horizontal="left" wrapText="1"/>
    </xf>
    <xf numFmtId="172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42" fontId="0" fillId="0" borderId="0" xfId="0" applyNumberFormat="1" applyBorder="1" applyAlignment="1">
      <alignment wrapText="1"/>
    </xf>
    <xf numFmtId="42" fontId="0" fillId="0" borderId="0" xfId="0" applyNumberFormat="1" applyFill="1" applyBorder="1"/>
    <xf numFmtId="0" fontId="0" fillId="0" borderId="0" xfId="0" applyBorder="1" applyAlignment="1">
      <alignment wrapText="1"/>
    </xf>
    <xf numFmtId="3" fontId="0" fillId="0" borderId="0" xfId="0" applyNumberFormat="1" applyBorder="1" applyAlignment="1">
      <alignment wrapText="1"/>
    </xf>
    <xf numFmtId="4" fontId="0" fillId="0" borderId="0" xfId="0" applyNumberFormat="1" applyBorder="1" applyAlignment="1">
      <alignment wrapText="1"/>
    </xf>
    <xf numFmtId="16" fontId="0" fillId="0" borderId="0" xfId="0" applyNumberFormat="1" applyAlignment="1">
      <alignment wrapText="1"/>
    </xf>
    <xf numFmtId="172" fontId="0" fillId="0" borderId="0" xfId="0" applyNumberFormat="1"/>
    <xf numFmtId="0" fontId="0" fillId="20" borderId="0" xfId="0" applyFill="1"/>
    <xf numFmtId="0" fontId="0" fillId="20" borderId="0" xfId="0" applyFont="1" applyFill="1" applyAlignment="1">
      <alignment horizontal="right" wrapText="1"/>
    </xf>
    <xf numFmtId="1" fontId="0" fillId="7" borderId="0" xfId="0" applyNumberFormat="1" applyFill="1" applyBorder="1"/>
    <xf numFmtId="0" fontId="0" fillId="6" borderId="0" xfId="0" applyFill="1" applyBorder="1"/>
    <xf numFmtId="0" fontId="0" fillId="0" borderId="0" xfId="0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3" fontId="0" fillId="0" borderId="0" xfId="0" applyNumberFormat="1" applyFill="1" applyBorder="1" applyAlignment="1">
      <alignment horizontal="left"/>
    </xf>
    <xf numFmtId="0" fontId="0" fillId="0" borderId="0" xfId="0" applyNumberFormat="1"/>
    <xf numFmtId="0" fontId="6" fillId="0" borderId="0" xfId="0" applyFont="1" applyAlignment="1">
      <alignment horizontal="center"/>
    </xf>
    <xf numFmtId="0" fontId="0" fillId="10" borderId="0" xfId="0" applyFont="1" applyFill="1" applyAlignment="1">
      <alignment horizontal="center" wrapText="1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0" fillId="10" borderId="2" xfId="0" applyFill="1" applyBorder="1" applyAlignment="1">
      <alignment horizontal="left"/>
    </xf>
    <xf numFmtId="0" fontId="0" fillId="10" borderId="17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10" fillId="8" borderId="8" xfId="0" applyFont="1" applyFill="1" applyBorder="1" applyAlignment="1">
      <alignment horizontal="center" vertical="center"/>
    </xf>
    <xf numFmtId="165" fontId="3" fillId="4" borderId="6" xfId="0" applyNumberFormat="1" applyFont="1" applyFill="1" applyBorder="1" applyAlignment="1">
      <alignment horizontal="left" vertical="center" wrapText="1"/>
    </xf>
    <xf numFmtId="165" fontId="3" fillId="4" borderId="7" xfId="0" applyNumberFormat="1" applyFont="1" applyFill="1" applyBorder="1" applyAlignment="1">
      <alignment horizontal="left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5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10" fillId="8" borderId="0" xfId="0" applyFont="1" applyFill="1" applyBorder="1" applyAlignment="1">
      <alignment horizontal="center" vertical="center"/>
    </xf>
    <xf numFmtId="0" fontId="6" fillId="15" borderId="0" xfId="0" applyFont="1" applyFill="1" applyAlignment="1">
      <alignment horizontal="center" wrapText="1"/>
    </xf>
    <xf numFmtId="0" fontId="6" fillId="16" borderId="0" xfId="0" applyFont="1" applyFill="1" applyAlignment="1">
      <alignment horizontal="center" wrapText="1"/>
    </xf>
    <xf numFmtId="0" fontId="0" fillId="18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6" fillId="18" borderId="0" xfId="0" applyFont="1" applyFill="1" applyAlignment="1">
      <alignment horizontal="center" wrapText="1"/>
    </xf>
    <xf numFmtId="0" fontId="6" fillId="18" borderId="0" xfId="0" applyFont="1" applyFill="1" applyAlignment="1">
      <alignment horizontal="center"/>
    </xf>
    <xf numFmtId="0" fontId="6" fillId="16" borderId="0" xfId="0" applyFont="1" applyFill="1" applyAlignment="1">
      <alignment horizontal="center"/>
    </xf>
    <xf numFmtId="0" fontId="20" fillId="0" borderId="0" xfId="0" applyFont="1" applyAlignment="1">
      <alignment horizontal="left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0" fillId="20" borderId="0" xfId="0" applyFill="1" applyAlignment="1">
      <alignment horizontal="left"/>
    </xf>
  </cellXfs>
  <cellStyles count="5">
    <cellStyle name="Comma" xfId="1" builtinId="3"/>
    <cellStyle name="Currency" xfId="4" builtinId="4"/>
    <cellStyle name="Normal" xfId="0" builtinId="0"/>
    <cellStyle name="Output" xfId="3" builtinId="21"/>
    <cellStyle name="Percent" xfId="2" builtinId="5"/>
  </cellStyles>
  <dxfs count="22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9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9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New</a:t>
            </a:r>
            <a:r>
              <a:rPr lang="en-US" baseline="0"/>
              <a:t> Locomotive Purchases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'summary final'!$R$1</c:f>
              <c:strCache>
                <c:ptCount val="1"/>
                <c:pt idx="0">
                  <c:v>Regulation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'summary final'!$A$3:$A$29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'summary final'!$D$3:$D$29</c:f>
              <c:numCache>
                <c:formatCode>General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84-4161-8CE2-C24170F215D0}"/>
            </c:ext>
          </c:extLst>
        </c:ser>
        <c:ser>
          <c:idx val="1"/>
          <c:order val="1"/>
          <c:tx>
            <c:strRef>
              <c:f>'summary final'!$S$1</c:f>
              <c:strCache>
                <c:ptCount val="1"/>
                <c:pt idx="0">
                  <c:v>ACP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'summary final'!$A$3:$A$29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cat>
          <c:val>
            <c:numRef>
              <c:f>'summary final'!$M$3:$M$29</c:f>
              <c:numCache>
                <c:formatCode>General</c:formatCode>
                <c:ptCount val="27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2</c:v>
                </c:pt>
                <c:pt idx="18">
                  <c:v>4</c:v>
                </c:pt>
                <c:pt idx="19">
                  <c:v>10</c:v>
                </c:pt>
                <c:pt idx="20">
                  <c:v>10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84-4161-8CE2-C24170F21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46510160"/>
        <c:axId val="913135376"/>
      </c:barChart>
      <c:catAx>
        <c:axId val="144651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3135376"/>
        <c:crosses val="autoZero"/>
        <c:auto val="1"/>
        <c:lblAlgn val="ctr"/>
        <c:lblOffset val="100"/>
        <c:noMultiLvlLbl val="0"/>
      </c:catAx>
      <c:valAx>
        <c:axId val="913135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6510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NOx Emission Reductions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'summary final'!$R$1</c:f>
              <c:strCache>
                <c:ptCount val="1"/>
                <c:pt idx="0">
                  <c:v>Regulation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'summary final'!$A$3:$A$29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xVal>
          <c:yVal>
            <c:numRef>
              <c:f>'summary final'!$F$3:$F$29</c:f>
              <c:numCache>
                <c:formatCode>#,##0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254.17129945613058</c:v>
                </c:pt>
                <c:pt idx="18">
                  <c:v>254.17129945613058</c:v>
                </c:pt>
                <c:pt idx="19">
                  <c:v>254.17129945613058</c:v>
                </c:pt>
                <c:pt idx="20">
                  <c:v>254.17129945613058</c:v>
                </c:pt>
                <c:pt idx="21">
                  <c:v>254.17129945613058</c:v>
                </c:pt>
                <c:pt idx="22">
                  <c:v>254.17129945613058</c:v>
                </c:pt>
                <c:pt idx="23">
                  <c:v>254.17129945613058</c:v>
                </c:pt>
                <c:pt idx="24">
                  <c:v>254.17129945613058</c:v>
                </c:pt>
                <c:pt idx="25">
                  <c:v>254.17129945613058</c:v>
                </c:pt>
                <c:pt idx="26">
                  <c:v>254.17129945613058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FE-406B-96FC-C1C9F7FBECA3}"/>
            </c:ext>
          </c:extLst>
        </c:ser>
        <c:ser>
          <c:idx val="1"/>
          <c:order val="1"/>
          <c:tx>
            <c:strRef>
              <c:f>'summary final'!$S$1</c:f>
              <c:strCache>
                <c:ptCount val="1"/>
                <c:pt idx="0">
                  <c:v>ACP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'summary final'!$A$3:$A$29</c:f>
              <c:numCache>
                <c:formatCode>General</c:formatCode>
                <c:ptCount val="27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  <c:pt idx="15">
                  <c:v>2039</c:v>
                </c:pt>
                <c:pt idx="16">
                  <c:v>2040</c:v>
                </c:pt>
                <c:pt idx="17">
                  <c:v>2041</c:v>
                </c:pt>
                <c:pt idx="18">
                  <c:v>2042</c:v>
                </c:pt>
                <c:pt idx="19">
                  <c:v>2043</c:v>
                </c:pt>
                <c:pt idx="20">
                  <c:v>2044</c:v>
                </c:pt>
                <c:pt idx="21">
                  <c:v>2045</c:v>
                </c:pt>
                <c:pt idx="22">
                  <c:v>2046</c:v>
                </c:pt>
                <c:pt idx="23">
                  <c:v>2047</c:v>
                </c:pt>
                <c:pt idx="24">
                  <c:v>2048</c:v>
                </c:pt>
                <c:pt idx="25">
                  <c:v>2049</c:v>
                </c:pt>
                <c:pt idx="26">
                  <c:v>2050</c:v>
                </c:pt>
              </c:numCache>
            </c:numRef>
          </c:xVal>
          <c:yVal>
            <c:numRef>
              <c:f>'summary final'!$O$3:$O$29</c:f>
              <c:numCache>
                <c:formatCode>#,##0</c:formatCode>
                <c:ptCount val="27"/>
                <c:pt idx="0">
                  <c:v>0</c:v>
                </c:pt>
                <c:pt idx="1">
                  <c:v>40.564712438453228</c:v>
                </c:pt>
                <c:pt idx="2">
                  <c:v>94.650995689724027</c:v>
                </c:pt>
                <c:pt idx="3">
                  <c:v>135.21570812817725</c:v>
                </c:pt>
                <c:pt idx="4">
                  <c:v>175.7804205666304</c:v>
                </c:pt>
                <c:pt idx="5">
                  <c:v>202.82356219226583</c:v>
                </c:pt>
                <c:pt idx="6">
                  <c:v>202.82356219226583</c:v>
                </c:pt>
                <c:pt idx="7">
                  <c:v>202.82356219226583</c:v>
                </c:pt>
                <c:pt idx="8">
                  <c:v>213.09310964503877</c:v>
                </c:pt>
                <c:pt idx="9">
                  <c:v>216.5162921292964</c:v>
                </c:pt>
                <c:pt idx="10">
                  <c:v>223.36265709781171</c:v>
                </c:pt>
                <c:pt idx="11">
                  <c:v>226.78583958206934</c:v>
                </c:pt>
                <c:pt idx="12">
                  <c:v>230.20902206632701</c:v>
                </c:pt>
                <c:pt idx="13">
                  <c:v>233.63220455058467</c:v>
                </c:pt>
                <c:pt idx="14">
                  <c:v>240.47856951909995</c:v>
                </c:pt>
                <c:pt idx="15">
                  <c:v>243.90175200335764</c:v>
                </c:pt>
                <c:pt idx="16">
                  <c:v>247.32493448761528</c:v>
                </c:pt>
                <c:pt idx="17">
                  <c:v>250.91927609608581</c:v>
                </c:pt>
                <c:pt idx="18">
                  <c:v>258.10795931302687</c:v>
                </c:pt>
                <c:pt idx="19">
                  <c:v>272.48532574690898</c:v>
                </c:pt>
                <c:pt idx="20">
                  <c:v>308.42874183161427</c:v>
                </c:pt>
                <c:pt idx="21">
                  <c:v>344.37215791631957</c:v>
                </c:pt>
                <c:pt idx="22">
                  <c:v>344.37215791631957</c:v>
                </c:pt>
                <c:pt idx="23">
                  <c:v>344.37215791631957</c:v>
                </c:pt>
                <c:pt idx="24">
                  <c:v>344.37215791631957</c:v>
                </c:pt>
                <c:pt idx="25">
                  <c:v>344.37215791631957</c:v>
                </c:pt>
                <c:pt idx="26">
                  <c:v>355.15518274173115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9FE-406B-96FC-C1C9F7FBE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4552496"/>
        <c:axId val="1804553328"/>
      </c:scatterChart>
      <c:valAx>
        <c:axId val="180455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4553328"/>
        <c:crosses val="autoZero"/>
        <c:crossBetween val="midCat"/>
      </c:valAx>
      <c:valAx>
        <c:axId val="1804553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045524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838200</xdr:colOff>
      <xdr:row>30</xdr:row>
      <xdr:rowOff>28575</xdr:rowOff>
    </xdr:from>
    <xdr:to>
      <xdr:col>10</xdr:col>
      <xdr:colOff>923925</xdr:colOff>
      <xdr:row>45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A7B08B-F586-B45F-F94F-2AB6420374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304800</xdr:colOff>
      <xdr:row>30</xdr:row>
      <xdr:rowOff>66675</xdr:rowOff>
    </xdr:from>
    <xdr:to>
      <xdr:col>15</xdr:col>
      <xdr:colOff>657225</xdr:colOff>
      <xdr:row>45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8A43D1-04FF-018A-DF02-FD46F923B4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12700</xdr:colOff>
      <xdr:row>104</xdr:row>
      <xdr:rowOff>101600</xdr:rowOff>
    </xdr:from>
    <xdr:to>
      <xdr:col>16</xdr:col>
      <xdr:colOff>82810</xdr:colOff>
      <xdr:row>111</xdr:row>
      <xdr:rowOff>44514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8BE8F1-0C87-4F66-BABB-A0A5EFD62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18300" y="19278600"/>
          <a:ext cx="5067560" cy="12446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596900</xdr:colOff>
      <xdr:row>15</xdr:row>
      <xdr:rowOff>171450</xdr:rowOff>
    </xdr:from>
    <xdr:to>
      <xdr:col>12</xdr:col>
      <xdr:colOff>689201</xdr:colOff>
      <xdr:row>18</xdr:row>
      <xdr:rowOff>146078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AAB8AD4-C3F5-4011-ABD5-B7F463C05E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44900" y="3860800"/>
          <a:ext cx="4388076" cy="539778"/>
        </a:xfrm>
        <a:prstGeom prst="rect">
          <a:avLst/>
        </a:prstGeom>
      </xdr:spPr>
    </xdr:pic>
    <xdr:clientData/>
  </xdr:twoCellAnchor>
  <xdr:twoCellAnchor editAs="oneCell">
    <xdr:from>
      <xdr:col>15</xdr:col>
      <xdr:colOff>190500</xdr:colOff>
      <xdr:row>16</xdr:row>
      <xdr:rowOff>161309</xdr:rowOff>
    </xdr:from>
    <xdr:to>
      <xdr:col>20</xdr:col>
      <xdr:colOff>425605</xdr:colOff>
      <xdr:row>42</xdr:row>
      <xdr:rowOff>63722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0B2D728-69A1-40AB-A760-3279F92D45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429750" y="4047509"/>
          <a:ext cx="3283105" cy="470301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177800</xdr:rowOff>
    </xdr:from>
    <xdr:to>
      <xdr:col>5</xdr:col>
      <xdr:colOff>177800</xdr:colOff>
      <xdr:row>29</xdr:row>
      <xdr:rowOff>127035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8FDC1B7-3C2F-4ACB-B083-D6D78267A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734050"/>
          <a:ext cx="3670300" cy="6858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86</xdr:row>
      <xdr:rowOff>152400</xdr:rowOff>
    </xdr:from>
    <xdr:to>
      <xdr:col>16</xdr:col>
      <xdr:colOff>95777</xdr:colOff>
      <xdr:row>102</xdr:row>
      <xdr:rowOff>114460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9B96C21-A4FD-40EC-BB6D-F9015617B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0" y="9740900"/>
          <a:ext cx="10255777" cy="3111660"/>
        </a:xfrm>
        <a:prstGeom prst="rect">
          <a:avLst/>
        </a:prstGeom>
      </xdr:spPr>
    </xdr:pic>
    <xdr:clientData/>
  </xdr:twoCellAnchor>
  <xdr:twoCellAnchor editAs="oneCell">
    <xdr:from>
      <xdr:col>17</xdr:col>
      <xdr:colOff>19050</xdr:colOff>
      <xdr:row>97</xdr:row>
      <xdr:rowOff>0</xdr:rowOff>
    </xdr:from>
    <xdr:to>
      <xdr:col>19</xdr:col>
      <xdr:colOff>450939</xdr:colOff>
      <xdr:row>110</xdr:row>
      <xdr:rowOff>6473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BCB267E-8B9E-4290-B8A0-A2FCCAB053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95200" y="11614150"/>
          <a:ext cx="1739989" cy="24004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D25A86-CEA5-4D53-A797-972915A80D09}">
  <dimension ref="A1:S31"/>
  <sheetViews>
    <sheetView topLeftCell="A26" zoomScale="80" zoomScaleNormal="80" workbookViewId="0">
      <selection activeCell="Q2" sqref="Q2"/>
    </sheetView>
  </sheetViews>
  <sheetFormatPr defaultRowHeight="14.5" x14ac:dyDescent="0.35"/>
  <cols>
    <col min="1" max="1" width="8.90625" style="24"/>
    <col min="2" max="3" width="17.81640625" customWidth="1"/>
    <col min="4" max="4" width="14.81640625" customWidth="1"/>
    <col min="5" max="5" width="15.1796875" customWidth="1"/>
    <col min="6" max="7" width="13.81640625" customWidth="1"/>
    <col min="8" max="8" width="13.81640625" style="24" customWidth="1"/>
    <col min="9" max="9" width="13.81640625" customWidth="1"/>
    <col min="11" max="12" width="17.81640625" customWidth="1"/>
    <col min="13" max="13" width="14.81640625" customWidth="1"/>
    <col min="14" max="14" width="15.1796875" customWidth="1"/>
    <col min="15" max="16" width="13.81640625" customWidth="1"/>
    <col min="17" max="17" width="16" customWidth="1"/>
  </cols>
  <sheetData>
    <row r="1" spans="1:19" x14ac:dyDescent="0.35">
      <c r="A1" s="214" t="s">
        <v>296</v>
      </c>
      <c r="B1" s="214"/>
      <c r="C1" s="214"/>
      <c r="D1" s="214"/>
      <c r="E1" s="214"/>
      <c r="F1" s="214"/>
      <c r="G1" s="214"/>
      <c r="H1" s="69"/>
      <c r="J1" s="214" t="s">
        <v>297</v>
      </c>
      <c r="K1" s="214"/>
      <c r="L1" s="214"/>
      <c r="M1" s="214"/>
      <c r="N1" s="214"/>
      <c r="O1" s="214"/>
      <c r="P1" s="214"/>
      <c r="R1" t="s">
        <v>302</v>
      </c>
      <c r="S1" t="s">
        <v>301</v>
      </c>
    </row>
    <row r="2" spans="1:19" ht="58" x14ac:dyDescent="0.35">
      <c r="A2" s="206" t="s">
        <v>197</v>
      </c>
      <c r="B2" s="207" t="s">
        <v>271</v>
      </c>
      <c r="C2" s="207" t="s">
        <v>300</v>
      </c>
      <c r="D2" s="207" t="s">
        <v>214</v>
      </c>
      <c r="E2" s="207" t="s">
        <v>241</v>
      </c>
      <c r="F2" s="183" t="s">
        <v>273</v>
      </c>
      <c r="G2" s="183" t="s">
        <v>272</v>
      </c>
      <c r="H2" s="183" t="s">
        <v>303</v>
      </c>
      <c r="J2" s="206" t="s">
        <v>197</v>
      </c>
      <c r="K2" s="207" t="s">
        <v>271</v>
      </c>
      <c r="L2" s="207" t="s">
        <v>300</v>
      </c>
      <c r="M2" s="207" t="s">
        <v>214</v>
      </c>
      <c r="N2" s="207" t="s">
        <v>299</v>
      </c>
      <c r="O2" s="183" t="s">
        <v>273</v>
      </c>
      <c r="P2" s="183" t="s">
        <v>272</v>
      </c>
      <c r="Q2" s="183" t="s">
        <v>303</v>
      </c>
    </row>
    <row r="3" spans="1:19" x14ac:dyDescent="0.35">
      <c r="A3" s="24">
        <f>+'Fleet actions Reg'!A4</f>
        <v>2024</v>
      </c>
      <c r="B3" s="92">
        <f>+'Fleet actions Reg'!G4</f>
        <v>28847368.65200755</v>
      </c>
      <c r="C3" s="62">
        <f>+'Fleet actions Reg'!H4</f>
        <v>28847368.65200755</v>
      </c>
      <c r="D3">
        <f>+'Fleet actions Reg'!I4</f>
        <v>0</v>
      </c>
      <c r="E3" s="92">
        <f>+'Fleet actions Reg'!J4</f>
        <v>28847368.65200755</v>
      </c>
      <c r="F3" s="150">
        <f>+'Fleet actions Reg'!N4</f>
        <v>0</v>
      </c>
      <c r="G3" s="205">
        <f>+'Fleet actions Reg'!O4</f>
        <v>0</v>
      </c>
      <c r="H3" s="92">
        <f>+B3</f>
        <v>28847368.65200755</v>
      </c>
      <c r="J3">
        <f>+'Fleet actions ACP '!A4</f>
        <v>2024</v>
      </c>
      <c r="K3" s="92">
        <f>+'Fleet actions ACP '!G4</f>
        <v>28847368.65200755</v>
      </c>
      <c r="L3" s="92">
        <f>+'Fleet actions ACP '!H4</f>
        <v>28847368.65200755</v>
      </c>
      <c r="M3" s="213">
        <f>+'Fleet actions ACP '!I4</f>
        <v>3</v>
      </c>
      <c r="N3" s="92">
        <f>+'Fleet actions ACP '!J4</f>
        <v>6347368.65200755</v>
      </c>
      <c r="O3" s="150">
        <f>+'Fleet actions ACP '!N4</f>
        <v>0</v>
      </c>
      <c r="P3" s="150">
        <f>+'Fleet actions ACP '!O4</f>
        <v>0</v>
      </c>
      <c r="Q3" s="92">
        <f>+K3</f>
        <v>28847368.65200755</v>
      </c>
    </row>
    <row r="4" spans="1:19" x14ac:dyDescent="0.35">
      <c r="A4" s="24">
        <f>+'Fleet actions Reg'!A5</f>
        <v>2025</v>
      </c>
      <c r="B4" s="92">
        <f>+'Fleet actions Reg'!G5</f>
        <v>30014392.415426321</v>
      </c>
      <c r="C4" s="62">
        <f>+'Fleet actions Reg'!H5</f>
        <v>58861761.067433871</v>
      </c>
      <c r="D4" s="24">
        <f>+'Fleet actions Reg'!I5</f>
        <v>0</v>
      </c>
      <c r="E4" s="92">
        <f>+'Fleet actions Reg'!J5</f>
        <v>58861761.067433871</v>
      </c>
      <c r="F4" s="150">
        <f>+'Fleet actions Reg'!N5</f>
        <v>0</v>
      </c>
      <c r="G4" s="205">
        <f>+'Fleet actions Reg'!O5</f>
        <v>0</v>
      </c>
      <c r="H4" s="92">
        <f>+H3+B4</f>
        <v>58861761.067433871</v>
      </c>
      <c r="J4" s="24">
        <f>+'Fleet actions ACP '!A5</f>
        <v>2025</v>
      </c>
      <c r="K4" s="92">
        <f>+'Fleet actions ACP '!G5</f>
        <v>26519987.552963566</v>
      </c>
      <c r="L4" s="92">
        <f>+'Fleet actions ACP '!H5</f>
        <v>32867356.204971116</v>
      </c>
      <c r="M4" s="213">
        <f>+'Fleet actions ACP '!I5</f>
        <v>4</v>
      </c>
      <c r="N4" s="92">
        <f>+'Fleet actions ACP '!J5</f>
        <v>2867356.204971116</v>
      </c>
      <c r="O4" s="150">
        <f>+'Fleet actions ACP '!N5</f>
        <v>40.564712438453228</v>
      </c>
      <c r="P4" s="150">
        <f>+'Fleet actions ACP '!O5</f>
        <v>1.6944753297075348</v>
      </c>
      <c r="Q4" s="92">
        <f>+Q3+K4</f>
        <v>55367356.20497112</v>
      </c>
    </row>
    <row r="5" spans="1:19" x14ac:dyDescent="0.35">
      <c r="A5" s="24">
        <f>+'Fleet actions Reg'!A6</f>
        <v>2026</v>
      </c>
      <c r="B5" s="92">
        <f>+'Fleet actions Reg'!G6</f>
        <v>31217885.671451919</v>
      </c>
      <c r="C5" s="62">
        <f>+'Fleet actions Reg'!H6</f>
        <v>90079646.73888579</v>
      </c>
      <c r="D5" s="24">
        <f>+'Fleet actions Reg'!I6</f>
        <v>0</v>
      </c>
      <c r="E5" s="92">
        <f>+'Fleet actions Reg'!J6</f>
        <v>90079646.73888579</v>
      </c>
      <c r="F5" s="150">
        <f>+'Fleet actions Reg'!N6</f>
        <v>0</v>
      </c>
      <c r="G5" s="205">
        <f>+'Fleet actions Reg'!O6</f>
        <v>0</v>
      </c>
      <c r="H5" s="92">
        <f t="shared" ref="H5:H29" si="0">+H4+B5</f>
        <v>90079646.73888579</v>
      </c>
      <c r="J5" s="24">
        <f>+'Fleet actions ACP '!A6</f>
        <v>2026</v>
      </c>
      <c r="K5" s="92">
        <f>+'Fleet actions ACP '!G6</f>
        <v>22737337.297261231</v>
      </c>
      <c r="L5" s="92">
        <f>+'Fleet actions ACP '!H6</f>
        <v>25604693.502232347</v>
      </c>
      <c r="M5" s="213">
        <f>+'Fleet actions ACP '!I6</f>
        <v>3</v>
      </c>
      <c r="N5" s="92">
        <f>+'Fleet actions ACP '!J6</f>
        <v>3104693.5022323467</v>
      </c>
      <c r="O5" s="150">
        <f>+'Fleet actions ACP '!N6</f>
        <v>94.650995689724027</v>
      </c>
      <c r="P5" s="150">
        <f>+'Fleet actions ACP '!O6</f>
        <v>3.9537757693175859</v>
      </c>
      <c r="Q5" s="92">
        <f t="shared" ref="Q5:Q29" si="1">+Q4+K5</f>
        <v>78104693.502232343</v>
      </c>
    </row>
    <row r="6" spans="1:19" x14ac:dyDescent="0.35">
      <c r="A6" s="24">
        <f>+'Fleet actions Reg'!A7</f>
        <v>2027</v>
      </c>
      <c r="B6" s="92">
        <f>+'Fleet actions Reg'!G7</f>
        <v>32457848.420084357</v>
      </c>
      <c r="C6" s="62">
        <f>+'Fleet actions Reg'!H7</f>
        <v>122537495.15897015</v>
      </c>
      <c r="D6" s="24">
        <f>+'Fleet actions Reg'!I7</f>
        <v>0</v>
      </c>
      <c r="E6" s="92">
        <f>+'Fleet actions Reg'!J7</f>
        <v>122537495.15897015</v>
      </c>
      <c r="F6" s="150">
        <f>+'Fleet actions Reg'!N7</f>
        <v>0</v>
      </c>
      <c r="G6" s="205">
        <f>+'Fleet actions Reg'!O7</f>
        <v>0</v>
      </c>
      <c r="H6" s="92">
        <f t="shared" si="0"/>
        <v>122537495.15897015</v>
      </c>
      <c r="J6" s="24">
        <f>+'Fleet actions ACP '!A7</f>
        <v>2027</v>
      </c>
      <c r="K6" s="92">
        <f>+'Fleet actions ACP '!G7</f>
        <v>19861573.298205663</v>
      </c>
      <c r="L6" s="92">
        <f>+'Fleet actions ACP '!H7</f>
        <v>22966266.800438009</v>
      </c>
      <c r="M6" s="213">
        <f>+'Fleet actions ACP '!I7</f>
        <v>3</v>
      </c>
      <c r="N6" s="92">
        <f>+'Fleet actions ACP '!J7</f>
        <v>466266.8004380092</v>
      </c>
      <c r="O6" s="150">
        <f>+'Fleet actions ACP '!N7</f>
        <v>135.21570812817725</v>
      </c>
      <c r="P6" s="150">
        <f>+'Fleet actions ACP '!O7</f>
        <v>5.6482510990251216</v>
      </c>
      <c r="Q6" s="92">
        <f t="shared" si="1"/>
        <v>97966266.800438002</v>
      </c>
    </row>
    <row r="7" spans="1:19" x14ac:dyDescent="0.35">
      <c r="A7" s="24">
        <f>+'Fleet actions Reg'!A8</f>
        <v>2028</v>
      </c>
      <c r="B7" s="92">
        <f>+'Fleet actions Reg'!G8</f>
        <v>33770750.153930463</v>
      </c>
      <c r="C7" s="62">
        <f>+'Fleet actions Reg'!H8</f>
        <v>156308245.3129006</v>
      </c>
      <c r="D7" s="24">
        <f>+'Fleet actions Reg'!I8</f>
        <v>0</v>
      </c>
      <c r="E7" s="92">
        <f>+'Fleet actions Reg'!J8</f>
        <v>156308245.3129006</v>
      </c>
      <c r="F7" s="150">
        <f>+'Fleet actions Reg'!N8</f>
        <v>0</v>
      </c>
      <c r="G7" s="205">
        <f>+'Fleet actions Reg'!O8</f>
        <v>0</v>
      </c>
      <c r="H7" s="92">
        <f t="shared" si="0"/>
        <v>156308245.3129006</v>
      </c>
      <c r="J7" s="24">
        <f>+'Fleet actions ACP '!A8</f>
        <v>2028</v>
      </c>
      <c r="K7" s="92">
        <f>+'Fleet actions ACP '!G8</f>
        <v>16733226.567730946</v>
      </c>
      <c r="L7" s="92">
        <f>+'Fleet actions ACP '!H8</f>
        <v>17199493.368168958</v>
      </c>
      <c r="M7" s="213">
        <f>+'Fleet actions ACP '!I8</f>
        <v>2</v>
      </c>
      <c r="N7" s="92">
        <f>+'Fleet actions ACP '!J8</f>
        <v>2199493.3681689575</v>
      </c>
      <c r="O7" s="150">
        <f>+'Fleet actions ACP '!N8</f>
        <v>175.7804205666304</v>
      </c>
      <c r="P7" s="150">
        <f>+'Fleet actions ACP '!O8</f>
        <v>7.342726428732659</v>
      </c>
      <c r="Q7" s="92">
        <f t="shared" si="1"/>
        <v>114699493.36816895</v>
      </c>
    </row>
    <row r="8" spans="1:19" x14ac:dyDescent="0.35">
      <c r="A8" s="24">
        <f>+'Fleet actions Reg'!A9</f>
        <v>2029</v>
      </c>
      <c r="B8" s="92">
        <f>+'Fleet actions Reg'!G9</f>
        <v>35083651.887776569</v>
      </c>
      <c r="C8" s="62">
        <f>+'Fleet actions Reg'!H9</f>
        <v>191391897.20067716</v>
      </c>
      <c r="D8" s="24">
        <f>+'Fleet actions Reg'!I9</f>
        <v>0</v>
      </c>
      <c r="E8" s="92">
        <f>+'Fleet actions Reg'!J9</f>
        <v>191391897.20067716</v>
      </c>
      <c r="F8" s="150">
        <f>+'Fleet actions Reg'!N9</f>
        <v>0</v>
      </c>
      <c r="G8" s="205">
        <f>+'Fleet actions Reg'!O9</f>
        <v>0</v>
      </c>
      <c r="H8" s="92">
        <f t="shared" si="0"/>
        <v>191391897.20067716</v>
      </c>
      <c r="J8" s="24">
        <f>+'Fleet actions ACP '!A9</f>
        <v>2029</v>
      </c>
      <c r="K8" s="92">
        <f>+'Fleet actions ACP '!G9</f>
        <v>14660702.448595729</v>
      </c>
      <c r="L8" s="92">
        <f>+'Fleet actions ACP '!H9</f>
        <v>16860195.816764686</v>
      </c>
      <c r="M8" s="213">
        <f>+'Fleet actions ACP '!I9</f>
        <v>0</v>
      </c>
      <c r="N8" s="92">
        <f>+'Fleet actions ACP '!J9</f>
        <v>16860195.816764686</v>
      </c>
      <c r="O8" s="150">
        <f>+'Fleet actions ACP '!N9</f>
        <v>202.82356219226583</v>
      </c>
      <c r="P8" s="150">
        <f>+'Fleet actions ACP '!O9</f>
        <v>8.4723766485376828</v>
      </c>
      <c r="Q8" s="92">
        <f t="shared" si="1"/>
        <v>129360195.81676468</v>
      </c>
    </row>
    <row r="9" spans="1:19" x14ac:dyDescent="0.35">
      <c r="A9" s="24">
        <f>+'Fleet actions Reg'!A10</f>
        <v>2030</v>
      </c>
      <c r="B9" s="92">
        <f>+'Fleet actions Reg'!G10</f>
        <v>36433023.114229515</v>
      </c>
      <c r="C9" s="62">
        <f>+'Fleet actions Reg'!H10</f>
        <v>227824920.31490666</v>
      </c>
      <c r="D9" s="24">
        <f>+'Fleet actions Reg'!I10</f>
        <v>0</v>
      </c>
      <c r="E9" s="92">
        <f>+'Fleet actions Reg'!J10</f>
        <v>227824920.31490666</v>
      </c>
      <c r="F9" s="150">
        <f>+'Fleet actions Reg'!N10</f>
        <v>0</v>
      </c>
      <c r="G9" s="205">
        <f>+'Fleet actions Reg'!O10</f>
        <v>0</v>
      </c>
      <c r="H9" s="92">
        <f t="shared" si="0"/>
        <v>227824920.31490666</v>
      </c>
      <c r="J9" s="24">
        <f>+'Fleet actions ACP '!A10</f>
        <v>2030</v>
      </c>
      <c r="K9" s="92">
        <f>+'Fleet actions ACP '!G10</f>
        <v>15224575.619695567</v>
      </c>
      <c r="L9" s="92">
        <f>+'Fleet actions ACP '!H10</f>
        <v>32084771.436460253</v>
      </c>
      <c r="M9" s="213">
        <f>+'Fleet actions ACP '!I10</f>
        <v>0</v>
      </c>
      <c r="N9" s="92">
        <f>+'Fleet actions ACP '!J10</f>
        <v>32084771.436460253</v>
      </c>
      <c r="O9" s="150">
        <f>+'Fleet actions ACP '!N10</f>
        <v>202.82356219226583</v>
      </c>
      <c r="P9" s="150">
        <f>+'Fleet actions ACP '!O10</f>
        <v>8.4723766485376828</v>
      </c>
      <c r="Q9" s="92">
        <f t="shared" si="1"/>
        <v>144584771.43646026</v>
      </c>
    </row>
    <row r="10" spans="1:19" x14ac:dyDescent="0.35">
      <c r="A10" s="24">
        <f>+'Fleet actions Reg'!A11</f>
        <v>2031</v>
      </c>
      <c r="B10" s="92">
        <f>+'Fleet actions Reg'!G11</f>
        <v>37855333.325896129</v>
      </c>
      <c r="C10" s="62">
        <f>+'Fleet actions Reg'!H11</f>
        <v>265680253.6408028</v>
      </c>
      <c r="D10" s="24">
        <f>+'Fleet actions Reg'!I11</f>
        <v>0</v>
      </c>
      <c r="E10" s="92">
        <f>+'Fleet actions Reg'!J11</f>
        <v>265680253.6408028</v>
      </c>
      <c r="F10" s="150">
        <f>+'Fleet actions Reg'!N11</f>
        <v>0</v>
      </c>
      <c r="G10" s="205">
        <f>+'Fleet actions Reg'!O11</f>
        <v>0</v>
      </c>
      <c r="H10" s="92">
        <f t="shared" si="0"/>
        <v>265680253.6408028</v>
      </c>
      <c r="J10" s="24">
        <f>+'Fleet actions ACP '!A11</f>
        <v>2031</v>
      </c>
      <c r="K10" s="92">
        <f>+'Fleet actions ACP '!G11</f>
        <v>15818928.421665663</v>
      </c>
      <c r="L10" s="92">
        <f>+'Fleet actions ACP '!H11</f>
        <v>47903699.858125918</v>
      </c>
      <c r="M10" s="213">
        <f>+'Fleet actions ACP '!I11</f>
        <v>3</v>
      </c>
      <c r="N10" s="92">
        <f>+'Fleet actions ACP '!J11</f>
        <v>8903699.8581259176</v>
      </c>
      <c r="O10" s="150">
        <f>+'Fleet actions ACP '!N11</f>
        <v>202.82356219226583</v>
      </c>
      <c r="P10" s="150">
        <f>+'Fleet actions ACP '!O11</f>
        <v>8.4723766485376828</v>
      </c>
      <c r="Q10" s="92">
        <f t="shared" si="1"/>
        <v>160403699.85812593</v>
      </c>
    </row>
    <row r="11" spans="1:19" x14ac:dyDescent="0.35">
      <c r="A11" s="24">
        <f>+'Fleet actions Reg'!A12</f>
        <v>2032</v>
      </c>
      <c r="B11" s="92">
        <f>+'Fleet actions Reg'!G12</f>
        <v>39131765.567135401</v>
      </c>
      <c r="C11" s="62">
        <f>+'Fleet actions Reg'!H12</f>
        <v>304812019.20793819</v>
      </c>
      <c r="D11" s="24">
        <f>+'Fleet actions Reg'!I12</f>
        <v>0</v>
      </c>
      <c r="E11" s="92">
        <f>+'Fleet actions Reg'!J12</f>
        <v>304812019.20793819</v>
      </c>
      <c r="F11" s="150">
        <f>+'Fleet actions Reg'!N12</f>
        <v>0</v>
      </c>
      <c r="G11" s="205">
        <f>+'Fleet actions Reg'!O12</f>
        <v>0</v>
      </c>
      <c r="H11" s="92">
        <f t="shared" si="0"/>
        <v>304812019.20793819</v>
      </c>
      <c r="J11" s="24">
        <f>+'Fleet actions ACP '!A12</f>
        <v>2032</v>
      </c>
      <c r="K11" s="92">
        <f>+'Fleet actions ACP '!G12</f>
        <v>15460377.127610041</v>
      </c>
      <c r="L11" s="92">
        <f>+'Fleet actions ACP '!H12</f>
        <v>24364076.98573596</v>
      </c>
      <c r="M11" s="213">
        <f>+'Fleet actions ACP '!I12</f>
        <v>1</v>
      </c>
      <c r="N11" s="92">
        <f>+'Fleet actions ACP '!J12</f>
        <v>11364076.98573596</v>
      </c>
      <c r="O11" s="150">
        <f>+'Fleet actions ACP '!N12</f>
        <v>213.09310964503877</v>
      </c>
      <c r="P11" s="150">
        <f>+'Fleet actions ACP '!O12</f>
        <v>8.6264198603292765</v>
      </c>
      <c r="Q11" s="92">
        <f t="shared" si="1"/>
        <v>175864076.98573595</v>
      </c>
    </row>
    <row r="12" spans="1:19" x14ac:dyDescent="0.35">
      <c r="A12" s="24">
        <f>+'Fleet actions Reg'!A13</f>
        <v>2033</v>
      </c>
      <c r="B12" s="92">
        <f>+'Fleet actions Reg'!G13</f>
        <v>40627014.764015704</v>
      </c>
      <c r="C12" s="62">
        <f>+'Fleet actions Reg'!H13</f>
        <v>345439033.97195387</v>
      </c>
      <c r="D12" s="24">
        <f>+'Fleet actions Reg'!I13</f>
        <v>0</v>
      </c>
      <c r="E12" s="92">
        <f>+'Fleet actions Reg'!J13</f>
        <v>345439033.97195387</v>
      </c>
      <c r="F12" s="150">
        <f>+'Fleet actions Reg'!N13</f>
        <v>0</v>
      </c>
      <c r="G12" s="205">
        <f>+'Fleet actions Reg'!O13</f>
        <v>0</v>
      </c>
      <c r="H12" s="92">
        <f t="shared" si="0"/>
        <v>345439033.97195387</v>
      </c>
      <c r="J12" s="24">
        <f>+'Fleet actions ACP '!A13</f>
        <v>2033</v>
      </c>
      <c r="K12" s="92">
        <f>+'Fleet actions ACP '!G13</f>
        <v>15742452.256936641</v>
      </c>
      <c r="L12" s="92">
        <f>+'Fleet actions ACP '!H13</f>
        <v>27106529.2426726</v>
      </c>
      <c r="M12" s="213">
        <f>+'Fleet actions ACP '!I13</f>
        <v>2</v>
      </c>
      <c r="N12" s="92">
        <f>+'Fleet actions ACP '!J13</f>
        <v>1106529.2426725999</v>
      </c>
      <c r="O12" s="150">
        <f>+'Fleet actions ACP '!N13</f>
        <v>216.5162921292964</v>
      </c>
      <c r="P12" s="150">
        <f>+'Fleet actions ACP '!O13</f>
        <v>8.6777675975931423</v>
      </c>
      <c r="Q12" s="92">
        <f t="shared" si="1"/>
        <v>191606529.24267259</v>
      </c>
    </row>
    <row r="13" spans="1:19" x14ac:dyDescent="0.35">
      <c r="A13" s="24">
        <f>+'Fleet actions Reg'!A14</f>
        <v>2034</v>
      </c>
      <c r="B13" s="92">
        <f>+'Fleet actions Reg'!G14</f>
        <v>42231672.438716494</v>
      </c>
      <c r="C13" s="62">
        <f>+'Fleet actions Reg'!H14</f>
        <v>387670706.41067034</v>
      </c>
      <c r="D13" s="24">
        <f>+'Fleet actions Reg'!I14</f>
        <v>0</v>
      </c>
      <c r="E13" s="92">
        <f>+'Fleet actions Reg'!J14</f>
        <v>387670706.41067034</v>
      </c>
      <c r="F13" s="150">
        <f>+'Fleet actions Reg'!N14</f>
        <v>0</v>
      </c>
      <c r="G13" s="205">
        <f>+'Fleet actions Reg'!O14</f>
        <v>0</v>
      </c>
      <c r="H13" s="92">
        <f t="shared" si="0"/>
        <v>387670706.41067034</v>
      </c>
      <c r="J13" s="24">
        <f>+'Fleet actions ACP '!A14</f>
        <v>2034</v>
      </c>
      <c r="K13" s="92">
        <f>+'Fleet actions ACP '!G14</f>
        <v>15722501.953094287</v>
      </c>
      <c r="L13" s="92">
        <f>+'Fleet actions ACP '!H14</f>
        <v>16829031.195766889</v>
      </c>
      <c r="M13" s="213">
        <f>+'Fleet actions ACP '!I14</f>
        <v>1</v>
      </c>
      <c r="N13" s="92">
        <f>+'Fleet actions ACP '!J14</f>
        <v>3829031.1957668886</v>
      </c>
      <c r="O13" s="150">
        <f>+'Fleet actions ACP '!N14</f>
        <v>223.36265709781171</v>
      </c>
      <c r="P13" s="150">
        <f>+'Fleet actions ACP '!O14</f>
        <v>8.7804630721208721</v>
      </c>
      <c r="Q13" s="92">
        <f t="shared" si="1"/>
        <v>207329031.19576687</v>
      </c>
    </row>
    <row r="14" spans="1:19" x14ac:dyDescent="0.35">
      <c r="A14" s="24">
        <f>+'Fleet actions Reg'!A15</f>
        <v>2035</v>
      </c>
      <c r="B14" s="92">
        <f>+'Fleet actions Reg'!G15</f>
        <v>43909269.098630965</v>
      </c>
      <c r="C14" s="62">
        <f>+'Fleet actions Reg'!H15</f>
        <v>431579975.5093013</v>
      </c>
      <c r="D14" s="24">
        <f>+'Fleet actions Reg'!I15</f>
        <v>0</v>
      </c>
      <c r="E14" s="92">
        <f>+'Fleet actions Reg'!J15</f>
        <v>431579975.5093013</v>
      </c>
      <c r="F14" s="150">
        <f>+'Fleet actions Reg'!N15</f>
        <v>0</v>
      </c>
      <c r="G14" s="205">
        <f>+'Fleet actions Reg'!O15</f>
        <v>0</v>
      </c>
      <c r="H14" s="92">
        <f t="shared" si="0"/>
        <v>431579975.5093013</v>
      </c>
      <c r="J14" s="24">
        <f>+'Fleet actions ACP '!A15</f>
        <v>2035</v>
      </c>
      <c r="K14" s="92">
        <f>+'Fleet actions ACP '!G15</f>
        <v>16013443.8841286</v>
      </c>
      <c r="L14" s="92">
        <f>+'Fleet actions ACP '!H15</f>
        <v>19842475.079895489</v>
      </c>
      <c r="M14" s="213">
        <f>+'Fleet actions ACP '!I15</f>
        <v>1</v>
      </c>
      <c r="N14" s="92">
        <f>+'Fleet actions ACP '!J15</f>
        <v>6842475.0798954889</v>
      </c>
      <c r="O14" s="150">
        <f>+'Fleet actions ACP '!N15</f>
        <v>226.78583958206934</v>
      </c>
      <c r="P14" s="150">
        <f>+'Fleet actions ACP '!O15</f>
        <v>8.8318108093847361</v>
      </c>
      <c r="Q14" s="92">
        <f t="shared" si="1"/>
        <v>223342475.07989547</v>
      </c>
    </row>
    <row r="15" spans="1:19" x14ac:dyDescent="0.35">
      <c r="A15" s="24">
        <f>+'Fleet actions Reg'!A16</f>
        <v>2036</v>
      </c>
      <c r="B15" s="92">
        <f>+'Fleet actions Reg'!G16</f>
        <v>45718939.14137885</v>
      </c>
      <c r="C15" s="62">
        <f>+'Fleet actions Reg'!H16</f>
        <v>477298914.65068018</v>
      </c>
      <c r="D15" s="24">
        <f>+'Fleet actions Reg'!I16</f>
        <v>0</v>
      </c>
      <c r="E15" s="92">
        <f>+'Fleet actions Reg'!J16</f>
        <v>477298914.65068018</v>
      </c>
      <c r="F15" s="150">
        <f>+'Fleet actions Reg'!N16</f>
        <v>0</v>
      </c>
      <c r="G15" s="205">
        <f>+'Fleet actions Reg'!O16</f>
        <v>0</v>
      </c>
      <c r="H15" s="92">
        <f t="shared" si="0"/>
        <v>477298914.65068018</v>
      </c>
      <c r="J15" s="24">
        <f>+'Fleet actions ACP '!A16</f>
        <v>2036</v>
      </c>
      <c r="K15" s="92">
        <f>+'Fleet actions ACP '!G16</f>
        <v>16312341.342718938</v>
      </c>
      <c r="L15" s="92">
        <f>+'Fleet actions ACP '!H16</f>
        <v>23154816.422614425</v>
      </c>
      <c r="M15" s="213">
        <f>+'Fleet actions ACP '!I16</f>
        <v>1</v>
      </c>
      <c r="N15" s="92">
        <f>+'Fleet actions ACP '!J16</f>
        <v>10154816.422614425</v>
      </c>
      <c r="O15" s="150">
        <f>+'Fleet actions ACP '!N16</f>
        <v>230.20902206632701</v>
      </c>
      <c r="P15" s="150">
        <f>+'Fleet actions ACP '!O16</f>
        <v>8.8831585466486001</v>
      </c>
      <c r="Q15" s="92">
        <f t="shared" si="1"/>
        <v>239654816.4226144</v>
      </c>
    </row>
    <row r="16" spans="1:19" x14ac:dyDescent="0.35">
      <c r="A16" s="24">
        <f>+'Fleet actions Reg'!A17</f>
        <v>2037</v>
      </c>
      <c r="B16" s="92">
        <f>+'Fleet actions Reg'!G17</f>
        <v>47546234.870450743</v>
      </c>
      <c r="C16" s="62">
        <f>+'Fleet actions Reg'!H17</f>
        <v>524845149.52113092</v>
      </c>
      <c r="D16" s="24">
        <f>+'Fleet actions Reg'!I17</f>
        <v>0</v>
      </c>
      <c r="E16" s="92">
        <f>+'Fleet actions Reg'!J17</f>
        <v>524845149.52113092</v>
      </c>
      <c r="F16" s="150">
        <f>+'Fleet actions Reg'!N17</f>
        <v>0</v>
      </c>
      <c r="G16" s="205">
        <f>+'Fleet actions Reg'!O17</f>
        <v>0</v>
      </c>
      <c r="H16" s="92">
        <f t="shared" si="0"/>
        <v>524845149.52113092</v>
      </c>
      <c r="J16" s="24">
        <f>+'Fleet actions ACP '!A17</f>
        <v>2037</v>
      </c>
      <c r="K16" s="92">
        <f>+'Fleet actions ACP '!G17</f>
        <v>16603370.580069687</v>
      </c>
      <c r="L16" s="92">
        <f>+'Fleet actions ACP '!H17</f>
        <v>26758187.002684113</v>
      </c>
      <c r="M16" s="213">
        <f>+'Fleet actions ACP '!I17</f>
        <v>2</v>
      </c>
      <c r="N16" s="92">
        <f>+'Fleet actions ACP '!J17</f>
        <v>758187.00268411264</v>
      </c>
      <c r="O16" s="150">
        <f>+'Fleet actions ACP '!N17</f>
        <v>233.63220455058467</v>
      </c>
      <c r="P16" s="150">
        <f>+'Fleet actions ACP '!O17</f>
        <v>8.9345062839124658</v>
      </c>
      <c r="Q16" s="92">
        <f t="shared" si="1"/>
        <v>256258187.00268409</v>
      </c>
    </row>
    <row r="17" spans="1:17" x14ac:dyDescent="0.35">
      <c r="A17" s="24">
        <f>+'Fleet actions Reg'!A18</f>
        <v>2038</v>
      </c>
      <c r="B17" s="92">
        <f>+'Fleet actions Reg'!G18</f>
        <v>49373530.599522643</v>
      </c>
      <c r="C17" s="62">
        <f>+'Fleet actions Reg'!H18</f>
        <v>574218680.12065351</v>
      </c>
      <c r="D17" s="24">
        <f>+'Fleet actions Reg'!I18</f>
        <v>0</v>
      </c>
      <c r="E17" s="92">
        <f>+'Fleet actions Reg'!J18</f>
        <v>574218680.12065351</v>
      </c>
      <c r="F17" s="150">
        <f>+'Fleet actions Reg'!N18</f>
        <v>0</v>
      </c>
      <c r="G17" s="205">
        <f>+'Fleet actions Reg'!O18</f>
        <v>0</v>
      </c>
      <c r="H17" s="92">
        <f t="shared" si="0"/>
        <v>574218680.12065351</v>
      </c>
      <c r="J17" s="24">
        <f>+'Fleet actions ACP '!A18</f>
        <v>2038</v>
      </c>
      <c r="K17" s="92">
        <f>+'Fleet actions ACP '!G18</f>
        <v>16491841.739826595</v>
      </c>
      <c r="L17" s="92">
        <f>+'Fleet actions ACP '!H18</f>
        <v>17250028.742510706</v>
      </c>
      <c r="M17" s="213">
        <f>+'Fleet actions ACP '!I18</f>
        <v>1</v>
      </c>
      <c r="N17" s="92">
        <f>+'Fleet actions ACP '!J18</f>
        <v>4250028.7425107062</v>
      </c>
      <c r="O17" s="150">
        <f>+'Fleet actions ACP '!N18</f>
        <v>240.47856951909995</v>
      </c>
      <c r="P17" s="150">
        <f>+'Fleet actions ACP '!O18</f>
        <v>9.0372017584401956</v>
      </c>
      <c r="Q17" s="92">
        <f t="shared" si="1"/>
        <v>272750028.74251068</v>
      </c>
    </row>
    <row r="18" spans="1:17" x14ac:dyDescent="0.35">
      <c r="A18" s="24">
        <f>+'Fleet actions Reg'!A19</f>
        <v>2039</v>
      </c>
      <c r="B18" s="92">
        <f>+'Fleet actions Reg'!G19</f>
        <v>51383555.901501723</v>
      </c>
      <c r="C18" s="62">
        <f>+'Fleet actions Reg'!H19</f>
        <v>625602236.02215528</v>
      </c>
      <c r="D18" s="24">
        <f>+'Fleet actions Reg'!I19</f>
        <v>0</v>
      </c>
      <c r="E18" s="92">
        <f>+'Fleet actions Reg'!J19</f>
        <v>625602236.02215528</v>
      </c>
      <c r="F18" s="150">
        <f>+'Fleet actions Reg'!N19</f>
        <v>0</v>
      </c>
      <c r="G18" s="205">
        <f>+'Fleet actions Reg'!O19</f>
        <v>0</v>
      </c>
      <c r="H18" s="92">
        <f t="shared" si="0"/>
        <v>625602236.02215528</v>
      </c>
      <c r="J18" s="24">
        <f>+'Fleet actions ACP '!A19</f>
        <v>2039</v>
      </c>
      <c r="K18" s="92">
        <f>+'Fleet actions ACP '!G19</f>
        <v>16773160.754768122</v>
      </c>
      <c r="L18" s="92">
        <f>+'Fleet actions ACP '!H19</f>
        <v>21023189.497278828</v>
      </c>
      <c r="M18" s="213">
        <f>+'Fleet actions ACP '!I19</f>
        <v>1</v>
      </c>
      <c r="N18" s="92">
        <f>+'Fleet actions ACP '!J19</f>
        <v>8023189.4972788282</v>
      </c>
      <c r="O18" s="150">
        <f>+'Fleet actions ACP '!N19</f>
        <v>243.90175200335764</v>
      </c>
      <c r="P18" s="150">
        <f>+'Fleet actions ACP '!O19</f>
        <v>9.0885494957040613</v>
      </c>
      <c r="Q18" s="92">
        <f t="shared" si="1"/>
        <v>289523189.49727881</v>
      </c>
    </row>
    <row r="19" spans="1:17" x14ac:dyDescent="0.35">
      <c r="A19" s="24">
        <f>+'Fleet actions Reg'!A20</f>
        <v>2040</v>
      </c>
      <c r="B19" s="92">
        <f>+'Fleet actions Reg'!G20</f>
        <v>53503218.947225131</v>
      </c>
      <c r="C19" s="62">
        <f>+'Fleet actions Reg'!H20</f>
        <v>679105454.96938038</v>
      </c>
      <c r="D19" s="24">
        <f>+'Fleet actions Reg'!I20</f>
        <v>15</v>
      </c>
      <c r="E19" s="92">
        <f>+'Fleet actions Reg'!J20</f>
        <v>484105454.96938038</v>
      </c>
      <c r="F19" s="150">
        <f>+'Fleet actions Reg'!N20</f>
        <v>0</v>
      </c>
      <c r="G19" s="205">
        <f>+'Fleet actions Reg'!O20</f>
        <v>0</v>
      </c>
      <c r="H19" s="92">
        <f t="shared" si="0"/>
        <v>679105454.96938038</v>
      </c>
      <c r="J19" s="24">
        <f>+'Fleet actions ACP '!A20</f>
        <v>2040</v>
      </c>
      <c r="K19" s="92">
        <f>+'Fleet actions ACP '!G20</f>
        <v>17058918.728525296</v>
      </c>
      <c r="L19" s="92">
        <f>+'Fleet actions ACP '!H20</f>
        <v>25082108.225804124</v>
      </c>
      <c r="M19" s="213">
        <f>+'Fleet actions ACP '!I20</f>
        <v>1</v>
      </c>
      <c r="N19" s="92">
        <f>+'Fleet actions ACP '!J20</f>
        <v>12082108.225804124</v>
      </c>
      <c r="O19" s="150">
        <f>+'Fleet actions ACP '!N20</f>
        <v>247.32493448761528</v>
      </c>
      <c r="P19" s="150">
        <f>+'Fleet actions ACP '!O20</f>
        <v>9.1398972329679253</v>
      </c>
      <c r="Q19" s="92">
        <f t="shared" si="1"/>
        <v>306582108.22580409</v>
      </c>
    </row>
    <row r="20" spans="1:17" x14ac:dyDescent="0.35">
      <c r="A20" s="24">
        <f>+'Fleet actions Reg'!A21</f>
        <v>2041</v>
      </c>
      <c r="B20" s="92">
        <f>+'Fleet actions Reg'!G21</f>
        <v>16879140.896491654</v>
      </c>
      <c r="C20" s="62">
        <f>+'Fleet actions Reg'!H21</f>
        <v>500984595.86587203</v>
      </c>
      <c r="D20" s="24">
        <f>+'Fleet actions Reg'!I21</f>
        <v>0</v>
      </c>
      <c r="E20" s="92">
        <f>+'Fleet actions Reg'!J21</f>
        <v>500984595.86587203</v>
      </c>
      <c r="F20" s="150">
        <f>+'Fleet actions Reg'!N21</f>
        <v>254.17129945613058</v>
      </c>
      <c r="G20" s="205">
        <f>+'Fleet actions Reg'!O21</f>
        <v>9.2425927074956533</v>
      </c>
      <c r="H20" s="92">
        <f t="shared" si="0"/>
        <v>695984595.86587203</v>
      </c>
      <c r="J20" s="24">
        <f>+'Fleet actions ACP '!A21</f>
        <v>2041</v>
      </c>
      <c r="K20" s="92">
        <f>+'Fleet actions ACP '!G21</f>
        <v>17280020.49278333</v>
      </c>
      <c r="L20" s="92">
        <f>+'Fleet actions ACP '!H21</f>
        <v>29362128.718587454</v>
      </c>
      <c r="M20" s="213">
        <f>+'Fleet actions ACP '!I21</f>
        <v>2</v>
      </c>
      <c r="N20" s="92">
        <f>+'Fleet actions ACP '!J21</f>
        <v>3362128.7185874544</v>
      </c>
      <c r="O20" s="150">
        <f>+'Fleet actions ACP '!N21</f>
        <v>250.91927609608581</v>
      </c>
      <c r="P20" s="150">
        <f>+'Fleet actions ACP '!O21</f>
        <v>9.1938123570949823</v>
      </c>
      <c r="Q20" s="92">
        <f t="shared" si="1"/>
        <v>323862128.7185874</v>
      </c>
    </row>
    <row r="21" spans="1:17" x14ac:dyDescent="0.35">
      <c r="A21" s="24">
        <f>+'Fleet actions Reg'!A22</f>
        <v>2042</v>
      </c>
      <c r="B21" s="92">
        <f>+'Fleet actions Reg'!G22</f>
        <v>17589374.306994919</v>
      </c>
      <c r="C21" s="62">
        <f>+'Fleet actions Reg'!H22</f>
        <v>518573970.17286694</v>
      </c>
      <c r="D21" s="24">
        <f>+'Fleet actions Reg'!I22</f>
        <v>0</v>
      </c>
      <c r="E21" s="92">
        <f>+'Fleet actions Reg'!J22</f>
        <v>518573970.17286694</v>
      </c>
      <c r="F21" s="150">
        <f>+'Fleet actions Reg'!N22</f>
        <v>254.17129945613058</v>
      </c>
      <c r="G21" s="205">
        <f>+'Fleet actions Reg'!O22</f>
        <v>9.2425927074956533</v>
      </c>
      <c r="H21" s="92">
        <f t="shared" si="0"/>
        <v>713573970.17286694</v>
      </c>
      <c r="J21" s="24">
        <f>+'Fleet actions ACP '!A22</f>
        <v>2042</v>
      </c>
      <c r="K21" s="92">
        <f>+'Fleet actions ACP '!G22</f>
        <v>17083679.795668814</v>
      </c>
      <c r="L21" s="92">
        <f>+'Fleet actions ACP '!H22</f>
        <v>20445808.514256269</v>
      </c>
      <c r="M21" s="213">
        <f>+'Fleet actions ACP '!I22</f>
        <v>4</v>
      </c>
      <c r="N21" s="92">
        <f>+'Fleet actions ACP '!J22</f>
        <v>-31554191.485743731</v>
      </c>
      <c r="O21" s="150">
        <f>+'Fleet actions ACP '!N22</f>
        <v>258.10795931302687</v>
      </c>
      <c r="P21" s="150">
        <f>+'Fleet actions ACP '!O22</f>
        <v>9.3016426053490981</v>
      </c>
      <c r="Q21" s="92">
        <f t="shared" si="1"/>
        <v>340945808.51425624</v>
      </c>
    </row>
    <row r="22" spans="1:17" x14ac:dyDescent="0.35">
      <c r="A22" s="24">
        <f>+'Fleet actions Reg'!A23</f>
        <v>2043</v>
      </c>
      <c r="B22" s="92">
        <f>+'Fleet actions Reg'!G23</f>
        <v>18288510.320459075</v>
      </c>
      <c r="C22" s="62">
        <f>+'Fleet actions Reg'!H23</f>
        <v>536862480.49332601</v>
      </c>
      <c r="D22" s="24">
        <f>+'Fleet actions Reg'!I23</f>
        <v>0</v>
      </c>
      <c r="E22" s="92">
        <f>+'Fleet actions Reg'!J23</f>
        <v>536862480.49332601</v>
      </c>
      <c r="F22" s="150">
        <f>+'Fleet actions Reg'!N23</f>
        <v>254.17129945613058</v>
      </c>
      <c r="G22" s="205">
        <f>+'Fleet actions Reg'!O23</f>
        <v>9.2425927074956533</v>
      </c>
      <c r="H22" s="92">
        <f t="shared" si="0"/>
        <v>731862480.49332607</v>
      </c>
      <c r="J22" s="24">
        <f>+'Fleet actions ACP '!A23</f>
        <v>2043</v>
      </c>
      <c r="K22" s="92">
        <f>+'Fleet actions ACP '!G23</f>
        <v>15842422.065097671</v>
      </c>
      <c r="L22" s="92">
        <f>+'Fleet actions ACP '!H23</f>
        <v>-15711769.42064606</v>
      </c>
      <c r="M22" s="213">
        <f>+'Fleet actions ACP '!I23</f>
        <v>10</v>
      </c>
      <c r="N22" s="92">
        <f>+'Fleet actions ACP '!J23</f>
        <v>-145711769.42064607</v>
      </c>
      <c r="O22" s="150">
        <f>+'Fleet actions ACP '!N23</f>
        <v>272.48532574690898</v>
      </c>
      <c r="P22" s="150">
        <f>+'Fleet actions ACP '!O23</f>
        <v>9.5173031018573298</v>
      </c>
      <c r="Q22" s="92">
        <f t="shared" si="1"/>
        <v>356788230.57935393</v>
      </c>
    </row>
    <row r="23" spans="1:17" x14ac:dyDescent="0.35">
      <c r="A23" s="24">
        <f>+'Fleet actions Reg'!A24</f>
        <v>2044</v>
      </c>
      <c r="B23" s="92">
        <f>+'Fleet actions Reg'!G24</f>
        <v>19032035.922079679</v>
      </c>
      <c r="C23" s="62">
        <f>+'Fleet actions Reg'!H24</f>
        <v>555894516.41540563</v>
      </c>
      <c r="D23" s="24">
        <f>+'Fleet actions Reg'!I24</f>
        <v>0</v>
      </c>
      <c r="E23" s="92">
        <f>+'Fleet actions Reg'!J24</f>
        <v>555894516.41540563</v>
      </c>
      <c r="F23" s="150">
        <f>+'Fleet actions Reg'!N24</f>
        <v>254.17129945613058</v>
      </c>
      <c r="G23" s="205">
        <f>+'Fleet actions Reg'!O24</f>
        <v>9.2425927074956533</v>
      </c>
      <c r="H23" s="92">
        <f t="shared" si="0"/>
        <v>750894516.41540575</v>
      </c>
      <c r="J23" s="24">
        <f>+'Fleet actions ACP '!A24</f>
        <v>2044</v>
      </c>
      <c r="K23" s="92">
        <f>+'Fleet actions ACP '!G24</f>
        <v>11490591.687955603</v>
      </c>
      <c r="L23" s="92">
        <f>+'Fleet actions ACP '!H24</f>
        <v>-134221177.73269045</v>
      </c>
      <c r="M23" s="213">
        <f>+'Fleet actions ACP '!I24</f>
        <v>10</v>
      </c>
      <c r="N23" s="92">
        <f>+'Fleet actions ACP '!J24</f>
        <v>-264221177.73269045</v>
      </c>
      <c r="O23" s="150">
        <f>+'Fleet actions ACP '!N24</f>
        <v>308.42874183161427</v>
      </c>
      <c r="P23" s="150">
        <f>+'Fleet actions ACP '!O24</f>
        <v>10.056454343127909</v>
      </c>
      <c r="Q23" s="92">
        <f t="shared" si="1"/>
        <v>368278822.26730955</v>
      </c>
    </row>
    <row r="24" spans="1:17" x14ac:dyDescent="0.35">
      <c r="A24" s="24">
        <f>+'Fleet actions Reg'!A25</f>
        <v>2045</v>
      </c>
      <c r="B24" s="92">
        <f>+'Fleet actions Reg'!G25</f>
        <v>19808853.714817625</v>
      </c>
      <c r="C24" s="62">
        <f>+'Fleet actions Reg'!H25</f>
        <v>575703370.13022327</v>
      </c>
      <c r="D24" s="24">
        <f>+'Fleet actions Reg'!I25</f>
        <v>0</v>
      </c>
      <c r="E24" s="92">
        <f>+'Fleet actions Reg'!J25</f>
        <v>575703370.13022327</v>
      </c>
      <c r="F24" s="150">
        <f>+'Fleet actions Reg'!N25</f>
        <v>254.17129945613058</v>
      </c>
      <c r="G24" s="205">
        <f>+'Fleet actions Reg'!O25</f>
        <v>9.2425927074956533</v>
      </c>
      <c r="H24" s="92">
        <f t="shared" si="0"/>
        <v>770703370.13022339</v>
      </c>
      <c r="J24" s="24">
        <f>+'Fleet actions ACP '!A25</f>
        <v>2045</v>
      </c>
      <c r="K24" s="92">
        <f>+'Fleet actions ACP '!G25</f>
        <v>6759771.3301815111</v>
      </c>
      <c r="L24" s="92">
        <f>+'Fleet actions ACP '!H25</f>
        <v>-257461406.40250894</v>
      </c>
      <c r="M24" s="213">
        <f>+'Fleet actions ACP '!I25</f>
        <v>0</v>
      </c>
      <c r="N24" s="92">
        <f>+'Fleet actions ACP '!J25</f>
        <v>-257461406.40250894</v>
      </c>
      <c r="O24" s="150">
        <f>+'Fleet actions ACP '!N25</f>
        <v>344.37215791631957</v>
      </c>
      <c r="P24" s="150">
        <f>+'Fleet actions ACP '!O25</f>
        <v>10.59560558439849</v>
      </c>
      <c r="Q24" s="92">
        <f t="shared" si="1"/>
        <v>375038593.59749109</v>
      </c>
    </row>
    <row r="25" spans="1:17" x14ac:dyDescent="0.35">
      <c r="A25" s="24">
        <f>+'Fleet actions Reg'!A26</f>
        <v>2046</v>
      </c>
      <c r="B25" s="92">
        <f>+'Fleet actions Reg'!G26</f>
        <v>20607866.301633798</v>
      </c>
      <c r="C25" s="62">
        <f>+'Fleet actions Reg'!H26</f>
        <v>596311236.43185711</v>
      </c>
      <c r="D25" s="24">
        <f>+'Fleet actions Reg'!I26</f>
        <v>0</v>
      </c>
      <c r="E25" s="92">
        <f>+'Fleet actions Reg'!J26</f>
        <v>596311236.43185711</v>
      </c>
      <c r="F25" s="150">
        <f>+'Fleet actions Reg'!N26</f>
        <v>254.17129945613058</v>
      </c>
      <c r="G25" s="205">
        <f>+'Fleet actions Reg'!O26</f>
        <v>9.2425927074956533</v>
      </c>
      <c r="H25" s="92">
        <f t="shared" si="0"/>
        <v>791311236.43185723</v>
      </c>
      <c r="J25" s="24">
        <f>+'Fleet actions ACP '!A26</f>
        <v>2046</v>
      </c>
      <c r="K25" s="92">
        <f>+'Fleet actions ACP '!G26</f>
        <v>7032434.3754325304</v>
      </c>
      <c r="L25" s="92">
        <f>+'Fleet actions ACP '!H26</f>
        <v>-250428972.02707642</v>
      </c>
      <c r="M25" s="213">
        <f>+'Fleet actions ACP '!I26</f>
        <v>0</v>
      </c>
      <c r="N25" s="92">
        <f>+'Fleet actions ACP '!J26</f>
        <v>-250428972.02707642</v>
      </c>
      <c r="O25" s="150">
        <f>+'Fleet actions ACP '!N26</f>
        <v>344.37215791631957</v>
      </c>
      <c r="P25" s="150">
        <f>+'Fleet actions ACP '!O26</f>
        <v>10.59560558439849</v>
      </c>
      <c r="Q25" s="92">
        <f t="shared" si="1"/>
        <v>382071027.97292364</v>
      </c>
    </row>
    <row r="26" spans="1:17" x14ac:dyDescent="0.35">
      <c r="A26" s="24">
        <f>+'Fleet actions Reg'!A27</f>
        <v>2047</v>
      </c>
      <c r="B26" s="92">
        <f>+'Fleet actions Reg'!G27</f>
        <v>21451268.476606425</v>
      </c>
      <c r="C26" s="62">
        <f>+'Fleet actions Reg'!H27</f>
        <v>617762504.90846348</v>
      </c>
      <c r="D26" s="24">
        <f>+'Fleet actions Reg'!I27</f>
        <v>0</v>
      </c>
      <c r="E26" s="92">
        <f>+'Fleet actions Reg'!J27</f>
        <v>617762504.90846348</v>
      </c>
      <c r="F26" s="150">
        <f>+'Fleet actions Reg'!N27</f>
        <v>254.17129945613058</v>
      </c>
      <c r="G26" s="205">
        <f>+'Fleet actions Reg'!O27</f>
        <v>9.2425927074956533</v>
      </c>
      <c r="H26" s="92">
        <f t="shared" si="0"/>
        <v>812762504.9084636</v>
      </c>
      <c r="J26" s="24">
        <f>+'Fleet actions ACP '!A27</f>
        <v>2047</v>
      </c>
      <c r="K26" s="92">
        <f>+'Fleet actions ACP '!G27</f>
        <v>7320245.3676419398</v>
      </c>
      <c r="L26" s="92">
        <f>+'Fleet actions ACP '!H27</f>
        <v>-243108726.6594345</v>
      </c>
      <c r="M26" s="213">
        <f>+'Fleet actions ACP '!I27</f>
        <v>0</v>
      </c>
      <c r="N26" s="92">
        <f>+'Fleet actions ACP '!J27</f>
        <v>-243108726.6594345</v>
      </c>
      <c r="O26" s="150">
        <f>+'Fleet actions ACP '!N27</f>
        <v>344.37215791631957</v>
      </c>
      <c r="P26" s="150">
        <f>+'Fleet actions ACP '!O27</f>
        <v>10.59560558439849</v>
      </c>
      <c r="Q26" s="92">
        <f t="shared" si="1"/>
        <v>389391273.34056556</v>
      </c>
    </row>
    <row r="27" spans="1:17" x14ac:dyDescent="0.35">
      <c r="A27" s="24">
        <f>+'Fleet actions Reg'!A28</f>
        <v>2048</v>
      </c>
      <c r="B27" s="92">
        <f>+'Fleet actions Reg'!G28</f>
        <v>22355919.390496094</v>
      </c>
      <c r="C27" s="62">
        <f>+'Fleet actions Reg'!H28</f>
        <v>640118424.29895961</v>
      </c>
      <c r="D27" s="24">
        <f>+'Fleet actions Reg'!I28</f>
        <v>0</v>
      </c>
      <c r="E27" s="92">
        <f>+'Fleet actions Reg'!J28</f>
        <v>640118424.29895961</v>
      </c>
      <c r="F27" s="150">
        <f>+'Fleet actions Reg'!N28</f>
        <v>254.17129945613058</v>
      </c>
      <c r="G27" s="205">
        <f>+'Fleet actions Reg'!O28</f>
        <v>9.2425927074956533</v>
      </c>
      <c r="H27" s="92">
        <f t="shared" si="0"/>
        <v>835118424.29895973</v>
      </c>
      <c r="J27" s="24">
        <f>+'Fleet actions ACP '!A28</f>
        <v>2048</v>
      </c>
      <c r="K27" s="92">
        <f>+'Fleet actions ACP '!G28</f>
        <v>7628957.492006789</v>
      </c>
      <c r="L27" s="92">
        <f>+'Fleet actions ACP '!H28</f>
        <v>-235479769.16742772</v>
      </c>
      <c r="M27" s="213">
        <f>+'Fleet actions ACP '!I28</f>
        <v>3</v>
      </c>
      <c r="N27" s="92">
        <f>+'Fleet actions ACP '!J28</f>
        <v>-274479769.16742772</v>
      </c>
      <c r="O27" s="150">
        <f>+'Fleet actions ACP '!N28</f>
        <v>344.37215791631957</v>
      </c>
      <c r="P27" s="150">
        <f>+'Fleet actions ACP '!O28</f>
        <v>10.59560558439849</v>
      </c>
      <c r="Q27" s="92">
        <f t="shared" si="1"/>
        <v>397020230.83257234</v>
      </c>
    </row>
    <row r="28" spans="1:17" x14ac:dyDescent="0.35">
      <c r="A28" s="24">
        <f>+'Fleet actions Reg'!A29</f>
        <v>2049</v>
      </c>
      <c r="B28" s="92">
        <f>+'Fleet actions Reg'!G29</f>
        <v>23289267.913757365</v>
      </c>
      <c r="C28" s="62">
        <f>+'Fleet actions Reg'!H29</f>
        <v>663407692.21271694</v>
      </c>
      <c r="D28" s="24">
        <f>+'Fleet actions Reg'!I29</f>
        <v>0</v>
      </c>
      <c r="E28" s="92">
        <f>+'Fleet actions Reg'!J29</f>
        <v>663407692.21271694</v>
      </c>
      <c r="F28" s="150">
        <f>+'Fleet actions Reg'!N29</f>
        <v>254.17129945613058</v>
      </c>
      <c r="G28" s="205">
        <f>+'Fleet actions Reg'!O29</f>
        <v>9.2425927074956533</v>
      </c>
      <c r="H28" s="92">
        <f t="shared" si="0"/>
        <v>858407692.21271706</v>
      </c>
      <c r="J28" s="24">
        <f>+'Fleet actions ACP '!A29</f>
        <v>2049</v>
      </c>
      <c r="K28" s="92">
        <f>+'Fleet actions ACP '!G29</f>
        <v>7947462.6755696973</v>
      </c>
      <c r="L28" s="92">
        <f>+'Fleet actions ACP '!H29</f>
        <v>-266532306.49185804</v>
      </c>
      <c r="M28" s="213">
        <f>+'Fleet actions ACP '!I29</f>
        <v>4</v>
      </c>
      <c r="N28" s="92">
        <f>+'Fleet actions ACP '!J29</f>
        <v>-318532306.49185801</v>
      </c>
      <c r="O28" s="150">
        <f>+'Fleet actions ACP '!N29</f>
        <v>344.37215791631957</v>
      </c>
      <c r="P28" s="150">
        <f>+'Fleet actions ACP '!O29</f>
        <v>10.59560558439849</v>
      </c>
      <c r="Q28" s="92">
        <f t="shared" si="1"/>
        <v>404967693.50814205</v>
      </c>
    </row>
    <row r="29" spans="1:17" x14ac:dyDescent="0.35">
      <c r="A29" s="24">
        <f>+'Fleet actions Reg'!A30</f>
        <v>2050</v>
      </c>
      <c r="B29" s="92">
        <f>+'Fleet actions Reg'!G30</f>
        <v>24308533.2630101</v>
      </c>
      <c r="C29" s="62">
        <f>+'Fleet actions Reg'!H30</f>
        <v>687716225.47572708</v>
      </c>
      <c r="D29" s="24">
        <f>+'Fleet actions Reg'!I30</f>
        <v>0</v>
      </c>
      <c r="E29" s="92">
        <f>+'Fleet actions Reg'!J30</f>
        <v>687716225.47572708</v>
      </c>
      <c r="F29" s="150">
        <f>+'Fleet actions Reg'!N30</f>
        <v>254.17129945613058</v>
      </c>
      <c r="G29" s="205">
        <f>+'Fleet actions Reg'!O30</f>
        <v>9.2425927074956533</v>
      </c>
      <c r="H29" s="92">
        <f t="shared" si="0"/>
        <v>882716225.4757272</v>
      </c>
      <c r="J29" s="24">
        <f>+'Fleet actions ACP '!A30</f>
        <v>2050</v>
      </c>
      <c r="K29" s="92">
        <f>+'Fleet actions ACP '!G30</f>
        <v>6380989.9815401444</v>
      </c>
      <c r="L29" s="92">
        <f>+'Fleet actions ACP '!H30</f>
        <v>-312151316.51031786</v>
      </c>
      <c r="M29" s="213">
        <f>+'Fleet actions ACP '!I30</f>
        <v>3</v>
      </c>
      <c r="N29" s="92">
        <f>+'Fleet actions ACP '!J30</f>
        <v>-351151316.51031786</v>
      </c>
      <c r="O29" s="150">
        <f>+'Fleet actions ACP '!N30</f>
        <v>355.15518274173115</v>
      </c>
      <c r="P29" s="150">
        <f>+'Fleet actions ACP '!O30</f>
        <v>10.757350956779662</v>
      </c>
      <c r="Q29" s="92">
        <f t="shared" si="1"/>
        <v>411348683.4896822</v>
      </c>
    </row>
    <row r="30" spans="1:17" x14ac:dyDescent="0.35">
      <c r="J30" s="24"/>
      <c r="K30" s="92"/>
      <c r="L30" s="92"/>
      <c r="M30" s="92"/>
      <c r="N30" s="92"/>
      <c r="O30" s="150"/>
      <c r="P30" s="150"/>
      <c r="Q30" s="92"/>
    </row>
    <row r="31" spans="1:17" x14ac:dyDescent="0.35">
      <c r="J31" s="24"/>
      <c r="K31" s="92"/>
      <c r="L31" s="92"/>
      <c r="M31" s="92"/>
      <c r="N31" s="92"/>
      <c r="O31" s="150"/>
      <c r="P31" s="150"/>
    </row>
  </sheetData>
  <mergeCells count="2">
    <mergeCell ref="A1:G1"/>
    <mergeCell ref="J1:P1"/>
  </mergeCells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397CA-92F3-44C2-BD5E-B5A286B179E4}">
  <dimension ref="A1:AT50"/>
  <sheetViews>
    <sheetView topLeftCell="A16" zoomScale="80" zoomScaleNormal="80" workbookViewId="0">
      <selection activeCell="A40" sqref="A40"/>
    </sheetView>
  </sheetViews>
  <sheetFormatPr defaultColWidth="8.81640625" defaultRowHeight="14.5" x14ac:dyDescent="0.35"/>
  <cols>
    <col min="1" max="2" width="8.81640625" style="90"/>
    <col min="3" max="3" width="15.1796875" style="24" customWidth="1"/>
    <col min="4" max="4" width="16.81640625" style="24" customWidth="1"/>
    <col min="5" max="5" width="14.54296875" style="24" customWidth="1"/>
    <col min="6" max="6" width="16.08984375" style="24" customWidth="1"/>
    <col min="7" max="8" width="17.81640625" style="24" customWidth="1"/>
    <col min="9" max="9" width="14.81640625" style="24" customWidth="1"/>
    <col min="10" max="10" width="15.1796875" style="24" customWidth="1"/>
    <col min="11" max="16" width="13.81640625" style="24" customWidth="1"/>
    <col min="17" max="17" width="8.81640625" style="24"/>
    <col min="18" max="18" width="19.54296875" style="24" customWidth="1"/>
    <col min="19" max="19" width="9.453125" style="24" customWidth="1"/>
    <col min="20" max="20" width="9.81640625" style="24" customWidth="1"/>
    <col min="21" max="16384" width="8.81640625" style="24"/>
  </cols>
  <sheetData>
    <row r="1" spans="1:46" x14ac:dyDescent="0.35">
      <c r="A1" s="160" t="s">
        <v>248</v>
      </c>
      <c r="B1" s="160"/>
      <c r="C1" s="160"/>
    </row>
    <row r="2" spans="1:46" s="90" customFormat="1" ht="58" x14ac:dyDescent="0.35">
      <c r="A2" s="204"/>
      <c r="B2" s="215" t="s">
        <v>203</v>
      </c>
      <c r="C2" s="215"/>
      <c r="D2" s="215"/>
      <c r="E2" s="215"/>
      <c r="F2" s="164" t="s">
        <v>245</v>
      </c>
      <c r="G2" s="164" t="s">
        <v>246</v>
      </c>
      <c r="H2" s="164" t="s">
        <v>247</v>
      </c>
      <c r="I2" s="164" t="s">
        <v>243</v>
      </c>
      <c r="J2" s="164" t="s">
        <v>241</v>
      </c>
      <c r="K2" s="90" t="s">
        <v>265</v>
      </c>
      <c r="L2" s="90" t="s">
        <v>266</v>
      </c>
      <c r="N2" s="90" t="s">
        <v>267</v>
      </c>
      <c r="O2" s="90" t="s">
        <v>268</v>
      </c>
    </row>
    <row r="3" spans="1:46" s="90" customFormat="1" ht="29" x14ac:dyDescent="0.35">
      <c r="A3" s="136" t="s">
        <v>270</v>
      </c>
      <c r="B3" s="195" t="s">
        <v>157</v>
      </c>
      <c r="C3" s="165" t="s">
        <v>124</v>
      </c>
      <c r="D3" s="166" t="s">
        <v>239</v>
      </c>
      <c r="E3" s="166" t="s">
        <v>250</v>
      </c>
      <c r="F3" s="166"/>
      <c r="G3" s="166"/>
      <c r="H3" s="166"/>
      <c r="I3" s="166"/>
      <c r="J3" s="166"/>
      <c r="P3" s="90">
        <v>0.9</v>
      </c>
      <c r="R3" s="111" t="s">
        <v>262</v>
      </c>
      <c r="S3" s="24"/>
      <c r="T3" s="24"/>
    </row>
    <row r="4" spans="1:46" s="90" customFormat="1" ht="29" x14ac:dyDescent="0.35">
      <c r="A4" s="136">
        <v>2024</v>
      </c>
      <c r="B4" s="182">
        <f>+C4+D4</f>
        <v>127369.95766929124</v>
      </c>
      <c r="C4" s="163">
        <f>+'Assumptions new'!H4</f>
        <v>34737.261182534006</v>
      </c>
      <c r="D4" s="163">
        <f>+'Assumptions new'!I4</f>
        <v>92632.696486757239</v>
      </c>
      <c r="E4" s="161">
        <v>0</v>
      </c>
      <c r="F4" s="154"/>
      <c r="G4" s="155">
        <f>+C4*'Assumptions new'!D4+D4*'Assumptions new'!E4</f>
        <v>28847368.65200755</v>
      </c>
      <c r="H4" s="158">
        <f>F4+G4</f>
        <v>28847368.65200755</v>
      </c>
      <c r="I4" s="90">
        <v>0</v>
      </c>
      <c r="J4" s="157">
        <f>H4-(I4*'Assumptions new'!$O$2)</f>
        <v>28847368.65200755</v>
      </c>
      <c r="K4" s="90">
        <f>+(C4*'Assumptions new'!$B$37+'Assumptions new'!$B$38*'Fleet actions ACP '!D4)*1341/453.6/2000</f>
        <v>391.09859882643639</v>
      </c>
      <c r="L4" s="90">
        <f>+(C4*'Assumptions new'!$C$37+'Assumptions new'!$C$38*D4)*1341/453.6/2000</f>
        <v>11.296502198050241</v>
      </c>
      <c r="M4" s="136">
        <v>2023</v>
      </c>
      <c r="N4" s="180"/>
      <c r="O4" s="180"/>
      <c r="R4" s="197" t="s">
        <v>256</v>
      </c>
      <c r="S4" s="197" t="s">
        <v>257</v>
      </c>
      <c r="T4" s="197" t="s">
        <v>258</v>
      </c>
    </row>
    <row r="5" spans="1:46" x14ac:dyDescent="0.35">
      <c r="A5" s="136">
        <v>2025</v>
      </c>
      <c r="B5" s="182">
        <f t="shared" ref="B5:B9" si="0">+C5+D5</f>
        <v>127369.95766929124</v>
      </c>
      <c r="C5" s="163">
        <f>C4-'Assumptions new'!$B$42*I4</f>
        <v>34737.261182534006</v>
      </c>
      <c r="D5" s="163">
        <f>+D4+C4-C5</f>
        <v>92632.696486757224</v>
      </c>
      <c r="E5" s="162">
        <v>0</v>
      </c>
      <c r="F5" s="157">
        <f t="shared" ref="F5:F32" si="1">J4</f>
        <v>28847368.65200755</v>
      </c>
      <c r="G5" s="155">
        <f>+C5*'Assumptions new'!D5+D5*'Assumptions new'!E5</f>
        <v>30014392.415426321</v>
      </c>
      <c r="H5" s="156">
        <f t="shared" ref="H5:H32" si="2">SUM(F5:G5)</f>
        <v>58861761.067433871</v>
      </c>
      <c r="I5" s="90">
        <v>0</v>
      </c>
      <c r="J5" s="157">
        <f>H5-(I5*'Assumptions new'!$O$2)</f>
        <v>58861761.067433871</v>
      </c>
      <c r="K5" s="201">
        <f>+(C5*'Assumptions new'!$B$37+'Assumptions new'!$B$38*D5)*1341/453.6/2000</f>
        <v>391.09859882643639</v>
      </c>
      <c r="L5" s="90">
        <f>+(C5*'Assumptions new'!$C$37+'Assumptions new'!$C$38*D5)*1341/453.6/2000</f>
        <v>11.296502198050241</v>
      </c>
      <c r="M5" s="136">
        <v>2024</v>
      </c>
      <c r="N5" s="180">
        <f>+$K$4-K5</f>
        <v>0</v>
      </c>
      <c r="O5" s="181">
        <f>+$L$4-L5</f>
        <v>0</v>
      </c>
      <c r="R5" s="197" t="s">
        <v>255</v>
      </c>
      <c r="S5" s="197">
        <v>15</v>
      </c>
      <c r="T5" s="197" t="s">
        <v>259</v>
      </c>
    </row>
    <row r="6" spans="1:46" x14ac:dyDescent="0.35">
      <c r="A6" s="136">
        <v>2026</v>
      </c>
      <c r="B6" s="182">
        <f t="shared" si="0"/>
        <v>127369.95766929124</v>
      </c>
      <c r="C6" s="163">
        <f>C5-'Assumptions new'!$B$42*I5</f>
        <v>34737.261182534006</v>
      </c>
      <c r="D6" s="163">
        <f>+D5+C5-C6</f>
        <v>92632.696486757224</v>
      </c>
      <c r="E6" s="162">
        <v>0</v>
      </c>
      <c r="F6" s="157">
        <f t="shared" si="1"/>
        <v>58861761.067433871</v>
      </c>
      <c r="G6" s="155">
        <f>+C6*'Assumptions new'!D6+D6*'Assumptions new'!E6</f>
        <v>31217885.671451919</v>
      </c>
      <c r="H6" s="156">
        <f t="shared" si="2"/>
        <v>90079646.73888579</v>
      </c>
      <c r="I6" s="90">
        <v>0</v>
      </c>
      <c r="J6" s="157">
        <f>H6-(I6*'Assumptions new'!$O$2)</f>
        <v>90079646.73888579</v>
      </c>
      <c r="K6" s="201">
        <f>+(C6*'Assumptions new'!$B$37+'Assumptions new'!$B$38*D6)*1341/453.6/2000</f>
        <v>391.09859882643639</v>
      </c>
      <c r="L6" s="90">
        <f>+(C6*'Assumptions new'!$C$37+'Assumptions new'!$C$38*D6)*1341/453.6/2000</f>
        <v>11.296502198050241</v>
      </c>
      <c r="M6" s="136">
        <v>2025</v>
      </c>
      <c r="N6" s="180">
        <f t="shared" ref="N6:N32" si="3">+$K$4-K6</f>
        <v>0</v>
      </c>
      <c r="O6" s="181">
        <f t="shared" ref="O6:O12" si="4">+$L$4-L6</f>
        <v>0</v>
      </c>
      <c r="R6" s="197" t="s">
        <v>260</v>
      </c>
      <c r="S6" s="197">
        <v>40</v>
      </c>
      <c r="T6" s="197" t="s">
        <v>261</v>
      </c>
      <c r="Y6" s="177"/>
      <c r="Z6" s="111" t="s">
        <v>264</v>
      </c>
    </row>
    <row r="7" spans="1:46" x14ac:dyDescent="0.35">
      <c r="A7" s="136">
        <v>2027</v>
      </c>
      <c r="B7" s="182">
        <f t="shared" si="0"/>
        <v>127369.95766929124</v>
      </c>
      <c r="C7" s="163">
        <f>C6-'Assumptions new'!$B$42*I6</f>
        <v>34737.261182534006</v>
      </c>
      <c r="D7" s="163">
        <f>+D6+C6-C7</f>
        <v>92632.696486757224</v>
      </c>
      <c r="E7" s="162">
        <v>0</v>
      </c>
      <c r="F7" s="157">
        <f t="shared" si="1"/>
        <v>90079646.73888579</v>
      </c>
      <c r="G7" s="155">
        <f>+C7*'Assumptions new'!D7+D7*'Assumptions new'!E7</f>
        <v>32457848.420084357</v>
      </c>
      <c r="H7" s="156">
        <f t="shared" si="2"/>
        <v>122537495.15897015</v>
      </c>
      <c r="I7" s="90">
        <v>0</v>
      </c>
      <c r="J7" s="157">
        <f>H7-(I7*'Assumptions new'!$O$2)</f>
        <v>122537495.15897015</v>
      </c>
      <c r="K7" s="201">
        <f>+(C7*'Assumptions new'!$B$37+'Assumptions new'!$B$38*D7)*1341/453.6/2000</f>
        <v>391.09859882643639</v>
      </c>
      <c r="L7" s="90">
        <f>+(C7*'Assumptions new'!$C$37+'Assumptions new'!$C$38*D7)*1341/453.6/2000</f>
        <v>11.296502198050241</v>
      </c>
      <c r="M7" s="136">
        <v>2026</v>
      </c>
      <c r="N7" s="180">
        <f t="shared" si="3"/>
        <v>0</v>
      </c>
      <c r="O7" s="181">
        <f t="shared" si="4"/>
        <v>0</v>
      </c>
      <c r="R7" s="197"/>
      <c r="S7" s="197"/>
      <c r="T7" s="197"/>
      <c r="Y7" s="177"/>
    </row>
    <row r="8" spans="1:46" x14ac:dyDescent="0.35">
      <c r="A8" s="136">
        <v>2028</v>
      </c>
      <c r="B8" s="182">
        <f t="shared" si="0"/>
        <v>127369.95766929124</v>
      </c>
      <c r="C8" s="163">
        <f>C7-'Assumptions new'!$B$42*I7</f>
        <v>34737.261182534006</v>
      </c>
      <c r="D8" s="163">
        <f>+D7+C7-C8</f>
        <v>92632.696486757224</v>
      </c>
      <c r="E8" s="162">
        <v>0</v>
      </c>
      <c r="F8" s="157">
        <f t="shared" si="1"/>
        <v>122537495.15897015</v>
      </c>
      <c r="G8" s="155">
        <f>+C8*'Assumptions new'!D8+D8*'Assumptions new'!E8</f>
        <v>33770750.153930463</v>
      </c>
      <c r="H8" s="156">
        <f t="shared" si="2"/>
        <v>156308245.3129006</v>
      </c>
      <c r="I8" s="90">
        <v>0</v>
      </c>
      <c r="J8" s="157">
        <f>H8-(I8*'Assumptions new'!$O$2)</f>
        <v>156308245.3129006</v>
      </c>
      <c r="K8" s="201">
        <f>+(C8*'Assumptions new'!$B$37+'Assumptions new'!$B$38*D8)*1341/453.6/2000</f>
        <v>391.09859882643639</v>
      </c>
      <c r="L8" s="90">
        <f>+(C8*'Assumptions new'!$C$37+'Assumptions new'!$C$38*D8)*1341/453.6/2000</f>
        <v>11.296502198050241</v>
      </c>
      <c r="M8" s="136">
        <v>2027</v>
      </c>
      <c r="N8" s="180">
        <f t="shared" si="3"/>
        <v>0</v>
      </c>
      <c r="O8" s="181">
        <f t="shared" si="4"/>
        <v>0</v>
      </c>
      <c r="R8" s="174" t="s">
        <v>263</v>
      </c>
      <c r="Y8" s="177"/>
    </row>
    <row r="9" spans="1:46" x14ac:dyDescent="0.35">
      <c r="A9" s="136">
        <v>2029</v>
      </c>
      <c r="B9" s="182">
        <f t="shared" si="0"/>
        <v>127369.95766929124</v>
      </c>
      <c r="C9" s="163">
        <f>C8-'Assumptions new'!$B$42*I8</f>
        <v>34737.261182534006</v>
      </c>
      <c r="D9" s="163">
        <f>+D8+C8-C9</f>
        <v>92632.696486757224</v>
      </c>
      <c r="E9" s="162">
        <v>0</v>
      </c>
      <c r="F9" s="157">
        <f t="shared" si="1"/>
        <v>156308245.3129006</v>
      </c>
      <c r="G9" s="155">
        <f>+C9*'Assumptions new'!D9+D9*'Assumptions new'!E9</f>
        <v>35083651.887776569</v>
      </c>
      <c r="H9" s="156">
        <f t="shared" si="2"/>
        <v>191391897.20067716</v>
      </c>
      <c r="I9" s="90">
        <v>0</v>
      </c>
      <c r="J9" s="157">
        <f>H9-(I9*'Assumptions new'!$O$2)</f>
        <v>191391897.20067716</v>
      </c>
      <c r="K9" s="201">
        <f>+(C9*'Assumptions new'!$B$37+'Assumptions new'!$B$38*D9)*1341/453.6/2000</f>
        <v>391.09859882643639</v>
      </c>
      <c r="L9" s="90">
        <f>+(C9*'Assumptions new'!$C$37+'Assumptions new'!$C$38*D9)*1341/453.6/2000</f>
        <v>11.296502198050241</v>
      </c>
      <c r="M9" s="136">
        <v>2028</v>
      </c>
      <c r="N9" s="180">
        <f t="shared" si="3"/>
        <v>0</v>
      </c>
      <c r="O9" s="181">
        <f t="shared" si="4"/>
        <v>0</v>
      </c>
      <c r="S9" s="24">
        <v>2023</v>
      </c>
      <c r="T9" s="172">
        <v>2024</v>
      </c>
      <c r="U9" s="24">
        <v>2025</v>
      </c>
      <c r="V9" s="172">
        <v>2026</v>
      </c>
      <c r="W9" s="24">
        <v>2027</v>
      </c>
      <c r="X9" s="172">
        <v>2028</v>
      </c>
      <c r="Y9" s="177">
        <v>2029</v>
      </c>
      <c r="Z9" s="172">
        <v>2030</v>
      </c>
      <c r="AA9" s="24">
        <v>2031</v>
      </c>
      <c r="AB9" s="172">
        <v>2032</v>
      </c>
      <c r="AC9" s="24">
        <v>2033</v>
      </c>
      <c r="AD9" s="172">
        <v>2034</v>
      </c>
      <c r="AE9" s="24">
        <v>2035</v>
      </c>
      <c r="AF9" s="172">
        <v>2036</v>
      </c>
      <c r="AG9" s="24">
        <v>2037</v>
      </c>
      <c r="AH9" s="172">
        <v>2038</v>
      </c>
      <c r="AI9" s="24">
        <v>2039</v>
      </c>
      <c r="AJ9" s="172">
        <v>2040</v>
      </c>
      <c r="AK9" s="24">
        <v>2041</v>
      </c>
      <c r="AL9" s="172">
        <v>2042</v>
      </c>
      <c r="AM9" s="24">
        <v>2043</v>
      </c>
      <c r="AN9" s="172">
        <v>2044</v>
      </c>
      <c r="AO9" s="24">
        <v>2045</v>
      </c>
      <c r="AP9" s="172">
        <v>2046</v>
      </c>
      <c r="AQ9" s="24">
        <v>2047</v>
      </c>
      <c r="AR9" s="172">
        <v>2048</v>
      </c>
      <c r="AS9" s="24">
        <v>2049</v>
      </c>
      <c r="AT9" s="172">
        <v>2050</v>
      </c>
    </row>
    <row r="10" spans="1:46" ht="15" thickBot="1" x14ac:dyDescent="0.4">
      <c r="A10" s="136">
        <v>2030</v>
      </c>
      <c r="B10" s="186">
        <f>+C10+D10</f>
        <v>127369.95766929124</v>
      </c>
      <c r="C10" s="187">
        <f>C9-'Assumptions new'!$B$42*I9</f>
        <v>34737.261182534006</v>
      </c>
      <c r="D10" s="187">
        <f t="shared" ref="D10:D20" si="5">+D9+C9-C10</f>
        <v>92632.696486757224</v>
      </c>
      <c r="E10" s="188">
        <v>0</v>
      </c>
      <c r="F10" s="189">
        <f t="shared" si="1"/>
        <v>191391897.20067716</v>
      </c>
      <c r="G10" s="189">
        <f>+C10*'Assumptions new'!D10+D10*'Assumptions new'!E10</f>
        <v>36433023.114229515</v>
      </c>
      <c r="H10" s="191">
        <f t="shared" si="2"/>
        <v>227824920.31490666</v>
      </c>
      <c r="I10" s="192">
        <v>0</v>
      </c>
      <c r="J10" s="189">
        <f>H10-(I10*'Assumptions new'!$O$2)</f>
        <v>227824920.31490666</v>
      </c>
      <c r="K10" s="192">
        <f>+(C10*'Assumptions new'!$B$37+'Assumptions new'!$B$38*D10)*1341/453.6/2000</f>
        <v>391.09859882643639</v>
      </c>
      <c r="L10" s="192">
        <f>+(C10*'Assumptions new'!$C$37+'Assumptions new'!$C$38*D10)*1341/453.6/2000</f>
        <v>11.296502198050241</v>
      </c>
      <c r="M10" s="185">
        <v>2029</v>
      </c>
      <c r="N10" s="193">
        <f t="shared" si="3"/>
        <v>0</v>
      </c>
      <c r="O10" s="194">
        <f t="shared" si="4"/>
        <v>0</v>
      </c>
      <c r="P10" s="184" t="s">
        <v>249</v>
      </c>
      <c r="R10" s="172" t="s">
        <v>257</v>
      </c>
      <c r="S10" s="176"/>
      <c r="T10" s="176"/>
      <c r="U10" s="176"/>
      <c r="V10" s="176"/>
      <c r="W10" s="175"/>
      <c r="X10" s="175"/>
      <c r="Y10" s="178"/>
    </row>
    <row r="11" spans="1:46" x14ac:dyDescent="0.35">
      <c r="A11" s="136">
        <v>2031</v>
      </c>
      <c r="B11" s="182">
        <f t="shared" ref="B11" si="6">+C11+D11</f>
        <v>127369.95766929124</v>
      </c>
      <c r="C11" s="163">
        <f>C10-'Assumptions new'!$B$42*I10</f>
        <v>34737.261182534006</v>
      </c>
      <c r="D11" s="163">
        <f t="shared" si="5"/>
        <v>92632.696486757224</v>
      </c>
      <c r="E11" s="162">
        <v>0</v>
      </c>
      <c r="F11" s="199">
        <f t="shared" si="1"/>
        <v>227824920.31490666</v>
      </c>
      <c r="G11" s="155">
        <f>+C11*'Assumptions new'!D11+D11*'Assumptions new'!E11</f>
        <v>37855333.325896129</v>
      </c>
      <c r="H11" s="200">
        <f t="shared" si="2"/>
        <v>265680253.6408028</v>
      </c>
      <c r="I11" s="201">
        <v>0</v>
      </c>
      <c r="J11" s="199">
        <f>H11-(I11*'Assumptions new'!$O$6)</f>
        <v>265680253.6408028</v>
      </c>
      <c r="K11" s="201">
        <f>+(C11*'Assumptions new'!$B$37+'Assumptions new'!$B$38*D11)*1341/453.6/2000</f>
        <v>391.09859882643639</v>
      </c>
      <c r="L11" s="90">
        <f>+(C11*'Assumptions new'!$C$37+'Assumptions new'!$C$38*D11)*1341/453.6/2000</f>
        <v>11.296502198050241</v>
      </c>
      <c r="M11" s="136">
        <v>2030</v>
      </c>
      <c r="N11" s="202">
        <f t="shared" si="3"/>
        <v>0</v>
      </c>
      <c r="O11" s="203">
        <f t="shared" si="4"/>
        <v>0</v>
      </c>
      <c r="R11" s="172"/>
      <c r="S11" s="172"/>
      <c r="T11" s="172"/>
      <c r="U11" s="172"/>
      <c r="V11" s="172"/>
    </row>
    <row r="12" spans="1:46" s="170" customFormat="1" x14ac:dyDescent="0.35">
      <c r="A12" s="136">
        <v>2032</v>
      </c>
      <c r="B12" s="182">
        <f>+C12+D12+E12</f>
        <v>127369.95766929124</v>
      </c>
      <c r="C12" s="163">
        <f>C11-'Assumptions new'!$B$42*I11</f>
        <v>34737.261182534006</v>
      </c>
      <c r="D12" s="163">
        <f t="shared" si="5"/>
        <v>92632.696486757224</v>
      </c>
      <c r="E12" s="162">
        <f>+E11+'Assumptions new'!$B$42*I11</f>
        <v>0</v>
      </c>
      <c r="F12" s="199">
        <f t="shared" si="1"/>
        <v>265680253.6408028</v>
      </c>
      <c r="G12" s="155">
        <f>+C12*'Assumptions new'!D12+D12*'Assumptions new'!E12</f>
        <v>39131765.567135401</v>
      </c>
      <c r="H12" s="200">
        <f t="shared" si="2"/>
        <v>304812019.20793819</v>
      </c>
      <c r="I12" s="201">
        <v>0</v>
      </c>
      <c r="J12" s="199">
        <f>H12-(I12*'Assumptions new'!$O$6)</f>
        <v>304812019.20793819</v>
      </c>
      <c r="K12" s="201">
        <f>+(C12*'Assumptions new'!$B$37+'Assumptions new'!$B$38*D12)*1341/453.6/2000</f>
        <v>391.09859882643639</v>
      </c>
      <c r="L12" s="90">
        <f>+(C12*'Assumptions new'!$C$37+'Assumptions new'!$C$38*D12)*1341/453.6/2000</f>
        <v>11.296502198050241</v>
      </c>
      <c r="M12" s="136">
        <v>2031</v>
      </c>
      <c r="N12" s="202">
        <f t="shared" si="3"/>
        <v>0</v>
      </c>
      <c r="O12" s="203">
        <f t="shared" si="4"/>
        <v>0</v>
      </c>
      <c r="R12" s="173"/>
      <c r="S12" s="173"/>
      <c r="T12" s="172"/>
      <c r="U12" s="173"/>
      <c r="V12" s="173"/>
    </row>
    <row r="13" spans="1:46" x14ac:dyDescent="0.35">
      <c r="A13" s="136">
        <v>2033</v>
      </c>
      <c r="B13" s="182">
        <f t="shared" ref="B13:B32" si="7">+C13+D13+E13</f>
        <v>127369.95766929124</v>
      </c>
      <c r="C13" s="163">
        <f>C12-'Assumptions new'!$B$42*I12</f>
        <v>34737.261182534006</v>
      </c>
      <c r="D13" s="163">
        <f t="shared" si="5"/>
        <v>92632.696486757224</v>
      </c>
      <c r="E13" s="162">
        <f>+E12+'Assumptions new'!$B$42*I12</f>
        <v>0</v>
      </c>
      <c r="F13" s="157">
        <f t="shared" si="1"/>
        <v>304812019.20793819</v>
      </c>
      <c r="G13" s="155">
        <f>+C13*'Assumptions new'!D13+D13*'Assumptions new'!E13</f>
        <v>40627014.764015704</v>
      </c>
      <c r="H13" s="156">
        <f t="shared" si="2"/>
        <v>345439033.97195387</v>
      </c>
      <c r="I13" s="90">
        <v>0</v>
      </c>
      <c r="J13" s="157">
        <f>H13-(I13*'Assumptions new'!$O$6)</f>
        <v>345439033.97195387</v>
      </c>
      <c r="K13" s="90">
        <f>+(C13*'Assumptions new'!$B$37+'Assumptions new'!$B$38*D13)*1341/453.6/2000</f>
        <v>391.09859882643639</v>
      </c>
      <c r="L13" s="90">
        <f>+(C13*'Assumptions new'!$C$37+'Assumptions new'!$C$38*D13)*1341/453.6/2000</f>
        <v>11.296502198050241</v>
      </c>
      <c r="M13" s="136">
        <v>2032</v>
      </c>
      <c r="N13" s="202">
        <f t="shared" si="3"/>
        <v>0</v>
      </c>
      <c r="O13" s="196">
        <f>+L$12-L13</f>
        <v>0</v>
      </c>
      <c r="R13" s="172" t="s">
        <v>269</v>
      </c>
      <c r="S13" s="172"/>
      <c r="T13" s="173"/>
      <c r="U13" s="172"/>
      <c r="V13" s="172"/>
    </row>
    <row r="14" spans="1:46" x14ac:dyDescent="0.35">
      <c r="A14" s="136">
        <v>2034</v>
      </c>
      <c r="B14" s="182">
        <f t="shared" si="7"/>
        <v>127369.95766929124</v>
      </c>
      <c r="C14" s="163">
        <f>C13-'Assumptions new'!$B$42*I13</f>
        <v>34737.261182534006</v>
      </c>
      <c r="D14" s="163">
        <f t="shared" si="5"/>
        <v>92632.696486757224</v>
      </c>
      <c r="E14" s="162">
        <f>+E13+'Assumptions new'!$B$42*I13</f>
        <v>0</v>
      </c>
      <c r="F14" s="157">
        <f t="shared" si="1"/>
        <v>345439033.97195387</v>
      </c>
      <c r="G14" s="155">
        <f>+C14*'Assumptions new'!D14+D14*'Assumptions new'!E14</f>
        <v>42231672.438716494</v>
      </c>
      <c r="H14" s="156">
        <f t="shared" si="2"/>
        <v>387670706.41067034</v>
      </c>
      <c r="I14" s="90">
        <v>0</v>
      </c>
      <c r="J14" s="157">
        <f>H14-(I14*'Assumptions new'!$O$6)</f>
        <v>387670706.41067034</v>
      </c>
      <c r="K14" s="90">
        <f>+(C14*'Assumptions new'!$B$37+'Assumptions new'!$B$38*D14)*1341/453.6/2000</f>
        <v>391.09859882643639</v>
      </c>
      <c r="L14" s="90">
        <f>+(C14*'Assumptions new'!$C$37+'Assumptions new'!$C$38*D14)*1341/453.6/2000</f>
        <v>11.296502198050241</v>
      </c>
      <c r="M14" s="136">
        <v>2033</v>
      </c>
      <c r="N14" s="202">
        <f t="shared" si="3"/>
        <v>0</v>
      </c>
      <c r="O14" s="196">
        <f t="shared" ref="O14:O32" si="8">+L$12-L14</f>
        <v>0</v>
      </c>
      <c r="P14" s="112"/>
      <c r="R14" s="172"/>
      <c r="S14" s="172"/>
      <c r="T14" s="172"/>
      <c r="U14" s="172"/>
      <c r="V14" s="172"/>
    </row>
    <row r="15" spans="1:46" x14ac:dyDescent="0.35">
      <c r="A15" s="136">
        <v>2035</v>
      </c>
      <c r="B15" s="182">
        <f t="shared" si="7"/>
        <v>127369.95766929124</v>
      </c>
      <c r="C15" s="163">
        <f>C14-'Assumptions new'!$B$42*I14</f>
        <v>34737.261182534006</v>
      </c>
      <c r="D15" s="163">
        <f t="shared" si="5"/>
        <v>92632.696486757224</v>
      </c>
      <c r="E15" s="162">
        <f>+E14+'Assumptions new'!$B$42*I14</f>
        <v>0</v>
      </c>
      <c r="F15" s="157">
        <f t="shared" si="1"/>
        <v>387670706.41067034</v>
      </c>
      <c r="G15" s="155">
        <f>+C15*'Assumptions new'!D15+D15*'Assumptions new'!E15</f>
        <v>43909269.098630965</v>
      </c>
      <c r="H15" s="156">
        <f t="shared" si="2"/>
        <v>431579975.5093013</v>
      </c>
      <c r="I15" s="90">
        <v>0</v>
      </c>
      <c r="J15" s="157">
        <f>H15-(I15*'Assumptions new'!$O$6)</f>
        <v>431579975.5093013</v>
      </c>
      <c r="K15" s="90">
        <f>+(C15*'Assumptions new'!$B$37+'Assumptions new'!$B$38*D15)*1341/453.6/2000</f>
        <v>391.09859882643639</v>
      </c>
      <c r="L15" s="90">
        <f>+(C15*'Assumptions new'!$C$37+'Assumptions new'!$C$38*D15)*1341/453.6/2000</f>
        <v>11.296502198050241</v>
      </c>
      <c r="M15" s="136">
        <v>2034</v>
      </c>
      <c r="N15" s="202">
        <f t="shared" si="3"/>
        <v>0</v>
      </c>
      <c r="O15" s="196">
        <f t="shared" si="8"/>
        <v>0</v>
      </c>
      <c r="R15" s="172"/>
      <c r="S15" s="172"/>
      <c r="T15" s="172"/>
      <c r="U15" s="172"/>
      <c r="V15" s="172"/>
    </row>
    <row r="16" spans="1:46" x14ac:dyDescent="0.35">
      <c r="A16" s="136">
        <v>2036</v>
      </c>
      <c r="B16" s="182">
        <f t="shared" si="7"/>
        <v>127369.95766929124</v>
      </c>
      <c r="C16" s="163">
        <f>C15-'Assumptions new'!$B$42*I15</f>
        <v>34737.261182534006</v>
      </c>
      <c r="D16" s="163">
        <f t="shared" si="5"/>
        <v>92632.696486757224</v>
      </c>
      <c r="E16" s="162">
        <f>+E15+'Assumptions new'!$B$42*I15</f>
        <v>0</v>
      </c>
      <c r="F16" s="157">
        <f t="shared" si="1"/>
        <v>431579975.5093013</v>
      </c>
      <c r="G16" s="155">
        <f>+C16*'Assumptions new'!D16+D16*'Assumptions new'!E16</f>
        <v>45718939.14137885</v>
      </c>
      <c r="H16" s="156">
        <f t="shared" si="2"/>
        <v>477298914.65068018</v>
      </c>
      <c r="I16" s="90">
        <v>0</v>
      </c>
      <c r="J16" s="157">
        <f>H16-(I16*'Assumptions new'!$O$6)</f>
        <v>477298914.65068018</v>
      </c>
      <c r="K16" s="90">
        <f>+(C16*'Assumptions new'!$B$37+'Assumptions new'!$B$38*D16)*1341/453.6/2000</f>
        <v>391.09859882643639</v>
      </c>
      <c r="L16" s="90">
        <f>+(C16*'Assumptions new'!$C$37+'Assumptions new'!$C$38*D16)*1341/453.6/2000</f>
        <v>11.296502198050241</v>
      </c>
      <c r="M16" s="136">
        <v>2035</v>
      </c>
      <c r="N16" s="202">
        <f t="shared" si="3"/>
        <v>0</v>
      </c>
      <c r="O16" s="196">
        <f t="shared" si="8"/>
        <v>0</v>
      </c>
      <c r="R16" s="172"/>
      <c r="S16" s="172"/>
      <c r="T16" s="172"/>
      <c r="U16" s="172"/>
      <c r="V16" s="172"/>
    </row>
    <row r="17" spans="1:22" x14ac:dyDescent="0.35">
      <c r="A17" s="136">
        <v>2037</v>
      </c>
      <c r="B17" s="182">
        <f t="shared" si="7"/>
        <v>127369.95766929124</v>
      </c>
      <c r="C17" s="163">
        <f>C16-'Assumptions new'!$B$42*I16</f>
        <v>34737.261182534006</v>
      </c>
      <c r="D17" s="163">
        <f t="shared" si="5"/>
        <v>92632.696486757224</v>
      </c>
      <c r="E17" s="162">
        <f>+E16+'Assumptions new'!$B$42*I16</f>
        <v>0</v>
      </c>
      <c r="F17" s="157">
        <f t="shared" si="1"/>
        <v>477298914.65068018</v>
      </c>
      <c r="G17" s="155">
        <f>+C17*'Assumptions new'!D17+D17*'Assumptions new'!E17</f>
        <v>47546234.870450743</v>
      </c>
      <c r="H17" s="156">
        <f t="shared" si="2"/>
        <v>524845149.52113092</v>
      </c>
      <c r="I17" s="90">
        <v>0</v>
      </c>
      <c r="J17" s="157">
        <f>H17-(I17*'Assumptions new'!$O$6)</f>
        <v>524845149.52113092</v>
      </c>
      <c r="K17" s="90">
        <f>+(C17*'Assumptions new'!$B$37+'Assumptions new'!$B$38*D17)*1341/453.6/2000</f>
        <v>391.09859882643639</v>
      </c>
      <c r="L17" s="90">
        <f>+(C17*'Assumptions new'!$C$37+'Assumptions new'!$C$38*D17)*1341/453.6/2000</f>
        <v>11.296502198050241</v>
      </c>
      <c r="M17" s="136">
        <v>2036</v>
      </c>
      <c r="N17" s="202">
        <f t="shared" si="3"/>
        <v>0</v>
      </c>
      <c r="O17" s="196">
        <f t="shared" si="8"/>
        <v>0</v>
      </c>
      <c r="Q17" s="24">
        <f>+(N32-N13)/COUNT(N13:N32)</f>
        <v>12.70856497280653</v>
      </c>
      <c r="R17" s="24">
        <f>+(O32-O13)/COUNT(O13:O32)</f>
        <v>0.46212963537478269</v>
      </c>
      <c r="S17" s="172"/>
      <c r="T17" s="172"/>
      <c r="U17" s="172"/>
      <c r="V17" s="172"/>
    </row>
    <row r="18" spans="1:22" x14ac:dyDescent="0.35">
      <c r="A18" s="136">
        <v>2038</v>
      </c>
      <c r="B18" s="182">
        <f t="shared" si="7"/>
        <v>127369.95766929124</v>
      </c>
      <c r="C18" s="163">
        <f>C17-'Assumptions new'!$B$42*I17</f>
        <v>34737.261182534006</v>
      </c>
      <c r="D18" s="163">
        <f t="shared" si="5"/>
        <v>92632.696486757224</v>
      </c>
      <c r="E18" s="162">
        <f>+E17+'Assumptions new'!$B$42*I17</f>
        <v>0</v>
      </c>
      <c r="F18" s="157">
        <f t="shared" si="1"/>
        <v>524845149.52113092</v>
      </c>
      <c r="G18" s="155">
        <f>+C18*'Assumptions new'!D18+D18*'Assumptions new'!E18</f>
        <v>49373530.599522643</v>
      </c>
      <c r="H18" s="156">
        <f t="shared" si="2"/>
        <v>574218680.12065351</v>
      </c>
      <c r="I18" s="90">
        <v>0</v>
      </c>
      <c r="J18" s="157">
        <f>H18-(I18*'Assumptions new'!$O$6)</f>
        <v>574218680.12065351</v>
      </c>
      <c r="K18" s="90">
        <f>+(C18*'Assumptions new'!$B$37+'Assumptions new'!$B$38*D18)*1341/453.6/2000</f>
        <v>391.09859882643639</v>
      </c>
      <c r="L18" s="90">
        <f>+(C18*'Assumptions new'!$C$37+'Assumptions new'!$C$38*D18)*1341/453.6/2000</f>
        <v>11.296502198050241</v>
      </c>
      <c r="M18" s="136">
        <v>2037</v>
      </c>
      <c r="N18" s="202">
        <f t="shared" si="3"/>
        <v>0</v>
      </c>
      <c r="O18" s="196">
        <f t="shared" si="8"/>
        <v>0</v>
      </c>
      <c r="R18" s="172"/>
      <c r="S18" s="172"/>
      <c r="T18" s="172"/>
      <c r="U18" s="172"/>
      <c r="V18" s="172"/>
    </row>
    <row r="19" spans="1:22" x14ac:dyDescent="0.35">
      <c r="A19" s="136">
        <v>2039</v>
      </c>
      <c r="B19" s="182">
        <f t="shared" si="7"/>
        <v>127369.95766929124</v>
      </c>
      <c r="C19" s="163">
        <f>C18-'Assumptions new'!$B$42*I18</f>
        <v>34737.261182534006</v>
      </c>
      <c r="D19" s="163">
        <f t="shared" si="5"/>
        <v>92632.696486757224</v>
      </c>
      <c r="E19" s="162">
        <f>+E18+'Assumptions new'!$B$42*I18</f>
        <v>0</v>
      </c>
      <c r="F19" s="157">
        <f t="shared" si="1"/>
        <v>574218680.12065351</v>
      </c>
      <c r="G19" s="155">
        <f>+C19*'Assumptions new'!D19+D19*'Assumptions new'!E19</f>
        <v>51383555.901501723</v>
      </c>
      <c r="H19" s="156">
        <f t="shared" si="2"/>
        <v>625602236.02215528</v>
      </c>
      <c r="I19" s="90">
        <v>0</v>
      </c>
      <c r="J19" s="157">
        <f>H19-(I19*'Assumptions new'!$O$6)</f>
        <v>625602236.02215528</v>
      </c>
      <c r="K19" s="90">
        <f>+(C19*'Assumptions new'!$B$37+'Assumptions new'!$B$38*D19)*1341/453.6/2000</f>
        <v>391.09859882643639</v>
      </c>
      <c r="L19" s="90">
        <f>+(C19*'Assumptions new'!$C$37+'Assumptions new'!$C$38*D19)*1341/453.6/2000</f>
        <v>11.296502198050241</v>
      </c>
      <c r="M19" s="136">
        <v>2038</v>
      </c>
      <c r="N19" s="202">
        <f t="shared" si="3"/>
        <v>0</v>
      </c>
      <c r="O19" s="196">
        <f t="shared" si="8"/>
        <v>0</v>
      </c>
      <c r="R19" s="172"/>
      <c r="S19" s="172"/>
      <c r="T19" s="172"/>
      <c r="U19" s="172"/>
      <c r="V19" s="172"/>
    </row>
    <row r="20" spans="1:22" x14ac:dyDescent="0.35">
      <c r="A20" s="136">
        <v>2040</v>
      </c>
      <c r="B20" s="182">
        <f t="shared" si="7"/>
        <v>127369.95766929124</v>
      </c>
      <c r="C20" s="163">
        <f>C19-'Assumptions new'!$B$42*I19</f>
        <v>34737.261182534006</v>
      </c>
      <c r="D20" s="163">
        <f t="shared" si="5"/>
        <v>92632.696486757224</v>
      </c>
      <c r="E20" s="162">
        <f>+E19+'Assumptions new'!$B$42*I19</f>
        <v>0</v>
      </c>
      <c r="F20" s="157">
        <f t="shared" si="1"/>
        <v>625602236.02215528</v>
      </c>
      <c r="G20" s="155">
        <f>+C20*'Assumptions new'!D20+D20*'Assumptions new'!E20</f>
        <v>53503218.947225131</v>
      </c>
      <c r="H20" s="156">
        <f t="shared" si="2"/>
        <v>679105454.96938038</v>
      </c>
      <c r="I20" s="90">
        <v>15</v>
      </c>
      <c r="J20" s="157">
        <f>H20-(I20*'Assumptions new'!$O$6)</f>
        <v>484105454.96938038</v>
      </c>
      <c r="K20" s="90">
        <f>+(C20*'Assumptions new'!$B$37+'Assumptions new'!$B$38*D20)*1341/453.6/2000</f>
        <v>391.09859882643639</v>
      </c>
      <c r="L20" s="90">
        <f>+(C20*'Assumptions new'!$C$37+'Assumptions new'!$C$38*D20)*1341/453.6/2000</f>
        <v>11.296502198050241</v>
      </c>
      <c r="M20" s="136">
        <v>2039</v>
      </c>
      <c r="N20" s="202">
        <f t="shared" si="3"/>
        <v>0</v>
      </c>
      <c r="O20" s="196">
        <f t="shared" si="8"/>
        <v>0</v>
      </c>
      <c r="T20" s="172"/>
      <c r="U20" s="172"/>
      <c r="V20" s="172"/>
    </row>
    <row r="21" spans="1:22" x14ac:dyDescent="0.35">
      <c r="A21" s="136">
        <v>2041</v>
      </c>
      <c r="B21" s="182">
        <f t="shared" si="7"/>
        <v>127369.95766929124</v>
      </c>
      <c r="C21" s="163">
        <f>C20-'Assumptions new'!$B$42*I20</f>
        <v>0</v>
      </c>
      <c r="D21" s="163">
        <f>+D20</f>
        <v>92632.696486757224</v>
      </c>
      <c r="E21" s="162">
        <f>+E20+'Assumptions new'!$B$42*I20</f>
        <v>34737.261182534006</v>
      </c>
      <c r="F21" s="157">
        <f t="shared" si="1"/>
        <v>484105454.96938038</v>
      </c>
      <c r="G21" s="155">
        <f>+C21*'Assumptions new'!D21+D21*'Assumptions new'!E21</f>
        <v>16879140.896491654</v>
      </c>
      <c r="H21" s="156">
        <f t="shared" si="2"/>
        <v>500984595.86587203</v>
      </c>
      <c r="I21" s="90">
        <v>0</v>
      </c>
      <c r="J21" s="157">
        <f>H21-(I21*'Assumptions new'!$O$6)</f>
        <v>500984595.86587203</v>
      </c>
      <c r="K21" s="90">
        <f>+(C21*'Assumptions new'!$B$37+'Assumptions new'!$B$38*D21)*1341/453.6/2000</f>
        <v>136.9272993703058</v>
      </c>
      <c r="L21" s="90">
        <f>+(C21*'Assumptions new'!$C$37+'Assumptions new'!$C$38*D21)*1341/453.6/2000</f>
        <v>2.0539094905545872</v>
      </c>
      <c r="M21" s="136">
        <v>2040</v>
      </c>
      <c r="N21" s="202">
        <f t="shared" si="3"/>
        <v>254.17129945613058</v>
      </c>
      <c r="O21" s="196">
        <f t="shared" si="8"/>
        <v>9.2425927074956533</v>
      </c>
    </row>
    <row r="22" spans="1:22" x14ac:dyDescent="0.35">
      <c r="A22" s="136">
        <v>2042</v>
      </c>
      <c r="B22" s="182">
        <f t="shared" si="7"/>
        <v>127369.95766929124</v>
      </c>
      <c r="C22" s="163">
        <f>C21-'Assumptions new'!$B$42*I21</f>
        <v>0</v>
      </c>
      <c r="D22" s="163">
        <f t="shared" ref="D22:D32" si="9">+D21-E22+E21</f>
        <v>92632.696486757224</v>
      </c>
      <c r="E22" s="162">
        <f>+E21+'Assumptions new'!$B$42*I21</f>
        <v>34737.261182534006</v>
      </c>
      <c r="F22" s="157">
        <f t="shared" si="1"/>
        <v>500984595.86587203</v>
      </c>
      <c r="G22" s="155">
        <f>+C22*'Assumptions new'!D22+D22*'Assumptions new'!E22</f>
        <v>17589374.306994919</v>
      </c>
      <c r="H22" s="156">
        <f t="shared" si="2"/>
        <v>518573970.17286694</v>
      </c>
      <c r="I22" s="90">
        <v>0</v>
      </c>
      <c r="J22" s="157">
        <f>H22-(I22*'Assumptions new'!$O$6)</f>
        <v>518573970.17286694</v>
      </c>
      <c r="K22" s="90">
        <f>+(C22*'Assumptions new'!$B$37+'Assumptions new'!$B$38*D22)*1341/453.6/2000</f>
        <v>136.9272993703058</v>
      </c>
      <c r="L22" s="90">
        <f>+(C22*'Assumptions new'!$C$37+'Assumptions new'!$C$38*D22)*1341/453.6/2000</f>
        <v>2.0539094905545872</v>
      </c>
      <c r="M22" s="136">
        <v>2041</v>
      </c>
      <c r="N22" s="202">
        <f t="shared" si="3"/>
        <v>254.17129945613058</v>
      </c>
      <c r="O22" s="196">
        <f t="shared" si="8"/>
        <v>9.2425927074956533</v>
      </c>
    </row>
    <row r="23" spans="1:22" x14ac:dyDescent="0.35">
      <c r="A23" s="136">
        <v>2043</v>
      </c>
      <c r="B23" s="182">
        <f t="shared" si="7"/>
        <v>127369.95766929124</v>
      </c>
      <c r="C23" s="163">
        <f>C22-'Assumptions new'!$B$42*I22</f>
        <v>0</v>
      </c>
      <c r="D23" s="163">
        <f t="shared" si="9"/>
        <v>92632.696486757224</v>
      </c>
      <c r="E23" s="162">
        <f>+E22+'Assumptions new'!$B$42*I22</f>
        <v>34737.261182534006</v>
      </c>
      <c r="F23" s="157">
        <f t="shared" si="1"/>
        <v>518573970.17286694</v>
      </c>
      <c r="G23" s="155">
        <f>+C23*'Assumptions new'!D23+D23*'Assumptions new'!E23</f>
        <v>18288510.320459075</v>
      </c>
      <c r="H23" s="156">
        <f t="shared" si="2"/>
        <v>536862480.49332601</v>
      </c>
      <c r="I23" s="90">
        <v>0</v>
      </c>
      <c r="J23" s="157">
        <f>H23-(I23*'Assumptions new'!$O$6)</f>
        <v>536862480.49332601</v>
      </c>
      <c r="K23" s="90">
        <f>+(C23*'Assumptions new'!$B$37+'Assumptions new'!$B$38*D23)*1341/453.6/2000</f>
        <v>136.9272993703058</v>
      </c>
      <c r="L23" s="90">
        <f>+(C23*'Assumptions new'!$C$37+'Assumptions new'!$C$38*D23)*1341/453.6/2000</f>
        <v>2.0539094905545872</v>
      </c>
      <c r="M23" s="136">
        <v>2042</v>
      </c>
      <c r="N23" s="202">
        <f t="shared" si="3"/>
        <v>254.17129945613058</v>
      </c>
      <c r="O23" s="196">
        <f t="shared" si="8"/>
        <v>9.2425927074956533</v>
      </c>
    </row>
    <row r="24" spans="1:22" x14ac:dyDescent="0.35">
      <c r="A24" s="136">
        <v>2044</v>
      </c>
      <c r="B24" s="182">
        <f t="shared" si="7"/>
        <v>127369.95766929124</v>
      </c>
      <c r="C24" s="163">
        <f>C23-'Assumptions new'!$B$42*I23</f>
        <v>0</v>
      </c>
      <c r="D24" s="163">
        <f t="shared" si="9"/>
        <v>92632.696486757224</v>
      </c>
      <c r="E24" s="162">
        <f>+E23+'Assumptions new'!$B$42*I23</f>
        <v>34737.261182534006</v>
      </c>
      <c r="F24" s="157">
        <f t="shared" si="1"/>
        <v>536862480.49332601</v>
      </c>
      <c r="G24" s="155">
        <f>+C24*'Assumptions new'!D24+D24*'Assumptions new'!E24</f>
        <v>19032035.922079679</v>
      </c>
      <c r="H24" s="156">
        <f t="shared" si="2"/>
        <v>555894516.41540563</v>
      </c>
      <c r="I24" s="90">
        <v>0</v>
      </c>
      <c r="J24" s="157">
        <f>H24-(I24*'Assumptions new'!$O$6)</f>
        <v>555894516.41540563</v>
      </c>
      <c r="K24" s="90">
        <f>+(C24*'Assumptions new'!$B$37+'Assumptions new'!$B$38*D24)*1341/453.6/2000</f>
        <v>136.9272993703058</v>
      </c>
      <c r="L24" s="90">
        <f>+(C24*'Assumptions new'!$C$37+'Assumptions new'!$C$38*D24)*1341/453.6/2000</f>
        <v>2.0539094905545872</v>
      </c>
      <c r="M24" s="136">
        <v>2043</v>
      </c>
      <c r="N24" s="202">
        <f t="shared" si="3"/>
        <v>254.17129945613058</v>
      </c>
      <c r="O24" s="196">
        <f t="shared" si="8"/>
        <v>9.2425927074956533</v>
      </c>
    </row>
    <row r="25" spans="1:22" x14ac:dyDescent="0.35">
      <c r="A25" s="136">
        <v>2045</v>
      </c>
      <c r="B25" s="182">
        <f t="shared" si="7"/>
        <v>127369.95766929124</v>
      </c>
      <c r="C25" s="163">
        <f>C24-'Assumptions new'!$B$42*I24</f>
        <v>0</v>
      </c>
      <c r="D25" s="163">
        <f t="shared" si="9"/>
        <v>92632.696486757224</v>
      </c>
      <c r="E25" s="162">
        <f>+E24+'Assumptions new'!$B$42*I24</f>
        <v>34737.261182534006</v>
      </c>
      <c r="F25" s="157">
        <f t="shared" si="1"/>
        <v>555894516.41540563</v>
      </c>
      <c r="G25" s="155">
        <f>+C25*'Assumptions new'!D25+D25*'Assumptions new'!E25</f>
        <v>19808853.714817625</v>
      </c>
      <c r="H25" s="156">
        <f t="shared" si="2"/>
        <v>575703370.13022327</v>
      </c>
      <c r="I25" s="90">
        <v>0</v>
      </c>
      <c r="J25" s="157">
        <f>H25-(I25*'Assumptions new'!$O$6)</f>
        <v>575703370.13022327</v>
      </c>
      <c r="K25" s="90">
        <f>+(C25*'Assumptions new'!$B$37+'Assumptions new'!$B$38*D25)*1341/453.6/2000</f>
        <v>136.9272993703058</v>
      </c>
      <c r="L25" s="90">
        <f>+(C25*'Assumptions new'!$C$37+'Assumptions new'!$C$38*D25)*1341/453.6/2000</f>
        <v>2.0539094905545872</v>
      </c>
      <c r="M25" s="136">
        <v>2044</v>
      </c>
      <c r="N25" s="202">
        <f t="shared" si="3"/>
        <v>254.17129945613058</v>
      </c>
      <c r="O25" s="196">
        <f t="shared" si="8"/>
        <v>9.2425927074956533</v>
      </c>
    </row>
    <row r="26" spans="1:22" x14ac:dyDescent="0.35">
      <c r="A26" s="136">
        <v>2046</v>
      </c>
      <c r="B26" s="182">
        <f t="shared" si="7"/>
        <v>127369.95766929124</v>
      </c>
      <c r="C26" s="163">
        <f>C25-'Assumptions new'!$B$42*I25</f>
        <v>0</v>
      </c>
      <c r="D26" s="163">
        <f t="shared" si="9"/>
        <v>92632.696486757224</v>
      </c>
      <c r="E26" s="162">
        <f>+E25+'Assumptions new'!$B$42*I25</f>
        <v>34737.261182534006</v>
      </c>
      <c r="F26" s="157">
        <f t="shared" si="1"/>
        <v>575703370.13022327</v>
      </c>
      <c r="G26" s="155">
        <f>+C26*'Assumptions new'!D26+D26*'Assumptions new'!E26</f>
        <v>20607866.301633798</v>
      </c>
      <c r="H26" s="156">
        <f t="shared" si="2"/>
        <v>596311236.43185711</v>
      </c>
      <c r="I26" s="90">
        <v>0</v>
      </c>
      <c r="J26" s="157">
        <f>H26-(I26*'Assumptions new'!$O$6)</f>
        <v>596311236.43185711</v>
      </c>
      <c r="K26" s="90">
        <f>+(C26*'Assumptions new'!$B$37+'Assumptions new'!$B$38*D26)*1341/453.6/2000</f>
        <v>136.9272993703058</v>
      </c>
      <c r="L26" s="90">
        <f>+(C26*'Assumptions new'!$C$37+'Assumptions new'!$C$38*D26)*1341/453.6/2000</f>
        <v>2.0539094905545872</v>
      </c>
      <c r="M26" s="136">
        <v>2045</v>
      </c>
      <c r="N26" s="202">
        <f t="shared" si="3"/>
        <v>254.17129945613058</v>
      </c>
      <c r="O26" s="196">
        <f t="shared" si="8"/>
        <v>9.2425927074956533</v>
      </c>
    </row>
    <row r="27" spans="1:22" x14ac:dyDescent="0.35">
      <c r="A27" s="136">
        <v>2047</v>
      </c>
      <c r="B27" s="182">
        <f t="shared" si="7"/>
        <v>127369.95766929124</v>
      </c>
      <c r="C27" s="163">
        <f>C26-'Assumptions new'!$B$42*I26</f>
        <v>0</v>
      </c>
      <c r="D27" s="163">
        <f t="shared" si="9"/>
        <v>92632.696486757224</v>
      </c>
      <c r="E27" s="162">
        <f>+E26+'Assumptions new'!$B$42*I26</f>
        <v>34737.261182534006</v>
      </c>
      <c r="F27" s="157">
        <f t="shared" si="1"/>
        <v>596311236.43185711</v>
      </c>
      <c r="G27" s="155">
        <f>+C27*'Assumptions new'!D27+D27*'Assumptions new'!E27</f>
        <v>21451268.476606425</v>
      </c>
      <c r="H27" s="156">
        <f t="shared" si="2"/>
        <v>617762504.90846348</v>
      </c>
      <c r="I27" s="90">
        <v>0</v>
      </c>
      <c r="J27" s="157">
        <f>H27-(I27*'Assumptions new'!$O$6)</f>
        <v>617762504.90846348</v>
      </c>
      <c r="K27" s="90">
        <f>+(C27*'Assumptions new'!$B$37+'Assumptions new'!$B$38*D27)*1341/453.6/2000</f>
        <v>136.9272993703058</v>
      </c>
      <c r="L27" s="90">
        <f>+(C27*'Assumptions new'!$C$37+'Assumptions new'!$C$38*D27)*1341/453.6/2000</f>
        <v>2.0539094905545872</v>
      </c>
      <c r="M27" s="136">
        <v>2046</v>
      </c>
      <c r="N27" s="202">
        <f t="shared" si="3"/>
        <v>254.17129945613058</v>
      </c>
      <c r="O27" s="196">
        <f t="shared" si="8"/>
        <v>9.2425927074956533</v>
      </c>
    </row>
    <row r="28" spans="1:22" x14ac:dyDescent="0.35">
      <c r="A28" s="136">
        <v>2048</v>
      </c>
      <c r="B28" s="182">
        <f t="shared" si="7"/>
        <v>127369.95766929124</v>
      </c>
      <c r="C28" s="163">
        <f>C27-'Assumptions new'!$B$42*I27</f>
        <v>0</v>
      </c>
      <c r="D28" s="163">
        <f t="shared" si="9"/>
        <v>92632.696486757224</v>
      </c>
      <c r="E28" s="162">
        <f>+E27+'Assumptions new'!$B$42*I27</f>
        <v>34737.261182534006</v>
      </c>
      <c r="F28" s="157">
        <f t="shared" si="1"/>
        <v>617762504.90846348</v>
      </c>
      <c r="G28" s="155">
        <f>+C28*'Assumptions new'!D28+D28*'Assumptions new'!E28</f>
        <v>22355919.390496094</v>
      </c>
      <c r="H28" s="156">
        <f t="shared" si="2"/>
        <v>640118424.29895961</v>
      </c>
      <c r="I28" s="90">
        <v>0</v>
      </c>
      <c r="J28" s="157">
        <f>H28-(I28*'Assumptions new'!$O$6)</f>
        <v>640118424.29895961</v>
      </c>
      <c r="K28" s="90">
        <f>+(C28*'Assumptions new'!$B$37+'Assumptions new'!$B$38*D28)*1341/453.6/2000</f>
        <v>136.9272993703058</v>
      </c>
      <c r="L28" s="90">
        <f>+(C28*'Assumptions new'!$C$37+'Assumptions new'!$C$38*D28)*1341/453.6/2000</f>
        <v>2.0539094905545872</v>
      </c>
      <c r="M28" s="136">
        <v>2047</v>
      </c>
      <c r="N28" s="202">
        <f t="shared" si="3"/>
        <v>254.17129945613058</v>
      </c>
      <c r="O28" s="196">
        <f t="shared" si="8"/>
        <v>9.2425927074956533</v>
      </c>
    </row>
    <row r="29" spans="1:22" x14ac:dyDescent="0.35">
      <c r="A29" s="136">
        <v>2049</v>
      </c>
      <c r="B29" s="182">
        <f t="shared" si="7"/>
        <v>127369.95766929124</v>
      </c>
      <c r="C29" s="163">
        <f>C28-'Assumptions new'!$B$42*I28</f>
        <v>0</v>
      </c>
      <c r="D29" s="163">
        <f t="shared" si="9"/>
        <v>92632.696486757224</v>
      </c>
      <c r="E29" s="162">
        <f>+E28+'Assumptions new'!$B$42*I28</f>
        <v>34737.261182534006</v>
      </c>
      <c r="F29" s="157">
        <f t="shared" si="1"/>
        <v>640118424.29895961</v>
      </c>
      <c r="G29" s="155">
        <f>+C29*'Assumptions new'!D29+D29*'Assumptions new'!E29</f>
        <v>23289267.913757365</v>
      </c>
      <c r="H29" s="156">
        <f t="shared" si="2"/>
        <v>663407692.21271694</v>
      </c>
      <c r="I29" s="90">
        <v>0</v>
      </c>
      <c r="J29" s="157">
        <f>H29-(I29*'Assumptions new'!$O$6)</f>
        <v>663407692.21271694</v>
      </c>
      <c r="K29" s="90">
        <f>+(C29*'Assumptions new'!$B$37+'Assumptions new'!$B$38*D29)*1341/453.6/2000</f>
        <v>136.9272993703058</v>
      </c>
      <c r="L29" s="90">
        <f>+(C29*'Assumptions new'!$C$37+'Assumptions new'!$C$38*D29)*1341/453.6/2000</f>
        <v>2.0539094905545872</v>
      </c>
      <c r="M29" s="136">
        <v>2048</v>
      </c>
      <c r="N29" s="202">
        <f t="shared" si="3"/>
        <v>254.17129945613058</v>
      </c>
      <c r="O29" s="196">
        <f t="shared" si="8"/>
        <v>9.2425927074956533</v>
      </c>
    </row>
    <row r="30" spans="1:22" x14ac:dyDescent="0.35">
      <c r="A30" s="136">
        <v>2050</v>
      </c>
      <c r="B30" s="182">
        <f t="shared" si="7"/>
        <v>127369.95766929124</v>
      </c>
      <c r="C30" s="163">
        <f>C29-'Assumptions new'!$B$42*I29</f>
        <v>0</v>
      </c>
      <c r="D30" s="163">
        <f t="shared" si="9"/>
        <v>92632.696486757224</v>
      </c>
      <c r="E30" s="162">
        <f>+E29+'Assumptions new'!$B$42*I29</f>
        <v>34737.261182534006</v>
      </c>
      <c r="F30" s="157">
        <f t="shared" si="1"/>
        <v>663407692.21271694</v>
      </c>
      <c r="G30" s="155">
        <f>+C30*'Assumptions new'!D30+D30*'Assumptions new'!E30</f>
        <v>24308533.2630101</v>
      </c>
      <c r="H30" s="156">
        <f t="shared" si="2"/>
        <v>687716225.47572708</v>
      </c>
      <c r="I30" s="90">
        <v>0</v>
      </c>
      <c r="J30" s="157">
        <f>H30-(I30*'Assumptions new'!$O$6)</f>
        <v>687716225.47572708</v>
      </c>
      <c r="K30" s="90">
        <f>+(C30*'Assumptions new'!$B$37+'Assumptions new'!$B$38*D30)*1341/453.6/2000</f>
        <v>136.9272993703058</v>
      </c>
      <c r="L30" s="90">
        <f>+(C30*'Assumptions new'!$C$37+'Assumptions new'!$C$38*D30)*1341/453.6/2000</f>
        <v>2.0539094905545872</v>
      </c>
      <c r="M30" s="136">
        <v>2049</v>
      </c>
      <c r="N30" s="202">
        <f t="shared" si="3"/>
        <v>254.17129945613058</v>
      </c>
      <c r="O30" s="196">
        <f t="shared" si="8"/>
        <v>9.2425927074956533</v>
      </c>
    </row>
    <row r="31" spans="1:22" x14ac:dyDescent="0.35">
      <c r="A31" s="136">
        <v>2050</v>
      </c>
      <c r="B31" s="182">
        <f t="shared" si="7"/>
        <v>127369.95766929124</v>
      </c>
      <c r="C31" s="163">
        <f>C30-'Assumptions new'!$B$42*I30</f>
        <v>0</v>
      </c>
      <c r="D31" s="163">
        <f t="shared" si="9"/>
        <v>92632.696486757224</v>
      </c>
      <c r="E31" s="162">
        <f>+E30+'Assumptions new'!$B$42*I30</f>
        <v>34737.261182534006</v>
      </c>
      <c r="F31" s="157">
        <f t="shared" si="1"/>
        <v>687716225.47572708</v>
      </c>
      <c r="G31" s="155">
        <f>+C31*'Assumptions new'!D31+D31*'Assumptions new'!E31</f>
        <v>25365426.013575759</v>
      </c>
      <c r="H31" s="156">
        <f t="shared" si="2"/>
        <v>713081651.48930287</v>
      </c>
      <c r="I31" s="90">
        <v>0</v>
      </c>
      <c r="J31" s="157">
        <f>H31-(I31*'Assumptions new'!$O$6)</f>
        <v>713081651.48930287</v>
      </c>
      <c r="K31" s="90">
        <f>+(C31*'Assumptions new'!$B$37+'Assumptions new'!$B$38*D31)*1341/453.6/2000</f>
        <v>136.9272993703058</v>
      </c>
      <c r="L31" s="90">
        <f>+(C31*'Assumptions new'!$C$37+'Assumptions new'!$C$38*D31)*1341/453.6/2000</f>
        <v>2.0539094905545872</v>
      </c>
      <c r="M31" s="136">
        <v>2050</v>
      </c>
      <c r="N31" s="202">
        <f t="shared" si="3"/>
        <v>254.17129945613058</v>
      </c>
      <c r="O31" s="196">
        <f t="shared" si="8"/>
        <v>9.2425927074956533</v>
      </c>
    </row>
    <row r="32" spans="1:22" x14ac:dyDescent="0.35">
      <c r="A32" s="197">
        <v>2050</v>
      </c>
      <c r="B32" s="182">
        <f t="shared" si="7"/>
        <v>127369.95766929124</v>
      </c>
      <c r="C32" s="163">
        <f>C31-'Assumptions new'!$B$42*I31</f>
        <v>0</v>
      </c>
      <c r="D32" s="163">
        <f t="shared" si="9"/>
        <v>92632.696486757224</v>
      </c>
      <c r="E32" s="162">
        <f>+E31+'Assumptions new'!$B$42*I31</f>
        <v>34737.261182534006</v>
      </c>
      <c r="F32" s="157">
        <f t="shared" si="1"/>
        <v>713081651.48930287</v>
      </c>
      <c r="G32" s="155">
        <f>+C32*'Assumptions new'!D32+D32*'Assumptions new'!E32</f>
        <v>26522153.652780015</v>
      </c>
      <c r="H32" s="156">
        <f t="shared" si="2"/>
        <v>739603805.14208293</v>
      </c>
      <c r="I32" s="90">
        <v>0</v>
      </c>
      <c r="J32" s="157">
        <f>H32-(I32*'Assumptions new'!$O$6)</f>
        <v>739603805.14208293</v>
      </c>
      <c r="K32" s="90">
        <f>+(C32*'Assumptions new'!$B$37+'Assumptions new'!$B$38*D32)*1341/453.6/2000</f>
        <v>136.9272993703058</v>
      </c>
      <c r="L32" s="90">
        <f>+(C32*'Assumptions new'!$C$37+'Assumptions new'!$C$38*D32)*1341/453.6/2000</f>
        <v>2.0539094905545872</v>
      </c>
      <c r="M32" s="197">
        <v>2050</v>
      </c>
      <c r="N32" s="202">
        <f t="shared" si="3"/>
        <v>254.17129945613058</v>
      </c>
      <c r="O32" s="196">
        <f t="shared" si="8"/>
        <v>9.2425927074956533</v>
      </c>
    </row>
    <row r="33" spans="1:16" x14ac:dyDescent="0.35">
      <c r="A33" s="198" t="s">
        <v>183</v>
      </c>
      <c r="B33" s="198"/>
      <c r="C33" s="162"/>
      <c r="D33" s="162"/>
      <c r="E33" s="162"/>
      <c r="F33" s="157"/>
      <c r="G33" s="168">
        <f>SUM(G4:G32)</f>
        <v>934603805.14208305</v>
      </c>
      <c r="H33" s="156"/>
      <c r="I33" s="90"/>
      <c r="J33" s="157"/>
    </row>
    <row r="34" spans="1:16" x14ac:dyDescent="0.35">
      <c r="A34" s="159" t="s">
        <v>244</v>
      </c>
      <c r="B34" s="159"/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</row>
    <row r="36" spans="1:16" ht="58" customHeight="1" x14ac:dyDescent="0.35">
      <c r="A36" s="216" t="s">
        <v>252</v>
      </c>
      <c r="B36" s="216"/>
      <c r="C36" s="216"/>
      <c r="D36" s="216"/>
      <c r="E36" s="90"/>
      <c r="F36" s="90"/>
    </row>
    <row r="37" spans="1:16" x14ac:dyDescent="0.35">
      <c r="A37" s="217" t="s">
        <v>253</v>
      </c>
      <c r="B37" s="217"/>
      <c r="C37" s="217"/>
      <c r="D37" s="217"/>
      <c r="E37" s="217"/>
      <c r="F37" s="90"/>
    </row>
    <row r="38" spans="1:16" x14ac:dyDescent="0.35">
      <c r="A38" s="217" t="s">
        <v>254</v>
      </c>
      <c r="B38" s="217"/>
      <c r="C38" s="217"/>
      <c r="D38" s="217"/>
      <c r="E38" s="217"/>
      <c r="F38" s="90"/>
    </row>
    <row r="39" spans="1:16" x14ac:dyDescent="0.35">
      <c r="A39" s="217" t="s">
        <v>305</v>
      </c>
      <c r="B39" s="217"/>
      <c r="C39" s="217"/>
      <c r="D39" s="217"/>
      <c r="E39" s="217"/>
      <c r="F39" s="90"/>
    </row>
    <row r="40" spans="1:16" x14ac:dyDescent="0.35">
      <c r="C40" s="90"/>
      <c r="D40" s="90"/>
      <c r="E40" s="90"/>
      <c r="F40" s="90"/>
    </row>
    <row r="41" spans="1:16" x14ac:dyDescent="0.35">
      <c r="C41" s="90"/>
      <c r="D41" s="90"/>
      <c r="E41" s="90"/>
      <c r="F41" s="90"/>
    </row>
    <row r="42" spans="1:16" x14ac:dyDescent="0.35">
      <c r="C42" s="90"/>
      <c r="D42" s="90"/>
      <c r="E42" s="90"/>
      <c r="F42" s="90"/>
    </row>
    <row r="43" spans="1:16" x14ac:dyDescent="0.35">
      <c r="C43" s="90"/>
      <c r="D43" s="90"/>
      <c r="E43" s="90"/>
      <c r="F43" s="90"/>
    </row>
    <row r="44" spans="1:16" x14ac:dyDescent="0.35">
      <c r="C44" s="90"/>
      <c r="D44" s="90"/>
      <c r="E44" s="90"/>
      <c r="F44" s="90"/>
    </row>
    <row r="45" spans="1:16" x14ac:dyDescent="0.35">
      <c r="C45" s="90"/>
      <c r="D45" s="90"/>
      <c r="E45" s="90"/>
      <c r="F45" s="90"/>
    </row>
    <row r="46" spans="1:16" x14ac:dyDescent="0.35">
      <c r="C46" s="90"/>
      <c r="D46" s="90"/>
      <c r="E46" s="90"/>
      <c r="F46" s="90"/>
    </row>
    <row r="47" spans="1:16" x14ac:dyDescent="0.35">
      <c r="C47" s="90"/>
      <c r="D47" s="90"/>
      <c r="E47" s="90"/>
      <c r="F47" s="90"/>
    </row>
    <row r="48" spans="1:16" x14ac:dyDescent="0.35">
      <c r="C48" s="90"/>
      <c r="D48" s="90"/>
      <c r="E48" s="90"/>
      <c r="F48" s="90"/>
    </row>
    <row r="49" spans="3:6" x14ac:dyDescent="0.35">
      <c r="C49" s="90"/>
      <c r="D49" s="90"/>
      <c r="E49" s="90"/>
      <c r="F49" s="90"/>
    </row>
    <row r="50" spans="3:6" x14ac:dyDescent="0.35">
      <c r="C50" s="90"/>
      <c r="D50" s="90"/>
      <c r="E50" s="90"/>
      <c r="F50" s="90"/>
    </row>
  </sheetData>
  <mergeCells count="5">
    <mergeCell ref="B2:E2"/>
    <mergeCell ref="A36:D36"/>
    <mergeCell ref="A37:E37"/>
    <mergeCell ref="A38:E38"/>
    <mergeCell ref="A39:E39"/>
  </mergeCells>
  <conditionalFormatting sqref="F15:F32 J33 F33:H33">
    <cfRule type="cellIs" dxfId="21" priority="2" operator="lessThan">
      <formula>1</formula>
    </cfRule>
  </conditionalFormatting>
  <conditionalFormatting sqref="F14:F32 H14:H32">
    <cfRule type="cellIs" dxfId="20" priority="1" operator="lessThan">
      <formula>1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DFD4B-D863-421C-9649-46D95D6DFFF0}">
  <dimension ref="A1:AT48"/>
  <sheetViews>
    <sheetView topLeftCell="A16" zoomScale="80" zoomScaleNormal="80" workbookViewId="0">
      <selection activeCell="A38" sqref="A38"/>
    </sheetView>
  </sheetViews>
  <sheetFormatPr defaultColWidth="8.81640625" defaultRowHeight="14.5" x14ac:dyDescent="0.35"/>
  <cols>
    <col min="1" max="2" width="8.81640625" style="90"/>
    <col min="3" max="3" width="15.1796875" style="24" customWidth="1"/>
    <col min="4" max="4" width="16.81640625" style="24" customWidth="1"/>
    <col min="5" max="5" width="14.54296875" style="24" customWidth="1"/>
    <col min="6" max="6" width="14.453125" style="24" customWidth="1"/>
    <col min="7" max="8" width="17.81640625" style="24" customWidth="1"/>
    <col min="9" max="9" width="14.81640625" style="24" customWidth="1"/>
    <col min="10" max="10" width="15.1796875" style="24" customWidth="1"/>
    <col min="11" max="16" width="13.81640625" style="24" customWidth="1"/>
    <col min="17" max="17" width="8.81640625" style="24"/>
    <col min="18" max="18" width="19.54296875" style="24" customWidth="1"/>
    <col min="19" max="19" width="9.453125" style="24" customWidth="1"/>
    <col min="20" max="20" width="9.81640625" style="24" customWidth="1"/>
    <col min="21" max="16384" width="8.81640625" style="24"/>
  </cols>
  <sheetData>
    <row r="1" spans="1:46" x14ac:dyDescent="0.35">
      <c r="A1" s="160" t="s">
        <v>248</v>
      </c>
      <c r="B1" s="160"/>
      <c r="C1" s="160"/>
    </row>
    <row r="2" spans="1:46" s="90" customFormat="1" ht="58" x14ac:dyDescent="0.35">
      <c r="A2" s="204"/>
      <c r="B2" s="215" t="s">
        <v>240</v>
      </c>
      <c r="C2" s="215"/>
      <c r="D2" s="215"/>
      <c r="E2" s="215"/>
      <c r="F2" s="164" t="s">
        <v>245</v>
      </c>
      <c r="G2" s="164" t="s">
        <v>246</v>
      </c>
      <c r="H2" s="164" t="s">
        <v>247</v>
      </c>
      <c r="I2" s="164" t="s">
        <v>243</v>
      </c>
      <c r="J2" s="164" t="s">
        <v>241</v>
      </c>
      <c r="K2" s="90" t="s">
        <v>265</v>
      </c>
      <c r="L2" s="90" t="s">
        <v>266</v>
      </c>
      <c r="M2" s="90" t="s">
        <v>298</v>
      </c>
      <c r="N2" s="90" t="s">
        <v>267</v>
      </c>
      <c r="O2" s="90" t="s">
        <v>268</v>
      </c>
    </row>
    <row r="3" spans="1:46" s="90" customFormat="1" ht="29" x14ac:dyDescent="0.35">
      <c r="A3" s="136" t="s">
        <v>270</v>
      </c>
      <c r="B3" s="195" t="s">
        <v>157</v>
      </c>
      <c r="C3" s="165" t="s">
        <v>124</v>
      </c>
      <c r="D3" s="166" t="s">
        <v>239</v>
      </c>
      <c r="E3" s="166" t="s">
        <v>250</v>
      </c>
      <c r="F3" s="166"/>
      <c r="G3" s="166"/>
      <c r="H3" s="166"/>
      <c r="I3" s="166"/>
      <c r="J3" s="166"/>
      <c r="P3" s="90">
        <v>0.9</v>
      </c>
      <c r="R3" s="111" t="s">
        <v>262</v>
      </c>
      <c r="S3" s="24"/>
      <c r="T3" s="24"/>
    </row>
    <row r="4" spans="1:46" s="90" customFormat="1" ht="29" x14ac:dyDescent="0.35">
      <c r="A4" s="136">
        <v>2024</v>
      </c>
      <c r="B4" s="182">
        <f>+C4+D4</f>
        <v>127369.95766929124</v>
      </c>
      <c r="C4" s="163">
        <f>+'Assumptions new'!H4</f>
        <v>34737.261182534006</v>
      </c>
      <c r="D4" s="163">
        <f>+'Assumptions new'!I4</f>
        <v>92632.696486757239</v>
      </c>
      <c r="E4" s="161">
        <v>0</v>
      </c>
      <c r="F4" s="154"/>
      <c r="G4" s="155">
        <f>+C4*'Assumptions new'!D4+'Fleet actions ACP '!D4*'Assumptions new'!E4</f>
        <v>28847368.65200755</v>
      </c>
      <c r="H4" s="158">
        <f>F4+G4</f>
        <v>28847368.65200755</v>
      </c>
      <c r="I4" s="90">
        <f>+ROUNDDOWN(H4/'Assumptions new'!$O$2,0)</f>
        <v>3</v>
      </c>
      <c r="J4" s="157">
        <f>H4-(I4*'Assumptions new'!$O$2)</f>
        <v>6347368.65200755</v>
      </c>
      <c r="K4" s="90">
        <f>+(C4*'Assumptions new'!$B$37+'Assumptions new'!$B$38*'Fleet actions ACP '!D4)*1341/453.6/2000</f>
        <v>391.09859882643639</v>
      </c>
      <c r="L4" s="90">
        <f>+(C4*'Assumptions new'!$C$37+'Assumptions new'!$C$38*'Fleet actions ACP '!D4)*1341/453.6/2000</f>
        <v>11.296502198050241</v>
      </c>
      <c r="M4" s="136">
        <f>+I4</f>
        <v>3</v>
      </c>
      <c r="N4" s="180"/>
      <c r="O4" s="180"/>
      <c r="R4" s="171" t="s">
        <v>256</v>
      </c>
      <c r="S4" s="171" t="s">
        <v>257</v>
      </c>
      <c r="T4" s="171" t="s">
        <v>258</v>
      </c>
    </row>
    <row r="5" spans="1:46" x14ac:dyDescent="0.35">
      <c r="A5" s="136">
        <v>2025</v>
      </c>
      <c r="B5" s="182">
        <f t="shared" ref="B5:B9" si="0">+C5+D5</f>
        <v>127369.95766929124</v>
      </c>
      <c r="C5" s="163">
        <f>C4-'Assumptions new'!$B$42*I4</f>
        <v>27789.808946027202</v>
      </c>
      <c r="D5" s="163">
        <f>+D4+C4-C5</f>
        <v>99580.148723264036</v>
      </c>
      <c r="E5" s="162">
        <v>0</v>
      </c>
      <c r="F5" s="157">
        <f t="shared" ref="F5:F30" si="1">J4</f>
        <v>6347368.65200755</v>
      </c>
      <c r="G5" s="155">
        <f>+C5*'Assumptions new'!D5+'Fleet actions ACP '!D5*'Assumptions new'!E5</f>
        <v>26519987.552963566</v>
      </c>
      <c r="H5" s="156">
        <f t="shared" ref="H5:H30" si="2">SUM(F5:G5)</f>
        <v>32867356.204971116</v>
      </c>
      <c r="I5" s="90">
        <f>+ROUNDDOWN(H5/'Assumptions new'!$O$2,0)</f>
        <v>4</v>
      </c>
      <c r="J5" s="157">
        <f>H5-(I5*'Assumptions new'!$O$2)</f>
        <v>2867356.204971116</v>
      </c>
      <c r="K5" s="90">
        <f>+(C5*'Assumptions new'!$B$37+'Assumptions new'!$B$38*'Fleet actions ACP '!D5)*1341/453.6/2000</f>
        <v>350.53388638798316</v>
      </c>
      <c r="L5" s="90">
        <f>+(C5*'Assumptions new'!$C$37+'Assumptions new'!$C$38*'Fleet actions ACP '!D5)*1341/453.6/2000</f>
        <v>9.6020268683427066</v>
      </c>
      <c r="M5" s="136">
        <f>+M4+I5</f>
        <v>7</v>
      </c>
      <c r="N5" s="180">
        <f>+$K$4-K5</f>
        <v>40.564712438453228</v>
      </c>
      <c r="O5" s="181">
        <f>+$L$4-L5</f>
        <v>1.6944753297075348</v>
      </c>
      <c r="R5" s="171" t="s">
        <v>255</v>
      </c>
      <c r="S5" s="171">
        <v>15</v>
      </c>
      <c r="T5" s="171" t="s">
        <v>259</v>
      </c>
    </row>
    <row r="6" spans="1:46" x14ac:dyDescent="0.35">
      <c r="A6" s="136">
        <v>2026</v>
      </c>
      <c r="B6" s="182">
        <f t="shared" si="0"/>
        <v>127369.95766929124</v>
      </c>
      <c r="C6" s="163">
        <f>C5-'Assumptions new'!$B$42*I5</f>
        <v>18526.539297351468</v>
      </c>
      <c r="D6" s="163">
        <f>+D5+C5-C6</f>
        <v>108843.41837193977</v>
      </c>
      <c r="E6" s="162">
        <v>0</v>
      </c>
      <c r="F6" s="157">
        <f t="shared" si="1"/>
        <v>2867356.204971116</v>
      </c>
      <c r="G6" s="155">
        <f>+C6*'Assumptions new'!D6+'Fleet actions ACP '!D6*'Assumptions new'!E6</f>
        <v>22737337.297261231</v>
      </c>
      <c r="H6" s="156">
        <f t="shared" si="2"/>
        <v>25604693.502232347</v>
      </c>
      <c r="I6" s="90">
        <f>+ROUNDDOWN(H6/'Assumptions new'!$O$2,0)</f>
        <v>3</v>
      </c>
      <c r="J6" s="157">
        <f>H6-(I6*'Assumptions new'!$O$2)</f>
        <v>3104693.5022323467</v>
      </c>
      <c r="K6" s="90">
        <f>+(C6*'Assumptions new'!$B$37+'Assumptions new'!$B$38*'Fleet actions ACP '!D6)*1341/453.6/2000</f>
        <v>296.44760313671236</v>
      </c>
      <c r="L6" s="90">
        <f>+(C6*'Assumptions new'!$C$37+'Assumptions new'!$C$38*'Fleet actions ACP '!D6)*1341/453.6/2000</f>
        <v>7.3427264287326555</v>
      </c>
      <c r="M6" s="136">
        <f t="shared" ref="M6:M30" si="3">+M5+I6</f>
        <v>10</v>
      </c>
      <c r="N6" s="180">
        <f t="shared" ref="N6:N12" si="4">+$K$4-K6</f>
        <v>94.650995689724027</v>
      </c>
      <c r="O6" s="181">
        <f t="shared" ref="O6:O12" si="5">+$L$4-L6</f>
        <v>3.9537757693175859</v>
      </c>
      <c r="R6" s="171" t="s">
        <v>260</v>
      </c>
      <c r="S6" s="171">
        <v>40</v>
      </c>
      <c r="T6" s="171" t="s">
        <v>261</v>
      </c>
      <c r="Y6" s="177"/>
      <c r="Z6" s="111" t="s">
        <v>264</v>
      </c>
    </row>
    <row r="7" spans="1:46" x14ac:dyDescent="0.35">
      <c r="A7" s="136">
        <v>2027</v>
      </c>
      <c r="B7" s="182">
        <f t="shared" si="0"/>
        <v>127369.95766929124</v>
      </c>
      <c r="C7" s="163">
        <f>C6-'Assumptions new'!$B$42*I6</f>
        <v>11579.087060844666</v>
      </c>
      <c r="D7" s="163">
        <f>+D6+C6-C7</f>
        <v>115790.87060844657</v>
      </c>
      <c r="E7" s="162">
        <v>0</v>
      </c>
      <c r="F7" s="157">
        <f t="shared" si="1"/>
        <v>3104693.5022323467</v>
      </c>
      <c r="G7" s="155">
        <f>+C7*'Assumptions new'!D7+'Fleet actions ACP '!D7*'Assumptions new'!E7</f>
        <v>19861573.298205663</v>
      </c>
      <c r="H7" s="156">
        <f t="shared" si="2"/>
        <v>22966266.800438009</v>
      </c>
      <c r="I7" s="90">
        <f>+ROUNDDOWN(H7/'Assumptions new'!$O$2,0)</f>
        <v>3</v>
      </c>
      <c r="J7" s="157">
        <f>H7-(I7*'Assumptions new'!$O$2)</f>
        <v>466266.8004380092</v>
      </c>
      <c r="K7" s="90">
        <f>+(C7*'Assumptions new'!$B$37+'Assumptions new'!$B$38*'Fleet actions ACP '!D7)*1341/453.6/2000</f>
        <v>255.88289069825913</v>
      </c>
      <c r="L7" s="90">
        <f>+(C7*'Assumptions new'!$C$37+'Assumptions new'!$C$38*'Fleet actions ACP '!D7)*1341/453.6/2000</f>
        <v>5.6482510990251198</v>
      </c>
      <c r="M7" s="136">
        <f t="shared" si="3"/>
        <v>13</v>
      </c>
      <c r="N7" s="180">
        <f t="shared" si="4"/>
        <v>135.21570812817725</v>
      </c>
      <c r="O7" s="181">
        <f t="shared" si="5"/>
        <v>5.6482510990251216</v>
      </c>
      <c r="R7" s="171"/>
      <c r="S7" s="171"/>
      <c r="T7" s="171"/>
      <c r="Y7" s="177"/>
    </row>
    <row r="8" spans="1:46" x14ac:dyDescent="0.35">
      <c r="A8" s="136">
        <v>2028</v>
      </c>
      <c r="B8" s="182">
        <f t="shared" si="0"/>
        <v>127369.95766929124</v>
      </c>
      <c r="C8" s="163">
        <f>C7-'Assumptions new'!$B$42*I7</f>
        <v>4631.6348243378634</v>
      </c>
      <c r="D8" s="163">
        <f>+D7+C7-C8</f>
        <v>122738.32284495338</v>
      </c>
      <c r="E8" s="162">
        <v>0</v>
      </c>
      <c r="F8" s="157">
        <f t="shared" si="1"/>
        <v>466266.8004380092</v>
      </c>
      <c r="G8" s="155">
        <f>+C8*'Assumptions new'!D8+'Fleet actions ACP '!D8*'Assumptions new'!E8</f>
        <v>16733226.567730946</v>
      </c>
      <c r="H8" s="156">
        <f t="shared" si="2"/>
        <v>17199493.368168958</v>
      </c>
      <c r="I8" s="90">
        <f>+ROUNDDOWN(H8/'Assumptions new'!$O$2,0)</f>
        <v>2</v>
      </c>
      <c r="J8" s="157">
        <f>H8-(I8*'Assumptions new'!$O$2)</f>
        <v>2199493.3681689575</v>
      </c>
      <c r="K8" s="90">
        <f>+(C8*'Assumptions new'!$B$37+'Assumptions new'!$B$38*'Fleet actions ACP '!D8)*1341/453.6/2000</f>
        <v>215.31817825980599</v>
      </c>
      <c r="L8" s="90">
        <f>+(C8*'Assumptions new'!$C$37+'Assumptions new'!$C$38*'Fleet actions ACP '!D8)*1341/453.6/2000</f>
        <v>3.9537757693175819</v>
      </c>
      <c r="M8" s="136">
        <f t="shared" si="3"/>
        <v>15</v>
      </c>
      <c r="N8" s="180">
        <f t="shared" si="4"/>
        <v>175.7804205666304</v>
      </c>
      <c r="O8" s="181">
        <f t="shared" si="5"/>
        <v>7.342726428732659</v>
      </c>
      <c r="R8" s="174" t="s">
        <v>263</v>
      </c>
      <c r="Y8" s="177"/>
    </row>
    <row r="9" spans="1:46" x14ac:dyDescent="0.35">
      <c r="A9" s="136">
        <v>2029</v>
      </c>
      <c r="B9" s="182">
        <f t="shared" si="0"/>
        <v>127369.95766929124</v>
      </c>
      <c r="C9" s="163">
        <f>C8-'Assumptions new'!$B$42*I8</f>
        <v>0</v>
      </c>
      <c r="D9" s="163">
        <f>+D8+C8-C9</f>
        <v>127369.95766929124</v>
      </c>
      <c r="E9" s="162">
        <v>0</v>
      </c>
      <c r="F9" s="157">
        <f t="shared" si="1"/>
        <v>2199493.3681689575</v>
      </c>
      <c r="G9" s="155">
        <f>+C9*'Assumptions new'!D9+'Fleet actions ACP '!D9*'Assumptions new'!E9</f>
        <v>14660702.448595729</v>
      </c>
      <c r="H9" s="156">
        <f t="shared" si="2"/>
        <v>16860195.816764686</v>
      </c>
      <c r="I9" s="90">
        <v>0</v>
      </c>
      <c r="J9" s="157">
        <f>H9-(I9*'Assumptions new'!$O$2)</f>
        <v>16860195.816764686</v>
      </c>
      <c r="K9" s="90">
        <f>+(C9*'Assumptions new'!$B$37+'Assumptions new'!$B$38*'Fleet actions ACP '!D9)*1341/453.6/2000</f>
        <v>188.27503663417056</v>
      </c>
      <c r="L9" s="90">
        <f>+(C9*'Assumptions new'!$C$37+'Assumptions new'!$C$38*'Fleet actions ACP '!D9)*1341/453.6/2000</f>
        <v>2.824125549512559</v>
      </c>
      <c r="M9" s="136">
        <f t="shared" si="3"/>
        <v>15</v>
      </c>
      <c r="N9" s="180">
        <f t="shared" si="4"/>
        <v>202.82356219226583</v>
      </c>
      <c r="O9" s="181">
        <f t="shared" si="5"/>
        <v>8.4723766485376828</v>
      </c>
      <c r="S9" s="24">
        <v>2023</v>
      </c>
      <c r="T9" s="172">
        <v>2024</v>
      </c>
      <c r="U9" s="24">
        <v>2025</v>
      </c>
      <c r="V9" s="172">
        <v>2026</v>
      </c>
      <c r="W9" s="24">
        <v>2027</v>
      </c>
      <c r="X9" s="172">
        <v>2028</v>
      </c>
      <c r="Y9" s="177">
        <v>2029</v>
      </c>
      <c r="Z9" s="172">
        <v>2030</v>
      </c>
      <c r="AA9" s="24">
        <v>2031</v>
      </c>
      <c r="AB9" s="172">
        <v>2032</v>
      </c>
      <c r="AC9" s="24">
        <v>2033</v>
      </c>
      <c r="AD9" s="172">
        <v>2034</v>
      </c>
      <c r="AE9" s="24">
        <v>2035</v>
      </c>
      <c r="AF9" s="172">
        <v>2036</v>
      </c>
      <c r="AG9" s="24">
        <v>2037</v>
      </c>
      <c r="AH9" s="172">
        <v>2038</v>
      </c>
      <c r="AI9" s="24">
        <v>2039</v>
      </c>
      <c r="AJ9" s="172">
        <v>2040</v>
      </c>
      <c r="AK9" s="24">
        <v>2041</v>
      </c>
      <c r="AL9" s="172">
        <v>2042</v>
      </c>
      <c r="AM9" s="24">
        <v>2043</v>
      </c>
      <c r="AN9" s="172">
        <v>2044</v>
      </c>
      <c r="AO9" s="24">
        <v>2045</v>
      </c>
      <c r="AP9" s="172">
        <v>2046</v>
      </c>
      <c r="AQ9" s="24">
        <v>2047</v>
      </c>
      <c r="AR9" s="172">
        <v>2048</v>
      </c>
      <c r="AS9" s="24">
        <v>2049</v>
      </c>
      <c r="AT9" s="172">
        <v>2050</v>
      </c>
    </row>
    <row r="10" spans="1:46" ht="15" thickBot="1" x14ac:dyDescent="0.4">
      <c r="A10" s="136">
        <v>2030</v>
      </c>
      <c r="B10" s="186">
        <f>+C10+D10</f>
        <v>127369.95766929124</v>
      </c>
      <c r="C10" s="187">
        <f>C9-'Assumptions new'!$B$42*I9</f>
        <v>0</v>
      </c>
      <c r="D10" s="187">
        <f t="shared" ref="D10:D11" si="6">+D9+C9-C10</f>
        <v>127369.95766929124</v>
      </c>
      <c r="E10" s="188">
        <v>0</v>
      </c>
      <c r="F10" s="189">
        <f t="shared" si="1"/>
        <v>16860195.816764686</v>
      </c>
      <c r="G10" s="190">
        <f>+C10*'Assumptions new'!D10+'Fleet actions ACP '!D10*'Assumptions new'!E10</f>
        <v>15224575.619695567</v>
      </c>
      <c r="H10" s="191">
        <f t="shared" si="2"/>
        <v>32084771.436460253</v>
      </c>
      <c r="I10" s="192">
        <v>0</v>
      </c>
      <c r="J10" s="189">
        <f>H10-(I10*'Assumptions new'!$O$2)</f>
        <v>32084771.436460253</v>
      </c>
      <c r="K10" s="192">
        <f>+(C10*'Assumptions new'!$B$37+'Assumptions new'!$B$38*'Fleet actions ACP '!D10)*1341/453.6/2000</f>
        <v>188.27503663417056</v>
      </c>
      <c r="L10" s="192">
        <f>+(C10*'Assumptions new'!$C$37+'Assumptions new'!$C$38*'Fleet actions ACP '!D10)*1341/453.6/2000</f>
        <v>2.824125549512559</v>
      </c>
      <c r="M10" s="136">
        <f t="shared" si="3"/>
        <v>15</v>
      </c>
      <c r="N10" s="193">
        <f t="shared" si="4"/>
        <v>202.82356219226583</v>
      </c>
      <c r="O10" s="194">
        <f t="shared" si="5"/>
        <v>8.4723766485376828</v>
      </c>
      <c r="P10" s="184" t="s">
        <v>249</v>
      </c>
      <c r="R10" s="172" t="s">
        <v>257</v>
      </c>
      <c r="S10" s="176"/>
      <c r="T10" s="176"/>
      <c r="U10" s="176"/>
      <c r="V10" s="176"/>
      <c r="W10" s="175"/>
      <c r="X10" s="175"/>
      <c r="Y10" s="178"/>
    </row>
    <row r="11" spans="1:46" x14ac:dyDescent="0.35">
      <c r="A11" s="136">
        <v>2031</v>
      </c>
      <c r="B11" s="182">
        <f t="shared" ref="B11" si="7">+C11+D11</f>
        <v>127369.95766929124</v>
      </c>
      <c r="C11" s="163">
        <f>C10-'Assumptions new'!$B$42*I10</f>
        <v>0</v>
      </c>
      <c r="D11" s="163">
        <f t="shared" si="6"/>
        <v>127369.95766929124</v>
      </c>
      <c r="E11" s="162">
        <v>0</v>
      </c>
      <c r="F11" s="199">
        <f t="shared" si="1"/>
        <v>32084771.436460253</v>
      </c>
      <c r="G11" s="167">
        <f>+C11*'Assumptions new'!D11+'Fleet actions ACP '!D11*'Assumptions new'!E11</f>
        <v>15818928.421665663</v>
      </c>
      <c r="H11" s="200">
        <f t="shared" si="2"/>
        <v>47903699.858125918</v>
      </c>
      <c r="I11" s="201">
        <f>+ROUNDDOWN(H11/'Assumptions new'!$O$6,0)</f>
        <v>3</v>
      </c>
      <c r="J11" s="199">
        <f>H11-(I11*'Assumptions new'!$O$6)</f>
        <v>8903699.8581259176</v>
      </c>
      <c r="K11" s="201">
        <f>+(C11*'Assumptions new'!$B$37+'Assumptions new'!$B$38*'Fleet actions ACP '!D11)*1341/453.6/2000</f>
        <v>188.27503663417056</v>
      </c>
      <c r="L11" s="201">
        <f>+(C11*'Assumptions new'!$C$37+'Assumptions new'!$C$38*'Fleet actions ACP '!D11)*1341/453.6/2000</f>
        <v>2.824125549512559</v>
      </c>
      <c r="M11" s="136">
        <f t="shared" si="3"/>
        <v>18</v>
      </c>
      <c r="N11" s="202">
        <f t="shared" si="4"/>
        <v>202.82356219226583</v>
      </c>
      <c r="O11" s="203">
        <f t="shared" si="5"/>
        <v>8.4723766485376828</v>
      </c>
      <c r="R11" s="172"/>
      <c r="S11" s="172"/>
      <c r="T11" s="172"/>
      <c r="U11" s="172"/>
      <c r="V11" s="172"/>
    </row>
    <row r="12" spans="1:46" s="170" customFormat="1" x14ac:dyDescent="0.35">
      <c r="A12" s="136">
        <v>2032</v>
      </c>
      <c r="B12" s="182">
        <f>+C12+D12+E12</f>
        <v>127369.95766929124</v>
      </c>
      <c r="C12" s="163">
        <v>0</v>
      </c>
      <c r="D12" s="163">
        <f>+D11+E11-E12</f>
        <v>120422.50543278444</v>
      </c>
      <c r="E12" s="162">
        <f>+E11+'Assumptions new'!$B$42*'Fleet actions ACP '!I11</f>
        <v>6947.4522365068024</v>
      </c>
      <c r="F12" s="199">
        <f t="shared" si="1"/>
        <v>8903699.8581259176</v>
      </c>
      <c r="G12" s="167">
        <f>+C12*'Assumptions new'!D12+'Fleet actions ACP '!D12*'Assumptions new'!E12</f>
        <v>15460377.127610041</v>
      </c>
      <c r="H12" s="200">
        <f t="shared" si="2"/>
        <v>24364076.98573596</v>
      </c>
      <c r="I12" s="201">
        <f>+ROUNDDOWN(H12/'Assumptions new'!$O$6,0)</f>
        <v>1</v>
      </c>
      <c r="J12" s="199">
        <f>H12-(I12*'Assumptions new'!$O$6)</f>
        <v>11364076.98573596</v>
      </c>
      <c r="K12" s="201">
        <f>+(C12*'Assumptions new'!$B$37+'Assumptions new'!$B$38*'Fleet actions ACP '!D12)*1341/453.6/2000</f>
        <v>178.00548918139762</v>
      </c>
      <c r="L12" s="201">
        <f>+(C12*'Assumptions new'!$C$37+'Assumptions new'!$C$38*'Fleet actions ACP '!D12)*1341/453.6/2000</f>
        <v>2.6700823377209644</v>
      </c>
      <c r="M12" s="136">
        <f t="shared" si="3"/>
        <v>19</v>
      </c>
      <c r="N12" s="202">
        <f t="shared" si="4"/>
        <v>213.09310964503877</v>
      </c>
      <c r="O12" s="203">
        <f t="shared" si="5"/>
        <v>8.6264198603292765</v>
      </c>
      <c r="R12" s="173"/>
      <c r="S12" s="173"/>
      <c r="T12" s="172"/>
      <c r="U12" s="173"/>
      <c r="V12" s="173"/>
    </row>
    <row r="13" spans="1:46" x14ac:dyDescent="0.35">
      <c r="A13" s="136">
        <v>2033</v>
      </c>
      <c r="B13" s="182">
        <f t="shared" ref="B13:B30" si="8">+C13+D13+E13</f>
        <v>127369.95766929124</v>
      </c>
      <c r="C13" s="163">
        <v>0</v>
      </c>
      <c r="D13" s="163">
        <f>+D12+E12-E13</f>
        <v>118106.6880206155</v>
      </c>
      <c r="E13" s="162">
        <f>+E12+'Assumptions new'!$B$42*'Fleet actions ACP '!I12</f>
        <v>9263.2696486757359</v>
      </c>
      <c r="F13" s="157">
        <f t="shared" si="1"/>
        <v>11364076.98573596</v>
      </c>
      <c r="G13" s="155">
        <f>+C13*'Assumptions new'!D13+'Fleet actions ACP '!D13*'Assumptions new'!E13</f>
        <v>15742452.256936641</v>
      </c>
      <c r="H13" s="156">
        <f t="shared" si="2"/>
        <v>27106529.2426726</v>
      </c>
      <c r="I13" s="90">
        <f>+ROUNDDOWN(H13/'Assumptions new'!$O$6,0)</f>
        <v>2</v>
      </c>
      <c r="J13" s="157">
        <f>H13-(I13*'Assumptions new'!$O$6)</f>
        <v>1106529.2426725999</v>
      </c>
      <c r="K13" s="90">
        <f>+(C13*'Assumptions new'!$B$37+'Assumptions new'!$B$38*'Fleet actions ACP '!D13)*1341/453.6/2000</f>
        <v>174.58230669713998</v>
      </c>
      <c r="L13" s="90">
        <f>+(C13*'Assumptions new'!$C$37+'Assumptions new'!$C$38*'Fleet actions ACP '!D13)*1341/453.6/2000</f>
        <v>2.6187346004570995</v>
      </c>
      <c r="M13" s="136">
        <f t="shared" si="3"/>
        <v>21</v>
      </c>
      <c r="N13" s="202">
        <f t="shared" ref="N13:N30" si="9">+$K$4-K13</f>
        <v>216.5162921292964</v>
      </c>
      <c r="O13" s="203">
        <f t="shared" ref="O13:O30" si="10">+$L$4-L13</f>
        <v>8.6777675975931423</v>
      </c>
      <c r="R13" s="172" t="s">
        <v>269</v>
      </c>
      <c r="S13" s="172"/>
      <c r="T13" s="173"/>
      <c r="U13" s="172"/>
      <c r="V13" s="172"/>
    </row>
    <row r="14" spans="1:46" x14ac:dyDescent="0.35">
      <c r="A14" s="136">
        <v>2034</v>
      </c>
      <c r="B14" s="182">
        <f t="shared" si="8"/>
        <v>127369.95766929124</v>
      </c>
      <c r="C14" s="163">
        <v>0</v>
      </c>
      <c r="D14" s="163">
        <f>+D13-E14+E13</f>
        <v>113475.05319627763</v>
      </c>
      <c r="E14" s="162">
        <f>+E13+'Assumptions new'!$B$42*'Fleet actions ACP '!I13</f>
        <v>13894.904473013605</v>
      </c>
      <c r="F14" s="157">
        <f t="shared" si="1"/>
        <v>1106529.2426725999</v>
      </c>
      <c r="G14" s="155">
        <f>+C14*'Assumptions new'!D14+'Fleet actions ACP '!D14*'Assumptions new'!E14</f>
        <v>15722501.953094287</v>
      </c>
      <c r="H14" s="156">
        <f t="shared" si="2"/>
        <v>16829031.195766889</v>
      </c>
      <c r="I14" s="90">
        <f>+ROUNDDOWN(H14/'Assumptions new'!$O$6,0)</f>
        <v>1</v>
      </c>
      <c r="J14" s="157">
        <f>H14-(I14*'Assumptions new'!$O$6)</f>
        <v>3829031.1957668886</v>
      </c>
      <c r="K14" s="90">
        <f>+(C14*'Assumptions new'!$B$37+'Assumptions new'!$B$38*'Fleet actions ACP '!D14)*1341/453.6/2000</f>
        <v>167.73594172862468</v>
      </c>
      <c r="L14" s="90">
        <f>+(C14*'Assumptions new'!$C$37+'Assumptions new'!$C$38*'Fleet actions ACP '!D14)*1341/453.6/2000</f>
        <v>2.5160391259293697</v>
      </c>
      <c r="M14" s="136">
        <f t="shared" si="3"/>
        <v>22</v>
      </c>
      <c r="N14" s="202">
        <f t="shared" si="9"/>
        <v>223.36265709781171</v>
      </c>
      <c r="O14" s="203">
        <f t="shared" si="10"/>
        <v>8.7804630721208721</v>
      </c>
      <c r="P14" s="112"/>
      <c r="R14" s="172"/>
      <c r="S14" s="172"/>
      <c r="T14" s="172"/>
      <c r="U14" s="172"/>
      <c r="V14" s="172"/>
    </row>
    <row r="15" spans="1:46" x14ac:dyDescent="0.35">
      <c r="A15" s="136">
        <v>2035</v>
      </c>
      <c r="B15" s="182">
        <f t="shared" si="8"/>
        <v>127369.95766929124</v>
      </c>
      <c r="C15" s="163">
        <v>0</v>
      </c>
      <c r="D15" s="163">
        <f t="shared" ref="D15:D30" si="11">+D14-E15+E14</f>
        <v>111159.23578410871</v>
      </c>
      <c r="E15" s="162">
        <f>+E14+'Assumptions new'!$B$42*'Fleet actions ACP '!I14</f>
        <v>16210.721885182538</v>
      </c>
      <c r="F15" s="157">
        <f t="shared" si="1"/>
        <v>3829031.1957668886</v>
      </c>
      <c r="G15" s="155">
        <f>+C15*'Assumptions new'!D15+'Fleet actions ACP '!D15*'Assumptions new'!E15</f>
        <v>16013443.8841286</v>
      </c>
      <c r="H15" s="156">
        <f t="shared" si="2"/>
        <v>19842475.079895489</v>
      </c>
      <c r="I15" s="90">
        <f>+ROUNDDOWN(H15/'Assumptions new'!$O$6,0)</f>
        <v>1</v>
      </c>
      <c r="J15" s="157">
        <f>H15-(I15*'Assumptions new'!$O$6)</f>
        <v>6842475.0798954889</v>
      </c>
      <c r="K15" s="90">
        <f>+(C15*'Assumptions new'!$B$37+'Assumptions new'!$B$38*'Fleet actions ACP '!D15)*1341/453.6/2000</f>
        <v>164.31275924436704</v>
      </c>
      <c r="L15" s="90">
        <f>+(C15*'Assumptions new'!$C$37+'Assumptions new'!$C$38*'Fleet actions ACP '!D15)*1341/453.6/2000</f>
        <v>2.4646913886655053</v>
      </c>
      <c r="M15" s="136">
        <f t="shared" si="3"/>
        <v>23</v>
      </c>
      <c r="N15" s="202">
        <f t="shared" si="9"/>
        <v>226.78583958206934</v>
      </c>
      <c r="O15" s="203">
        <f t="shared" si="10"/>
        <v>8.8318108093847361</v>
      </c>
      <c r="R15" s="172"/>
      <c r="S15" s="172"/>
      <c r="T15" s="172"/>
      <c r="U15" s="172"/>
      <c r="V15" s="172"/>
    </row>
    <row r="16" spans="1:46" x14ac:dyDescent="0.35">
      <c r="A16" s="136">
        <v>2036</v>
      </c>
      <c r="B16" s="182">
        <f t="shared" si="8"/>
        <v>127369.95766929124</v>
      </c>
      <c r="C16" s="163">
        <v>0</v>
      </c>
      <c r="D16" s="163">
        <f t="shared" si="11"/>
        <v>108843.41837193977</v>
      </c>
      <c r="E16" s="162">
        <f>+E15+'Assumptions new'!$B$42*'Fleet actions ACP '!I15</f>
        <v>18526.539297351472</v>
      </c>
      <c r="F16" s="157">
        <f t="shared" si="1"/>
        <v>6842475.0798954889</v>
      </c>
      <c r="G16" s="155">
        <f>+C16*'Assumptions new'!D16+'Fleet actions ACP '!D16*'Assumptions new'!E16</f>
        <v>16312341.342718938</v>
      </c>
      <c r="H16" s="156">
        <f t="shared" si="2"/>
        <v>23154816.422614425</v>
      </c>
      <c r="I16" s="90">
        <f>+ROUNDDOWN(H16/'Assumptions new'!$O$6,0)</f>
        <v>1</v>
      </c>
      <c r="J16" s="157">
        <f>H16-(I16*'Assumptions new'!$O$6)</f>
        <v>10154816.422614425</v>
      </c>
      <c r="K16" s="90">
        <f>+(C16*'Assumptions new'!$B$37+'Assumptions new'!$B$38*'Fleet actions ACP '!D16)*1341/453.6/2000</f>
        <v>160.88957676010938</v>
      </c>
      <c r="L16" s="90">
        <f>+(C16*'Assumptions new'!$C$37+'Assumptions new'!$C$38*'Fleet actions ACP '!D16)*1341/453.6/2000</f>
        <v>2.4133436514016409</v>
      </c>
      <c r="M16" s="136">
        <f t="shared" si="3"/>
        <v>24</v>
      </c>
      <c r="N16" s="202">
        <f t="shared" si="9"/>
        <v>230.20902206632701</v>
      </c>
      <c r="O16" s="203">
        <f t="shared" si="10"/>
        <v>8.8831585466486001</v>
      </c>
      <c r="R16" s="172"/>
      <c r="S16" s="172"/>
      <c r="T16" s="172"/>
      <c r="U16" s="172"/>
      <c r="V16" s="172"/>
    </row>
    <row r="17" spans="1:22" x14ac:dyDescent="0.35">
      <c r="A17" s="136">
        <v>2037</v>
      </c>
      <c r="B17" s="182">
        <f t="shared" si="8"/>
        <v>127369.95766929124</v>
      </c>
      <c r="C17" s="163">
        <f t="shared" ref="C17:C30" si="12">+C16</f>
        <v>0</v>
      </c>
      <c r="D17" s="163">
        <f t="shared" si="11"/>
        <v>106527.60095977083</v>
      </c>
      <c r="E17" s="162">
        <f>+E16+'Assumptions new'!$B$42*'Fleet actions ACP '!I16</f>
        <v>20842.356709520405</v>
      </c>
      <c r="F17" s="157">
        <f t="shared" si="1"/>
        <v>10154816.422614425</v>
      </c>
      <c r="G17" s="155">
        <f>+C17*'Assumptions new'!D17+'Fleet actions ACP '!D17*'Assumptions new'!E17</f>
        <v>16603370.580069687</v>
      </c>
      <c r="H17" s="156">
        <f t="shared" si="2"/>
        <v>26758187.002684113</v>
      </c>
      <c r="I17" s="90">
        <f>+ROUNDDOWN(H17/'Assumptions new'!$O$6,0)</f>
        <v>2</v>
      </c>
      <c r="J17" s="157">
        <f>H17-(I17*'Assumptions new'!$O$6)</f>
        <v>758187.00268411264</v>
      </c>
      <c r="K17" s="90">
        <f>+(C17*'Assumptions new'!$B$37+'Assumptions new'!$B$38*'Fleet actions ACP '!D17)*1341/453.6/2000</f>
        <v>157.46639427585171</v>
      </c>
      <c r="L17" s="90">
        <f>+(C17*'Assumptions new'!$C$37+'Assumptions new'!$C$38*'Fleet actions ACP '!D17)*1341/453.6/2000</f>
        <v>2.3619959141377755</v>
      </c>
      <c r="M17" s="136">
        <f t="shared" si="3"/>
        <v>26</v>
      </c>
      <c r="N17" s="202">
        <f t="shared" si="9"/>
        <v>233.63220455058467</v>
      </c>
      <c r="O17" s="203">
        <f t="shared" si="10"/>
        <v>8.9345062839124658</v>
      </c>
      <c r="Q17" s="24" t="e">
        <f>+(#REF!-N13)/COUNT(N13:N30)</f>
        <v>#REF!</v>
      </c>
      <c r="R17" s="24" t="e">
        <f>+(#REF!-O13)/COUNT(O13:O30)</f>
        <v>#REF!</v>
      </c>
      <c r="S17" s="172"/>
      <c r="T17" s="172"/>
      <c r="U17" s="172"/>
      <c r="V17" s="172"/>
    </row>
    <row r="18" spans="1:22" x14ac:dyDescent="0.35">
      <c r="A18" s="136">
        <v>2038</v>
      </c>
      <c r="B18" s="182">
        <f t="shared" si="8"/>
        <v>127369.95766929124</v>
      </c>
      <c r="C18" s="163">
        <f t="shared" si="12"/>
        <v>0</v>
      </c>
      <c r="D18" s="163">
        <f t="shared" si="11"/>
        <v>101895.96613543296</v>
      </c>
      <c r="E18" s="162">
        <f>+E17+'Assumptions new'!$B$42*'Fleet actions ACP '!I17</f>
        <v>25473.991533858272</v>
      </c>
      <c r="F18" s="157">
        <f t="shared" si="1"/>
        <v>758187.00268411264</v>
      </c>
      <c r="G18" s="155">
        <f>+C18*'Assumptions new'!D18+'Fleet actions ACP '!D18*'Assumptions new'!E18</f>
        <v>16491841.739826595</v>
      </c>
      <c r="H18" s="156">
        <f t="shared" si="2"/>
        <v>17250028.742510706</v>
      </c>
      <c r="I18" s="90">
        <f>+ROUNDDOWN(H18/'Assumptions new'!$O$6,0)</f>
        <v>1</v>
      </c>
      <c r="J18" s="157">
        <f>H18-(I18*'Assumptions new'!$O$6)</f>
        <v>4250028.7425107062</v>
      </c>
      <c r="K18" s="90">
        <f>+(C18*'Assumptions new'!$B$37+'Assumptions new'!$B$38*'Fleet actions ACP '!D18)*1341/453.6/2000</f>
        <v>150.62002930733644</v>
      </c>
      <c r="L18" s="90">
        <f>+(C18*'Assumptions new'!$C$37+'Assumptions new'!$C$38*'Fleet actions ACP '!D18)*1341/453.6/2000</f>
        <v>2.2593004396100458</v>
      </c>
      <c r="M18" s="136">
        <f t="shared" si="3"/>
        <v>27</v>
      </c>
      <c r="N18" s="202">
        <f t="shared" si="9"/>
        <v>240.47856951909995</v>
      </c>
      <c r="O18" s="203">
        <f t="shared" si="10"/>
        <v>9.0372017584401956</v>
      </c>
      <c r="R18" s="172"/>
      <c r="S18" s="172"/>
      <c r="T18" s="172"/>
      <c r="U18" s="172"/>
      <c r="V18" s="172"/>
    </row>
    <row r="19" spans="1:22" x14ac:dyDescent="0.35">
      <c r="A19" s="136">
        <v>2039</v>
      </c>
      <c r="B19" s="182">
        <f t="shared" si="8"/>
        <v>127369.95766929122</v>
      </c>
      <c r="C19" s="163">
        <f t="shared" si="12"/>
        <v>0</v>
      </c>
      <c r="D19" s="163">
        <f t="shared" si="11"/>
        <v>99580.148723264021</v>
      </c>
      <c r="E19" s="162">
        <f>+E18+'Assumptions new'!$B$43*'Fleet actions ACP '!I18</f>
        <v>27789.808946027202</v>
      </c>
      <c r="F19" s="157">
        <f t="shared" si="1"/>
        <v>4250028.7425107062</v>
      </c>
      <c r="G19" s="155">
        <f>+C19*'Assumptions new'!D19+'Fleet actions ACP '!D19*'Assumptions new'!E19</f>
        <v>16773160.754768122</v>
      </c>
      <c r="H19" s="156">
        <f t="shared" si="2"/>
        <v>21023189.497278828</v>
      </c>
      <c r="I19" s="90">
        <f>+ROUNDDOWN(H19/'Assumptions new'!$O$6,0)</f>
        <v>1</v>
      </c>
      <c r="J19" s="157">
        <f>H19-(I19*'Assumptions new'!$O$6)</f>
        <v>8023189.4972788282</v>
      </c>
      <c r="K19" s="90">
        <f>+(C19*'Assumptions new'!$B$37+'Assumptions new'!$B$38*'Fleet actions ACP '!D19)*1341/453.6/2000</f>
        <v>147.19684682307874</v>
      </c>
      <c r="L19" s="90">
        <f>+(C19*'Assumptions new'!$C$37+'Assumptions new'!$C$38*'Fleet actions ACP '!D19)*1341/453.6/2000</f>
        <v>2.2079527023461809</v>
      </c>
      <c r="M19" s="136">
        <f t="shared" si="3"/>
        <v>28</v>
      </c>
      <c r="N19" s="202">
        <f t="shared" si="9"/>
        <v>243.90175200335764</v>
      </c>
      <c r="O19" s="203">
        <f t="shared" si="10"/>
        <v>9.0885494957040613</v>
      </c>
      <c r="R19" s="172"/>
      <c r="S19" s="172"/>
      <c r="T19" s="172"/>
      <c r="U19" s="172"/>
      <c r="V19" s="172"/>
    </row>
    <row r="20" spans="1:22" x14ac:dyDescent="0.35">
      <c r="A20" s="136">
        <v>2040</v>
      </c>
      <c r="B20" s="182">
        <f t="shared" si="8"/>
        <v>127369.95766929121</v>
      </c>
      <c r="C20" s="163">
        <f t="shared" si="12"/>
        <v>0</v>
      </c>
      <c r="D20" s="163">
        <f t="shared" si="11"/>
        <v>97264.331311095084</v>
      </c>
      <c r="E20" s="162">
        <f>+E19+'Assumptions new'!$B$43*'Fleet actions ACP '!I19</f>
        <v>30105.626358196132</v>
      </c>
      <c r="F20" s="157">
        <f t="shared" si="1"/>
        <v>8023189.4972788282</v>
      </c>
      <c r="G20" s="155">
        <f>+C20*'Assumptions new'!D20+'Fleet actions ACP '!D20*'Assumptions new'!E20</f>
        <v>17058918.728525296</v>
      </c>
      <c r="H20" s="156">
        <f t="shared" si="2"/>
        <v>25082108.225804124</v>
      </c>
      <c r="I20" s="90">
        <f>+ROUNDDOWN(H20/'Assumptions new'!$O$6,0)</f>
        <v>1</v>
      </c>
      <c r="J20" s="157">
        <f>H20-(I20*'Assumptions new'!$O$6)</f>
        <v>12082108.225804124</v>
      </c>
      <c r="K20" s="90">
        <f>+(C20*'Assumptions new'!$B$37+'Assumptions new'!$B$38*'Fleet actions ACP '!D20)*1341/453.6/2000</f>
        <v>143.77366433882111</v>
      </c>
      <c r="L20" s="90">
        <f>+(C20*'Assumptions new'!$C$37+'Assumptions new'!$C$38*'Fleet actions ACP '!D20)*1341/453.6/2000</f>
        <v>2.1566049650823165</v>
      </c>
      <c r="M20" s="136">
        <f t="shared" si="3"/>
        <v>29</v>
      </c>
      <c r="N20" s="202">
        <f t="shared" si="9"/>
        <v>247.32493448761528</v>
      </c>
      <c r="O20" s="203">
        <f t="shared" si="10"/>
        <v>9.1398972329679253</v>
      </c>
      <c r="T20" s="172"/>
      <c r="U20" s="172"/>
      <c r="V20" s="172"/>
    </row>
    <row r="21" spans="1:22" x14ac:dyDescent="0.35">
      <c r="A21" s="136">
        <v>2041</v>
      </c>
      <c r="B21" s="182">
        <f t="shared" si="8"/>
        <v>127369.95766929121</v>
      </c>
      <c r="C21" s="163">
        <f t="shared" si="12"/>
        <v>0</v>
      </c>
      <c r="D21" s="163">
        <f t="shared" si="11"/>
        <v>94832.723028317705</v>
      </c>
      <c r="E21" s="162">
        <f>+E20+$D$20/40*I20</f>
        <v>32537.234640973511</v>
      </c>
      <c r="F21" s="157">
        <f t="shared" si="1"/>
        <v>12082108.225804124</v>
      </c>
      <c r="G21" s="155">
        <f>+C21*'Assumptions new'!D21+'Fleet actions ACP '!D21*'Assumptions new'!E21</f>
        <v>17280020.49278333</v>
      </c>
      <c r="H21" s="156">
        <f t="shared" si="2"/>
        <v>29362128.718587454</v>
      </c>
      <c r="I21" s="90">
        <f>+ROUNDDOWN(H21/'Assumptions new'!$O$6,0)</f>
        <v>2</v>
      </c>
      <c r="J21" s="157">
        <f>H21-(I21*'Assumptions new'!$O$6)</f>
        <v>3362128.7185874544</v>
      </c>
      <c r="K21" s="90">
        <f>+(C21*'Assumptions new'!$B$37+'Assumptions new'!$B$38*'Fleet actions ACP '!D21)*1341/453.6/2000</f>
        <v>140.17932273035058</v>
      </c>
      <c r="L21" s="90">
        <f>+(C21*'Assumptions new'!$C$37+'Assumptions new'!$C$38*'Fleet actions ACP '!D21)*1341/453.6/2000</f>
        <v>2.1026898409552586</v>
      </c>
      <c r="M21" s="136">
        <f t="shared" si="3"/>
        <v>31</v>
      </c>
      <c r="N21" s="202">
        <f t="shared" si="9"/>
        <v>250.91927609608581</v>
      </c>
      <c r="O21" s="203">
        <f t="shared" si="10"/>
        <v>9.1938123570949823</v>
      </c>
    </row>
    <row r="22" spans="1:22" x14ac:dyDescent="0.35">
      <c r="A22" s="136">
        <v>2042</v>
      </c>
      <c r="B22" s="182">
        <f t="shared" si="8"/>
        <v>127369.95766929121</v>
      </c>
      <c r="C22" s="163">
        <f t="shared" si="12"/>
        <v>0</v>
      </c>
      <c r="D22" s="163">
        <f t="shared" si="11"/>
        <v>89969.506462762947</v>
      </c>
      <c r="E22" s="162">
        <f t="shared" ref="E22:E26" si="13">+E21+$D$20/40*I21</f>
        <v>37400.451206528262</v>
      </c>
      <c r="F22" s="157">
        <f t="shared" si="1"/>
        <v>3362128.7185874544</v>
      </c>
      <c r="G22" s="155">
        <f>+C22*'Assumptions new'!D22+'Fleet actions ACP '!D22*'Assumptions new'!E22</f>
        <v>17083679.795668814</v>
      </c>
      <c r="H22" s="156">
        <f t="shared" si="2"/>
        <v>20445808.514256269</v>
      </c>
      <c r="I22" s="90">
        <v>4</v>
      </c>
      <c r="J22" s="157">
        <f>H22-(I22*'Assumptions new'!$O$6)</f>
        <v>-31554191.485743731</v>
      </c>
      <c r="K22" s="90">
        <f>+(C22*'Assumptions new'!$B$37+'Assumptions new'!$B$38*'Fleet actions ACP '!D22)*1341/453.6/2000</f>
        <v>132.99063951340949</v>
      </c>
      <c r="L22" s="90">
        <f>+(C22*'Assumptions new'!$C$37+'Assumptions new'!$C$38*'Fleet actions ACP '!D22)*1341/453.6/2000</f>
        <v>1.9948595927011428</v>
      </c>
      <c r="M22" s="136">
        <f t="shared" si="3"/>
        <v>35</v>
      </c>
      <c r="N22" s="202">
        <f t="shared" si="9"/>
        <v>258.10795931302687</v>
      </c>
      <c r="O22" s="203">
        <f t="shared" si="10"/>
        <v>9.3016426053490981</v>
      </c>
    </row>
    <row r="23" spans="1:22" x14ac:dyDescent="0.35">
      <c r="A23" s="136">
        <v>2043</v>
      </c>
      <c r="B23" s="182">
        <f t="shared" si="8"/>
        <v>127369.95766929121</v>
      </c>
      <c r="C23" s="163">
        <f t="shared" si="12"/>
        <v>0</v>
      </c>
      <c r="D23" s="163">
        <f t="shared" si="11"/>
        <v>80243.073331653432</v>
      </c>
      <c r="E23" s="162">
        <f t="shared" si="13"/>
        <v>47126.88433763777</v>
      </c>
      <c r="F23" s="157">
        <f t="shared" si="1"/>
        <v>-31554191.485743731</v>
      </c>
      <c r="G23" s="155">
        <f>+C23*'Assumptions new'!D23+'Fleet actions ACP '!D23*'Assumptions new'!E23</f>
        <v>15842422.065097671</v>
      </c>
      <c r="H23" s="156">
        <f t="shared" si="2"/>
        <v>-15711769.42064606</v>
      </c>
      <c r="I23" s="90">
        <v>10</v>
      </c>
      <c r="J23" s="157">
        <f>H23-(I23*'Assumptions new'!$O$6)</f>
        <v>-145711769.42064607</v>
      </c>
      <c r="K23" s="90">
        <f>+(C23*'Assumptions new'!$B$37+'Assumptions new'!$B$38*'Fleet actions ACP '!D23)*1341/453.6/2000</f>
        <v>118.61327307952739</v>
      </c>
      <c r="L23" s="90">
        <f>+(C23*'Assumptions new'!$C$37+'Assumptions new'!$C$38*'Fleet actions ACP '!D23)*1341/453.6/2000</f>
        <v>1.7791990961929109</v>
      </c>
      <c r="M23" s="136">
        <f t="shared" si="3"/>
        <v>45</v>
      </c>
      <c r="N23" s="202">
        <f t="shared" si="9"/>
        <v>272.48532574690898</v>
      </c>
      <c r="O23" s="203">
        <f t="shared" si="10"/>
        <v>9.5173031018573298</v>
      </c>
    </row>
    <row r="24" spans="1:22" x14ac:dyDescent="0.35">
      <c r="A24" s="136">
        <v>2044</v>
      </c>
      <c r="B24" s="182">
        <f t="shared" si="8"/>
        <v>127369.95766929121</v>
      </c>
      <c r="C24" s="163">
        <f t="shared" si="12"/>
        <v>0</v>
      </c>
      <c r="D24" s="163">
        <f t="shared" si="11"/>
        <v>55926.990503879664</v>
      </c>
      <c r="E24" s="162">
        <f t="shared" si="13"/>
        <v>71442.967165411537</v>
      </c>
      <c r="F24" s="157">
        <f t="shared" si="1"/>
        <v>-145711769.42064607</v>
      </c>
      <c r="G24" s="155">
        <f>+C24*'Assumptions new'!D24+'Fleet actions ACP '!D24*'Assumptions new'!E24</f>
        <v>11490591.687955603</v>
      </c>
      <c r="H24" s="156">
        <f t="shared" si="2"/>
        <v>-134221177.73269045</v>
      </c>
      <c r="I24" s="90">
        <v>10</v>
      </c>
      <c r="J24" s="157">
        <f>H24-(I24*'Assumptions new'!$O$6)</f>
        <v>-264221177.73269045</v>
      </c>
      <c r="K24" s="90">
        <f>+(C24*'Assumptions new'!$B$37+'Assumptions new'!$B$38*'Fleet actions ACP '!D24)*1341/453.6/2000</f>
        <v>82.669856994822126</v>
      </c>
      <c r="L24" s="90">
        <f>+(C24*'Assumptions new'!$C$37+'Assumptions new'!$C$38*'Fleet actions ACP '!D24)*1341/453.6/2000</f>
        <v>1.2400478549223319</v>
      </c>
      <c r="M24" s="136">
        <f t="shared" si="3"/>
        <v>55</v>
      </c>
      <c r="N24" s="202">
        <f t="shared" si="9"/>
        <v>308.42874183161427</v>
      </c>
      <c r="O24" s="203">
        <f t="shared" si="10"/>
        <v>10.056454343127909</v>
      </c>
    </row>
    <row r="25" spans="1:22" x14ac:dyDescent="0.35">
      <c r="A25" s="136">
        <v>2045</v>
      </c>
      <c r="B25" s="182">
        <f t="shared" si="8"/>
        <v>127369.95766929121</v>
      </c>
      <c r="C25" s="163">
        <f t="shared" si="12"/>
        <v>0</v>
      </c>
      <c r="D25" s="163">
        <f t="shared" si="11"/>
        <v>31610.90767610589</v>
      </c>
      <c r="E25" s="162">
        <f t="shared" si="13"/>
        <v>95759.049993185312</v>
      </c>
      <c r="F25" s="157">
        <f t="shared" si="1"/>
        <v>-264221177.73269045</v>
      </c>
      <c r="G25" s="155">
        <f>+C25*'Assumptions new'!D25+'Fleet actions ACP '!D25*'Assumptions new'!E25</f>
        <v>6759771.3301815111</v>
      </c>
      <c r="H25" s="156">
        <f t="shared" si="2"/>
        <v>-257461406.40250894</v>
      </c>
      <c r="I25" s="90">
        <f>+IF(ROUNDDOWN(H25/'Assumptions new'!$O$6,0)&lt;0,0,ROUNDDOWN(H25/'Assumptions new'!$O$6,0))</f>
        <v>0</v>
      </c>
      <c r="J25" s="157">
        <f>H25-(I25*'Assumptions new'!$O$6)</f>
        <v>-257461406.40250894</v>
      </c>
      <c r="K25" s="90">
        <f>+(C25*'Assumptions new'!$B$37+'Assumptions new'!$B$38*'Fleet actions ACP '!D25)*1341/453.6/2000</f>
        <v>46.726440910116835</v>
      </c>
      <c r="L25" s="90">
        <f>+(C25*'Assumptions new'!$C$37+'Assumptions new'!$C$38*'Fleet actions ACP '!D25)*1341/453.6/2000</f>
        <v>0.70089661365175249</v>
      </c>
      <c r="M25" s="136">
        <f t="shared" si="3"/>
        <v>55</v>
      </c>
      <c r="N25" s="202">
        <f t="shared" si="9"/>
        <v>344.37215791631957</v>
      </c>
      <c r="O25" s="203">
        <f t="shared" si="10"/>
        <v>10.59560558439849</v>
      </c>
    </row>
    <row r="26" spans="1:22" x14ac:dyDescent="0.35">
      <c r="A26" s="136">
        <v>2046</v>
      </c>
      <c r="B26" s="182">
        <f t="shared" si="8"/>
        <v>127369.95766929121</v>
      </c>
      <c r="C26" s="163">
        <f t="shared" si="12"/>
        <v>0</v>
      </c>
      <c r="D26" s="163">
        <f t="shared" si="11"/>
        <v>31610.90767610589</v>
      </c>
      <c r="E26" s="162">
        <f t="shared" si="13"/>
        <v>95759.049993185312</v>
      </c>
      <c r="F26" s="157">
        <f t="shared" si="1"/>
        <v>-257461406.40250894</v>
      </c>
      <c r="G26" s="155">
        <f>+C26*'Assumptions new'!D26+'Fleet actions ACP '!D26*'Assumptions new'!E26</f>
        <v>7032434.3754325304</v>
      </c>
      <c r="H26" s="156">
        <f t="shared" si="2"/>
        <v>-250428972.02707642</v>
      </c>
      <c r="I26" s="90">
        <f>+IF(ROUNDDOWN(H26/'Assumptions new'!$O$6,0)&lt;0,0,ROUNDDOWN(H26/'Assumptions new'!$O$6,0))</f>
        <v>0</v>
      </c>
      <c r="J26" s="157">
        <f>H26-(I26*'Assumptions new'!$O$6)</f>
        <v>-250428972.02707642</v>
      </c>
      <c r="K26" s="90">
        <f>+(C26*'Assumptions new'!$B$37+'Assumptions new'!$B$38*'Fleet actions ACP '!D26)*1341/453.6/2000</f>
        <v>46.726440910116835</v>
      </c>
      <c r="L26" s="90">
        <f>+(C26*'Assumptions new'!$C$37+'Assumptions new'!$C$38*'Fleet actions ACP '!D26)*1341/453.6/2000</f>
        <v>0.70089661365175249</v>
      </c>
      <c r="M26" s="136">
        <f t="shared" si="3"/>
        <v>55</v>
      </c>
      <c r="N26" s="202">
        <f t="shared" si="9"/>
        <v>344.37215791631957</v>
      </c>
      <c r="O26" s="203">
        <f t="shared" si="10"/>
        <v>10.59560558439849</v>
      </c>
    </row>
    <row r="27" spans="1:22" x14ac:dyDescent="0.35">
      <c r="A27" s="136">
        <v>2047</v>
      </c>
      <c r="B27" s="182">
        <f t="shared" si="8"/>
        <v>127369.95766929121</v>
      </c>
      <c r="C27" s="163">
        <f t="shared" si="12"/>
        <v>0</v>
      </c>
      <c r="D27" s="163">
        <f t="shared" si="11"/>
        <v>31610.90767610589</v>
      </c>
      <c r="E27" s="162">
        <f>+E26+$D$20/40*I26</f>
        <v>95759.049993185312</v>
      </c>
      <c r="F27" s="157">
        <f t="shared" si="1"/>
        <v>-250428972.02707642</v>
      </c>
      <c r="G27" s="155">
        <f>+C27*'Assumptions new'!D27+'Fleet actions ACP '!D27*'Assumptions new'!E27</f>
        <v>7320245.3676419398</v>
      </c>
      <c r="H27" s="156">
        <f t="shared" si="2"/>
        <v>-243108726.6594345</v>
      </c>
      <c r="I27" s="90">
        <f>+IF(ROUNDDOWN(H27/'Assumptions new'!$O$6,0)&lt;0,0,ROUNDDOWN(H27/'Assumptions new'!$O$6,0))</f>
        <v>0</v>
      </c>
      <c r="J27" s="157">
        <f>H27-(I27*'Assumptions new'!$O$6)</f>
        <v>-243108726.6594345</v>
      </c>
      <c r="K27" s="90">
        <f>+(C27*'Assumptions new'!$B$37+'Assumptions new'!$B$38*'Fleet actions ACP '!D27)*1341/453.6/2000</f>
        <v>46.726440910116835</v>
      </c>
      <c r="L27" s="90">
        <f>+(C27*'Assumptions new'!$C$37+'Assumptions new'!$C$38*'Fleet actions ACP '!D27)*1341/453.6/2000</f>
        <v>0.70089661365175249</v>
      </c>
      <c r="M27" s="136">
        <f t="shared" si="3"/>
        <v>55</v>
      </c>
      <c r="N27" s="202">
        <f t="shared" si="9"/>
        <v>344.37215791631957</v>
      </c>
      <c r="O27" s="203">
        <f t="shared" si="10"/>
        <v>10.59560558439849</v>
      </c>
    </row>
    <row r="28" spans="1:22" x14ac:dyDescent="0.35">
      <c r="A28" s="136">
        <v>2048</v>
      </c>
      <c r="B28" s="182">
        <f t="shared" si="8"/>
        <v>127369.95766929121</v>
      </c>
      <c r="C28" s="163">
        <f t="shared" si="12"/>
        <v>0</v>
      </c>
      <c r="D28" s="163">
        <f t="shared" si="11"/>
        <v>31610.90767610589</v>
      </c>
      <c r="E28" s="162">
        <f t="shared" ref="E28:E30" si="14">+E27+$D$20/40*I26</f>
        <v>95759.049993185312</v>
      </c>
      <c r="F28" s="157">
        <f t="shared" si="1"/>
        <v>-243108726.6594345</v>
      </c>
      <c r="G28" s="155">
        <f>+C28*'Assumptions new'!D28+'Fleet actions ACP '!D28*'Assumptions new'!E28</f>
        <v>7628957.492006789</v>
      </c>
      <c r="H28" s="156">
        <f t="shared" si="2"/>
        <v>-235479769.16742772</v>
      </c>
      <c r="I28" s="90">
        <f>+I4</f>
        <v>3</v>
      </c>
      <c r="J28" s="157">
        <f>H28-(I28*'Assumptions new'!$O$6)</f>
        <v>-274479769.16742772</v>
      </c>
      <c r="K28" s="90">
        <f>+(C28*'Assumptions new'!$B$37+'Assumptions new'!$B$38*'Fleet actions ACP '!D28)*1341/453.6/2000</f>
        <v>46.726440910116835</v>
      </c>
      <c r="L28" s="90">
        <f>+(C28*'Assumptions new'!$C$37+'Assumptions new'!$C$38*'Fleet actions ACP '!D28)*1341/453.6/2000</f>
        <v>0.70089661365175249</v>
      </c>
      <c r="M28" s="136">
        <f t="shared" si="3"/>
        <v>58</v>
      </c>
      <c r="N28" s="202">
        <f t="shared" si="9"/>
        <v>344.37215791631957</v>
      </c>
      <c r="O28" s="203">
        <f t="shared" si="10"/>
        <v>10.59560558439849</v>
      </c>
    </row>
    <row r="29" spans="1:22" x14ac:dyDescent="0.35">
      <c r="A29" s="136">
        <v>2049</v>
      </c>
      <c r="B29" s="182">
        <f t="shared" si="8"/>
        <v>127369.95766929121</v>
      </c>
      <c r="C29" s="163">
        <f t="shared" si="12"/>
        <v>0</v>
      </c>
      <c r="D29" s="163">
        <f t="shared" si="11"/>
        <v>31610.90767610589</v>
      </c>
      <c r="E29" s="162">
        <f t="shared" si="14"/>
        <v>95759.049993185312</v>
      </c>
      <c r="F29" s="157">
        <f t="shared" si="1"/>
        <v>-274479769.16742772</v>
      </c>
      <c r="G29" s="155">
        <f>+C29*'Assumptions new'!D29+'Fleet actions ACP '!D29*'Assumptions new'!E29</f>
        <v>7947462.6755696973</v>
      </c>
      <c r="H29" s="156">
        <f t="shared" si="2"/>
        <v>-266532306.49185804</v>
      </c>
      <c r="I29" s="90">
        <f t="shared" ref="I29:I30" si="15">+I5</f>
        <v>4</v>
      </c>
      <c r="J29" s="157">
        <f>H29-(I29*'Assumptions new'!$O$6)</f>
        <v>-318532306.49185801</v>
      </c>
      <c r="K29" s="90">
        <f>+(C29*'Assumptions new'!$B$37+'Assumptions new'!$B$38*'Fleet actions ACP '!D29)*1341/453.6/2000</f>
        <v>46.726440910116835</v>
      </c>
      <c r="L29" s="90">
        <f>+(C29*'Assumptions new'!$C$37+'Assumptions new'!$C$38*'Fleet actions ACP '!D29)*1341/453.6/2000</f>
        <v>0.70089661365175249</v>
      </c>
      <c r="M29" s="136">
        <f t="shared" si="3"/>
        <v>62</v>
      </c>
      <c r="N29" s="202">
        <f t="shared" si="9"/>
        <v>344.37215791631957</v>
      </c>
      <c r="O29" s="203">
        <f t="shared" si="10"/>
        <v>10.59560558439849</v>
      </c>
    </row>
    <row r="30" spans="1:22" x14ac:dyDescent="0.35">
      <c r="A30" s="136">
        <v>2050</v>
      </c>
      <c r="B30" s="182">
        <f t="shared" si="8"/>
        <v>127369.95766929119</v>
      </c>
      <c r="C30" s="163">
        <f t="shared" si="12"/>
        <v>0</v>
      </c>
      <c r="D30" s="163">
        <f t="shared" si="11"/>
        <v>24316.082827773746</v>
      </c>
      <c r="E30" s="162">
        <f t="shared" si="14"/>
        <v>103053.87484151745</v>
      </c>
      <c r="F30" s="157">
        <f t="shared" si="1"/>
        <v>-318532306.49185801</v>
      </c>
      <c r="G30" s="155">
        <f>+C30*'Assumptions new'!D30+'Fleet actions ACP '!D30*'Assumptions new'!E30</f>
        <v>6380989.9815401444</v>
      </c>
      <c r="H30" s="156">
        <f t="shared" si="2"/>
        <v>-312151316.51031786</v>
      </c>
      <c r="I30" s="90">
        <f t="shared" si="15"/>
        <v>3</v>
      </c>
      <c r="J30" s="157">
        <f>H30-(I30*'Assumptions new'!$O$6)</f>
        <v>-351151316.51031786</v>
      </c>
      <c r="K30" s="90">
        <f>+(C30*'Assumptions new'!$B$37+'Assumptions new'!$B$38*'Fleet actions ACP '!D30)*1341/453.6/2000</f>
        <v>35.943416084705234</v>
      </c>
      <c r="L30" s="90">
        <f>+(C30*'Assumptions new'!$C$37+'Assumptions new'!$C$38*'Fleet actions ACP '!D30)*1341/453.6/2000</f>
        <v>0.53915124127057845</v>
      </c>
      <c r="M30" s="136">
        <f t="shared" si="3"/>
        <v>65</v>
      </c>
      <c r="N30" s="202">
        <f t="shared" si="9"/>
        <v>355.15518274173115</v>
      </c>
      <c r="O30" s="203">
        <f t="shared" si="10"/>
        <v>10.757350956779662</v>
      </c>
    </row>
    <row r="31" spans="1:22" x14ac:dyDescent="0.35">
      <c r="A31" s="169" t="s">
        <v>183</v>
      </c>
      <c r="B31" s="179"/>
      <c r="C31" s="162"/>
      <c r="D31" s="162"/>
      <c r="E31" s="162"/>
      <c r="F31" s="157"/>
      <c r="G31" s="168">
        <f>SUM(G4:G30)</f>
        <v>411348683.4896822</v>
      </c>
      <c r="H31" s="156"/>
      <c r="I31" s="90"/>
      <c r="J31" s="157"/>
    </row>
    <row r="32" spans="1:22" x14ac:dyDescent="0.35">
      <c r="A32" s="159" t="s">
        <v>244</v>
      </c>
      <c r="B32" s="159"/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</row>
    <row r="34" spans="1:6" ht="58" customHeight="1" x14ac:dyDescent="0.35">
      <c r="A34" s="216" t="s">
        <v>252</v>
      </c>
      <c r="B34" s="216"/>
      <c r="C34" s="216"/>
      <c r="D34" s="216"/>
      <c r="E34" s="90"/>
      <c r="F34" s="90"/>
    </row>
    <row r="35" spans="1:6" x14ac:dyDescent="0.35">
      <c r="A35" s="217" t="s">
        <v>253</v>
      </c>
      <c r="B35" s="217"/>
      <c r="C35" s="217"/>
      <c r="D35" s="217"/>
      <c r="E35" s="217"/>
      <c r="F35" s="90"/>
    </row>
    <row r="36" spans="1:6" x14ac:dyDescent="0.35">
      <c r="A36" s="217" t="s">
        <v>254</v>
      </c>
      <c r="B36" s="217"/>
      <c r="C36" s="217"/>
      <c r="D36" s="217"/>
      <c r="E36" s="217"/>
      <c r="F36" s="90"/>
    </row>
    <row r="37" spans="1:6" x14ac:dyDescent="0.35">
      <c r="A37" s="217" t="s">
        <v>306</v>
      </c>
      <c r="B37" s="217"/>
      <c r="C37" s="217"/>
      <c r="D37" s="217"/>
      <c r="E37" s="217"/>
      <c r="F37" s="90"/>
    </row>
    <row r="38" spans="1:6" x14ac:dyDescent="0.35">
      <c r="C38" s="90"/>
      <c r="D38" s="90"/>
      <c r="E38" s="90"/>
      <c r="F38" s="90"/>
    </row>
    <row r="39" spans="1:6" x14ac:dyDescent="0.35">
      <c r="C39" s="90"/>
      <c r="D39" s="90"/>
      <c r="E39" s="90"/>
      <c r="F39" s="90"/>
    </row>
    <row r="40" spans="1:6" x14ac:dyDescent="0.35">
      <c r="C40" s="90"/>
      <c r="D40" s="90"/>
      <c r="E40" s="90"/>
      <c r="F40" s="90"/>
    </row>
    <row r="41" spans="1:6" x14ac:dyDescent="0.35">
      <c r="C41" s="90"/>
      <c r="D41" s="90"/>
      <c r="E41" s="90"/>
      <c r="F41" s="90"/>
    </row>
    <row r="42" spans="1:6" x14ac:dyDescent="0.35">
      <c r="C42" s="90"/>
      <c r="D42" s="90"/>
      <c r="E42" s="90"/>
      <c r="F42" s="90"/>
    </row>
    <row r="43" spans="1:6" x14ac:dyDescent="0.35">
      <c r="C43" s="90"/>
      <c r="D43" s="90"/>
      <c r="E43" s="90"/>
      <c r="F43" s="90"/>
    </row>
    <row r="44" spans="1:6" x14ac:dyDescent="0.35">
      <c r="C44" s="90"/>
      <c r="D44" s="90"/>
      <c r="E44" s="90"/>
      <c r="F44" s="90"/>
    </row>
    <row r="45" spans="1:6" x14ac:dyDescent="0.35">
      <c r="C45" s="90"/>
      <c r="D45" s="90"/>
      <c r="E45" s="90"/>
      <c r="F45" s="90"/>
    </row>
    <row r="46" spans="1:6" x14ac:dyDescent="0.35">
      <c r="C46" s="90"/>
      <c r="D46" s="90"/>
      <c r="E46" s="90"/>
      <c r="F46" s="90"/>
    </row>
    <row r="47" spans="1:6" x14ac:dyDescent="0.35">
      <c r="C47" s="90"/>
      <c r="D47" s="90"/>
      <c r="E47" s="90"/>
      <c r="F47" s="90"/>
    </row>
    <row r="48" spans="1:6" x14ac:dyDescent="0.35">
      <c r="C48" s="90"/>
      <c r="D48" s="90"/>
      <c r="E48" s="90"/>
      <c r="F48" s="90"/>
    </row>
  </sheetData>
  <mergeCells count="5">
    <mergeCell ref="A34:D34"/>
    <mergeCell ref="A35:E35"/>
    <mergeCell ref="A36:E36"/>
    <mergeCell ref="A37:E37"/>
    <mergeCell ref="B2:E2"/>
  </mergeCells>
  <conditionalFormatting sqref="F15:F30 J31 F31:H31">
    <cfRule type="cellIs" dxfId="19" priority="2" operator="lessThan">
      <formula>1</formula>
    </cfRule>
  </conditionalFormatting>
  <conditionalFormatting sqref="F14:F30 H14:H30">
    <cfRule type="cellIs" dxfId="18" priority="1" operator="lessThan">
      <formula>1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1493F-891A-427B-8A1E-799FB21739D1}">
  <dimension ref="A1:R47"/>
  <sheetViews>
    <sheetView topLeftCell="O10" workbookViewId="0">
      <selection activeCell="P21" sqref="P21"/>
    </sheetView>
  </sheetViews>
  <sheetFormatPr defaultColWidth="8.90625" defaultRowHeight="14.5" x14ac:dyDescent="0.35"/>
  <cols>
    <col min="1" max="1" width="8.90625" style="24"/>
    <col min="2" max="2" width="10.453125" style="24" customWidth="1"/>
    <col min="3" max="3" width="14.54296875" style="24" customWidth="1"/>
    <col min="4" max="4" width="11.54296875" style="24" customWidth="1"/>
    <col min="5" max="5" width="12.1796875" style="24" customWidth="1"/>
    <col min="6" max="6" width="12.81640625" style="24" customWidth="1"/>
    <col min="7" max="7" width="8.90625" style="24"/>
    <col min="8" max="10" width="10.1796875" style="24" bestFit="1" customWidth="1"/>
    <col min="11" max="12" width="8.90625" style="24"/>
    <col min="13" max="13" width="4.453125" style="24" customWidth="1"/>
    <col min="14" max="14" width="33.1796875" style="24" customWidth="1"/>
    <col min="15" max="15" width="13.1796875" style="24" bestFit="1" customWidth="1"/>
    <col min="16" max="18" width="12.54296875" style="24" bestFit="1" customWidth="1"/>
    <col min="19" max="16384" width="8.90625" style="24"/>
  </cols>
  <sheetData>
    <row r="1" spans="1:18" x14ac:dyDescent="0.35">
      <c r="A1" s="111" t="s">
        <v>200</v>
      </c>
      <c r="G1" s="111" t="s">
        <v>203</v>
      </c>
      <c r="N1" s="111" t="s">
        <v>208</v>
      </c>
    </row>
    <row r="2" spans="1:18" ht="45" customHeight="1" x14ac:dyDescent="0.35">
      <c r="D2" s="218" t="s">
        <v>207</v>
      </c>
      <c r="E2" s="218"/>
      <c r="F2" s="108"/>
      <c r="G2" s="105"/>
      <c r="H2" s="219" t="s">
        <v>204</v>
      </c>
      <c r="I2" s="220"/>
      <c r="J2" s="221" t="s">
        <v>205</v>
      </c>
      <c r="K2" s="222"/>
      <c r="L2" s="210" t="s">
        <v>293</v>
      </c>
      <c r="N2" s="24" t="s">
        <v>209</v>
      </c>
      <c r="O2" s="92">
        <v>7500000</v>
      </c>
      <c r="P2" s="112" t="s">
        <v>295</v>
      </c>
      <c r="R2" s="24">
        <f>+O3*2</f>
        <v>15000000</v>
      </c>
    </row>
    <row r="3" spans="1:18" x14ac:dyDescent="0.35">
      <c r="A3" s="94" t="s">
        <v>197</v>
      </c>
      <c r="B3" s="94" t="s">
        <v>198</v>
      </c>
      <c r="C3" s="94" t="s">
        <v>199</v>
      </c>
      <c r="D3" s="94" t="s">
        <v>124</v>
      </c>
      <c r="E3" s="94" t="s">
        <v>127</v>
      </c>
      <c r="F3" s="151" t="s">
        <v>250</v>
      </c>
      <c r="G3" s="106" t="s">
        <v>197</v>
      </c>
      <c r="H3" s="95" t="s">
        <v>124</v>
      </c>
      <c r="I3" s="152" t="s">
        <v>127</v>
      </c>
      <c r="J3" s="97" t="s">
        <v>124</v>
      </c>
      <c r="K3" s="98" t="s">
        <v>127</v>
      </c>
      <c r="L3" s="211"/>
      <c r="N3" s="24" t="s">
        <v>210</v>
      </c>
      <c r="O3" s="92">
        <v>7500000</v>
      </c>
    </row>
    <row r="4" spans="1:18" x14ac:dyDescent="0.35">
      <c r="A4" s="93">
        <v>2022</v>
      </c>
      <c r="B4" s="93">
        <v>13.1</v>
      </c>
      <c r="C4" s="93">
        <v>79.099999999999994</v>
      </c>
      <c r="D4" s="93">
        <f>($B$37+B4*$C$37)*C4</f>
        <v>578.06279999999992</v>
      </c>
      <c r="E4" s="93">
        <f>($B$38+B4*$C$38)*C4</f>
        <v>94.643149999999991</v>
      </c>
      <c r="F4" s="147"/>
      <c r="G4" s="103">
        <v>2022</v>
      </c>
      <c r="H4" s="96">
        <f>+P22</f>
        <v>34737.261182534006</v>
      </c>
      <c r="I4" s="153">
        <f>+Q22</f>
        <v>92632.696486757239</v>
      </c>
      <c r="J4" s="99">
        <v>12788</v>
      </c>
      <c r="K4" s="100">
        <v>55652</v>
      </c>
      <c r="L4" s="212">
        <f>+(0.16*B4+6.5)*C4*N15</f>
        <v>1002916.8099999999</v>
      </c>
      <c r="N4" s="24" t="s">
        <v>222</v>
      </c>
      <c r="O4" s="92">
        <v>9100000</v>
      </c>
      <c r="P4" s="112" t="s">
        <v>223</v>
      </c>
    </row>
    <row r="5" spans="1:18" x14ac:dyDescent="0.35">
      <c r="A5" s="93">
        <v>2023</v>
      </c>
      <c r="B5" s="93">
        <v>13.1</v>
      </c>
      <c r="C5" s="93">
        <v>82.3</v>
      </c>
      <c r="D5" s="93">
        <f t="shared" ref="D5:D32" si="0">($B$37+B5*$C$37)*C5</f>
        <v>601.44839999999999</v>
      </c>
      <c r="E5" s="93">
        <f t="shared" ref="E5:E32" si="1">($B$38+B5*$C$38)*C5</f>
        <v>98.471949999999993</v>
      </c>
      <c r="F5" s="147"/>
      <c r="G5" s="103">
        <v>2023</v>
      </c>
      <c r="H5" s="96">
        <v>34737.26118253397</v>
      </c>
      <c r="I5" s="153">
        <v>92632.696486757282</v>
      </c>
      <c r="J5" s="99">
        <v>10755</v>
      </c>
      <c r="K5" s="100">
        <v>82448</v>
      </c>
      <c r="L5" s="212"/>
      <c r="N5" s="24" t="s">
        <v>224</v>
      </c>
      <c r="O5" s="92">
        <f>O4*1.05</f>
        <v>9555000</v>
      </c>
      <c r="P5" s="112" t="s">
        <v>232</v>
      </c>
    </row>
    <row r="6" spans="1:18" x14ac:dyDescent="0.35">
      <c r="A6" s="93">
        <v>2024</v>
      </c>
      <c r="B6" s="93">
        <v>13.1</v>
      </c>
      <c r="C6" s="93">
        <v>85.6</v>
      </c>
      <c r="D6" s="93">
        <f t="shared" si="0"/>
        <v>625.56479999999999</v>
      </c>
      <c r="E6" s="93">
        <f t="shared" si="1"/>
        <v>102.42039999999999</v>
      </c>
      <c r="F6" s="147"/>
      <c r="G6" s="103">
        <v>2024</v>
      </c>
      <c r="H6" s="96">
        <v>34737.26118253397</v>
      </c>
      <c r="I6" s="153">
        <v>92632.696486757282</v>
      </c>
      <c r="J6" s="99">
        <v>12368</v>
      </c>
      <c r="K6" s="100">
        <v>94816</v>
      </c>
      <c r="L6" s="212"/>
      <c r="N6" s="24" t="s">
        <v>233</v>
      </c>
      <c r="O6" s="92">
        <v>13000000</v>
      </c>
      <c r="P6" s="112" t="s">
        <v>295</v>
      </c>
    </row>
    <row r="7" spans="1:18" x14ac:dyDescent="0.35">
      <c r="A7" s="93">
        <v>2025</v>
      </c>
      <c r="B7" s="93">
        <v>13.1</v>
      </c>
      <c r="C7" s="93">
        <v>89</v>
      </c>
      <c r="D7" s="93">
        <f t="shared" si="0"/>
        <v>650.41200000000003</v>
      </c>
      <c r="E7" s="93">
        <f t="shared" si="1"/>
        <v>106.48849999999999</v>
      </c>
      <c r="F7" s="147"/>
      <c r="G7" s="103">
        <v>2025</v>
      </c>
      <c r="H7" s="96">
        <v>34737.26118253397</v>
      </c>
      <c r="I7" s="153">
        <v>92632.696486757282</v>
      </c>
      <c r="J7" s="99">
        <v>13874</v>
      </c>
      <c r="K7" s="100">
        <v>106358</v>
      </c>
      <c r="L7" s="212"/>
      <c r="N7" s="24" t="s">
        <v>211</v>
      </c>
      <c r="O7" s="113">
        <v>10</v>
      </c>
    </row>
    <row r="8" spans="1:18" x14ac:dyDescent="0.35">
      <c r="A8" s="93">
        <v>2026</v>
      </c>
      <c r="B8" s="93">
        <v>13.1</v>
      </c>
      <c r="C8" s="93">
        <v>92.6</v>
      </c>
      <c r="D8" s="93">
        <f t="shared" si="0"/>
        <v>676.72079999999994</v>
      </c>
      <c r="E8" s="93">
        <f t="shared" si="1"/>
        <v>110.79589999999999</v>
      </c>
      <c r="F8" s="147"/>
      <c r="G8" s="103">
        <v>2026</v>
      </c>
      <c r="H8" s="96">
        <v>34737.26118253397</v>
      </c>
      <c r="I8" s="153">
        <v>92632.696486757282</v>
      </c>
      <c r="J8" s="99">
        <v>13874</v>
      </c>
      <c r="K8" s="100">
        <v>106358</v>
      </c>
      <c r="L8" s="212"/>
      <c r="O8" s="92"/>
    </row>
    <row r="9" spans="1:18" x14ac:dyDescent="0.35">
      <c r="A9" s="93">
        <v>2027</v>
      </c>
      <c r="B9" s="93">
        <v>13.1</v>
      </c>
      <c r="C9" s="93">
        <v>96.2</v>
      </c>
      <c r="D9" s="93">
        <f t="shared" si="0"/>
        <v>703.02959999999996</v>
      </c>
      <c r="E9" s="93">
        <f t="shared" si="1"/>
        <v>115.10329999999999</v>
      </c>
      <c r="F9" s="147"/>
      <c r="G9" s="103">
        <v>2027</v>
      </c>
      <c r="H9" s="96">
        <v>34737.26118253397</v>
      </c>
      <c r="I9" s="153">
        <v>92632.696486757282</v>
      </c>
      <c r="J9" s="99">
        <v>15057</v>
      </c>
      <c r="K9" s="100">
        <v>115428</v>
      </c>
      <c r="L9" s="212"/>
      <c r="O9" s="92"/>
    </row>
    <row r="10" spans="1:18" x14ac:dyDescent="0.35">
      <c r="A10" s="93">
        <v>2028</v>
      </c>
      <c r="B10" s="93">
        <v>13.1</v>
      </c>
      <c r="C10" s="93">
        <v>99.9</v>
      </c>
      <c r="D10" s="93">
        <f t="shared" si="0"/>
        <v>730.06920000000002</v>
      </c>
      <c r="E10" s="93">
        <f t="shared" si="1"/>
        <v>119.53035</v>
      </c>
      <c r="F10" s="147"/>
      <c r="G10" s="103">
        <v>2028</v>
      </c>
      <c r="H10" s="96">
        <v>34737.26118253397</v>
      </c>
      <c r="I10" s="153">
        <v>92632.696486757282</v>
      </c>
      <c r="J10" s="99">
        <v>16348</v>
      </c>
      <c r="K10" s="100">
        <v>125322</v>
      </c>
      <c r="L10" s="212"/>
      <c r="N10" s="112" t="s">
        <v>227</v>
      </c>
      <c r="O10" s="92"/>
    </row>
    <row r="11" spans="1:18" x14ac:dyDescent="0.35">
      <c r="A11" s="93">
        <v>2029</v>
      </c>
      <c r="B11" s="93">
        <v>13.1</v>
      </c>
      <c r="C11" s="93">
        <v>103.8</v>
      </c>
      <c r="D11" s="93">
        <f t="shared" si="0"/>
        <v>758.57039999999995</v>
      </c>
      <c r="E11" s="93">
        <f t="shared" si="1"/>
        <v>124.19669999999999</v>
      </c>
      <c r="F11" s="147"/>
      <c r="G11" s="103">
        <v>2029</v>
      </c>
      <c r="H11" s="96">
        <v>34737.26118253397</v>
      </c>
      <c r="I11" s="153">
        <v>92632.696486757282</v>
      </c>
      <c r="J11" s="99">
        <v>16348</v>
      </c>
      <c r="K11" s="100">
        <v>125322</v>
      </c>
      <c r="L11" s="212"/>
      <c r="N11" s="112" t="s">
        <v>228</v>
      </c>
    </row>
    <row r="12" spans="1:18" x14ac:dyDescent="0.35">
      <c r="A12" s="93">
        <v>2030</v>
      </c>
      <c r="B12" s="93">
        <v>13.1</v>
      </c>
      <c r="C12" s="93">
        <v>107.3</v>
      </c>
      <c r="D12" s="93">
        <f t="shared" si="0"/>
        <v>784.14839999999992</v>
      </c>
      <c r="E12" s="93">
        <f t="shared" si="1"/>
        <v>128.38444999999999</v>
      </c>
      <c r="F12" s="147">
        <f t="shared" ref="F12:F32" si="2">$B$39+B12*$C$39*C12</f>
        <v>0</v>
      </c>
      <c r="G12" s="103">
        <v>2030</v>
      </c>
      <c r="H12" s="96">
        <v>34737.26118253397</v>
      </c>
      <c r="I12" s="153">
        <v>92632.696486757282</v>
      </c>
      <c r="J12" s="99">
        <v>16348</v>
      </c>
      <c r="K12" s="100">
        <v>125322</v>
      </c>
      <c r="L12" s="212"/>
    </row>
    <row r="13" spans="1:18" x14ac:dyDescent="0.35">
      <c r="A13" s="93">
        <v>2031</v>
      </c>
      <c r="B13" s="93">
        <v>13.1</v>
      </c>
      <c r="C13" s="93">
        <v>111.4</v>
      </c>
      <c r="D13" s="93">
        <f t="shared" si="0"/>
        <v>814.11120000000005</v>
      </c>
      <c r="E13" s="93">
        <f t="shared" si="1"/>
        <v>133.2901</v>
      </c>
      <c r="F13" s="147">
        <f t="shared" si="2"/>
        <v>0</v>
      </c>
      <c r="G13" s="103">
        <v>2031</v>
      </c>
      <c r="H13" s="96">
        <v>34737.26118253397</v>
      </c>
      <c r="I13" s="153">
        <v>92632.696486757282</v>
      </c>
      <c r="J13" s="99">
        <v>16348</v>
      </c>
      <c r="K13" s="100">
        <v>125322</v>
      </c>
      <c r="L13" s="212"/>
      <c r="O13" s="24" t="s">
        <v>279</v>
      </c>
    </row>
    <row r="14" spans="1:18" x14ac:dyDescent="0.35">
      <c r="A14" s="93">
        <v>2032</v>
      </c>
      <c r="B14" s="93">
        <v>13.1</v>
      </c>
      <c r="C14" s="93">
        <v>115.8</v>
      </c>
      <c r="D14" s="93">
        <f t="shared" si="0"/>
        <v>846.26639999999998</v>
      </c>
      <c r="E14" s="93">
        <f t="shared" si="1"/>
        <v>138.5547</v>
      </c>
      <c r="F14" s="147">
        <f t="shared" si="2"/>
        <v>0</v>
      </c>
      <c r="G14" s="103">
        <v>2032</v>
      </c>
      <c r="H14" s="96">
        <v>34737.26118253397</v>
      </c>
      <c r="I14" s="153">
        <v>92632.696486757282</v>
      </c>
      <c r="J14" s="99">
        <v>16348</v>
      </c>
      <c r="K14" s="100">
        <v>125322</v>
      </c>
      <c r="L14" s="212"/>
      <c r="N14" s="24" t="s">
        <v>294</v>
      </c>
      <c r="O14" s="150" t="s">
        <v>280</v>
      </c>
    </row>
    <row r="15" spans="1:18" x14ac:dyDescent="0.35">
      <c r="A15" s="93">
        <v>2033</v>
      </c>
      <c r="B15" s="93">
        <v>13.1</v>
      </c>
      <c r="C15" s="93">
        <v>120.4</v>
      </c>
      <c r="D15" s="93">
        <f t="shared" si="0"/>
        <v>879.88319999999999</v>
      </c>
      <c r="E15" s="93">
        <f t="shared" si="1"/>
        <v>144.05859999999998</v>
      </c>
      <c r="F15" s="147">
        <f t="shared" si="2"/>
        <v>0</v>
      </c>
      <c r="G15" s="103">
        <v>2033</v>
      </c>
      <c r="H15" s="96">
        <v>34737.26118253397</v>
      </c>
      <c r="I15" s="153">
        <v>92632.696486757282</v>
      </c>
      <c r="J15" s="99">
        <v>16348</v>
      </c>
      <c r="K15" s="100">
        <v>125322</v>
      </c>
      <c r="L15" s="212"/>
      <c r="N15" s="24">
        <v>1475</v>
      </c>
      <c r="O15" s="24" t="s">
        <v>282</v>
      </c>
    </row>
    <row r="16" spans="1:18" x14ac:dyDescent="0.35">
      <c r="A16" s="93">
        <v>2034</v>
      </c>
      <c r="B16" s="93">
        <v>13.2</v>
      </c>
      <c r="C16" s="93">
        <v>125.1</v>
      </c>
      <c r="D16" s="93">
        <f t="shared" si="0"/>
        <v>916.48260000000005</v>
      </c>
      <c r="E16" s="93">
        <f t="shared" si="1"/>
        <v>149.8698</v>
      </c>
      <c r="F16" s="147">
        <f t="shared" si="2"/>
        <v>0</v>
      </c>
      <c r="G16" s="103">
        <v>2034</v>
      </c>
      <c r="H16" s="96">
        <v>34737.26118253397</v>
      </c>
      <c r="I16" s="153">
        <v>92632.696486757282</v>
      </c>
      <c r="J16" s="99">
        <v>16348</v>
      </c>
      <c r="K16" s="100">
        <v>125322</v>
      </c>
      <c r="L16" s="212"/>
      <c r="N16" s="48">
        <f>+N15/Q17</f>
        <v>95161.290322580651</v>
      </c>
      <c r="O16" s="24" t="s">
        <v>283</v>
      </c>
    </row>
    <row r="17" spans="1:18" x14ac:dyDescent="0.35">
      <c r="A17" s="93">
        <v>2035</v>
      </c>
      <c r="B17" s="93">
        <v>13.2</v>
      </c>
      <c r="C17" s="93">
        <v>130.1</v>
      </c>
      <c r="D17" s="93">
        <f t="shared" si="0"/>
        <v>953.11260000000004</v>
      </c>
      <c r="E17" s="93">
        <f t="shared" si="1"/>
        <v>155.85979999999998</v>
      </c>
      <c r="F17" s="147">
        <f t="shared" si="2"/>
        <v>0</v>
      </c>
      <c r="G17" s="103">
        <v>2035</v>
      </c>
      <c r="H17" s="96">
        <v>34737.26118253397</v>
      </c>
      <c r="I17" s="153">
        <v>92632.696486757282</v>
      </c>
      <c r="J17" s="99">
        <v>16348</v>
      </c>
      <c r="K17" s="100">
        <v>125322</v>
      </c>
      <c r="L17" s="212"/>
      <c r="O17" s="24" t="s">
        <v>284</v>
      </c>
      <c r="Q17" s="24">
        <v>1.55E-2</v>
      </c>
      <c r="R17" s="24" t="s">
        <v>285</v>
      </c>
    </row>
    <row r="18" spans="1:18" x14ac:dyDescent="0.35">
      <c r="A18" s="93">
        <v>2036</v>
      </c>
      <c r="B18" s="93">
        <v>13.2</v>
      </c>
      <c r="C18" s="93">
        <v>135.1</v>
      </c>
      <c r="D18" s="93">
        <f t="shared" si="0"/>
        <v>989.74260000000004</v>
      </c>
      <c r="E18" s="93">
        <f t="shared" si="1"/>
        <v>161.84979999999999</v>
      </c>
      <c r="F18" s="147">
        <f t="shared" si="2"/>
        <v>0</v>
      </c>
      <c r="G18" s="103">
        <v>2036</v>
      </c>
      <c r="H18" s="96">
        <v>34737.26118253397</v>
      </c>
      <c r="I18" s="153">
        <v>92632.696486757282</v>
      </c>
      <c r="J18" s="99">
        <v>16348</v>
      </c>
      <c r="K18" s="100">
        <v>125322</v>
      </c>
      <c r="L18" s="212"/>
      <c r="O18" s="24" t="s">
        <v>288</v>
      </c>
    </row>
    <row r="19" spans="1:18" x14ac:dyDescent="0.35">
      <c r="A19" s="93">
        <v>2037</v>
      </c>
      <c r="B19" s="93">
        <v>13.2</v>
      </c>
      <c r="C19" s="93">
        <v>140.6</v>
      </c>
      <c r="D19" s="93">
        <f t="shared" si="0"/>
        <v>1030.0355999999999</v>
      </c>
      <c r="E19" s="93">
        <f t="shared" si="1"/>
        <v>168.43879999999999</v>
      </c>
      <c r="F19" s="147">
        <f t="shared" si="2"/>
        <v>0</v>
      </c>
      <c r="G19" s="103">
        <v>2037</v>
      </c>
      <c r="H19" s="96">
        <v>34737.26118253397</v>
      </c>
      <c r="I19" s="153">
        <v>92632.696486757282</v>
      </c>
      <c r="J19" s="99">
        <v>16348</v>
      </c>
      <c r="K19" s="100">
        <v>125322</v>
      </c>
      <c r="L19" s="212"/>
      <c r="O19" s="24" t="s">
        <v>289</v>
      </c>
    </row>
    <row r="20" spans="1:18" x14ac:dyDescent="0.35">
      <c r="A20" s="93">
        <v>2038</v>
      </c>
      <c r="B20" s="93">
        <v>13.2</v>
      </c>
      <c r="C20" s="93">
        <v>146.4</v>
      </c>
      <c r="D20" s="93">
        <f t="shared" si="0"/>
        <v>1072.5264000000002</v>
      </c>
      <c r="E20" s="93">
        <f t="shared" si="1"/>
        <v>175.38720000000001</v>
      </c>
      <c r="F20" s="147">
        <f t="shared" si="2"/>
        <v>0</v>
      </c>
      <c r="G20" s="103">
        <v>2038</v>
      </c>
      <c r="H20" s="96">
        <v>34737.26118253397</v>
      </c>
      <c r="I20" s="153">
        <v>92632.696486757282</v>
      </c>
      <c r="J20" s="99">
        <v>16348</v>
      </c>
      <c r="K20" s="100">
        <v>125322</v>
      </c>
      <c r="L20" s="212"/>
      <c r="P20" s="24" t="s">
        <v>124</v>
      </c>
      <c r="Q20" s="24" t="s">
        <v>127</v>
      </c>
    </row>
    <row r="21" spans="1:18" x14ac:dyDescent="0.35">
      <c r="A21" s="93">
        <v>2039</v>
      </c>
      <c r="B21" s="93">
        <v>13.2</v>
      </c>
      <c r="C21" s="93">
        <v>152.1</v>
      </c>
      <c r="D21" s="93">
        <f t="shared" si="0"/>
        <v>1114.2846</v>
      </c>
      <c r="E21" s="93">
        <f t="shared" si="1"/>
        <v>182.21579999999997</v>
      </c>
      <c r="F21" s="147">
        <f t="shared" si="2"/>
        <v>0</v>
      </c>
      <c r="G21" s="103">
        <v>2039</v>
      </c>
      <c r="H21" s="96">
        <v>34737.26118253397</v>
      </c>
      <c r="I21" s="153">
        <v>92632.696486757282</v>
      </c>
      <c r="J21" s="99">
        <v>16348</v>
      </c>
      <c r="K21" s="100">
        <v>125322</v>
      </c>
      <c r="L21" s="212"/>
      <c r="O21" s="24" t="s">
        <v>281</v>
      </c>
      <c r="P21" s="48">
        <f>+'Mileage, Consumption, Energy'!G131*0.272727272727273</f>
        <v>2241113.6246796134</v>
      </c>
      <c r="Q21" s="48">
        <f>+'Mileage, Consumption, Energy'!G131*0.727272727272727</f>
        <v>5976302.999145628</v>
      </c>
      <c r="R21" s="48">
        <f>+SUM(P21:Q21)</f>
        <v>8217416.6238252409</v>
      </c>
    </row>
    <row r="22" spans="1:18" x14ac:dyDescent="0.35">
      <c r="A22" s="93">
        <v>2040</v>
      </c>
      <c r="B22" s="93">
        <v>13.2</v>
      </c>
      <c r="C22" s="93">
        <v>158.5</v>
      </c>
      <c r="D22" s="93">
        <f t="shared" si="0"/>
        <v>1161.171</v>
      </c>
      <c r="E22" s="93">
        <f t="shared" si="1"/>
        <v>189.88299999999998</v>
      </c>
      <c r="F22" s="147">
        <f t="shared" si="2"/>
        <v>0</v>
      </c>
      <c r="G22" s="103">
        <v>2040</v>
      </c>
      <c r="H22" s="96">
        <v>34737.26118253397</v>
      </c>
      <c r="I22" s="153">
        <v>92632.696486757282</v>
      </c>
      <c r="J22" s="99">
        <v>16348</v>
      </c>
      <c r="K22" s="100">
        <v>125322</v>
      </c>
      <c r="L22" s="212"/>
      <c r="O22" s="24" t="s">
        <v>286</v>
      </c>
      <c r="P22" s="48">
        <f>+P21*Q17</f>
        <v>34737.261182534006</v>
      </c>
      <c r="Q22" s="48">
        <f>+Q21*Q17</f>
        <v>92632.696486757239</v>
      </c>
      <c r="R22" s="48">
        <f>+SUM(P22:Q22)</f>
        <v>127369.95766929124</v>
      </c>
    </row>
    <row r="23" spans="1:18" x14ac:dyDescent="0.35">
      <c r="A23" s="93">
        <v>2041</v>
      </c>
      <c r="B23" s="93">
        <v>13.2</v>
      </c>
      <c r="C23" s="93">
        <v>164.8</v>
      </c>
      <c r="D23" s="93">
        <f t="shared" si="0"/>
        <v>1207.3248000000001</v>
      </c>
      <c r="E23" s="93">
        <f t="shared" si="1"/>
        <v>197.43040000000002</v>
      </c>
      <c r="F23" s="147">
        <f t="shared" si="2"/>
        <v>0</v>
      </c>
      <c r="G23" s="103">
        <v>2041</v>
      </c>
      <c r="H23" s="96">
        <v>34737.26118253397</v>
      </c>
      <c r="I23" s="153">
        <v>92632.696486757282</v>
      </c>
      <c r="J23" s="99">
        <v>16348</v>
      </c>
      <c r="K23" s="100">
        <v>125322</v>
      </c>
      <c r="L23" s="212"/>
    </row>
    <row r="24" spans="1:18" x14ac:dyDescent="0.35">
      <c r="A24" s="93">
        <v>2042</v>
      </c>
      <c r="B24" s="93">
        <v>13.2</v>
      </c>
      <c r="C24" s="93">
        <v>171.5</v>
      </c>
      <c r="D24" s="93">
        <f t="shared" si="0"/>
        <v>1256.4090000000001</v>
      </c>
      <c r="E24" s="93">
        <f t="shared" si="1"/>
        <v>205.45699999999999</v>
      </c>
      <c r="F24" s="147">
        <f t="shared" si="2"/>
        <v>0</v>
      </c>
      <c r="G24" s="103">
        <v>2042</v>
      </c>
      <c r="H24" s="96">
        <v>34737.26118253397</v>
      </c>
      <c r="I24" s="153">
        <v>92632.696486757282</v>
      </c>
      <c r="J24" s="99">
        <v>16348</v>
      </c>
      <c r="K24" s="100">
        <v>125322</v>
      </c>
      <c r="L24" s="212"/>
    </row>
    <row r="25" spans="1:18" x14ac:dyDescent="0.35">
      <c r="A25" s="93">
        <v>2043</v>
      </c>
      <c r="B25" s="93">
        <v>13.2</v>
      </c>
      <c r="C25" s="93">
        <v>178.5</v>
      </c>
      <c r="D25" s="93">
        <f t="shared" si="0"/>
        <v>1307.691</v>
      </c>
      <c r="E25" s="93">
        <f t="shared" si="1"/>
        <v>213.84299999999999</v>
      </c>
      <c r="F25" s="147">
        <f t="shared" si="2"/>
        <v>0</v>
      </c>
      <c r="G25" s="103">
        <v>2043</v>
      </c>
      <c r="H25" s="96">
        <v>34737.26118253397</v>
      </c>
      <c r="I25" s="153">
        <v>92632.696486757282</v>
      </c>
      <c r="J25" s="99">
        <v>16348</v>
      </c>
      <c r="K25" s="100">
        <v>125322</v>
      </c>
      <c r="L25" s="212"/>
    </row>
    <row r="26" spans="1:18" x14ac:dyDescent="0.35">
      <c r="A26" s="93">
        <v>2044</v>
      </c>
      <c r="B26" s="93">
        <v>13.2</v>
      </c>
      <c r="C26" s="93">
        <v>185.7</v>
      </c>
      <c r="D26" s="93">
        <f t="shared" si="0"/>
        <v>1360.4382000000001</v>
      </c>
      <c r="E26" s="93">
        <f t="shared" si="1"/>
        <v>222.46859999999998</v>
      </c>
      <c r="F26" s="147">
        <f t="shared" si="2"/>
        <v>0</v>
      </c>
      <c r="G26" s="103">
        <v>2044</v>
      </c>
      <c r="H26" s="96">
        <v>34737.26118253397</v>
      </c>
      <c r="I26" s="153">
        <v>92632.696486757282</v>
      </c>
      <c r="J26" s="99">
        <v>16348</v>
      </c>
      <c r="K26" s="100">
        <v>125322</v>
      </c>
      <c r="L26" s="212"/>
    </row>
    <row r="27" spans="1:18" x14ac:dyDescent="0.35">
      <c r="A27" s="93">
        <v>2045</v>
      </c>
      <c r="B27" s="93">
        <v>13.2</v>
      </c>
      <c r="C27" s="93">
        <v>193.3</v>
      </c>
      <c r="D27" s="93">
        <f t="shared" si="0"/>
        <v>1416.1158000000003</v>
      </c>
      <c r="E27" s="93">
        <f t="shared" si="1"/>
        <v>231.57339999999999</v>
      </c>
      <c r="F27" s="147">
        <f t="shared" si="2"/>
        <v>0</v>
      </c>
      <c r="G27" s="103">
        <v>2045</v>
      </c>
      <c r="H27" s="96">
        <v>34737.26118253397</v>
      </c>
      <c r="I27" s="153">
        <v>92632.696486757282</v>
      </c>
      <c r="J27" s="99">
        <v>16348</v>
      </c>
      <c r="K27" s="100">
        <v>125322</v>
      </c>
      <c r="L27" s="212"/>
    </row>
    <row r="28" spans="1:18" x14ac:dyDescent="0.35">
      <c r="A28" s="93">
        <v>2046</v>
      </c>
      <c r="B28" s="93">
        <v>13.3</v>
      </c>
      <c r="C28" s="93">
        <v>201.2</v>
      </c>
      <c r="D28" s="93">
        <f t="shared" si="0"/>
        <v>1477.6127999999999</v>
      </c>
      <c r="E28" s="93">
        <f t="shared" si="1"/>
        <v>241.33939999999998</v>
      </c>
      <c r="F28" s="147">
        <f t="shared" si="2"/>
        <v>0</v>
      </c>
      <c r="G28" s="103">
        <v>2046</v>
      </c>
      <c r="H28" s="96">
        <v>34737.26118253397</v>
      </c>
      <c r="I28" s="153">
        <v>92632.696486757282</v>
      </c>
      <c r="J28" s="99">
        <v>16348</v>
      </c>
      <c r="K28" s="100">
        <v>125322</v>
      </c>
      <c r="L28" s="212"/>
    </row>
    <row r="29" spans="1:18" x14ac:dyDescent="0.35">
      <c r="A29" s="93">
        <v>2047</v>
      </c>
      <c r="B29" s="93">
        <v>13.3</v>
      </c>
      <c r="C29" s="93">
        <v>209.6</v>
      </c>
      <c r="D29" s="93">
        <f t="shared" si="0"/>
        <v>1539.3024</v>
      </c>
      <c r="E29" s="93">
        <f t="shared" si="1"/>
        <v>251.4152</v>
      </c>
      <c r="F29" s="147">
        <f t="shared" si="2"/>
        <v>0</v>
      </c>
      <c r="G29" s="103">
        <v>2047</v>
      </c>
      <c r="H29" s="96">
        <v>34737.26118253397</v>
      </c>
      <c r="I29" s="153">
        <v>92632.696486757282</v>
      </c>
      <c r="J29" s="99">
        <v>16348</v>
      </c>
      <c r="K29" s="100">
        <v>125322</v>
      </c>
      <c r="L29" s="212"/>
    </row>
    <row r="30" spans="1:18" x14ac:dyDescent="0.35">
      <c r="A30" s="93">
        <v>2048</v>
      </c>
      <c r="B30" s="93">
        <v>13.4</v>
      </c>
      <c r="C30" s="93">
        <v>218.5</v>
      </c>
      <c r="D30" s="93">
        <f t="shared" si="0"/>
        <v>1608.597</v>
      </c>
      <c r="E30" s="93">
        <f t="shared" si="1"/>
        <v>262.41849999999999</v>
      </c>
      <c r="F30" s="147">
        <f t="shared" si="2"/>
        <v>0</v>
      </c>
      <c r="G30" s="103">
        <v>2048</v>
      </c>
      <c r="H30" s="96">
        <v>34737.26118253397</v>
      </c>
      <c r="I30" s="153">
        <v>92632.696486757282</v>
      </c>
      <c r="J30" s="99">
        <v>16348</v>
      </c>
      <c r="K30" s="100">
        <v>125322</v>
      </c>
      <c r="L30" s="212"/>
    </row>
    <row r="31" spans="1:18" x14ac:dyDescent="0.35">
      <c r="A31" s="93">
        <v>2049</v>
      </c>
      <c r="B31" s="93">
        <v>13.4</v>
      </c>
      <c r="C31" s="93">
        <v>228</v>
      </c>
      <c r="D31" s="93">
        <f t="shared" si="0"/>
        <v>1678.5360000000001</v>
      </c>
      <c r="E31" s="93">
        <f t="shared" si="1"/>
        <v>273.82800000000003</v>
      </c>
      <c r="F31" s="147">
        <f t="shared" si="2"/>
        <v>0</v>
      </c>
      <c r="G31" s="103">
        <v>2049</v>
      </c>
      <c r="H31" s="96">
        <v>34737.26118253397</v>
      </c>
      <c r="I31" s="153">
        <v>92632.696486757282</v>
      </c>
      <c r="J31" s="99">
        <v>16348</v>
      </c>
      <c r="K31" s="100">
        <v>125322</v>
      </c>
      <c r="L31" s="212"/>
    </row>
    <row r="32" spans="1:18" x14ac:dyDescent="0.35">
      <c r="A32" s="93">
        <v>2050</v>
      </c>
      <c r="B32" s="93">
        <v>13.5</v>
      </c>
      <c r="C32" s="93">
        <v>238.1</v>
      </c>
      <c r="D32" s="93">
        <f t="shared" si="0"/>
        <v>1757.1779999999999</v>
      </c>
      <c r="E32" s="93">
        <f t="shared" si="1"/>
        <v>286.31524999999999</v>
      </c>
      <c r="F32" s="147">
        <f t="shared" si="2"/>
        <v>0</v>
      </c>
      <c r="G32" s="104">
        <v>2050</v>
      </c>
      <c r="H32" s="96">
        <v>34737.26118253397</v>
      </c>
      <c r="I32" s="153">
        <v>92632.696486757282</v>
      </c>
      <c r="J32" s="101">
        <v>16348</v>
      </c>
      <c r="K32" s="102">
        <v>125322</v>
      </c>
      <c r="L32" s="212"/>
    </row>
    <row r="33" spans="1:10" x14ac:dyDescent="0.35">
      <c r="G33" s="93"/>
    </row>
    <row r="35" spans="1:10" x14ac:dyDescent="0.35">
      <c r="A35" s="111" t="s">
        <v>201</v>
      </c>
      <c r="D35" s="24" t="s">
        <v>206</v>
      </c>
    </row>
    <row r="36" spans="1:10" x14ac:dyDescent="0.35">
      <c r="B36" s="93" t="s">
        <v>202</v>
      </c>
      <c r="C36" s="93" t="s">
        <v>141</v>
      </c>
      <c r="D36" s="93"/>
    </row>
    <row r="37" spans="1:10" x14ac:dyDescent="0.35">
      <c r="A37" s="24" t="s">
        <v>124</v>
      </c>
      <c r="B37" s="93">
        <v>4.95</v>
      </c>
      <c r="C37" s="93">
        <v>0.18</v>
      </c>
      <c r="D37" s="93"/>
    </row>
    <row r="38" spans="1:10" x14ac:dyDescent="0.35">
      <c r="A38" s="24" t="s">
        <v>127</v>
      </c>
      <c r="B38" s="93">
        <v>1</v>
      </c>
      <c r="C38" s="93">
        <v>1.4999999999999999E-2</v>
      </c>
      <c r="D38" s="93"/>
      <c r="H38" s="107"/>
      <c r="I38" s="107"/>
      <c r="J38" s="107"/>
    </row>
    <row r="39" spans="1:10" x14ac:dyDescent="0.35">
      <c r="A39" s="147" t="s">
        <v>251</v>
      </c>
      <c r="B39" s="147">
        <v>0</v>
      </c>
      <c r="C39" s="147">
        <v>0</v>
      </c>
    </row>
    <row r="41" spans="1:10" x14ac:dyDescent="0.35">
      <c r="A41" s="111" t="s">
        <v>290</v>
      </c>
      <c r="D41" s="24" t="s">
        <v>304</v>
      </c>
    </row>
    <row r="42" spans="1:10" x14ac:dyDescent="0.35">
      <c r="A42" s="24" t="s">
        <v>124</v>
      </c>
      <c r="B42" s="150">
        <f>H4/15</f>
        <v>2315.817412168934</v>
      </c>
      <c r="D42" s="48">
        <f>+B42/$Q$17</f>
        <v>149407.57497864091</v>
      </c>
      <c r="E42" s="48">
        <f>+D42*1.33</f>
        <v>198712.07472159242</v>
      </c>
    </row>
    <row r="43" spans="1:10" x14ac:dyDescent="0.35">
      <c r="A43" s="24" t="s">
        <v>127</v>
      </c>
      <c r="B43" s="150">
        <f>I4/40</f>
        <v>2315.8174121689308</v>
      </c>
      <c r="D43" s="48">
        <f>+B43/$Q$17</f>
        <v>149407.57497864071</v>
      </c>
      <c r="E43" s="48">
        <f>+D43*1.33</f>
        <v>198712.07472159216</v>
      </c>
    </row>
    <row r="44" spans="1:10" x14ac:dyDescent="0.35">
      <c r="A44" s="112" t="s">
        <v>242</v>
      </c>
    </row>
    <row r="45" spans="1:10" x14ac:dyDescent="0.35">
      <c r="B45" s="24" t="s">
        <v>291</v>
      </c>
      <c r="D45" s="24" t="s">
        <v>292</v>
      </c>
      <c r="F45" s="24">
        <v>20.25</v>
      </c>
    </row>
    <row r="46" spans="1:10" x14ac:dyDescent="0.35">
      <c r="B46" s="24" t="s">
        <v>110</v>
      </c>
      <c r="C46" s="24">
        <v>3600</v>
      </c>
      <c r="D46" s="24">
        <f>+C46*F45</f>
        <v>72900</v>
      </c>
      <c r="E46" s="87">
        <f>+D46/B42</f>
        <v>31.47916567900911</v>
      </c>
      <c r="F46" s="24">
        <f>+E46/1.3333</f>
        <v>23.609964508369544</v>
      </c>
    </row>
    <row r="47" spans="1:10" x14ac:dyDescent="0.35">
      <c r="B47" s="24" t="s">
        <v>277</v>
      </c>
      <c r="C47" s="24">
        <v>4700</v>
      </c>
      <c r="D47" s="24">
        <f>+F45*C47</f>
        <v>95175</v>
      </c>
      <c r="E47" s="87">
        <f>+D47/B43</f>
        <v>41.097799636484169</v>
      </c>
      <c r="F47" s="24">
        <f>+E47/1.3333</f>
        <v>30.824120330371386</v>
      </c>
    </row>
  </sheetData>
  <mergeCells count="3">
    <mergeCell ref="D2:E2"/>
    <mergeCell ref="H2:I2"/>
    <mergeCell ref="J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4E7FE-0741-4017-B00E-528F00339DC1}">
  <sheetPr codeName="Sheet2"/>
  <dimension ref="A1:U142"/>
  <sheetViews>
    <sheetView tabSelected="1" workbookViewId="0">
      <pane ySplit="3" topLeftCell="A89" activePane="bottomLeft" state="frozen"/>
      <selection pane="bottomLeft" activeCell="L96" sqref="L95:L96"/>
    </sheetView>
  </sheetViews>
  <sheetFormatPr defaultRowHeight="14.5" x14ac:dyDescent="0.35"/>
  <cols>
    <col min="1" max="1" width="12.81640625" customWidth="1"/>
    <col min="5" max="5" width="14.08984375" style="24" customWidth="1"/>
    <col min="6" max="9" width="14.1796875" customWidth="1"/>
    <col min="11" max="11" width="10" bestFit="1" customWidth="1"/>
    <col min="12" max="12" width="10.81640625" bestFit="1" customWidth="1"/>
    <col min="13" max="13" width="9.453125" bestFit="1" customWidth="1"/>
    <col min="14" max="15" width="11.81640625" bestFit="1" customWidth="1"/>
    <col min="17" max="17" width="11.453125" customWidth="1"/>
    <col min="18" max="18" width="12.453125" bestFit="1" customWidth="1"/>
    <col min="19" max="20" width="10.453125" bestFit="1" customWidth="1"/>
    <col min="21" max="21" width="10.54296875" customWidth="1"/>
  </cols>
  <sheetData>
    <row r="1" spans="1:12" s="24" customFormat="1" ht="60" customHeight="1" x14ac:dyDescent="0.35">
      <c r="A1" s="223" t="s">
        <v>129</v>
      </c>
      <c r="B1" s="223"/>
      <c r="C1" s="223"/>
      <c r="D1" s="223"/>
      <c r="E1" s="223"/>
      <c r="F1" s="223"/>
      <c r="G1" s="223"/>
    </row>
    <row r="2" spans="1:12" x14ac:dyDescent="0.35">
      <c r="D2">
        <f>+COUNT(D5:D98)</f>
        <v>94</v>
      </c>
      <c r="F2" s="228" t="s">
        <v>139</v>
      </c>
      <c r="G2" s="228"/>
      <c r="H2" s="228"/>
      <c r="I2" s="228"/>
      <c r="J2">
        <f>+MAX(F4:F98)</f>
        <v>70272.54999999993</v>
      </c>
      <c r="K2">
        <f>+AVERAGE(F5:F18,F21,F22:F23,F25:F29,F31:F38,F40:F45,F47:F57,F61,F63,F64:F68,F72:F74)</f>
        <v>47871.143157894767</v>
      </c>
      <c r="L2" s="24" t="s">
        <v>146</v>
      </c>
    </row>
    <row r="3" spans="1:12" x14ac:dyDescent="0.35">
      <c r="A3" s="1" t="s">
        <v>0</v>
      </c>
      <c r="B3" s="1" t="s">
        <v>1</v>
      </c>
      <c r="C3" s="2" t="s">
        <v>2</v>
      </c>
      <c r="D3" s="3" t="s">
        <v>3</v>
      </c>
      <c r="E3" s="3" t="s">
        <v>307</v>
      </c>
      <c r="F3" s="4">
        <v>43101</v>
      </c>
      <c r="G3" s="4">
        <v>43466</v>
      </c>
      <c r="H3" s="4">
        <v>43831</v>
      </c>
      <c r="I3" s="4">
        <v>44197</v>
      </c>
      <c r="J3">
        <f>+J2*D113</f>
        <v>223881.23395520402</v>
      </c>
      <c r="K3" s="24">
        <f>+K2*D113</f>
        <v>152512.61838421563</v>
      </c>
    </row>
    <row r="4" spans="1:12" x14ac:dyDescent="0.35">
      <c r="A4" s="13" t="s">
        <v>4</v>
      </c>
      <c r="B4" s="13">
        <v>800</v>
      </c>
      <c r="C4" s="13" t="s">
        <v>5</v>
      </c>
      <c r="D4" s="14"/>
      <c r="E4" s="14" t="s">
        <v>308</v>
      </c>
      <c r="F4" s="15">
        <v>57.6</v>
      </c>
      <c r="G4" s="15">
        <v>0</v>
      </c>
      <c r="H4" s="15">
        <v>0</v>
      </c>
      <c r="I4" s="15"/>
    </row>
    <row r="5" spans="1:12" x14ac:dyDescent="0.35">
      <c r="A5" s="13" t="s">
        <v>6</v>
      </c>
      <c r="B5" s="13">
        <v>851</v>
      </c>
      <c r="C5" s="13" t="s">
        <v>7</v>
      </c>
      <c r="D5" s="14">
        <v>2</v>
      </c>
      <c r="E5" s="14" t="s">
        <v>308</v>
      </c>
      <c r="F5" s="15">
        <v>21597.500000000011</v>
      </c>
      <c r="G5" s="15">
        <v>48636.000000000022</v>
      </c>
      <c r="H5" s="15">
        <v>8985.840000000002</v>
      </c>
      <c r="I5" s="15"/>
    </row>
    <row r="6" spans="1:12" x14ac:dyDescent="0.35">
      <c r="A6" s="13" t="s">
        <v>8</v>
      </c>
      <c r="B6" s="13">
        <v>852</v>
      </c>
      <c r="C6" s="13" t="s">
        <v>7</v>
      </c>
      <c r="D6" s="14">
        <v>2</v>
      </c>
      <c r="E6" s="14" t="s">
        <v>308</v>
      </c>
      <c r="F6" s="15">
        <v>53945.38</v>
      </c>
      <c r="G6" s="15">
        <v>58574.74000000002</v>
      </c>
      <c r="H6" s="15">
        <v>30724.159999999978</v>
      </c>
      <c r="I6" s="15"/>
    </row>
    <row r="7" spans="1:12" x14ac:dyDescent="0.35">
      <c r="A7" s="13" t="s">
        <v>9</v>
      </c>
      <c r="B7" s="13">
        <v>853</v>
      </c>
      <c r="C7" s="13" t="s">
        <v>10</v>
      </c>
      <c r="D7" s="14">
        <v>0</v>
      </c>
      <c r="E7" s="14" t="s">
        <v>308</v>
      </c>
      <c r="F7" s="15">
        <v>20002.300000000007</v>
      </c>
      <c r="G7" s="15">
        <v>0</v>
      </c>
      <c r="H7" s="15">
        <v>0</v>
      </c>
      <c r="I7" s="15"/>
    </row>
    <row r="8" spans="1:12" x14ac:dyDescent="0.35">
      <c r="A8" s="13" t="s">
        <v>11</v>
      </c>
      <c r="B8" s="13">
        <v>854</v>
      </c>
      <c r="C8" s="13" t="s">
        <v>10</v>
      </c>
      <c r="D8" s="14">
        <v>0</v>
      </c>
      <c r="E8" s="14" t="s">
        <v>308</v>
      </c>
      <c r="F8" s="15">
        <v>58265.100000000042</v>
      </c>
      <c r="G8" s="15">
        <v>26033.220000000016</v>
      </c>
      <c r="H8" s="15">
        <v>0</v>
      </c>
      <c r="I8" s="15"/>
    </row>
    <row r="9" spans="1:12" x14ac:dyDescent="0.35">
      <c r="A9" s="13" t="s">
        <v>12</v>
      </c>
      <c r="B9" s="13">
        <v>856</v>
      </c>
      <c r="C9" s="13" t="s">
        <v>7</v>
      </c>
      <c r="D9" s="14">
        <v>2</v>
      </c>
      <c r="E9" s="14" t="s">
        <v>308</v>
      </c>
      <c r="F9" s="15">
        <v>56412.860000000037</v>
      </c>
      <c r="G9" s="15">
        <v>52093.479999999952</v>
      </c>
      <c r="H9" s="15">
        <v>40925.140000000007</v>
      </c>
      <c r="I9" s="15"/>
    </row>
    <row r="10" spans="1:12" x14ac:dyDescent="0.35">
      <c r="A10" s="13" t="s">
        <v>13</v>
      </c>
      <c r="B10" s="13">
        <v>857</v>
      </c>
      <c r="C10" s="13" t="s">
        <v>10</v>
      </c>
      <c r="D10" s="14">
        <v>0</v>
      </c>
      <c r="E10" s="14" t="s">
        <v>308</v>
      </c>
      <c r="F10" s="15">
        <v>64438.989999999969</v>
      </c>
      <c r="G10" s="15">
        <v>46846.780000000028</v>
      </c>
      <c r="H10" s="15">
        <v>0</v>
      </c>
      <c r="I10" s="15"/>
    </row>
    <row r="11" spans="1:12" x14ac:dyDescent="0.35">
      <c r="A11" s="13" t="s">
        <v>14</v>
      </c>
      <c r="B11" s="13">
        <v>858</v>
      </c>
      <c r="C11" s="13" t="s">
        <v>10</v>
      </c>
      <c r="D11" s="14">
        <v>0</v>
      </c>
      <c r="E11" s="14" t="s">
        <v>308</v>
      </c>
      <c r="F11" s="15">
        <v>64152.359999999993</v>
      </c>
      <c r="G11" s="15">
        <v>18357.12000000001</v>
      </c>
      <c r="H11" s="15">
        <v>0</v>
      </c>
      <c r="I11" s="15"/>
    </row>
    <row r="12" spans="1:12" x14ac:dyDescent="0.35">
      <c r="A12" s="13" t="s">
        <v>15</v>
      </c>
      <c r="B12" s="13">
        <v>859</v>
      </c>
      <c r="C12" s="13" t="s">
        <v>10</v>
      </c>
      <c r="D12" s="14">
        <v>0</v>
      </c>
      <c r="E12" s="14" t="s">
        <v>308</v>
      </c>
      <c r="F12" s="15">
        <v>41633.77999999997</v>
      </c>
      <c r="G12" s="15">
        <v>0</v>
      </c>
      <c r="H12" s="15">
        <v>0</v>
      </c>
      <c r="I12" s="15"/>
    </row>
    <row r="13" spans="1:12" x14ac:dyDescent="0.35">
      <c r="A13" s="13" t="s">
        <v>16</v>
      </c>
      <c r="B13" s="13">
        <v>860</v>
      </c>
      <c r="C13" s="13" t="s">
        <v>10</v>
      </c>
      <c r="D13" s="14">
        <v>0</v>
      </c>
      <c r="E13" s="14" t="s">
        <v>308</v>
      </c>
      <c r="F13" s="15">
        <v>56370.48</v>
      </c>
      <c r="G13" s="15">
        <v>1990.3200000000002</v>
      </c>
      <c r="H13" s="15">
        <v>0</v>
      </c>
      <c r="I13" s="15"/>
    </row>
    <row r="14" spans="1:12" x14ac:dyDescent="0.35">
      <c r="A14" s="13" t="s">
        <v>17</v>
      </c>
      <c r="B14" s="13">
        <v>861</v>
      </c>
      <c r="C14" s="13" t="s">
        <v>7</v>
      </c>
      <c r="D14" s="14">
        <v>2</v>
      </c>
      <c r="E14" s="14" t="s">
        <v>308</v>
      </c>
      <c r="F14" s="15">
        <v>57165.600000000006</v>
      </c>
      <c r="G14" s="15">
        <v>48380.690000000017</v>
      </c>
      <c r="H14" s="15">
        <v>17060.779999999995</v>
      </c>
      <c r="I14" s="15"/>
    </row>
    <row r="15" spans="1:12" x14ac:dyDescent="0.35">
      <c r="A15" s="13" t="s">
        <v>18</v>
      </c>
      <c r="B15" s="13">
        <v>862</v>
      </c>
      <c r="C15" s="13" t="s">
        <v>10</v>
      </c>
      <c r="D15" s="14">
        <v>0</v>
      </c>
      <c r="E15" s="14" t="s">
        <v>308</v>
      </c>
      <c r="F15" s="15">
        <v>61572.850000000013</v>
      </c>
      <c r="G15" s="15">
        <v>20449.340000000015</v>
      </c>
      <c r="H15" s="15">
        <v>0</v>
      </c>
      <c r="I15" s="15"/>
    </row>
    <row r="16" spans="1:12" x14ac:dyDescent="0.35">
      <c r="A16" s="13" t="s">
        <v>19</v>
      </c>
      <c r="B16" s="13">
        <v>863</v>
      </c>
      <c r="C16" s="13" t="s">
        <v>10</v>
      </c>
      <c r="D16" s="14">
        <v>0</v>
      </c>
      <c r="E16" s="14" t="s">
        <v>308</v>
      </c>
      <c r="F16" s="15">
        <v>43773.690000000068</v>
      </c>
      <c r="G16" s="15">
        <v>0</v>
      </c>
      <c r="H16" s="15">
        <v>0</v>
      </c>
      <c r="I16" s="15"/>
    </row>
    <row r="17" spans="1:9" x14ac:dyDescent="0.35">
      <c r="A17" s="13" t="s">
        <v>20</v>
      </c>
      <c r="B17" s="13">
        <v>864</v>
      </c>
      <c r="C17" s="13" t="s">
        <v>10</v>
      </c>
      <c r="D17" s="14">
        <v>0</v>
      </c>
      <c r="E17" s="14" t="s">
        <v>308</v>
      </c>
      <c r="F17" s="15">
        <v>55187.600000000028</v>
      </c>
      <c r="G17" s="15">
        <v>28196.200000000004</v>
      </c>
      <c r="H17" s="15">
        <v>0</v>
      </c>
      <c r="I17" s="15"/>
    </row>
    <row r="18" spans="1:9" x14ac:dyDescent="0.35">
      <c r="A18" s="13" t="s">
        <v>21</v>
      </c>
      <c r="B18" s="13">
        <v>865</v>
      </c>
      <c r="C18" s="13" t="s">
        <v>10</v>
      </c>
      <c r="D18" s="14">
        <v>0</v>
      </c>
      <c r="E18" s="14" t="s">
        <v>308</v>
      </c>
      <c r="F18" s="15">
        <v>59466.800000000017</v>
      </c>
      <c r="G18" s="15">
        <v>27169.559999999969</v>
      </c>
      <c r="H18" s="15">
        <v>0</v>
      </c>
      <c r="I18" s="15"/>
    </row>
    <row r="19" spans="1:9" x14ac:dyDescent="0.35">
      <c r="A19" s="13" t="s">
        <v>22</v>
      </c>
      <c r="B19" s="13">
        <v>866</v>
      </c>
      <c r="C19" s="13" t="s">
        <v>10</v>
      </c>
      <c r="D19" s="14">
        <v>0</v>
      </c>
      <c r="E19" s="14" t="s">
        <v>308</v>
      </c>
      <c r="F19" s="15">
        <v>0</v>
      </c>
      <c r="G19" s="15">
        <v>0</v>
      </c>
      <c r="H19" s="15">
        <v>0</v>
      </c>
      <c r="I19" s="15"/>
    </row>
    <row r="20" spans="1:9" x14ac:dyDescent="0.35">
      <c r="A20" s="13" t="s">
        <v>23</v>
      </c>
      <c r="B20" s="13">
        <v>867</v>
      </c>
      <c r="C20" s="13" t="s">
        <v>10</v>
      </c>
      <c r="D20" s="14">
        <v>0</v>
      </c>
      <c r="E20" s="14" t="s">
        <v>308</v>
      </c>
      <c r="F20" s="15">
        <v>0</v>
      </c>
      <c r="G20" s="15">
        <v>0</v>
      </c>
      <c r="H20" s="15">
        <v>0</v>
      </c>
      <c r="I20" s="15"/>
    </row>
    <row r="21" spans="1:9" x14ac:dyDescent="0.35">
      <c r="A21" s="13" t="s">
        <v>24</v>
      </c>
      <c r="B21" s="13">
        <v>868</v>
      </c>
      <c r="C21" s="13" t="s">
        <v>7</v>
      </c>
      <c r="D21" s="14">
        <v>2</v>
      </c>
      <c r="E21" s="14" t="s">
        <v>308</v>
      </c>
      <c r="F21" s="15">
        <v>66472.400000000023</v>
      </c>
      <c r="G21" s="15">
        <v>44042.329999999994</v>
      </c>
      <c r="H21" s="15">
        <v>37669.980000000047</v>
      </c>
      <c r="I21" s="15"/>
    </row>
    <row r="22" spans="1:9" x14ac:dyDescent="0.35">
      <c r="A22" s="13" t="s">
        <v>25</v>
      </c>
      <c r="B22" s="13">
        <v>869</v>
      </c>
      <c r="C22" s="13" t="s">
        <v>10</v>
      </c>
      <c r="D22" s="14">
        <v>0</v>
      </c>
      <c r="E22" s="14" t="s">
        <v>308</v>
      </c>
      <c r="F22" s="15">
        <v>65612.020000000033</v>
      </c>
      <c r="G22" s="15">
        <v>25770.620000000006</v>
      </c>
      <c r="H22" s="15">
        <v>0</v>
      </c>
      <c r="I22" s="15"/>
    </row>
    <row r="23" spans="1:9" x14ac:dyDescent="0.35">
      <c r="A23" s="13" t="s">
        <v>26</v>
      </c>
      <c r="B23" s="13">
        <v>870</v>
      </c>
      <c r="C23" s="13" t="s">
        <v>7</v>
      </c>
      <c r="D23" s="14">
        <v>2</v>
      </c>
      <c r="E23" s="14" t="s">
        <v>308</v>
      </c>
      <c r="F23" s="15">
        <v>59500.680000000008</v>
      </c>
      <c r="G23" s="15">
        <v>59870.599999999991</v>
      </c>
      <c r="H23" s="15">
        <v>10073.779999999999</v>
      </c>
      <c r="I23" s="15"/>
    </row>
    <row r="24" spans="1:9" x14ac:dyDescent="0.35">
      <c r="A24" s="13" t="s">
        <v>27</v>
      </c>
      <c r="B24" s="13">
        <v>871</v>
      </c>
      <c r="C24" s="13" t="s">
        <v>10</v>
      </c>
      <c r="D24" s="14">
        <v>0</v>
      </c>
      <c r="E24" s="14" t="s">
        <v>308</v>
      </c>
      <c r="F24" s="15">
        <v>0</v>
      </c>
      <c r="G24" s="15">
        <v>0</v>
      </c>
      <c r="H24" s="15">
        <v>0</v>
      </c>
      <c r="I24" s="15"/>
    </row>
    <row r="25" spans="1:9" x14ac:dyDescent="0.35">
      <c r="A25" s="13" t="s">
        <v>28</v>
      </c>
      <c r="B25" s="13">
        <v>872</v>
      </c>
      <c r="C25" s="13" t="s">
        <v>10</v>
      </c>
      <c r="D25" s="14">
        <v>0</v>
      </c>
      <c r="E25" s="14" t="s">
        <v>308</v>
      </c>
      <c r="F25" s="15">
        <v>21993.039999999994</v>
      </c>
      <c r="G25" s="15">
        <v>0</v>
      </c>
      <c r="H25" s="15">
        <v>0</v>
      </c>
      <c r="I25" s="15"/>
    </row>
    <row r="26" spans="1:9" x14ac:dyDescent="0.35">
      <c r="A26" s="13" t="s">
        <v>29</v>
      </c>
      <c r="B26" s="13">
        <v>873</v>
      </c>
      <c r="C26" s="13" t="s">
        <v>7</v>
      </c>
      <c r="D26" s="14">
        <v>2</v>
      </c>
      <c r="E26" s="14" t="s">
        <v>308</v>
      </c>
      <c r="F26" s="15">
        <v>64116.160000000003</v>
      </c>
      <c r="G26" s="15">
        <v>71020.88</v>
      </c>
      <c r="H26" s="15">
        <v>17194.279999999995</v>
      </c>
      <c r="I26" s="15"/>
    </row>
    <row r="27" spans="1:9" x14ac:dyDescent="0.35">
      <c r="A27" s="13" t="s">
        <v>30</v>
      </c>
      <c r="B27" s="13">
        <v>874</v>
      </c>
      <c r="C27" s="13" t="s">
        <v>31</v>
      </c>
      <c r="D27" s="14">
        <v>0</v>
      </c>
      <c r="E27" s="14" t="s">
        <v>308</v>
      </c>
      <c r="F27" s="15">
        <v>50955.819999999978</v>
      </c>
      <c r="G27" s="15">
        <v>34693.149999999965</v>
      </c>
      <c r="H27" s="15">
        <v>0</v>
      </c>
      <c r="I27" s="15"/>
    </row>
    <row r="28" spans="1:9" x14ac:dyDescent="0.35">
      <c r="A28" s="13" t="s">
        <v>32</v>
      </c>
      <c r="B28" s="13">
        <v>875</v>
      </c>
      <c r="C28" s="13" t="s">
        <v>31</v>
      </c>
      <c r="D28" s="14">
        <v>0</v>
      </c>
      <c r="E28" s="14" t="s">
        <v>308</v>
      </c>
      <c r="F28" s="15">
        <v>58561.340000000033</v>
      </c>
      <c r="G28" s="15">
        <v>40255.859999999986</v>
      </c>
      <c r="H28" s="15">
        <v>0</v>
      </c>
      <c r="I28" s="15"/>
    </row>
    <row r="29" spans="1:9" x14ac:dyDescent="0.35">
      <c r="A29" s="13" t="s">
        <v>33</v>
      </c>
      <c r="B29" s="13">
        <v>876</v>
      </c>
      <c r="C29" s="13" t="s">
        <v>31</v>
      </c>
      <c r="D29" s="14">
        <v>0</v>
      </c>
      <c r="E29" s="14" t="s">
        <v>308</v>
      </c>
      <c r="F29" s="15">
        <v>60071.119999999988</v>
      </c>
      <c r="G29" s="15">
        <v>49750.10000000002</v>
      </c>
      <c r="H29" s="15">
        <v>0</v>
      </c>
      <c r="I29" s="15"/>
    </row>
    <row r="30" spans="1:9" x14ac:dyDescent="0.35">
      <c r="A30" s="13" t="s">
        <v>34</v>
      </c>
      <c r="B30" s="13">
        <v>877</v>
      </c>
      <c r="C30" s="13" t="s">
        <v>31</v>
      </c>
      <c r="D30" s="14">
        <v>0</v>
      </c>
      <c r="E30" s="14" t="s">
        <v>308</v>
      </c>
      <c r="F30" s="15">
        <v>0</v>
      </c>
      <c r="G30" s="15">
        <v>0</v>
      </c>
      <c r="H30" s="15">
        <v>0</v>
      </c>
      <c r="I30" s="15"/>
    </row>
    <row r="31" spans="1:9" x14ac:dyDescent="0.35">
      <c r="A31" s="13" t="s">
        <v>35</v>
      </c>
      <c r="B31" s="13">
        <v>878</v>
      </c>
      <c r="C31" s="13" t="s">
        <v>31</v>
      </c>
      <c r="D31" s="14">
        <v>0</v>
      </c>
      <c r="E31" s="14" t="s">
        <v>308</v>
      </c>
      <c r="F31" s="15">
        <v>61590.38999999997</v>
      </c>
      <c r="G31" s="15">
        <v>42985.039999999994</v>
      </c>
      <c r="H31" s="15">
        <v>0</v>
      </c>
      <c r="I31" s="15"/>
    </row>
    <row r="32" spans="1:9" x14ac:dyDescent="0.35">
      <c r="A32" s="13" t="s">
        <v>36</v>
      </c>
      <c r="B32" s="13">
        <v>879</v>
      </c>
      <c r="C32" s="13" t="s">
        <v>31</v>
      </c>
      <c r="D32" s="14">
        <v>0</v>
      </c>
      <c r="E32" s="14" t="s">
        <v>308</v>
      </c>
      <c r="F32" s="15">
        <v>57731.359999999971</v>
      </c>
      <c r="G32" s="15">
        <v>61550.639999999956</v>
      </c>
      <c r="H32" s="15">
        <v>0</v>
      </c>
      <c r="I32" s="15"/>
    </row>
    <row r="33" spans="1:9" x14ac:dyDescent="0.35">
      <c r="A33" s="13" t="s">
        <v>37</v>
      </c>
      <c r="B33" s="13">
        <v>880</v>
      </c>
      <c r="C33" s="13" t="s">
        <v>31</v>
      </c>
      <c r="D33" s="14">
        <v>0</v>
      </c>
      <c r="E33" s="14" t="s">
        <v>308</v>
      </c>
      <c r="F33" s="15">
        <v>70272.54999999993</v>
      </c>
      <c r="G33" s="15">
        <v>52313.459999999963</v>
      </c>
      <c r="H33" s="15">
        <v>0</v>
      </c>
      <c r="I33" s="15"/>
    </row>
    <row r="34" spans="1:9" x14ac:dyDescent="0.35">
      <c r="A34" s="13" t="s">
        <v>38</v>
      </c>
      <c r="B34" s="13">
        <v>881</v>
      </c>
      <c r="C34" s="13" t="s">
        <v>31</v>
      </c>
      <c r="D34" s="14">
        <v>0</v>
      </c>
      <c r="E34" s="14" t="s">
        <v>308</v>
      </c>
      <c r="F34" s="15">
        <v>57313.479999999996</v>
      </c>
      <c r="G34" s="15">
        <v>64230.12000000001</v>
      </c>
      <c r="H34" s="15">
        <v>6599.86</v>
      </c>
      <c r="I34" s="15"/>
    </row>
    <row r="35" spans="1:9" x14ac:dyDescent="0.35">
      <c r="A35" s="13" t="s">
        <v>39</v>
      </c>
      <c r="B35" s="13">
        <v>882</v>
      </c>
      <c r="C35" s="13" t="s">
        <v>31</v>
      </c>
      <c r="D35" s="14">
        <v>0</v>
      </c>
      <c r="E35" s="14" t="s">
        <v>308</v>
      </c>
      <c r="F35" s="15">
        <v>59858.540000000023</v>
      </c>
      <c r="G35" s="15">
        <v>52359.160000000018</v>
      </c>
      <c r="H35" s="15">
        <v>13764.38</v>
      </c>
      <c r="I35" s="15"/>
    </row>
    <row r="36" spans="1:9" x14ac:dyDescent="0.35">
      <c r="A36" s="13" t="s">
        <v>40</v>
      </c>
      <c r="B36" s="13">
        <v>883</v>
      </c>
      <c r="C36" s="13" t="s">
        <v>31</v>
      </c>
      <c r="D36" s="14">
        <v>0</v>
      </c>
      <c r="E36" s="14" t="s">
        <v>308</v>
      </c>
      <c r="F36" s="15">
        <v>54770.470000000023</v>
      </c>
      <c r="G36" s="15">
        <v>23526.419999999987</v>
      </c>
      <c r="H36" s="15">
        <v>0</v>
      </c>
      <c r="I36" s="15"/>
    </row>
    <row r="37" spans="1:9" x14ac:dyDescent="0.35">
      <c r="A37" s="13" t="s">
        <v>41</v>
      </c>
      <c r="B37" s="13">
        <v>884</v>
      </c>
      <c r="C37" s="13" t="s">
        <v>31</v>
      </c>
      <c r="D37" s="14">
        <v>0</v>
      </c>
      <c r="E37" s="14" t="s">
        <v>308</v>
      </c>
      <c r="F37" s="15">
        <v>62250.140000000029</v>
      </c>
      <c r="G37" s="15">
        <v>56789.080000000024</v>
      </c>
      <c r="H37" s="15">
        <v>11066.319999999996</v>
      </c>
      <c r="I37" s="15"/>
    </row>
    <row r="38" spans="1:9" x14ac:dyDescent="0.35">
      <c r="A38" s="13" t="s">
        <v>42</v>
      </c>
      <c r="B38" s="13">
        <v>885</v>
      </c>
      <c r="C38" s="13" t="s">
        <v>31</v>
      </c>
      <c r="D38" s="14">
        <v>0</v>
      </c>
      <c r="E38" s="14" t="s">
        <v>308</v>
      </c>
      <c r="F38" s="15">
        <v>40302.100000000006</v>
      </c>
      <c r="G38" s="15">
        <v>58706.160000000018</v>
      </c>
      <c r="H38" s="15">
        <v>8748.0399999999991</v>
      </c>
      <c r="I38" s="15"/>
    </row>
    <row r="39" spans="1:9" x14ac:dyDescent="0.35">
      <c r="A39" s="13" t="s">
        <v>43</v>
      </c>
      <c r="B39" s="13">
        <v>886</v>
      </c>
      <c r="C39" s="13" t="s">
        <v>31</v>
      </c>
      <c r="D39" s="14">
        <v>0</v>
      </c>
      <c r="E39" s="14" t="s">
        <v>308</v>
      </c>
      <c r="F39" s="15">
        <v>2602.7999999999997</v>
      </c>
      <c r="G39" s="15">
        <v>46328.660000000025</v>
      </c>
      <c r="H39" s="15">
        <v>4120.6799999999994</v>
      </c>
      <c r="I39" s="15"/>
    </row>
    <row r="40" spans="1:9" x14ac:dyDescent="0.35">
      <c r="A40" s="13" t="s">
        <v>44</v>
      </c>
      <c r="B40" s="13">
        <v>887</v>
      </c>
      <c r="C40" s="13" t="s">
        <v>31</v>
      </c>
      <c r="D40" s="14">
        <v>0</v>
      </c>
      <c r="E40" s="14" t="s">
        <v>308</v>
      </c>
      <c r="F40" s="15">
        <v>47928.560000000012</v>
      </c>
      <c r="G40" s="15">
        <v>57007.240000000027</v>
      </c>
      <c r="H40" s="15">
        <v>8948.1200000000008</v>
      </c>
      <c r="I40" s="15"/>
    </row>
    <row r="41" spans="1:9" x14ac:dyDescent="0.35">
      <c r="A41" s="13" t="s">
        <v>45</v>
      </c>
      <c r="B41" s="13">
        <v>888</v>
      </c>
      <c r="C41" s="13" t="s">
        <v>46</v>
      </c>
      <c r="D41" s="14">
        <v>2</v>
      </c>
      <c r="E41" s="14">
        <v>2008</v>
      </c>
      <c r="F41" s="15">
        <v>49473.680000000022</v>
      </c>
      <c r="G41" s="15">
        <v>52517.600000000013</v>
      </c>
      <c r="H41" s="15">
        <v>39696.569999999992</v>
      </c>
      <c r="I41" s="15"/>
    </row>
    <row r="42" spans="1:9" x14ac:dyDescent="0.35">
      <c r="A42" s="13" t="s">
        <v>47</v>
      </c>
      <c r="B42" s="13">
        <v>889</v>
      </c>
      <c r="C42" s="13" t="s">
        <v>46</v>
      </c>
      <c r="D42" s="14">
        <v>2</v>
      </c>
      <c r="E42" s="14">
        <v>2008</v>
      </c>
      <c r="F42" s="15">
        <v>63075.180000000058</v>
      </c>
      <c r="G42" s="15">
        <v>30437.879999999994</v>
      </c>
      <c r="H42" s="15">
        <v>50213.480000000018</v>
      </c>
      <c r="I42" s="15"/>
    </row>
    <row r="43" spans="1:9" x14ac:dyDescent="0.35">
      <c r="A43" s="13" t="s">
        <v>48</v>
      </c>
      <c r="B43" s="13">
        <v>890</v>
      </c>
      <c r="C43" s="13" t="s">
        <v>46</v>
      </c>
      <c r="D43" s="14">
        <v>2</v>
      </c>
      <c r="E43" s="14">
        <v>2008</v>
      </c>
      <c r="F43" s="15">
        <v>54510.88000000007</v>
      </c>
      <c r="G43" s="15">
        <v>37048.860000000008</v>
      </c>
      <c r="H43" s="15">
        <v>33535.300000000017</v>
      </c>
      <c r="I43" s="15"/>
    </row>
    <row r="44" spans="1:9" x14ac:dyDescent="0.35">
      <c r="A44" s="13" t="s">
        <v>49</v>
      </c>
      <c r="B44" s="13">
        <v>891</v>
      </c>
      <c r="C44" s="13" t="s">
        <v>46</v>
      </c>
      <c r="D44" s="14">
        <v>2</v>
      </c>
      <c r="E44" s="14">
        <v>2008</v>
      </c>
      <c r="F44" s="15">
        <v>57144.18</v>
      </c>
      <c r="G44" s="15">
        <v>47930.000000000036</v>
      </c>
      <c r="H44" s="15">
        <v>44939.239999999962</v>
      </c>
      <c r="I44" s="15"/>
    </row>
    <row r="45" spans="1:9" x14ac:dyDescent="0.35">
      <c r="A45" s="13" t="s">
        <v>50</v>
      </c>
      <c r="B45" s="13">
        <v>892</v>
      </c>
      <c r="C45" s="13" t="s">
        <v>46</v>
      </c>
      <c r="D45" s="14">
        <v>2</v>
      </c>
      <c r="E45" s="14">
        <v>2008</v>
      </c>
      <c r="F45" s="15">
        <v>44443.259999999995</v>
      </c>
      <c r="G45" s="15">
        <v>63110.640000000007</v>
      </c>
      <c r="H45" s="15">
        <v>49183.4</v>
      </c>
      <c r="I45" s="15"/>
    </row>
    <row r="46" spans="1:9" x14ac:dyDescent="0.35">
      <c r="A46" s="13" t="s">
        <v>51</v>
      </c>
      <c r="B46" s="13">
        <v>893</v>
      </c>
      <c r="C46" s="13" t="s">
        <v>46</v>
      </c>
      <c r="D46" s="14">
        <v>2</v>
      </c>
      <c r="E46" s="14">
        <v>2008</v>
      </c>
      <c r="F46" s="15">
        <v>0</v>
      </c>
      <c r="G46" s="15">
        <v>0</v>
      </c>
      <c r="H46" s="15">
        <v>0</v>
      </c>
      <c r="I46" s="15"/>
    </row>
    <row r="47" spans="1:9" x14ac:dyDescent="0.35">
      <c r="A47" s="13" t="s">
        <v>52</v>
      </c>
      <c r="B47" s="13">
        <v>894</v>
      </c>
      <c r="C47" s="13" t="s">
        <v>46</v>
      </c>
      <c r="D47" s="14">
        <v>2</v>
      </c>
      <c r="E47" s="14">
        <v>2008</v>
      </c>
      <c r="F47" s="15">
        <v>58436.860000000052</v>
      </c>
      <c r="G47" s="15">
        <v>62859.840000000004</v>
      </c>
      <c r="H47" s="15">
        <v>51443.160000000025</v>
      </c>
      <c r="I47" s="15"/>
    </row>
    <row r="48" spans="1:9" x14ac:dyDescent="0.35">
      <c r="A48" s="13" t="s">
        <v>53</v>
      </c>
      <c r="B48" s="13">
        <v>895</v>
      </c>
      <c r="C48" s="13" t="s">
        <v>46</v>
      </c>
      <c r="D48" s="14">
        <v>2</v>
      </c>
      <c r="E48" s="14">
        <v>2008</v>
      </c>
      <c r="F48" s="15">
        <v>55794.420000000027</v>
      </c>
      <c r="G48" s="15">
        <v>60615.300000000039</v>
      </c>
      <c r="H48" s="15">
        <v>57672.62</v>
      </c>
      <c r="I48" s="15"/>
    </row>
    <row r="49" spans="1:9" x14ac:dyDescent="0.35">
      <c r="A49" s="13" t="s">
        <v>54</v>
      </c>
      <c r="B49" s="13">
        <v>896</v>
      </c>
      <c r="C49" s="13" t="s">
        <v>46</v>
      </c>
      <c r="D49" s="14">
        <v>2</v>
      </c>
      <c r="E49" s="14">
        <v>2008</v>
      </c>
      <c r="F49" s="15">
        <v>43938.919999999984</v>
      </c>
      <c r="G49" s="15">
        <v>46442.310000000056</v>
      </c>
      <c r="H49" s="15">
        <v>43997.400000000023</v>
      </c>
      <c r="I49" s="15"/>
    </row>
    <row r="50" spans="1:9" x14ac:dyDescent="0.35">
      <c r="A50" s="13" t="s">
        <v>55</v>
      </c>
      <c r="B50" s="13">
        <v>897</v>
      </c>
      <c r="C50" s="13" t="s">
        <v>46</v>
      </c>
      <c r="D50" s="14">
        <v>2</v>
      </c>
      <c r="E50" s="14">
        <v>2008</v>
      </c>
      <c r="F50" s="15">
        <v>55478.180000000022</v>
      </c>
      <c r="G50" s="15">
        <v>64442.980000000076</v>
      </c>
      <c r="H50" s="15">
        <v>56455.430000000088</v>
      </c>
      <c r="I50" s="15"/>
    </row>
    <row r="51" spans="1:9" x14ac:dyDescent="0.35">
      <c r="A51" s="13" t="s">
        <v>56</v>
      </c>
      <c r="B51" s="13">
        <v>898</v>
      </c>
      <c r="C51" s="13" t="s">
        <v>46</v>
      </c>
      <c r="D51" s="14">
        <v>2</v>
      </c>
      <c r="E51" s="14">
        <v>2008</v>
      </c>
      <c r="F51" s="15">
        <v>52886.040000000008</v>
      </c>
      <c r="G51" s="15">
        <v>46404.239999999983</v>
      </c>
      <c r="H51" s="15">
        <v>33808.520000000011</v>
      </c>
      <c r="I51" s="15"/>
    </row>
    <row r="52" spans="1:9" x14ac:dyDescent="0.35">
      <c r="A52" s="13" t="s">
        <v>57</v>
      </c>
      <c r="B52" s="13">
        <v>899</v>
      </c>
      <c r="C52" s="13" t="s">
        <v>46</v>
      </c>
      <c r="D52" s="14">
        <v>2</v>
      </c>
      <c r="E52" s="14">
        <v>2008</v>
      </c>
      <c r="F52" s="15">
        <v>51547.760000000031</v>
      </c>
      <c r="G52" s="15">
        <v>49637.100000000071</v>
      </c>
      <c r="H52" s="15">
        <v>55261.420000000035</v>
      </c>
      <c r="I52" s="15"/>
    </row>
    <row r="53" spans="1:9" x14ac:dyDescent="0.35">
      <c r="A53" s="13" t="s">
        <v>58</v>
      </c>
      <c r="B53" s="13">
        <v>900</v>
      </c>
      <c r="C53" s="13" t="s">
        <v>46</v>
      </c>
      <c r="D53" s="14">
        <v>2</v>
      </c>
      <c r="E53" s="14">
        <v>2008</v>
      </c>
      <c r="F53" s="15">
        <v>64667.740000000013</v>
      </c>
      <c r="G53" s="15">
        <v>48879.74000000002</v>
      </c>
      <c r="H53" s="15">
        <v>54375.74</v>
      </c>
      <c r="I53" s="15"/>
    </row>
    <row r="54" spans="1:9" x14ac:dyDescent="0.35">
      <c r="A54" s="13" t="s">
        <v>59</v>
      </c>
      <c r="B54" s="13">
        <v>901</v>
      </c>
      <c r="C54" s="13" t="s">
        <v>46</v>
      </c>
      <c r="D54" s="14">
        <v>2</v>
      </c>
      <c r="E54" s="14">
        <v>2008</v>
      </c>
      <c r="F54" s="15">
        <v>34238.759999999966</v>
      </c>
      <c r="G54" s="15">
        <v>5319.84</v>
      </c>
      <c r="H54" s="15">
        <v>44848.890000000036</v>
      </c>
      <c r="I54" s="15"/>
    </row>
    <row r="55" spans="1:9" x14ac:dyDescent="0.35">
      <c r="A55" s="13" t="s">
        <v>60</v>
      </c>
      <c r="B55" s="13">
        <v>902</v>
      </c>
      <c r="C55" s="13" t="s">
        <v>46</v>
      </c>
      <c r="D55" s="14">
        <v>2</v>
      </c>
      <c r="E55" s="14">
        <v>2008</v>
      </c>
      <c r="F55" s="15">
        <v>45769.06</v>
      </c>
      <c r="G55" s="15">
        <v>42178.200000000004</v>
      </c>
      <c r="H55" s="15">
        <v>43217.839999999989</v>
      </c>
      <c r="I55" s="15"/>
    </row>
    <row r="56" spans="1:9" x14ac:dyDescent="0.35">
      <c r="A56" s="13" t="s">
        <v>61</v>
      </c>
      <c r="B56" s="13">
        <v>18520</v>
      </c>
      <c r="C56" s="13" t="s">
        <v>10</v>
      </c>
      <c r="D56" s="14">
        <v>0</v>
      </c>
      <c r="E56" s="14" t="s">
        <v>308</v>
      </c>
      <c r="F56" s="15">
        <v>44586.779999999977</v>
      </c>
      <c r="G56" s="15">
        <v>13626.019999999999</v>
      </c>
      <c r="H56" s="15">
        <v>326.39999999999998</v>
      </c>
      <c r="I56" s="15"/>
    </row>
    <row r="57" spans="1:9" x14ac:dyDescent="0.35">
      <c r="A57" s="13" t="s">
        <v>62</v>
      </c>
      <c r="B57" s="13">
        <v>18522</v>
      </c>
      <c r="C57" s="13" t="s">
        <v>10</v>
      </c>
      <c r="D57" s="14">
        <v>0</v>
      </c>
      <c r="E57" s="14" t="s">
        <v>308</v>
      </c>
      <c r="F57" s="15">
        <v>18215.439999999991</v>
      </c>
      <c r="G57" s="15">
        <v>12518.639999999998</v>
      </c>
      <c r="H57" s="15">
        <v>0</v>
      </c>
      <c r="I57" s="15"/>
    </row>
    <row r="58" spans="1:9" x14ac:dyDescent="0.35">
      <c r="A58" s="13" t="s">
        <v>63</v>
      </c>
      <c r="B58" s="13">
        <v>18533</v>
      </c>
      <c r="C58" s="13" t="s">
        <v>10</v>
      </c>
      <c r="D58" s="14">
        <v>0</v>
      </c>
      <c r="E58" s="14" t="s">
        <v>308</v>
      </c>
      <c r="F58" s="15">
        <v>4089.64</v>
      </c>
      <c r="G58" s="15">
        <v>6907.58</v>
      </c>
      <c r="H58" s="15">
        <v>1064.32</v>
      </c>
      <c r="I58" s="15"/>
    </row>
    <row r="59" spans="1:9" x14ac:dyDescent="0.35">
      <c r="A59" s="13" t="s">
        <v>64</v>
      </c>
      <c r="B59" s="13">
        <v>903</v>
      </c>
      <c r="C59" s="13" t="s">
        <v>65</v>
      </c>
      <c r="D59" s="14">
        <v>4</v>
      </c>
      <c r="E59" s="14">
        <v>2021</v>
      </c>
      <c r="F59" s="15">
        <v>0</v>
      </c>
      <c r="G59" s="15">
        <v>0</v>
      </c>
      <c r="H59" s="15">
        <v>0</v>
      </c>
      <c r="I59" s="15"/>
    </row>
    <row r="60" spans="1:9" x14ac:dyDescent="0.35">
      <c r="A60" s="13" t="s">
        <v>66</v>
      </c>
      <c r="B60" s="13">
        <v>904</v>
      </c>
      <c r="C60" s="13" t="s">
        <v>65</v>
      </c>
      <c r="D60" s="14">
        <v>4</v>
      </c>
      <c r="E60" s="14">
        <v>2020</v>
      </c>
      <c r="F60" s="15">
        <v>0</v>
      </c>
      <c r="G60" s="15">
        <v>0</v>
      </c>
      <c r="H60" s="15">
        <v>344.5</v>
      </c>
      <c r="I60" s="15"/>
    </row>
    <row r="61" spans="1:9" x14ac:dyDescent="0.35">
      <c r="A61" s="13" t="s">
        <v>67</v>
      </c>
      <c r="B61" s="13">
        <v>905</v>
      </c>
      <c r="C61" s="13" t="s">
        <v>65</v>
      </c>
      <c r="D61" s="14">
        <v>4</v>
      </c>
      <c r="E61" s="14">
        <v>2018</v>
      </c>
      <c r="F61" s="15">
        <v>23976.279999999977</v>
      </c>
      <c r="G61" s="15">
        <v>42658.19999999999</v>
      </c>
      <c r="H61" s="15">
        <v>34541.940000000024</v>
      </c>
      <c r="I61" s="15"/>
    </row>
    <row r="62" spans="1:9" x14ac:dyDescent="0.35">
      <c r="A62" s="13" t="s">
        <v>68</v>
      </c>
      <c r="B62" s="13">
        <v>906</v>
      </c>
      <c r="C62" s="13" t="s">
        <v>65</v>
      </c>
      <c r="D62" s="14">
        <v>4</v>
      </c>
      <c r="E62" s="14">
        <v>2020</v>
      </c>
      <c r="F62" s="15">
        <v>0</v>
      </c>
      <c r="G62" s="15">
        <v>0</v>
      </c>
      <c r="H62" s="15">
        <v>31669.180000000008</v>
      </c>
      <c r="I62" s="15"/>
    </row>
    <row r="63" spans="1:9" x14ac:dyDescent="0.35">
      <c r="A63" s="13" t="s">
        <v>69</v>
      </c>
      <c r="B63" s="13">
        <v>907</v>
      </c>
      <c r="C63" s="13" t="s">
        <v>65</v>
      </c>
      <c r="D63" s="14">
        <v>4</v>
      </c>
      <c r="E63" s="14">
        <v>2017</v>
      </c>
      <c r="F63" s="15">
        <v>42522.330000000009</v>
      </c>
      <c r="G63" s="15">
        <v>42546.160000000025</v>
      </c>
      <c r="H63" s="15">
        <v>37954.220000000016</v>
      </c>
      <c r="I63" s="15"/>
    </row>
    <row r="64" spans="1:9" x14ac:dyDescent="0.35">
      <c r="A64" s="13" t="s">
        <v>70</v>
      </c>
      <c r="B64" s="13">
        <v>908</v>
      </c>
      <c r="C64" s="13" t="s">
        <v>65</v>
      </c>
      <c r="D64" s="14">
        <v>4</v>
      </c>
      <c r="E64" s="14">
        <v>2017</v>
      </c>
      <c r="F64" s="15">
        <v>39989.260000000009</v>
      </c>
      <c r="G64" s="15">
        <v>34626.24000000002</v>
      </c>
      <c r="H64" s="15">
        <v>43498.870000000054</v>
      </c>
      <c r="I64" s="15"/>
    </row>
    <row r="65" spans="1:9" x14ac:dyDescent="0.35">
      <c r="A65" s="13" t="s">
        <v>71</v>
      </c>
      <c r="B65" s="13">
        <v>909</v>
      </c>
      <c r="C65" s="13" t="s">
        <v>65</v>
      </c>
      <c r="D65" s="14">
        <v>4</v>
      </c>
      <c r="E65" s="14">
        <v>2018</v>
      </c>
      <c r="F65" s="15">
        <v>29677.429999999982</v>
      </c>
      <c r="G65" s="15">
        <v>33965.260000000009</v>
      </c>
      <c r="H65" s="15">
        <v>38074.62000000001</v>
      </c>
      <c r="I65" s="15"/>
    </row>
    <row r="66" spans="1:9" x14ac:dyDescent="0.35">
      <c r="A66" s="13" t="s">
        <v>72</v>
      </c>
      <c r="B66" s="13">
        <v>910</v>
      </c>
      <c r="C66" s="13" t="s">
        <v>65</v>
      </c>
      <c r="D66" s="14">
        <v>4</v>
      </c>
      <c r="E66" s="14">
        <v>2018</v>
      </c>
      <c r="F66" s="15">
        <v>40396.680000000037</v>
      </c>
      <c r="G66" s="15">
        <v>49633.990000000034</v>
      </c>
      <c r="H66" s="15">
        <v>37332.260000000009</v>
      </c>
      <c r="I66" s="15"/>
    </row>
    <row r="67" spans="1:9" x14ac:dyDescent="0.35">
      <c r="A67" s="13" t="s">
        <v>73</v>
      </c>
      <c r="B67" s="13">
        <v>911</v>
      </c>
      <c r="C67" s="13" t="s">
        <v>65</v>
      </c>
      <c r="D67" s="14">
        <v>4</v>
      </c>
      <c r="E67" s="14">
        <v>2018</v>
      </c>
      <c r="F67" s="15">
        <v>12768.16</v>
      </c>
      <c r="G67" s="15">
        <v>49061.540000000023</v>
      </c>
      <c r="H67" s="15">
        <v>30755.399999999987</v>
      </c>
      <c r="I67" s="15"/>
    </row>
    <row r="68" spans="1:9" x14ac:dyDescent="0.35">
      <c r="A68" s="13" t="s">
        <v>74</v>
      </c>
      <c r="B68" s="13">
        <v>912</v>
      </c>
      <c r="C68" s="13" t="s">
        <v>65</v>
      </c>
      <c r="D68" s="14">
        <v>4</v>
      </c>
      <c r="E68" s="14">
        <v>2018</v>
      </c>
      <c r="F68" s="15">
        <v>19818.159999999996</v>
      </c>
      <c r="G68" s="15">
        <v>33632.44000000001</v>
      </c>
      <c r="H68" s="15">
        <v>36602.500000000015</v>
      </c>
      <c r="I68" s="15"/>
    </row>
    <row r="69" spans="1:9" x14ac:dyDescent="0.35">
      <c r="A69" s="13" t="s">
        <v>75</v>
      </c>
      <c r="B69" s="13">
        <v>913</v>
      </c>
      <c r="C69" s="13" t="s">
        <v>65</v>
      </c>
      <c r="D69" s="14">
        <v>4</v>
      </c>
      <c r="E69" s="14">
        <v>2018</v>
      </c>
      <c r="F69" s="15">
        <v>4625.7000000000007</v>
      </c>
      <c r="G69" s="15">
        <v>56747.480000000032</v>
      </c>
      <c r="H69" s="15">
        <v>40502.459999999977</v>
      </c>
      <c r="I69" s="15"/>
    </row>
    <row r="70" spans="1:9" x14ac:dyDescent="0.35">
      <c r="A70" s="13" t="s">
        <v>76</v>
      </c>
      <c r="B70" s="13">
        <v>914</v>
      </c>
      <c r="C70" s="13" t="s">
        <v>65</v>
      </c>
      <c r="D70" s="14">
        <v>4</v>
      </c>
      <c r="E70" s="14">
        <v>2018</v>
      </c>
      <c r="F70" s="15">
        <v>6237.7799999999988</v>
      </c>
      <c r="G70" s="15">
        <v>48252.020000000011</v>
      </c>
      <c r="H70" s="15">
        <v>38853.239999999969</v>
      </c>
      <c r="I70" s="15"/>
    </row>
    <row r="71" spans="1:9" x14ac:dyDescent="0.35">
      <c r="A71" s="13" t="s">
        <v>77</v>
      </c>
      <c r="B71" s="13">
        <v>915</v>
      </c>
      <c r="C71" s="13" t="s">
        <v>65</v>
      </c>
      <c r="D71" s="14">
        <v>4</v>
      </c>
      <c r="E71" s="14">
        <v>2018</v>
      </c>
      <c r="F71" s="15">
        <v>8035.34</v>
      </c>
      <c r="G71" s="15">
        <v>45058.460000000028</v>
      </c>
      <c r="H71" s="15">
        <v>42998.360000000008</v>
      </c>
      <c r="I71" s="15"/>
    </row>
    <row r="72" spans="1:9" x14ac:dyDescent="0.35">
      <c r="A72" s="13" t="s">
        <v>78</v>
      </c>
      <c r="B72" s="13">
        <v>916</v>
      </c>
      <c r="C72" s="13" t="s">
        <v>65</v>
      </c>
      <c r="D72" s="14">
        <v>4</v>
      </c>
      <c r="E72" s="14">
        <v>2018</v>
      </c>
      <c r="F72" s="15">
        <v>16626.120000000003</v>
      </c>
      <c r="G72" s="15">
        <v>52614.680000000029</v>
      </c>
      <c r="H72" s="15">
        <v>40220.089999999997</v>
      </c>
      <c r="I72" s="15"/>
    </row>
    <row r="73" spans="1:9" x14ac:dyDescent="0.35">
      <c r="A73" s="13" t="s">
        <v>79</v>
      </c>
      <c r="B73" s="13">
        <v>917</v>
      </c>
      <c r="C73" s="13" t="s">
        <v>65</v>
      </c>
      <c r="D73" s="14">
        <v>4</v>
      </c>
      <c r="E73" s="14">
        <v>2018</v>
      </c>
      <c r="F73" s="15">
        <v>14095.579999999998</v>
      </c>
      <c r="G73" s="15">
        <v>46967.570000000007</v>
      </c>
      <c r="H73" s="15">
        <v>41147.900000000052</v>
      </c>
      <c r="I73" s="15"/>
    </row>
    <row r="74" spans="1:9" x14ac:dyDescent="0.35">
      <c r="A74" s="13" t="s">
        <v>80</v>
      </c>
      <c r="B74" s="13">
        <v>918</v>
      </c>
      <c r="C74" s="13" t="s">
        <v>65</v>
      </c>
      <c r="D74" s="14">
        <v>4</v>
      </c>
      <c r="E74" s="14">
        <v>2018</v>
      </c>
      <c r="F74" s="15">
        <v>21292.55999999999</v>
      </c>
      <c r="G74" s="15">
        <v>50630.680000000022</v>
      </c>
      <c r="H74" s="15">
        <v>40607.900000000009</v>
      </c>
      <c r="I74" s="15"/>
    </row>
    <row r="75" spans="1:9" x14ac:dyDescent="0.35">
      <c r="A75" s="13" t="s">
        <v>81</v>
      </c>
      <c r="B75" s="13">
        <v>919</v>
      </c>
      <c r="C75" s="13" t="s">
        <v>65</v>
      </c>
      <c r="D75" s="14">
        <v>4</v>
      </c>
      <c r="E75" s="14">
        <v>2020</v>
      </c>
      <c r="F75" s="15">
        <v>0</v>
      </c>
      <c r="G75" s="15">
        <v>0</v>
      </c>
      <c r="H75" s="15">
        <v>34102.239999999991</v>
      </c>
      <c r="I75" s="15"/>
    </row>
    <row r="76" spans="1:9" x14ac:dyDescent="0.35">
      <c r="A76" s="13" t="s">
        <v>82</v>
      </c>
      <c r="B76" s="13">
        <v>920</v>
      </c>
      <c r="C76" s="13" t="s">
        <v>65</v>
      </c>
      <c r="D76" s="14">
        <v>4</v>
      </c>
      <c r="E76" s="14">
        <v>2019</v>
      </c>
      <c r="F76" s="15">
        <v>0</v>
      </c>
      <c r="G76" s="15">
        <v>29234.420000000024</v>
      </c>
      <c r="H76" s="15">
        <v>51910.620000000039</v>
      </c>
      <c r="I76" s="15"/>
    </row>
    <row r="77" spans="1:9" x14ac:dyDescent="0.35">
      <c r="A77" s="13" t="s">
        <v>83</v>
      </c>
      <c r="B77" s="13">
        <v>921</v>
      </c>
      <c r="C77" s="13" t="s">
        <v>65</v>
      </c>
      <c r="D77" s="14">
        <v>4</v>
      </c>
      <c r="E77" s="14">
        <v>2019</v>
      </c>
      <c r="F77" s="15">
        <v>0</v>
      </c>
      <c r="G77" s="15">
        <v>30663.380000000012</v>
      </c>
      <c r="H77" s="15">
        <v>46917.650000000016</v>
      </c>
      <c r="I77" s="15"/>
    </row>
    <row r="78" spans="1:9" x14ac:dyDescent="0.35">
      <c r="A78" s="13" t="s">
        <v>84</v>
      </c>
      <c r="B78" s="13">
        <v>922</v>
      </c>
      <c r="C78" s="13" t="s">
        <v>65</v>
      </c>
      <c r="D78" s="14">
        <v>4</v>
      </c>
      <c r="E78" s="14">
        <v>2018</v>
      </c>
      <c r="F78" s="15">
        <v>9834.8099999999977</v>
      </c>
      <c r="G78" s="15">
        <v>15650.99</v>
      </c>
      <c r="H78" s="15">
        <v>43731.700000000012</v>
      </c>
      <c r="I78" s="15"/>
    </row>
    <row r="79" spans="1:9" x14ac:dyDescent="0.35">
      <c r="A79" s="13" t="s">
        <v>85</v>
      </c>
      <c r="B79" s="13">
        <v>923</v>
      </c>
      <c r="C79" s="13" t="s">
        <v>65</v>
      </c>
      <c r="D79" s="14">
        <v>4</v>
      </c>
      <c r="E79" s="14">
        <v>2020</v>
      </c>
      <c r="F79" s="15">
        <v>0</v>
      </c>
      <c r="G79" s="15">
        <v>0</v>
      </c>
      <c r="H79" s="15">
        <v>750.36000000000013</v>
      </c>
      <c r="I79" s="15"/>
    </row>
    <row r="80" spans="1:9" x14ac:dyDescent="0.35">
      <c r="A80" s="13" t="s">
        <v>86</v>
      </c>
      <c r="B80" s="13">
        <v>924</v>
      </c>
      <c r="C80" s="13" t="s">
        <v>65</v>
      </c>
      <c r="D80" s="14">
        <v>4</v>
      </c>
      <c r="E80" s="14">
        <v>2018</v>
      </c>
      <c r="F80" s="15">
        <v>6820.8600000000006</v>
      </c>
      <c r="G80" s="15">
        <v>45248.239999999969</v>
      </c>
      <c r="H80" s="15">
        <v>37526.859999999993</v>
      </c>
      <c r="I80" s="15"/>
    </row>
    <row r="81" spans="1:9" x14ac:dyDescent="0.35">
      <c r="A81" s="13" t="s">
        <v>87</v>
      </c>
      <c r="B81" s="13">
        <v>925</v>
      </c>
      <c r="C81" s="13" t="s">
        <v>65</v>
      </c>
      <c r="D81" s="14">
        <v>4</v>
      </c>
      <c r="E81" s="14">
        <v>2020</v>
      </c>
      <c r="F81" s="15">
        <v>0</v>
      </c>
      <c r="G81" s="15">
        <v>0</v>
      </c>
      <c r="H81" s="15">
        <v>37645.5</v>
      </c>
      <c r="I81" s="15"/>
    </row>
    <row r="82" spans="1:9" x14ac:dyDescent="0.35">
      <c r="A82" s="13" t="s">
        <v>88</v>
      </c>
      <c r="B82" s="13">
        <v>926</v>
      </c>
      <c r="C82" s="13" t="s">
        <v>65</v>
      </c>
      <c r="D82" s="14">
        <v>4</v>
      </c>
      <c r="E82" s="14">
        <v>2019</v>
      </c>
      <c r="F82" s="15">
        <v>0</v>
      </c>
      <c r="G82" s="15">
        <v>33430.820000000007</v>
      </c>
      <c r="H82" s="15">
        <v>43822.120000000024</v>
      </c>
      <c r="I82" s="15"/>
    </row>
    <row r="83" spans="1:9" x14ac:dyDescent="0.35">
      <c r="A83" s="13" t="s">
        <v>89</v>
      </c>
      <c r="B83" s="13">
        <v>927</v>
      </c>
      <c r="C83" s="13" t="s">
        <v>65</v>
      </c>
      <c r="D83" s="14">
        <v>4</v>
      </c>
      <c r="E83" s="14">
        <v>2019</v>
      </c>
      <c r="F83" s="15">
        <v>0</v>
      </c>
      <c r="G83" s="15">
        <v>29420.560000000023</v>
      </c>
      <c r="H83" s="15">
        <v>38979.540000000008</v>
      </c>
      <c r="I83" s="15"/>
    </row>
    <row r="84" spans="1:9" x14ac:dyDescent="0.35">
      <c r="A84" s="13" t="s">
        <v>90</v>
      </c>
      <c r="B84" s="13">
        <v>928</v>
      </c>
      <c r="C84" s="13" t="s">
        <v>65</v>
      </c>
      <c r="D84" s="14">
        <v>4</v>
      </c>
      <c r="E84" s="14">
        <v>2019</v>
      </c>
      <c r="F84" s="15">
        <v>0</v>
      </c>
      <c r="G84" s="15">
        <v>10432.029999999999</v>
      </c>
      <c r="H84" s="15">
        <v>36549.010000000024</v>
      </c>
      <c r="I84" s="15"/>
    </row>
    <row r="85" spans="1:9" x14ac:dyDescent="0.35">
      <c r="A85" s="13" t="s">
        <v>91</v>
      </c>
      <c r="B85" s="13">
        <v>929</v>
      </c>
      <c r="C85" s="13" t="s">
        <v>65</v>
      </c>
      <c r="D85" s="14">
        <v>4</v>
      </c>
      <c r="E85" s="14">
        <v>2019</v>
      </c>
      <c r="F85" s="15">
        <v>0</v>
      </c>
      <c r="G85" s="15">
        <v>32585.239999999983</v>
      </c>
      <c r="H85" s="15">
        <v>49425.460000000028</v>
      </c>
      <c r="I85" s="15"/>
    </row>
    <row r="86" spans="1:9" x14ac:dyDescent="0.35">
      <c r="A86" s="13" t="s">
        <v>92</v>
      </c>
      <c r="B86" s="13">
        <v>930</v>
      </c>
      <c r="C86" s="13" t="s">
        <v>65</v>
      </c>
      <c r="D86" s="14">
        <v>4</v>
      </c>
      <c r="E86" s="14">
        <v>2019</v>
      </c>
      <c r="F86" s="15">
        <v>0</v>
      </c>
      <c r="G86" s="15">
        <v>26381.120000000017</v>
      </c>
      <c r="H86" s="15">
        <v>51628.059999999983</v>
      </c>
      <c r="I86" s="15"/>
    </row>
    <row r="87" spans="1:9" x14ac:dyDescent="0.35">
      <c r="A87" s="13" t="s">
        <v>93</v>
      </c>
      <c r="B87" s="13">
        <v>931</v>
      </c>
      <c r="C87" s="13" t="s">
        <v>65</v>
      </c>
      <c r="D87" s="14">
        <v>4</v>
      </c>
      <c r="E87" s="14">
        <v>2019</v>
      </c>
      <c r="F87" s="15">
        <v>0</v>
      </c>
      <c r="G87" s="15">
        <v>8980.6400000000012</v>
      </c>
      <c r="H87" s="15">
        <v>44394.659999999974</v>
      </c>
      <c r="I87" s="15"/>
    </row>
    <row r="88" spans="1:9" x14ac:dyDescent="0.35">
      <c r="A88" s="13" t="s">
        <v>94</v>
      </c>
      <c r="B88" s="13">
        <v>932</v>
      </c>
      <c r="C88" s="13" t="s">
        <v>65</v>
      </c>
      <c r="D88" s="14">
        <v>4</v>
      </c>
      <c r="E88" s="14">
        <v>2019</v>
      </c>
      <c r="F88" s="15">
        <v>0</v>
      </c>
      <c r="G88" s="15">
        <v>3099.7400000000002</v>
      </c>
      <c r="H88" s="15">
        <v>48762.9</v>
      </c>
      <c r="I88" s="15"/>
    </row>
    <row r="89" spans="1:9" x14ac:dyDescent="0.35">
      <c r="A89" s="13" t="s">
        <v>95</v>
      </c>
      <c r="B89" s="13">
        <v>933</v>
      </c>
      <c r="C89" s="13" t="s">
        <v>65</v>
      </c>
      <c r="D89" s="14">
        <v>4</v>
      </c>
      <c r="E89" s="14">
        <v>2019</v>
      </c>
      <c r="F89" s="15">
        <v>0</v>
      </c>
      <c r="G89" s="15">
        <v>7162.6599999999989</v>
      </c>
      <c r="H89" s="15">
        <v>52227.380000000026</v>
      </c>
      <c r="I89" s="15"/>
    </row>
    <row r="90" spans="1:9" x14ac:dyDescent="0.35">
      <c r="A90" s="13" t="s">
        <v>96</v>
      </c>
      <c r="B90" s="13">
        <v>934</v>
      </c>
      <c r="C90" s="13" t="s">
        <v>65</v>
      </c>
      <c r="D90" s="14">
        <v>4</v>
      </c>
      <c r="E90" s="14">
        <v>2019</v>
      </c>
      <c r="F90" s="15">
        <v>0</v>
      </c>
      <c r="G90" s="15">
        <v>0</v>
      </c>
      <c r="H90" s="15">
        <v>48382.939999999981</v>
      </c>
      <c r="I90" s="15"/>
    </row>
    <row r="91" spans="1:9" x14ac:dyDescent="0.35">
      <c r="A91" s="13" t="s">
        <v>97</v>
      </c>
      <c r="B91" s="13">
        <v>935</v>
      </c>
      <c r="C91" s="13" t="s">
        <v>65</v>
      </c>
      <c r="D91" s="14">
        <v>4</v>
      </c>
      <c r="E91" s="14">
        <v>2019</v>
      </c>
      <c r="F91" s="15">
        <v>0</v>
      </c>
      <c r="G91" s="15">
        <v>10083.000000000002</v>
      </c>
      <c r="H91" s="15">
        <v>50720.440000000039</v>
      </c>
      <c r="I91" s="15"/>
    </row>
    <row r="92" spans="1:9" x14ac:dyDescent="0.35">
      <c r="A92" s="13" t="s">
        <v>98</v>
      </c>
      <c r="B92" s="13">
        <v>936</v>
      </c>
      <c r="C92" s="13" t="s">
        <v>65</v>
      </c>
      <c r="D92" s="14">
        <v>4</v>
      </c>
      <c r="E92" s="14">
        <v>2019</v>
      </c>
      <c r="F92" s="15">
        <v>0</v>
      </c>
      <c r="G92" s="15">
        <v>395.52</v>
      </c>
      <c r="H92" s="15">
        <v>51405.600000000028</v>
      </c>
      <c r="I92" s="15"/>
    </row>
    <row r="93" spans="1:9" x14ac:dyDescent="0.35">
      <c r="A93" s="13" t="s">
        <v>99</v>
      </c>
      <c r="B93" s="13">
        <v>937</v>
      </c>
      <c r="C93" s="13" t="s">
        <v>65</v>
      </c>
      <c r="D93" s="14">
        <v>4</v>
      </c>
      <c r="E93" s="14">
        <v>2019</v>
      </c>
      <c r="F93" s="15">
        <v>0</v>
      </c>
      <c r="G93" s="15">
        <v>144.96</v>
      </c>
      <c r="H93" s="15">
        <v>34810.540000000008</v>
      </c>
      <c r="I93" s="15"/>
    </row>
    <row r="94" spans="1:9" x14ac:dyDescent="0.35">
      <c r="A94" s="13" t="s">
        <v>100</v>
      </c>
      <c r="B94" s="13">
        <v>938</v>
      </c>
      <c r="C94" s="13" t="s">
        <v>65</v>
      </c>
      <c r="D94" s="14">
        <v>4</v>
      </c>
      <c r="E94" s="14">
        <v>2019</v>
      </c>
      <c r="F94" s="15">
        <v>0</v>
      </c>
      <c r="G94" s="15">
        <v>0</v>
      </c>
      <c r="H94" s="15">
        <v>55948.100000000071</v>
      </c>
      <c r="I94" s="15"/>
    </row>
    <row r="95" spans="1:9" x14ac:dyDescent="0.35">
      <c r="A95" s="13" t="s">
        <v>101</v>
      </c>
      <c r="B95" s="13">
        <v>939</v>
      </c>
      <c r="C95" s="13" t="s">
        <v>65</v>
      </c>
      <c r="D95" s="14">
        <v>4</v>
      </c>
      <c r="E95" s="14">
        <v>2020</v>
      </c>
      <c r="F95" s="15">
        <v>0</v>
      </c>
      <c r="G95" s="15">
        <v>0</v>
      </c>
      <c r="H95" s="15">
        <v>24620.78000000001</v>
      </c>
      <c r="I95" s="15"/>
    </row>
    <row r="96" spans="1:9" x14ac:dyDescent="0.35">
      <c r="A96" s="13" t="s">
        <v>102</v>
      </c>
      <c r="B96" s="13">
        <v>940</v>
      </c>
      <c r="C96" s="13" t="s">
        <v>65</v>
      </c>
      <c r="D96" s="14">
        <v>4</v>
      </c>
      <c r="E96" s="14">
        <v>2020</v>
      </c>
      <c r="F96" s="15">
        <v>0</v>
      </c>
      <c r="G96" s="15">
        <v>0</v>
      </c>
      <c r="H96" s="15">
        <v>57012.290000000088</v>
      </c>
      <c r="I96" s="15"/>
    </row>
    <row r="97" spans="1:21" x14ac:dyDescent="0.35">
      <c r="A97" s="13" t="s">
        <v>103</v>
      </c>
      <c r="B97" s="13">
        <v>941</v>
      </c>
      <c r="C97" s="13" t="s">
        <v>65</v>
      </c>
      <c r="D97" s="14">
        <v>4</v>
      </c>
      <c r="E97" s="14">
        <v>2020</v>
      </c>
      <c r="F97" s="15">
        <v>0</v>
      </c>
      <c r="G97" s="15">
        <v>0</v>
      </c>
      <c r="H97" s="15">
        <v>8833.4799999999959</v>
      </c>
      <c r="I97" s="15"/>
    </row>
    <row r="98" spans="1:21" x14ac:dyDescent="0.35">
      <c r="A98" s="13" t="s">
        <v>104</v>
      </c>
      <c r="B98" s="13">
        <v>942</v>
      </c>
      <c r="C98" s="13" t="s">
        <v>65</v>
      </c>
      <c r="D98" s="14">
        <v>4</v>
      </c>
      <c r="E98" s="14">
        <v>2020</v>
      </c>
      <c r="F98" s="15">
        <v>0</v>
      </c>
      <c r="G98" s="15">
        <v>0</v>
      </c>
      <c r="H98" s="15">
        <v>20745.500000000004</v>
      </c>
      <c r="I98" s="15"/>
    </row>
    <row r="99" spans="1:21" s="24" customFormat="1" x14ac:dyDescent="0.35">
      <c r="A99" s="13"/>
      <c r="B99" s="13"/>
      <c r="C99" s="13"/>
      <c r="D99" s="14" t="s">
        <v>287</v>
      </c>
      <c r="E99" s="14"/>
      <c r="F99" s="209">
        <f>+COUNTIF(F4:F98,"&gt;0")</f>
        <v>65</v>
      </c>
      <c r="G99" s="209">
        <f t="shared" ref="G99:H99" si="0">+COUNTIF(G4:G98,"&gt;0")</f>
        <v>73</v>
      </c>
      <c r="H99" s="209">
        <f t="shared" si="0"/>
        <v>68</v>
      </c>
      <c r="I99" s="209"/>
    </row>
    <row r="100" spans="1:21" s="24" customFormat="1" x14ac:dyDescent="0.35">
      <c r="A100" s="13"/>
      <c r="B100" s="13"/>
      <c r="C100" s="13"/>
      <c r="D100" s="14"/>
      <c r="E100" s="14"/>
      <c r="F100" s="209">
        <f>+COUNT(F4:F98)</f>
        <v>95</v>
      </c>
      <c r="G100" s="209">
        <f t="shared" ref="G100:H100" si="1">+COUNT(G4:G98)</f>
        <v>95</v>
      </c>
      <c r="H100" s="209">
        <f t="shared" si="1"/>
        <v>95</v>
      </c>
      <c r="I100" s="209"/>
    </row>
    <row r="101" spans="1:21" s="24" customFormat="1" x14ac:dyDescent="0.35">
      <c r="A101" s="13"/>
      <c r="B101" s="13"/>
      <c r="C101" s="13"/>
      <c r="D101" s="14"/>
      <c r="E101" s="14"/>
      <c r="F101" s="209">
        <f>+COUNTIF(F4:F98,"0")</f>
        <v>30</v>
      </c>
      <c r="G101" s="209">
        <f t="shared" ref="G101:H101" si="2">+COUNTIF(G4:G98,"0")</f>
        <v>22</v>
      </c>
      <c r="H101" s="209">
        <f t="shared" si="2"/>
        <v>27</v>
      </c>
      <c r="I101" s="209"/>
    </row>
    <row r="102" spans="1:21" x14ac:dyDescent="0.35">
      <c r="A102" s="9"/>
      <c r="B102" s="10"/>
      <c r="C102" s="10"/>
      <c r="D102" s="10"/>
      <c r="E102" s="10"/>
      <c r="F102" s="11">
        <v>2018</v>
      </c>
      <c r="G102" s="11">
        <v>2019</v>
      </c>
      <c r="H102" s="11">
        <v>2020</v>
      </c>
      <c r="I102" s="11" t="s">
        <v>136</v>
      </c>
    </row>
    <row r="103" spans="1:21" x14ac:dyDescent="0.35">
      <c r="A103" s="226" t="s">
        <v>105</v>
      </c>
      <c r="B103" s="227"/>
      <c r="C103" s="5" t="s">
        <v>3</v>
      </c>
      <c r="D103" s="5"/>
      <c r="E103" s="5"/>
      <c r="F103" s="227" t="s">
        <v>106</v>
      </c>
      <c r="G103" s="227"/>
      <c r="H103" s="227"/>
      <c r="I103" s="227"/>
    </row>
    <row r="104" spans="1:21" x14ac:dyDescent="0.35">
      <c r="A104" s="224" t="s">
        <v>107</v>
      </c>
      <c r="B104" s="225"/>
      <c r="C104" s="6" t="s">
        <v>108</v>
      </c>
      <c r="D104" s="7"/>
      <c r="E104" s="7"/>
      <c r="F104" s="30">
        <f>SUM(F105:F109)</f>
        <v>2770902.0900000003</v>
      </c>
      <c r="G104" s="30">
        <f t="shared" ref="G104:H104" si="3">SUM(G105:G109)</f>
        <v>2778111.7800000007</v>
      </c>
      <c r="H104" s="33">
        <f t="shared" si="3"/>
        <v>2381878.2600000007</v>
      </c>
      <c r="I104" s="31">
        <f>SUM(I105:I109)</f>
        <v>2084004.2354838713</v>
      </c>
    </row>
    <row r="105" spans="1:21" x14ac:dyDescent="0.35">
      <c r="A105" s="224" t="s">
        <v>109</v>
      </c>
      <c r="B105" s="225"/>
      <c r="C105" s="6">
        <v>4</v>
      </c>
      <c r="D105" s="7"/>
      <c r="E105" s="7"/>
      <c r="F105" s="30">
        <f>SUMIF($C$4:$C$98, "EMD F125", F$4:F$98)</f>
        <v>296717.05</v>
      </c>
      <c r="G105" s="30">
        <f>SUMIF($C$4:$C$98, "EMD F125", G$4:G$98)</f>
        <v>869308.04000000039</v>
      </c>
      <c r="H105" s="30">
        <f>SUMIF($C$4:$C$98, "EMD F125", H$4:H$98)</f>
        <v>1505957.1700000004</v>
      </c>
      <c r="I105" s="31">
        <v>1664394.8193548392</v>
      </c>
    </row>
    <row r="106" spans="1:21" x14ac:dyDescent="0.35">
      <c r="A106" s="224" t="s">
        <v>110</v>
      </c>
      <c r="B106" s="225"/>
      <c r="C106" s="6">
        <v>2</v>
      </c>
      <c r="D106" s="7"/>
      <c r="E106" s="7"/>
      <c r="F106" s="30">
        <f>SUMIF($C$4:$C$98, "MP36PH-3C", F$4:F$98)</f>
        <v>731404.92000000016</v>
      </c>
      <c r="G106" s="30">
        <f>SUMIF($C$4:$C$98, "MP36PH-3C", G$4:G$98)</f>
        <v>657824.53000000026</v>
      </c>
      <c r="H106" s="30">
        <f>SUMIF($C$4:$C$98, "MP36PH-3C", H$4:H$98)</f>
        <v>658649.01000000024</v>
      </c>
      <c r="I106" s="31">
        <v>419609.41612903221</v>
      </c>
    </row>
    <row r="107" spans="1:21" ht="15" customHeight="1" x14ac:dyDescent="0.35">
      <c r="A107" s="224" t="s">
        <v>111</v>
      </c>
      <c r="B107" s="225"/>
      <c r="C107" s="6">
        <v>2</v>
      </c>
      <c r="D107" s="7"/>
      <c r="E107" s="7"/>
      <c r="F107" s="30">
        <f>SUMIF($C$4:$C$98, "F59PHu", F$4:F$98)</f>
        <v>379210.58000000007</v>
      </c>
      <c r="G107" s="30">
        <f>SUMIF($C$4:$C$98, "F59PHu", G$4:G$98)</f>
        <v>382618.72000000003</v>
      </c>
      <c r="H107" s="30">
        <f>SUMIF($C$4:$C$98, "F59PHu", H$4:H$98)</f>
        <v>162633.96000000002</v>
      </c>
      <c r="I107" s="31">
        <v>0</v>
      </c>
    </row>
    <row r="108" spans="1:21" x14ac:dyDescent="0.35">
      <c r="A108" s="224" t="s">
        <v>10</v>
      </c>
      <c r="B108" s="225"/>
      <c r="C108" s="6">
        <v>0</v>
      </c>
      <c r="D108" s="7"/>
      <c r="E108" s="7"/>
      <c r="F108" s="30">
        <f>SUMIF($C$4:$C$98, "F59PH", F$4:F$98)</f>
        <v>679360.87000000011</v>
      </c>
      <c r="G108" s="30">
        <f>SUMIF($C$4:$C$98, "F59PH", G$4:G$98)</f>
        <v>227865.4</v>
      </c>
      <c r="H108" s="30">
        <f>SUMIF($C$4:$C$98, "F59PH", H$4:H$98)</f>
        <v>1390.7199999999998</v>
      </c>
      <c r="I108" s="31">
        <v>0</v>
      </c>
    </row>
    <row r="109" spans="1:21" x14ac:dyDescent="0.35">
      <c r="A109" s="224" t="s">
        <v>31</v>
      </c>
      <c r="B109" s="225"/>
      <c r="C109" s="6">
        <v>0</v>
      </c>
      <c r="D109" s="7"/>
      <c r="E109" s="7"/>
      <c r="F109" s="30">
        <f>SUMIF($C$4:$C$98, "F59PHI", F$4:F$98)</f>
        <v>684208.67</v>
      </c>
      <c r="G109" s="30">
        <f>SUMIF($C$4:$C$98, "F59PHI", G$4:G$98)</f>
        <v>640495.09</v>
      </c>
      <c r="H109" s="30">
        <f>SUMIF($C$4:$C$98, "F59PHI", H$4:H$98)</f>
        <v>53247.399999999994</v>
      </c>
      <c r="I109" s="31">
        <v>0</v>
      </c>
    </row>
    <row r="110" spans="1:21" x14ac:dyDescent="0.35">
      <c r="A110" s="9"/>
      <c r="B110" s="12"/>
      <c r="C110" s="12"/>
      <c r="D110" s="12"/>
      <c r="E110" s="12"/>
      <c r="F110" s="11">
        <v>2018</v>
      </c>
      <c r="G110" s="11">
        <v>2019</v>
      </c>
      <c r="H110" s="11">
        <v>2020</v>
      </c>
      <c r="I110" s="11" t="s">
        <v>136</v>
      </c>
    </row>
    <row r="111" spans="1:21" ht="15" customHeight="1" x14ac:dyDescent="0.35">
      <c r="A111" s="226" t="s">
        <v>105</v>
      </c>
      <c r="B111" s="227"/>
      <c r="C111" s="5" t="s">
        <v>3</v>
      </c>
      <c r="D111" s="5" t="s">
        <v>112</v>
      </c>
      <c r="E111" s="5"/>
      <c r="F111" s="227" t="s">
        <v>138</v>
      </c>
      <c r="G111" s="227"/>
      <c r="H111" s="227"/>
      <c r="I111" s="227"/>
      <c r="R111" t="s">
        <v>147</v>
      </c>
    </row>
    <row r="112" spans="1:21" ht="16" x14ac:dyDescent="0.5">
      <c r="A112" s="224" t="s">
        <v>107</v>
      </c>
      <c r="B112" s="225"/>
      <c r="C112" s="6" t="s">
        <v>108</v>
      </c>
      <c r="D112" s="6" t="s">
        <v>108</v>
      </c>
      <c r="E112" s="6"/>
      <c r="F112" s="30">
        <f>SUM(F113:F117)</f>
        <v>7994992.8332440732</v>
      </c>
      <c r="G112" s="30">
        <f>SUM(G113:G117)</f>
        <v>8217416.6238252418</v>
      </c>
      <c r="H112" s="33">
        <f>SUM(H113:H117)</f>
        <v>7353657.6493242122</v>
      </c>
      <c r="I112" s="31">
        <f>SUM(I113:I117)</f>
        <v>6559466.0155674582</v>
      </c>
      <c r="K112" s="35">
        <f>SUM(K113:K115)</f>
        <v>7353657.6493242104</v>
      </c>
      <c r="L112" s="40" t="s">
        <v>140</v>
      </c>
      <c r="M112" s="40" t="s">
        <v>141</v>
      </c>
      <c r="N112" s="40" t="s">
        <v>142</v>
      </c>
      <c r="O112" s="40" t="s">
        <v>115</v>
      </c>
      <c r="R112" s="40" t="s">
        <v>140</v>
      </c>
      <c r="S112" s="40" t="s">
        <v>141</v>
      </c>
      <c r="T112" s="40" t="s">
        <v>142</v>
      </c>
      <c r="U112" s="40" t="s">
        <v>115</v>
      </c>
    </row>
    <row r="113" spans="1:21" x14ac:dyDescent="0.35">
      <c r="A113" s="224" t="s">
        <v>109</v>
      </c>
      <c r="B113" s="225"/>
      <c r="C113" s="6">
        <v>4</v>
      </c>
      <c r="D113" s="8">
        <v>3.1858988176066507</v>
      </c>
      <c r="E113" s="8"/>
      <c r="F113" s="30">
        <f>F105*$D113</f>
        <v>945310.49875873339</v>
      </c>
      <c r="G113" s="30">
        <f t="shared" ref="F113:H117" si="4">G105*$D113</f>
        <v>2769527.4567719563</v>
      </c>
      <c r="H113" s="30">
        <f>H105*$D113</f>
        <v>4797827.1672692588</v>
      </c>
      <c r="I113" s="31">
        <f>D113*I105</f>
        <v>5302593.4870132171</v>
      </c>
      <c r="J113" t="s">
        <v>127</v>
      </c>
      <c r="K113" s="34">
        <f>+H113</f>
        <v>4797827.1672692588</v>
      </c>
      <c r="L113" s="38">
        <f>+(K113*'Penalty Fee - Static Service'!P16)*K118</f>
        <v>99.794805079200572</v>
      </c>
      <c r="M113" s="38">
        <f>+(K113*'Penalty Fee - Static Service'!N16)*K118</f>
        <v>1.4873264218534701</v>
      </c>
      <c r="N113" s="38">
        <f>+(K113*'Penalty Fee - Static Service'!O16)*K118</f>
        <v>3.9821965488334845</v>
      </c>
      <c r="O113" s="38">
        <f>+(K113*'Penalty Fee - Static Service'!Q16)*K118</f>
        <v>127.71815919270767</v>
      </c>
      <c r="Q113" s="40" t="s">
        <v>127</v>
      </c>
      <c r="R113" s="38">
        <f>+(Q114*'Penalty Fee - Static Service'!P16)*K118</f>
        <v>152.9560864</v>
      </c>
      <c r="S113" s="38">
        <f>+(Q114*'Penalty Fee - Static Service'!N16)*K118</f>
        <v>2.2796339799999998</v>
      </c>
      <c r="T113" s="38">
        <f>+(Q114*'Penalty Fee - Static Service'!O16)*K118</f>
        <v>6.1035361399999992</v>
      </c>
      <c r="U113" s="38">
        <f>+(Q114*'Penalty Fee - Static Service'!Q16)*K118</f>
        <v>195.75437596</v>
      </c>
    </row>
    <row r="114" spans="1:21" ht="16" x14ac:dyDescent="0.5">
      <c r="A114" s="224" t="s">
        <v>110</v>
      </c>
      <c r="B114" s="225"/>
      <c r="C114" s="6">
        <v>2</v>
      </c>
      <c r="D114" s="8">
        <v>2.9953391898330177</v>
      </c>
      <c r="E114" s="8"/>
      <c r="F114" s="30">
        <f t="shared" si="4"/>
        <v>2190805.8205126836</v>
      </c>
      <c r="G114" s="30">
        <f t="shared" si="4"/>
        <v>1970407.5947424865</v>
      </c>
      <c r="H114" s="30">
        <f t="shared" si="4"/>
        <v>1972877.1919977199</v>
      </c>
      <c r="I114" s="31">
        <f t="shared" ref="I114:I117" si="5">D114*I106</f>
        <v>1256872.5285542409</v>
      </c>
      <c r="J114" t="s">
        <v>124</v>
      </c>
      <c r="K114" s="34">
        <f>+H114+H115</f>
        <v>2399317.7420900944</v>
      </c>
      <c r="L114" s="38">
        <f>+(K114*'Penalty Fee - Static Service'!P14)*K118</f>
        <v>247.03375472559608</v>
      </c>
      <c r="M114" s="38">
        <f>+(K114*'Penalty Fee - Static Service'!N13)*K118</f>
        <v>8.973448355416954</v>
      </c>
      <c r="N114" s="38">
        <f>+(K114*'Penalty Fee - Static Service'!O13)*K118</f>
        <v>12.980308984707412</v>
      </c>
      <c r="O114" s="38">
        <f>+(K114*'Penalty Fee - Static Service'!Q13)*K118</f>
        <v>63.869838294438317</v>
      </c>
      <c r="Q114" s="35">
        <v>7353658</v>
      </c>
    </row>
    <row r="115" spans="1:21" ht="15" customHeight="1" x14ac:dyDescent="0.35">
      <c r="A115" s="224" t="s">
        <v>111</v>
      </c>
      <c r="B115" s="225"/>
      <c r="C115" s="6">
        <v>2</v>
      </c>
      <c r="D115" s="8">
        <v>2.6220879703868403</v>
      </c>
      <c r="E115" s="8"/>
      <c r="F115" s="30">
        <f t="shared" si="4"/>
        <v>994323.50006141677</v>
      </c>
      <c r="G115" s="30">
        <f t="shared" si="4"/>
        <v>1003259.9429568108</v>
      </c>
      <c r="H115" s="30">
        <f t="shared" si="4"/>
        <v>426440.55009237461</v>
      </c>
      <c r="I115" s="31">
        <f t="shared" si="5"/>
        <v>0</v>
      </c>
      <c r="J115" t="s">
        <v>120</v>
      </c>
      <c r="K115" s="34">
        <f>+H116+H117</f>
        <v>156512.73996485802</v>
      </c>
      <c r="L115" s="39">
        <f>+(K115*'Penalty Fee - Static Service'!P9)*K118</f>
        <v>27.9969989249138</v>
      </c>
      <c r="M115" s="39">
        <f>+(112*'Penalty Fee - Static Service'!N9)*K118</f>
        <v>7.4592000000000007E-4</v>
      </c>
      <c r="N115" s="39">
        <f>+(K115*'Penalty Fee - Static Service'!O9)*K118</f>
        <v>1.5619971448492831</v>
      </c>
      <c r="O115" s="39">
        <f>+(K115*'Penalty Fee - Static Service'!Q9)*K118</f>
        <v>4.1663691378645202</v>
      </c>
    </row>
    <row r="116" spans="1:21" x14ac:dyDescent="0.35">
      <c r="A116" s="224" t="s">
        <v>10</v>
      </c>
      <c r="B116" s="225"/>
      <c r="C116" s="6">
        <v>0</v>
      </c>
      <c r="D116" s="8">
        <v>2.8018904320987654</v>
      </c>
      <c r="E116" s="8"/>
      <c r="F116" s="30">
        <f t="shared" si="4"/>
        <v>1903494.7215952936</v>
      </c>
      <c r="G116" s="30">
        <f t="shared" si="4"/>
        <v>638453.88406635798</v>
      </c>
      <c r="H116" s="30">
        <f t="shared" si="4"/>
        <v>3896.6450617283945</v>
      </c>
      <c r="I116" s="31">
        <f t="shared" si="5"/>
        <v>0</v>
      </c>
      <c r="L116" s="38">
        <f>SUM(L113:L115)</f>
        <v>374.82555872971045</v>
      </c>
      <c r="M116" s="38">
        <f>SUM(M113:M115)</f>
        <v>10.461520697270425</v>
      </c>
      <c r="N116" s="38">
        <f>SUM(N113:N115)</f>
        <v>18.524502678390178</v>
      </c>
      <c r="O116" s="38">
        <f>SUM(O113:O115)</f>
        <v>195.7543666250105</v>
      </c>
    </row>
    <row r="117" spans="1:21" x14ac:dyDescent="0.35">
      <c r="A117" s="224" t="s">
        <v>31</v>
      </c>
      <c r="B117" s="225"/>
      <c r="C117" s="6">
        <v>0</v>
      </c>
      <c r="D117" s="8">
        <v>2.8661698956780919</v>
      </c>
      <c r="E117" s="8"/>
      <c r="F117" s="30">
        <f t="shared" si="4"/>
        <v>1961058.2923159462</v>
      </c>
      <c r="G117" s="30">
        <f t="shared" si="4"/>
        <v>1835767.74528763</v>
      </c>
      <c r="H117" s="30">
        <f t="shared" si="4"/>
        <v>152616.09490312962</v>
      </c>
      <c r="I117" s="31">
        <f t="shared" si="5"/>
        <v>0</v>
      </c>
      <c r="K117" t="s">
        <v>143</v>
      </c>
      <c r="L117" s="42" t="s">
        <v>144</v>
      </c>
      <c r="M117" s="37"/>
      <c r="N117" s="37"/>
      <c r="O117" s="37"/>
    </row>
    <row r="118" spans="1:21" s="24" customFormat="1" x14ac:dyDescent="0.35">
      <c r="F118" s="64">
        <f>0.0155*G118</f>
        <v>127369.95766929125</v>
      </c>
      <c r="G118" s="34">
        <f>+SUM(G113:G117)</f>
        <v>8217416.6238252418</v>
      </c>
      <c r="H118" s="29"/>
      <c r="I118" s="32" t="s">
        <v>137</v>
      </c>
      <c r="K118" s="36">
        <v>9.9999999999999995E-7</v>
      </c>
      <c r="L118" s="41">
        <f>(375/800)-1</f>
        <v>-0.53125</v>
      </c>
      <c r="M118" s="41">
        <f>+(10.46/28.23)-1</f>
        <v>-0.62947219270279842</v>
      </c>
      <c r="N118" s="41">
        <f>+(18.5/42.7)-1</f>
        <v>-0.56674473067915687</v>
      </c>
      <c r="O118" s="41">
        <f>+(195/216)-1</f>
        <v>-9.722222222222221E-2</v>
      </c>
    </row>
    <row r="119" spans="1:21" s="24" customFormat="1" x14ac:dyDescent="0.35">
      <c r="C119" s="24">
        <f>+SUM(G4:G98)</f>
        <v>2778111.78</v>
      </c>
      <c r="J119" s="43" t="s">
        <v>145</v>
      </c>
      <c r="K119" s="44">
        <v>75329</v>
      </c>
      <c r="L119" s="45"/>
    </row>
    <row r="120" spans="1:21" x14ac:dyDescent="0.35">
      <c r="F120" s="228" t="s">
        <v>130</v>
      </c>
      <c r="G120" s="228"/>
      <c r="H120" s="228"/>
      <c r="I120" s="228"/>
      <c r="J120" s="46">
        <v>2019</v>
      </c>
      <c r="K120" s="37">
        <v>83464</v>
      </c>
      <c r="L120" s="47">
        <f>+(K119/K120)-1</f>
        <v>-9.7467171475126957E-2</v>
      </c>
    </row>
    <row r="121" spans="1:21" x14ac:dyDescent="0.35">
      <c r="A121" s="9"/>
      <c r="B121" s="10"/>
      <c r="C121" s="10"/>
      <c r="D121" s="10"/>
      <c r="E121" s="10"/>
      <c r="F121" s="11">
        <v>2018</v>
      </c>
      <c r="G121" s="11">
        <v>2019</v>
      </c>
      <c r="H121" s="11">
        <v>2020</v>
      </c>
      <c r="I121" s="11">
        <v>2021</v>
      </c>
    </row>
    <row r="122" spans="1:21" x14ac:dyDescent="0.35">
      <c r="A122" s="226" t="s">
        <v>105</v>
      </c>
      <c r="B122" s="227"/>
      <c r="C122" s="5" t="s">
        <v>3</v>
      </c>
      <c r="D122" s="5"/>
      <c r="E122" s="5"/>
      <c r="F122" s="227" t="s">
        <v>134</v>
      </c>
      <c r="G122" s="227"/>
      <c r="H122" s="227"/>
      <c r="I122" s="227"/>
    </row>
    <row r="123" spans="1:21" x14ac:dyDescent="0.35">
      <c r="A123" s="224" t="s">
        <v>107</v>
      </c>
      <c r="B123" s="225"/>
      <c r="C123" s="6" t="s">
        <v>108</v>
      </c>
      <c r="D123" s="7"/>
      <c r="E123" s="7"/>
      <c r="F123" s="16">
        <f>SUM(F124:F128)</f>
        <v>2770902.0900000003</v>
      </c>
      <c r="G123" s="16">
        <f>SUM(G124:G128)</f>
        <v>2778111.7800000007</v>
      </c>
      <c r="H123" s="16">
        <f t="shared" ref="H123" si="6">SUM(H124:H128)</f>
        <v>2773475.1101000006</v>
      </c>
      <c r="I123" s="16">
        <f>SUM(I124:I128)</f>
        <v>2778154.7207090002</v>
      </c>
    </row>
    <row r="124" spans="1:21" x14ac:dyDescent="0.35">
      <c r="A124" s="224" t="s">
        <v>109</v>
      </c>
      <c r="B124" s="225"/>
      <c r="C124" s="6">
        <v>4</v>
      </c>
      <c r="D124" s="7"/>
      <c r="E124" s="7"/>
      <c r="F124" s="16">
        <f>SUMIF($C$4:$C$98, "EMD F125", F$4:F$98)</f>
        <v>296717.05</v>
      </c>
      <c r="G124" s="16">
        <f>SUMIF($C$4:$C$98, "EMD F125", G$4:G$98)</f>
        <v>869308.04000000039</v>
      </c>
      <c r="H124" s="16">
        <f>H105*1.18</f>
        <v>1777029.4606000003</v>
      </c>
      <c r="I124" s="16">
        <f>H124*1.265</f>
        <v>2247942.2676590001</v>
      </c>
    </row>
    <row r="125" spans="1:21" x14ac:dyDescent="0.35">
      <c r="A125" s="224" t="s">
        <v>110</v>
      </c>
      <c r="B125" s="225"/>
      <c r="C125" s="6">
        <v>2</v>
      </c>
      <c r="D125" s="7"/>
      <c r="E125" s="7"/>
      <c r="F125" s="16">
        <f>SUMIF($C$4:$C$98, "MP36PH-3C", F$4:F$98)</f>
        <v>731404.92000000016</v>
      </c>
      <c r="G125" s="16">
        <f>SUMIF($C$4:$C$98, "MP36PH-3C", G$4:G$98)</f>
        <v>657824.53000000026</v>
      </c>
      <c r="H125" s="16">
        <f>H106*1.15</f>
        <v>757446.36150000023</v>
      </c>
      <c r="I125" s="16">
        <f>H125*0.7</f>
        <v>530212.45305000013</v>
      </c>
    </row>
    <row r="126" spans="1:21" x14ac:dyDescent="0.35">
      <c r="A126" s="224" t="s">
        <v>111</v>
      </c>
      <c r="B126" s="225"/>
      <c r="C126" s="6">
        <v>2</v>
      </c>
      <c r="D126" s="7"/>
      <c r="E126" s="7"/>
      <c r="F126" s="16">
        <f>SUMIF($C$4:$C$98, "F59PHu", F$4:F$98)</f>
        <v>379210.58000000007</v>
      </c>
      <c r="G126" s="16">
        <f>SUMIF($C$4:$C$98, "F59PHu", G$4:G$98)</f>
        <v>382618.72000000003</v>
      </c>
      <c r="H126" s="16">
        <f>H107*1.1</f>
        <v>178897.35600000003</v>
      </c>
      <c r="I126" s="16">
        <v>0</v>
      </c>
    </row>
    <row r="127" spans="1:21" x14ac:dyDescent="0.35">
      <c r="A127" s="224" t="s">
        <v>10</v>
      </c>
      <c r="B127" s="225"/>
      <c r="C127" s="6">
        <v>0</v>
      </c>
      <c r="D127" s="7"/>
      <c r="E127" s="7"/>
      <c r="F127" s="16">
        <f>SUMIF($C$4:$C$98, "F59PH", F$4:F$98)</f>
        <v>679360.87000000011</v>
      </c>
      <c r="G127" s="16">
        <f>SUMIF($C$4:$C$98, "F59PH", G$4:G$98)</f>
        <v>227865.4</v>
      </c>
      <c r="H127" s="16">
        <f>H108*1.1</f>
        <v>1529.7919999999999</v>
      </c>
      <c r="I127" s="16">
        <v>0</v>
      </c>
    </row>
    <row r="128" spans="1:21" x14ac:dyDescent="0.35">
      <c r="A128" s="224" t="s">
        <v>31</v>
      </c>
      <c r="B128" s="225"/>
      <c r="C128" s="6">
        <v>0</v>
      </c>
      <c r="D128" s="7"/>
      <c r="E128" s="7"/>
      <c r="F128" s="16">
        <f>SUMIF($C$4:$C$98, "F59PHI", F$4:F$98)</f>
        <v>684208.67</v>
      </c>
      <c r="G128" s="16">
        <f>SUMIF($C$4:$C$98, "F59PHI", G$4:G$98)</f>
        <v>640495.09</v>
      </c>
      <c r="H128" s="16">
        <f>H109*1.1</f>
        <v>58572.14</v>
      </c>
      <c r="I128" s="16">
        <v>0</v>
      </c>
    </row>
    <row r="129" spans="1:10" x14ac:dyDescent="0.35">
      <c r="A129" s="9"/>
      <c r="B129" s="12"/>
      <c r="C129" s="12"/>
      <c r="D129" s="12"/>
      <c r="E129" s="12"/>
      <c r="F129" s="11">
        <v>2018</v>
      </c>
      <c r="G129" s="11">
        <v>2019</v>
      </c>
      <c r="H129" s="11">
        <v>2020</v>
      </c>
      <c r="I129" s="11">
        <v>2021</v>
      </c>
    </row>
    <row r="130" spans="1:10" x14ac:dyDescent="0.35">
      <c r="A130" s="226" t="s">
        <v>105</v>
      </c>
      <c r="B130" s="227"/>
      <c r="C130" s="5" t="s">
        <v>3</v>
      </c>
      <c r="D130" s="5" t="s">
        <v>112</v>
      </c>
      <c r="E130" s="5"/>
      <c r="F130" s="227" t="s">
        <v>135</v>
      </c>
      <c r="G130" s="227"/>
      <c r="H130" s="227"/>
      <c r="I130" s="227"/>
    </row>
    <row r="131" spans="1:10" x14ac:dyDescent="0.35">
      <c r="A131" s="224" t="s">
        <v>107</v>
      </c>
      <c r="B131" s="225"/>
      <c r="C131" s="6" t="s">
        <v>108</v>
      </c>
      <c r="D131" s="6" t="s">
        <v>108</v>
      </c>
      <c r="E131" s="6"/>
      <c r="F131" s="16">
        <f>SUM(F132:F136)</f>
        <v>7994992.8332440732</v>
      </c>
      <c r="G131" s="16">
        <f t="shared" ref="G131:I131" si="7">SUM(G132:G136)</f>
        <v>8217416.6238252418</v>
      </c>
      <c r="H131" s="16">
        <f t="shared" si="7"/>
        <v>8571493.4472380579</v>
      </c>
      <c r="I131" s="16">
        <f t="shared" si="7"/>
        <v>8749882.7521409858</v>
      </c>
    </row>
    <row r="132" spans="1:10" x14ac:dyDescent="0.35">
      <c r="A132" s="224" t="s">
        <v>109</v>
      </c>
      <c r="B132" s="225"/>
      <c r="C132" s="6">
        <v>4</v>
      </c>
      <c r="D132" s="8">
        <v>3.1858988176066507</v>
      </c>
      <c r="E132" s="8"/>
      <c r="F132" s="16">
        <f>F124*$D132</f>
        <v>945310.49875873339</v>
      </c>
      <c r="G132" s="16">
        <f>G124*$D132</f>
        <v>2769527.4567719563</v>
      </c>
      <c r="H132" s="16">
        <f>H124*$D132</f>
        <v>5661436.0573777258</v>
      </c>
      <c r="I132" s="16">
        <f>I124*$D132</f>
        <v>7161716.6125828214</v>
      </c>
    </row>
    <row r="133" spans="1:10" x14ac:dyDescent="0.35">
      <c r="A133" s="224" t="s">
        <v>110</v>
      </c>
      <c r="B133" s="225"/>
      <c r="C133" s="6">
        <v>2</v>
      </c>
      <c r="D133" s="8">
        <v>2.9953391898330177</v>
      </c>
      <c r="E133" s="8"/>
      <c r="F133" s="16">
        <f t="shared" ref="F133:F136" si="8">F125*$D133</f>
        <v>2190805.8205126836</v>
      </c>
      <c r="G133" s="16">
        <f t="shared" ref="G133:I136" si="9">G125*$D133</f>
        <v>1970407.5947424865</v>
      </c>
      <c r="H133" s="16">
        <f t="shared" si="9"/>
        <v>2268808.7707973779</v>
      </c>
      <c r="I133" s="16">
        <f>I125*$D133</f>
        <v>1588166.1395581644</v>
      </c>
    </row>
    <row r="134" spans="1:10" x14ac:dyDescent="0.35">
      <c r="A134" s="224" t="s">
        <v>111</v>
      </c>
      <c r="B134" s="225"/>
      <c r="C134" s="6">
        <v>2</v>
      </c>
      <c r="D134" s="8">
        <v>2.6220879703868403</v>
      </c>
      <c r="E134" s="8"/>
      <c r="F134" s="16">
        <f t="shared" si="8"/>
        <v>994323.50006141677</v>
      </c>
      <c r="G134" s="16">
        <f t="shared" si="9"/>
        <v>1003259.9429568108</v>
      </c>
      <c r="H134" s="16">
        <f t="shared" si="9"/>
        <v>469084.60510161211</v>
      </c>
      <c r="I134" s="16">
        <f t="shared" si="9"/>
        <v>0</v>
      </c>
    </row>
    <row r="135" spans="1:10" x14ac:dyDescent="0.35">
      <c r="A135" s="224" t="s">
        <v>10</v>
      </c>
      <c r="B135" s="225"/>
      <c r="C135" s="6">
        <v>0</v>
      </c>
      <c r="D135" s="8">
        <v>2.8018904320987654</v>
      </c>
      <c r="E135" s="8"/>
      <c r="F135" s="16">
        <f t="shared" si="8"/>
        <v>1903494.7215952936</v>
      </c>
      <c r="G135" s="16">
        <f t="shared" si="9"/>
        <v>638453.88406635798</v>
      </c>
      <c r="H135" s="16">
        <f t="shared" si="9"/>
        <v>4286.309567901234</v>
      </c>
      <c r="I135" s="16">
        <f t="shared" si="9"/>
        <v>0</v>
      </c>
    </row>
    <row r="136" spans="1:10" x14ac:dyDescent="0.35">
      <c r="A136" s="224" t="s">
        <v>31</v>
      </c>
      <c r="B136" s="225"/>
      <c r="C136" s="6">
        <v>0</v>
      </c>
      <c r="D136" s="8">
        <v>2.8661698956780919</v>
      </c>
      <c r="E136" s="8"/>
      <c r="F136" s="16">
        <f t="shared" si="8"/>
        <v>1961058.2923159462</v>
      </c>
      <c r="G136" s="16">
        <f t="shared" si="9"/>
        <v>1835767.74528763</v>
      </c>
      <c r="H136" s="16">
        <f t="shared" si="9"/>
        <v>167877.7043934426</v>
      </c>
      <c r="I136" s="16">
        <f t="shared" si="9"/>
        <v>0</v>
      </c>
    </row>
    <row r="137" spans="1:10" x14ac:dyDescent="0.35">
      <c r="H137" t="s">
        <v>278</v>
      </c>
      <c r="J137">
        <v>20.25</v>
      </c>
    </row>
    <row r="138" spans="1:10" x14ac:dyDescent="0.35">
      <c r="B138">
        <v>149407.57497864077</v>
      </c>
      <c r="F138" t="s">
        <v>275</v>
      </c>
      <c r="G138" s="208">
        <f>+K3</f>
        <v>152512.61838421563</v>
      </c>
      <c r="H138" t="s">
        <v>277</v>
      </c>
      <c r="I138" t="s">
        <v>110</v>
      </c>
    </row>
    <row r="139" spans="1:10" x14ac:dyDescent="0.35">
      <c r="F139" t="s">
        <v>274</v>
      </c>
      <c r="G139">
        <v>1.55E-2</v>
      </c>
      <c r="H139">
        <v>4700</v>
      </c>
      <c r="I139">
        <f>3600</f>
        <v>3600</v>
      </c>
    </row>
    <row r="140" spans="1:10" x14ac:dyDescent="0.35">
      <c r="F140" t="s">
        <v>276</v>
      </c>
      <c r="G140">
        <f>+G138*G139</f>
        <v>2363.9455849553424</v>
      </c>
      <c r="H140">
        <f>+$J$137*H139</f>
        <v>95175</v>
      </c>
      <c r="I140" s="24">
        <f>+$J$137*I139</f>
        <v>72900</v>
      </c>
    </row>
    <row r="141" spans="1:10" x14ac:dyDescent="0.35">
      <c r="H141">
        <f>+H140/G140</f>
        <v>40.261079022171302</v>
      </c>
      <c r="I141">
        <f>+I140/G140</f>
        <v>30.838273293578016</v>
      </c>
    </row>
    <row r="142" spans="1:10" x14ac:dyDescent="0.35">
      <c r="H142" s="66">
        <f>+H140/G139</f>
        <v>6140322.5806451617</v>
      </c>
    </row>
  </sheetData>
  <mergeCells count="35">
    <mergeCell ref="A134:B134"/>
    <mergeCell ref="A135:B135"/>
    <mergeCell ref="A136:B136"/>
    <mergeCell ref="F130:I130"/>
    <mergeCell ref="A128:B128"/>
    <mergeCell ref="A130:B130"/>
    <mergeCell ref="A131:B131"/>
    <mergeCell ref="A132:B132"/>
    <mergeCell ref="A133:B133"/>
    <mergeCell ref="A123:B123"/>
    <mergeCell ref="A124:B124"/>
    <mergeCell ref="A125:B125"/>
    <mergeCell ref="A126:B126"/>
    <mergeCell ref="A127:B127"/>
    <mergeCell ref="F120:I120"/>
    <mergeCell ref="F103:I103"/>
    <mergeCell ref="F122:I122"/>
    <mergeCell ref="F111:I111"/>
    <mergeCell ref="A122:B122"/>
    <mergeCell ref="A1:G1"/>
    <mergeCell ref="A115:B115"/>
    <mergeCell ref="A116:B116"/>
    <mergeCell ref="A117:B117"/>
    <mergeCell ref="A107:B107"/>
    <mergeCell ref="A108:B108"/>
    <mergeCell ref="A109:B109"/>
    <mergeCell ref="A111:B111"/>
    <mergeCell ref="A112:B112"/>
    <mergeCell ref="A113:B113"/>
    <mergeCell ref="A114:B114"/>
    <mergeCell ref="A103:B103"/>
    <mergeCell ref="A104:B104"/>
    <mergeCell ref="A105:B105"/>
    <mergeCell ref="A106:B106"/>
    <mergeCell ref="F2:I2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B9EC48-5137-4F2B-A86D-18C78D7D463A}">
  <sheetPr codeName="Sheet10"/>
  <dimension ref="A1:Q100"/>
  <sheetViews>
    <sheetView workbookViewId="0">
      <selection activeCell="L23" sqref="L23:M23"/>
    </sheetView>
  </sheetViews>
  <sheetFormatPr defaultRowHeight="14.5" x14ac:dyDescent="0.35"/>
  <cols>
    <col min="5" max="5" width="15.1796875" customWidth="1"/>
    <col min="13" max="13" width="10.54296875" bestFit="1" customWidth="1"/>
    <col min="14" max="14" width="15.1796875" customWidth="1"/>
  </cols>
  <sheetData>
    <row r="1" spans="1:17" s="24" customFormat="1" ht="60" customHeight="1" x14ac:dyDescent="0.35">
      <c r="A1" s="230" t="s">
        <v>128</v>
      </c>
      <c r="B1" s="231"/>
      <c r="C1" s="231"/>
      <c r="D1" s="231"/>
      <c r="E1" s="231"/>
      <c r="F1" s="231"/>
      <c r="G1" s="231"/>
    </row>
    <row r="6" spans="1:17" ht="15" thickBot="1" x14ac:dyDescent="0.4">
      <c r="A6" s="229" t="s">
        <v>131</v>
      </c>
      <c r="B6" s="229"/>
      <c r="C6" s="229"/>
      <c r="D6" s="229"/>
      <c r="E6" s="229"/>
      <c r="G6" s="229" t="s">
        <v>113</v>
      </c>
      <c r="H6" s="229"/>
      <c r="I6" s="229"/>
      <c r="J6" s="229"/>
      <c r="K6" s="229"/>
      <c r="M6" s="229" t="s">
        <v>114</v>
      </c>
      <c r="N6" s="229"/>
      <c r="O6" s="229"/>
      <c r="P6" s="229"/>
      <c r="Q6" s="229"/>
    </row>
    <row r="7" spans="1:17" ht="18.5" thickBot="1" x14ac:dyDescent="0.4">
      <c r="A7" s="17"/>
      <c r="B7" s="19" t="s">
        <v>116</v>
      </c>
      <c r="C7" s="19" t="s">
        <v>117</v>
      </c>
      <c r="D7" s="19" t="s">
        <v>118</v>
      </c>
      <c r="E7" s="19" t="s">
        <v>115</v>
      </c>
      <c r="G7" s="17"/>
      <c r="H7" s="19" t="s">
        <v>116</v>
      </c>
      <c r="I7" s="19" t="s">
        <v>117</v>
      </c>
      <c r="J7" s="19" t="s">
        <v>118</v>
      </c>
      <c r="K7" s="19" t="s">
        <v>115</v>
      </c>
      <c r="M7" s="18"/>
      <c r="N7" s="19" t="s">
        <v>116</v>
      </c>
      <c r="O7" s="19" t="s">
        <v>117</v>
      </c>
      <c r="P7" s="19" t="s">
        <v>118</v>
      </c>
      <c r="Q7" s="19" t="s">
        <v>115</v>
      </c>
    </row>
    <row r="8" spans="1:17" ht="30.5" thickBot="1" x14ac:dyDescent="0.4">
      <c r="A8" s="20" t="s">
        <v>119</v>
      </c>
      <c r="B8" s="25">
        <f>H8/$B$19</f>
        <v>0.42895442359249331</v>
      </c>
      <c r="C8" s="25">
        <f t="shared" ref="C8:E8" si="0">I8/$B$19</f>
        <v>0.64343163538873993</v>
      </c>
      <c r="D8" s="25">
        <f t="shared" si="0"/>
        <v>17.426273458445042</v>
      </c>
      <c r="E8" s="25">
        <f t="shared" si="0"/>
        <v>1.7158176943699732</v>
      </c>
      <c r="G8" s="20" t="s">
        <v>119</v>
      </c>
      <c r="H8" s="21">
        <v>0.32</v>
      </c>
      <c r="I8" s="21">
        <v>0.48</v>
      </c>
      <c r="J8" s="21">
        <v>13</v>
      </c>
      <c r="K8" s="21">
        <v>1.28</v>
      </c>
      <c r="M8" s="22" t="s">
        <v>119</v>
      </c>
      <c r="N8" s="23">
        <v>6.66</v>
      </c>
      <c r="O8" s="23">
        <v>9.98</v>
      </c>
      <c r="P8" s="23">
        <v>270.39999999999998</v>
      </c>
      <c r="Q8" s="23">
        <v>26.62</v>
      </c>
    </row>
    <row r="9" spans="1:17" ht="15.5" thickBot="1" x14ac:dyDescent="0.4">
      <c r="A9" s="20" t="s">
        <v>120</v>
      </c>
      <c r="B9" s="25">
        <f t="shared" ref="B9:B16" si="1">H9/$B$19</f>
        <v>0.42895442359249331</v>
      </c>
      <c r="C9" s="25">
        <f t="shared" ref="C9:C16" si="2">I9/$B$19</f>
        <v>0.64343163538873993</v>
      </c>
      <c r="D9" s="25">
        <f t="shared" ref="D9:D16" si="3">J9/$B$19</f>
        <v>11.528150134048257</v>
      </c>
      <c r="E9" s="25">
        <f t="shared" ref="E9:E16" si="4">K9/$B$19</f>
        <v>1.7158176943699732</v>
      </c>
      <c r="G9" s="20" t="s">
        <v>120</v>
      </c>
      <c r="H9" s="21">
        <v>0.32</v>
      </c>
      <c r="I9" s="21">
        <v>0.48</v>
      </c>
      <c r="J9" s="21">
        <v>8.6</v>
      </c>
      <c r="K9" s="21">
        <v>1.28</v>
      </c>
      <c r="M9" s="22" t="s">
        <v>120</v>
      </c>
      <c r="N9" s="23">
        <v>6.66</v>
      </c>
      <c r="O9" s="23">
        <v>9.98</v>
      </c>
      <c r="P9" s="23">
        <v>178.88</v>
      </c>
      <c r="Q9" s="23">
        <v>26.62</v>
      </c>
    </row>
    <row r="10" spans="1:17" ht="15.5" thickBot="1" x14ac:dyDescent="0.4">
      <c r="A10" s="20" t="s">
        <v>121</v>
      </c>
      <c r="B10" s="25">
        <f t="shared" si="1"/>
        <v>0.26809651474530832</v>
      </c>
      <c r="C10" s="25">
        <f t="shared" si="2"/>
        <v>0.40214477211796246</v>
      </c>
      <c r="D10" s="25">
        <f t="shared" si="3"/>
        <v>9.6514745308311003</v>
      </c>
      <c r="E10" s="25">
        <f t="shared" si="4"/>
        <v>1.7158176943699732</v>
      </c>
      <c r="G10" s="20" t="s">
        <v>121</v>
      </c>
      <c r="H10" s="21">
        <v>0.2</v>
      </c>
      <c r="I10" s="21">
        <v>0.3</v>
      </c>
      <c r="J10" s="21">
        <v>7.2</v>
      </c>
      <c r="K10" s="21">
        <v>1.28</v>
      </c>
      <c r="M10" s="22" t="s">
        <v>121</v>
      </c>
      <c r="N10" s="23">
        <v>4.16</v>
      </c>
      <c r="O10" s="23">
        <v>6.24</v>
      </c>
      <c r="P10" s="23">
        <v>149.76</v>
      </c>
      <c r="Q10" s="23">
        <v>26.62</v>
      </c>
    </row>
    <row r="11" spans="1:17" ht="15.5" thickBot="1" x14ac:dyDescent="0.4">
      <c r="A11" s="20" t="s">
        <v>122</v>
      </c>
      <c r="B11" s="25">
        <f t="shared" si="1"/>
        <v>0.42895442359249331</v>
      </c>
      <c r="C11" s="25">
        <f t="shared" si="2"/>
        <v>0.63002680965147451</v>
      </c>
      <c r="D11" s="25">
        <f t="shared" si="3"/>
        <v>8.9812332439678286</v>
      </c>
      <c r="E11" s="25">
        <f t="shared" si="4"/>
        <v>1.7158176943699732</v>
      </c>
      <c r="G11" s="20" t="s">
        <v>122</v>
      </c>
      <c r="H11" s="21">
        <v>0.32</v>
      </c>
      <c r="I11" s="21">
        <v>0.47</v>
      </c>
      <c r="J11" s="21">
        <v>6.7</v>
      </c>
      <c r="K11" s="21">
        <v>1.28</v>
      </c>
      <c r="M11" s="22" t="s">
        <v>122</v>
      </c>
      <c r="N11" s="23">
        <v>6.66</v>
      </c>
      <c r="O11" s="23">
        <v>9.7799999999999994</v>
      </c>
      <c r="P11" s="23">
        <v>139.36000000000001</v>
      </c>
      <c r="Q11" s="23">
        <v>26.62</v>
      </c>
    </row>
    <row r="12" spans="1:17" ht="15.5" thickBot="1" x14ac:dyDescent="0.4">
      <c r="A12" s="20" t="s">
        <v>123</v>
      </c>
      <c r="B12" s="25">
        <f t="shared" si="1"/>
        <v>0.26809651474530832</v>
      </c>
      <c r="C12" s="25">
        <f t="shared" si="2"/>
        <v>0.38873994638069703</v>
      </c>
      <c r="D12" s="25">
        <f t="shared" si="3"/>
        <v>8.9812332439678286</v>
      </c>
      <c r="E12" s="25">
        <f t="shared" si="4"/>
        <v>1.7158176943699732</v>
      </c>
      <c r="G12" s="20" t="s">
        <v>123</v>
      </c>
      <c r="H12" s="21">
        <v>0.2</v>
      </c>
      <c r="I12" s="21">
        <v>0.28999999999999998</v>
      </c>
      <c r="J12" s="21">
        <v>6.7</v>
      </c>
      <c r="K12" s="21">
        <v>1.28</v>
      </c>
      <c r="M12" s="22" t="s">
        <v>123</v>
      </c>
      <c r="N12" s="23">
        <v>4.16</v>
      </c>
      <c r="O12" s="23">
        <v>6.03</v>
      </c>
      <c r="P12" s="23">
        <v>139.36000000000001</v>
      </c>
      <c r="Q12" s="23">
        <v>26.62</v>
      </c>
    </row>
    <row r="13" spans="1:17" ht="15.5" thickBot="1" x14ac:dyDescent="0.4">
      <c r="A13" s="20" t="s">
        <v>124</v>
      </c>
      <c r="B13" s="25">
        <f t="shared" si="1"/>
        <v>0.24128686327077747</v>
      </c>
      <c r="C13" s="25">
        <f t="shared" si="2"/>
        <v>0.34852546916890081</v>
      </c>
      <c r="D13" s="25">
        <f t="shared" si="3"/>
        <v>6.6353887399463813</v>
      </c>
      <c r="E13" s="25">
        <f t="shared" si="4"/>
        <v>1.7158176943699732</v>
      </c>
      <c r="G13" s="20" t="s">
        <v>124</v>
      </c>
      <c r="H13" s="21">
        <v>0.18</v>
      </c>
      <c r="I13" s="21">
        <v>0.26</v>
      </c>
      <c r="J13" s="21">
        <v>4.95</v>
      </c>
      <c r="K13" s="21">
        <v>1.28</v>
      </c>
      <c r="M13" s="22" t="s">
        <v>124</v>
      </c>
      <c r="N13" s="23">
        <v>3.74</v>
      </c>
      <c r="O13" s="23">
        <v>5.41</v>
      </c>
      <c r="P13" s="23">
        <v>102.96</v>
      </c>
      <c r="Q13" s="23">
        <v>26.62</v>
      </c>
    </row>
    <row r="14" spans="1:17" ht="15.5" thickBot="1" x14ac:dyDescent="0.4">
      <c r="A14" s="20" t="s">
        <v>125</v>
      </c>
      <c r="B14" s="25">
        <f t="shared" si="1"/>
        <v>0.10723860589812333</v>
      </c>
      <c r="C14" s="25">
        <f t="shared" si="2"/>
        <v>0.17426273458445041</v>
      </c>
      <c r="D14" s="25">
        <f t="shared" si="3"/>
        <v>6.6353887399463813</v>
      </c>
      <c r="E14" s="25">
        <f t="shared" si="4"/>
        <v>1.7158176943699732</v>
      </c>
      <c r="G14" s="20" t="s">
        <v>125</v>
      </c>
      <c r="H14" s="21">
        <v>0.08</v>
      </c>
      <c r="I14" s="21">
        <v>0.13</v>
      </c>
      <c r="J14" s="21">
        <v>4.95</v>
      </c>
      <c r="K14" s="21">
        <v>1.28</v>
      </c>
      <c r="M14" s="22" t="s">
        <v>125</v>
      </c>
      <c r="N14" s="23">
        <v>1.66</v>
      </c>
      <c r="O14" s="23">
        <v>2.7</v>
      </c>
      <c r="P14" s="23">
        <v>102.96</v>
      </c>
      <c r="Q14" s="23">
        <v>26.62</v>
      </c>
    </row>
    <row r="15" spans="1:17" ht="15.5" thickBot="1" x14ac:dyDescent="0.4">
      <c r="A15" s="20" t="s">
        <v>126</v>
      </c>
      <c r="B15" s="25">
        <f t="shared" si="1"/>
        <v>0.10723860589812333</v>
      </c>
      <c r="C15" s="25">
        <f t="shared" si="2"/>
        <v>0.17426273458445041</v>
      </c>
      <c r="D15" s="25">
        <f t="shared" si="3"/>
        <v>6.6353887399463813</v>
      </c>
      <c r="E15" s="25">
        <f t="shared" si="4"/>
        <v>1.7158176943699732</v>
      </c>
      <c r="G15" s="20" t="s">
        <v>126</v>
      </c>
      <c r="H15" s="21">
        <v>0.08</v>
      </c>
      <c r="I15" s="21">
        <v>0.13</v>
      </c>
      <c r="J15" s="21">
        <v>4.95</v>
      </c>
      <c r="K15" s="21">
        <v>1.28</v>
      </c>
      <c r="M15" s="22" t="s">
        <v>126</v>
      </c>
      <c r="N15" s="23">
        <v>1.66</v>
      </c>
      <c r="O15" s="23">
        <v>2.7</v>
      </c>
      <c r="P15" s="23">
        <v>102.96</v>
      </c>
      <c r="Q15" s="23">
        <v>26.62</v>
      </c>
    </row>
    <row r="16" spans="1:17" ht="15.5" thickBot="1" x14ac:dyDescent="0.4">
      <c r="A16" s="20" t="s">
        <v>127</v>
      </c>
      <c r="B16" s="25">
        <f t="shared" si="1"/>
        <v>2.0107238605898123E-2</v>
      </c>
      <c r="C16" s="25">
        <f t="shared" si="2"/>
        <v>5.3619302949061663E-2</v>
      </c>
      <c r="D16" s="25">
        <f t="shared" si="3"/>
        <v>1.3404825737265416</v>
      </c>
      <c r="E16" s="25">
        <f t="shared" si="4"/>
        <v>1.7158176943699732</v>
      </c>
      <c r="G16" s="20" t="s">
        <v>127</v>
      </c>
      <c r="H16" s="21">
        <v>1.4999999999999999E-2</v>
      </c>
      <c r="I16" s="21">
        <v>0.04</v>
      </c>
      <c r="J16" s="21">
        <v>1</v>
      </c>
      <c r="K16" s="21">
        <v>1.28</v>
      </c>
      <c r="M16" s="22" t="s">
        <v>127</v>
      </c>
      <c r="N16" s="23">
        <v>0.31</v>
      </c>
      <c r="O16" s="23">
        <v>0.83</v>
      </c>
      <c r="P16" s="23">
        <v>20.8</v>
      </c>
      <c r="Q16" s="23">
        <v>26.62</v>
      </c>
    </row>
    <row r="17" spans="1:14" x14ac:dyDescent="0.35">
      <c r="A17" s="24"/>
      <c r="B17" s="24"/>
      <c r="C17" s="24"/>
      <c r="D17" s="24"/>
      <c r="E17" s="24"/>
    </row>
    <row r="18" spans="1:14" x14ac:dyDescent="0.35">
      <c r="A18" s="24"/>
      <c r="B18" s="24"/>
      <c r="C18" s="24"/>
      <c r="D18" s="24"/>
      <c r="E18" s="24"/>
    </row>
    <row r="19" spans="1:14" x14ac:dyDescent="0.35">
      <c r="A19" s="26" t="s">
        <v>132</v>
      </c>
      <c r="B19" s="27">
        <v>0.746</v>
      </c>
      <c r="C19" s="28" t="s">
        <v>133</v>
      </c>
      <c r="D19" s="24"/>
      <c r="E19" s="24"/>
    </row>
    <row r="20" spans="1:14" x14ac:dyDescent="0.35">
      <c r="H20" s="56"/>
      <c r="I20" s="56"/>
      <c r="J20" s="56" t="s">
        <v>156</v>
      </c>
      <c r="K20" s="56" t="s">
        <v>154</v>
      </c>
      <c r="L20" s="56"/>
      <c r="M20" s="54"/>
      <c r="N20" s="56" t="s">
        <v>157</v>
      </c>
    </row>
    <row r="21" spans="1:14" x14ac:dyDescent="0.35">
      <c r="F21" t="s">
        <v>153</v>
      </c>
      <c r="H21" s="57" t="s">
        <v>150</v>
      </c>
      <c r="I21" s="57" t="s">
        <v>141</v>
      </c>
      <c r="J21" s="57" t="s">
        <v>155</v>
      </c>
      <c r="K21" s="57" t="s">
        <v>155</v>
      </c>
      <c r="L21" s="57"/>
      <c r="M21" s="55" t="s">
        <v>151</v>
      </c>
      <c r="N21" s="57" t="s">
        <v>158</v>
      </c>
    </row>
    <row r="22" spans="1:14" x14ac:dyDescent="0.35">
      <c r="A22" s="50" t="s">
        <v>152</v>
      </c>
      <c r="B22" s="50"/>
      <c r="C22" s="50"/>
      <c r="D22" s="50"/>
      <c r="G22" s="58" t="s">
        <v>148</v>
      </c>
      <c r="H22" s="24">
        <v>5.5</v>
      </c>
      <c r="I22" s="24">
        <v>0.2</v>
      </c>
      <c r="J22" s="24">
        <v>13.1</v>
      </c>
      <c r="K22" s="24">
        <v>79.099999999999994</v>
      </c>
      <c r="L22" s="24">
        <f>+H22+I22*J22*K22</f>
        <v>212.74199999999999</v>
      </c>
      <c r="M22" s="49">
        <v>12788</v>
      </c>
      <c r="N22" s="51">
        <f>+L22*M22</f>
        <v>2720544.696</v>
      </c>
    </row>
    <row r="23" spans="1:14" x14ac:dyDescent="0.35">
      <c r="G23" s="59"/>
      <c r="H23" s="24"/>
      <c r="I23" s="24"/>
      <c r="J23" s="24"/>
      <c r="K23" s="24"/>
      <c r="L23" s="24"/>
      <c r="M23" s="48"/>
      <c r="N23" s="51"/>
    </row>
    <row r="24" spans="1:14" ht="15" thickBot="1" x14ac:dyDescent="0.4">
      <c r="G24" s="58" t="s">
        <v>149</v>
      </c>
      <c r="H24" s="24">
        <v>1.3</v>
      </c>
      <c r="I24" s="24">
        <v>0.03</v>
      </c>
      <c r="J24" s="24">
        <v>13.1</v>
      </c>
      <c r="K24" s="24">
        <v>79.099999999999994</v>
      </c>
      <c r="L24" s="24">
        <f>+H24+I24*J24*K24</f>
        <v>32.386299999999991</v>
      </c>
      <c r="M24" s="49">
        <v>55652</v>
      </c>
      <c r="N24" s="52">
        <f>+L24*M24</f>
        <v>1802362.3675999995</v>
      </c>
    </row>
    <row r="25" spans="1:14" ht="15" thickBot="1" x14ac:dyDescent="0.4">
      <c r="H25" s="24"/>
      <c r="I25" s="24"/>
      <c r="J25" s="24"/>
      <c r="K25" s="24"/>
      <c r="L25" s="24"/>
      <c r="N25" s="53">
        <f>SUM(N22:N24)</f>
        <v>4522907.0636</v>
      </c>
    </row>
    <row r="26" spans="1:14" x14ac:dyDescent="0.35">
      <c r="B26" t="s">
        <v>159</v>
      </c>
      <c r="G26" s="60">
        <v>2023</v>
      </c>
      <c r="H26" s="24"/>
      <c r="I26" s="24"/>
      <c r="J26" s="24"/>
      <c r="K26" s="24"/>
      <c r="L26" s="24"/>
    </row>
    <row r="27" spans="1:14" x14ac:dyDescent="0.35">
      <c r="G27" s="58" t="s">
        <v>148</v>
      </c>
      <c r="H27" s="24">
        <v>5.5</v>
      </c>
      <c r="I27" s="24">
        <v>0.2</v>
      </c>
      <c r="J27" s="24">
        <v>13.1</v>
      </c>
      <c r="K27" s="24">
        <v>82.3</v>
      </c>
      <c r="L27" s="24">
        <f>+H27+I27*J27*K27</f>
        <v>221.126</v>
      </c>
      <c r="M27" s="49">
        <v>12788</v>
      </c>
      <c r="N27" s="51">
        <f>+L27*M27</f>
        <v>2827759.2880000002</v>
      </c>
    </row>
    <row r="28" spans="1:14" x14ac:dyDescent="0.35">
      <c r="G28" s="59"/>
      <c r="H28" s="24"/>
      <c r="I28" s="24"/>
      <c r="J28" s="24"/>
      <c r="K28" s="24"/>
      <c r="L28" s="24"/>
      <c r="M28" s="48"/>
      <c r="N28" s="51"/>
    </row>
    <row r="29" spans="1:14" x14ac:dyDescent="0.35">
      <c r="G29" s="58" t="s">
        <v>149</v>
      </c>
      <c r="H29" s="24">
        <v>1.3</v>
      </c>
      <c r="I29" s="24">
        <v>0.03</v>
      </c>
      <c r="J29" s="24">
        <v>13.1</v>
      </c>
      <c r="K29" s="24">
        <v>82.3</v>
      </c>
      <c r="L29" s="24">
        <f>+H29+I29*J29*K29</f>
        <v>33.643899999999995</v>
      </c>
      <c r="M29" s="49">
        <v>55652</v>
      </c>
      <c r="N29" s="52">
        <f>+L29*M29</f>
        <v>1872350.3227999997</v>
      </c>
    </row>
    <row r="30" spans="1:14" x14ac:dyDescent="0.35">
      <c r="H30" s="24"/>
      <c r="I30" s="24"/>
      <c r="J30" s="24"/>
      <c r="K30" s="24"/>
      <c r="L30" s="24"/>
      <c r="N30" s="61">
        <f>SUM(N27:N29)</f>
        <v>4700109.6107999999</v>
      </c>
    </row>
    <row r="31" spans="1:14" x14ac:dyDescent="0.35">
      <c r="G31" s="60">
        <v>2024</v>
      </c>
      <c r="H31" s="24"/>
      <c r="I31" s="24"/>
      <c r="J31" s="24"/>
      <c r="K31" s="24"/>
      <c r="L31" s="24"/>
      <c r="M31" s="24"/>
      <c r="N31" s="24"/>
    </row>
    <row r="32" spans="1:14" x14ac:dyDescent="0.35">
      <c r="G32" s="58" t="s">
        <v>148</v>
      </c>
      <c r="H32" s="24">
        <v>5.5</v>
      </c>
      <c r="I32" s="24">
        <v>0.2</v>
      </c>
      <c r="J32" s="24">
        <v>13.1</v>
      </c>
      <c r="K32" s="24">
        <v>85.6</v>
      </c>
      <c r="L32" s="24">
        <f>+H32+I32*J32*K32</f>
        <v>229.77199999999999</v>
      </c>
      <c r="M32" s="49">
        <v>12788</v>
      </c>
      <c r="N32" s="51">
        <f>+L32*M32</f>
        <v>2938324.3359999997</v>
      </c>
    </row>
    <row r="33" spans="4:14" x14ac:dyDescent="0.35">
      <c r="G33" s="59"/>
      <c r="H33" s="24"/>
      <c r="I33" s="24"/>
      <c r="J33" s="24"/>
      <c r="K33" s="24"/>
      <c r="L33" s="24"/>
      <c r="M33" s="48"/>
      <c r="N33" s="51"/>
    </row>
    <row r="34" spans="4:14" x14ac:dyDescent="0.35">
      <c r="G34" s="58" t="s">
        <v>149</v>
      </c>
      <c r="H34" s="24">
        <v>1.3</v>
      </c>
      <c r="I34" s="24">
        <v>0.03</v>
      </c>
      <c r="J34" s="24">
        <v>13.1</v>
      </c>
      <c r="K34" s="24">
        <v>85.6</v>
      </c>
      <c r="L34" s="24">
        <f>+H34+I34*J34*K34</f>
        <v>34.940799999999989</v>
      </c>
      <c r="M34" s="49">
        <v>55652</v>
      </c>
      <c r="N34" s="52">
        <f>+L34*M34</f>
        <v>1944525.4015999993</v>
      </c>
    </row>
    <row r="35" spans="4:14" x14ac:dyDescent="0.35">
      <c r="G35" s="24"/>
      <c r="H35" s="24"/>
      <c r="I35" s="24"/>
      <c r="J35" s="24"/>
      <c r="K35" s="24"/>
      <c r="L35" s="24"/>
      <c r="M35" s="24"/>
      <c r="N35" s="61">
        <f>SUM(N32:N34)</f>
        <v>4882849.7375999987</v>
      </c>
    </row>
    <row r="36" spans="4:14" x14ac:dyDescent="0.35">
      <c r="G36" s="60">
        <v>2025</v>
      </c>
      <c r="H36" s="24"/>
      <c r="I36" s="24"/>
      <c r="J36" s="24"/>
      <c r="K36" s="24"/>
      <c r="L36" s="24"/>
      <c r="M36" s="24"/>
      <c r="N36" s="24"/>
    </row>
    <row r="37" spans="4:14" x14ac:dyDescent="0.35">
      <c r="G37" s="58" t="s">
        <v>148</v>
      </c>
      <c r="H37" s="24">
        <v>5.5</v>
      </c>
      <c r="I37" s="24">
        <v>0.2</v>
      </c>
      <c r="J37" s="24">
        <v>13.1</v>
      </c>
      <c r="K37" s="24">
        <v>89</v>
      </c>
      <c r="L37" s="24">
        <f>+H37+I37*J37*K37</f>
        <v>238.68</v>
      </c>
      <c r="M37" s="49">
        <v>12788</v>
      </c>
      <c r="N37" s="51">
        <f>+L37*M37</f>
        <v>3052239.8400000003</v>
      </c>
    </row>
    <row r="38" spans="4:14" x14ac:dyDescent="0.35">
      <c r="G38" s="59"/>
      <c r="H38" s="24"/>
      <c r="I38" s="24"/>
      <c r="J38" s="24"/>
      <c r="K38" s="24"/>
      <c r="L38" s="24"/>
      <c r="M38" s="48"/>
      <c r="N38" s="51"/>
    </row>
    <row r="39" spans="4:14" x14ac:dyDescent="0.35">
      <c r="G39" s="58" t="s">
        <v>149</v>
      </c>
      <c r="H39" s="24">
        <v>1.3</v>
      </c>
      <c r="I39" s="24">
        <v>0.03</v>
      </c>
      <c r="J39" s="24">
        <v>13.1</v>
      </c>
      <c r="K39" s="24">
        <v>89</v>
      </c>
      <c r="L39" s="24">
        <f>+H39+I39*J39*K39</f>
        <v>36.276999999999994</v>
      </c>
      <c r="M39" s="49">
        <v>55652</v>
      </c>
      <c r="N39" s="52">
        <f>+L39*M39</f>
        <v>2018887.6039999996</v>
      </c>
    </row>
    <row r="40" spans="4:14" x14ac:dyDescent="0.35">
      <c r="G40" s="24"/>
      <c r="H40" s="24"/>
      <c r="I40" s="24"/>
      <c r="J40" s="24"/>
      <c r="K40" s="24"/>
      <c r="L40" s="24"/>
      <c r="M40" s="24"/>
      <c r="N40" s="61">
        <f>SUM(N37:N39)</f>
        <v>5071127.4440000001</v>
      </c>
    </row>
    <row r="41" spans="4:14" x14ac:dyDescent="0.35">
      <c r="D41" t="s">
        <v>160</v>
      </c>
      <c r="E41" s="62">
        <f>+N40+N35+N30+N25</f>
        <v>19176993.855999999</v>
      </c>
    </row>
    <row r="42" spans="4:14" x14ac:dyDescent="0.35">
      <c r="G42" s="60">
        <v>2026</v>
      </c>
      <c r="H42" s="24"/>
      <c r="I42" s="24"/>
      <c r="J42" s="24"/>
      <c r="K42" s="24"/>
      <c r="L42" s="24"/>
      <c r="M42" s="24"/>
      <c r="N42" s="24"/>
    </row>
    <row r="43" spans="4:14" x14ac:dyDescent="0.35">
      <c r="D43" t="s">
        <v>161</v>
      </c>
      <c r="E43" s="62">
        <f>+N46+N52+N58+N64+N70</f>
        <v>28390230.840799998</v>
      </c>
      <c r="G43" s="58" t="s">
        <v>148</v>
      </c>
      <c r="H43" s="24">
        <v>5.5</v>
      </c>
      <c r="I43" s="24">
        <v>0.2</v>
      </c>
      <c r="J43" s="24">
        <v>13.1</v>
      </c>
      <c r="K43" s="24">
        <v>92.6</v>
      </c>
      <c r="L43" s="24">
        <f>+H43+I43*J43*K43</f>
        <v>248.11199999999999</v>
      </c>
      <c r="M43" s="49">
        <v>12788</v>
      </c>
      <c r="N43" s="51">
        <f>+L43*M43</f>
        <v>3172856.2560000001</v>
      </c>
    </row>
    <row r="44" spans="4:14" x14ac:dyDescent="0.35">
      <c r="G44" s="59"/>
      <c r="H44" s="24"/>
      <c r="I44" s="24"/>
      <c r="J44" s="24"/>
      <c r="K44" s="24"/>
      <c r="L44" s="24"/>
      <c r="M44" s="48"/>
      <c r="N44" s="51"/>
    </row>
    <row r="45" spans="4:14" x14ac:dyDescent="0.35">
      <c r="E45" s="62">
        <f>SUM(E41:E43)</f>
        <v>47567224.696799994</v>
      </c>
      <c r="G45" s="58" t="s">
        <v>149</v>
      </c>
      <c r="H45" s="24">
        <v>1.3</v>
      </c>
      <c r="I45" s="24">
        <v>0.03</v>
      </c>
      <c r="J45" s="24">
        <v>13.1</v>
      </c>
      <c r="K45" s="24">
        <v>92.6</v>
      </c>
      <c r="L45" s="24">
        <f>+H45+I45*J45*K45</f>
        <v>37.691799999999994</v>
      </c>
      <c r="M45" s="49">
        <v>55652</v>
      </c>
      <c r="N45" s="52">
        <f>+L45*M45</f>
        <v>2097624.0535999998</v>
      </c>
    </row>
    <row r="46" spans="4:14" x14ac:dyDescent="0.35">
      <c r="D46" t="s">
        <v>162</v>
      </c>
      <c r="E46" s="48">
        <f>+E45/9</f>
        <v>5285247.1885333322</v>
      </c>
      <c r="G46" s="24"/>
      <c r="H46" s="24"/>
      <c r="I46" s="24"/>
      <c r="J46" s="24"/>
      <c r="K46" s="24"/>
      <c r="L46" s="24"/>
      <c r="M46" s="24"/>
      <c r="N46" s="61">
        <f>SUM(N43:N45)</f>
        <v>5270480.3095999993</v>
      </c>
    </row>
    <row r="48" spans="4:14" x14ac:dyDescent="0.35">
      <c r="G48" s="60">
        <v>2027</v>
      </c>
      <c r="H48" s="24"/>
      <c r="I48" s="24"/>
      <c r="J48" s="24"/>
      <c r="K48" s="24"/>
      <c r="L48" s="24"/>
      <c r="M48" s="24"/>
      <c r="N48" s="24"/>
    </row>
    <row r="49" spans="4:14" x14ac:dyDescent="0.35">
      <c r="D49" t="s">
        <v>163</v>
      </c>
      <c r="G49" s="58" t="s">
        <v>148</v>
      </c>
      <c r="H49" s="24">
        <v>5.5</v>
      </c>
      <c r="I49" s="24">
        <v>0.2</v>
      </c>
      <c r="J49" s="24">
        <v>13.1</v>
      </c>
      <c r="K49" s="24">
        <v>96.2</v>
      </c>
      <c r="L49" s="24">
        <f>+H49+I49*J49*K49</f>
        <v>257.54399999999998</v>
      </c>
      <c r="M49" s="49">
        <v>12788</v>
      </c>
      <c r="N49" s="51">
        <f>+L49*M49</f>
        <v>3293472.6719999998</v>
      </c>
    </row>
    <row r="50" spans="4:14" x14ac:dyDescent="0.35">
      <c r="D50">
        <v>2020</v>
      </c>
      <c r="E50" s="63">
        <v>234000000</v>
      </c>
      <c r="G50" s="59"/>
      <c r="H50" s="24"/>
      <c r="I50" s="24"/>
      <c r="J50" s="24"/>
      <c r="K50" s="24"/>
      <c r="L50" s="24"/>
      <c r="M50" s="48"/>
      <c r="N50" s="51"/>
    </row>
    <row r="51" spans="4:14" x14ac:dyDescent="0.35">
      <c r="E51" s="65">
        <f>+E46/E50</f>
        <v>2.2586526446723643E-2</v>
      </c>
      <c r="G51" s="58" t="s">
        <v>149</v>
      </c>
      <c r="H51" s="24">
        <v>1.3</v>
      </c>
      <c r="I51" s="24">
        <v>0.03</v>
      </c>
      <c r="J51" s="24">
        <v>13.1</v>
      </c>
      <c r="K51" s="24">
        <v>96.2</v>
      </c>
      <c r="L51" s="24">
        <f>+H51+I51*J51*K51</f>
        <v>39.106599999999993</v>
      </c>
      <c r="M51" s="49">
        <v>55652</v>
      </c>
      <c r="N51" s="52">
        <f>+L51*M51</f>
        <v>2176360.5031999997</v>
      </c>
    </row>
    <row r="52" spans="4:14" x14ac:dyDescent="0.35">
      <c r="E52" s="64"/>
      <c r="G52" s="24"/>
      <c r="H52" s="24"/>
      <c r="I52" s="24"/>
      <c r="J52" s="24"/>
      <c r="K52" s="24"/>
      <c r="L52" s="24"/>
      <c r="M52" s="24"/>
      <c r="N52" s="61">
        <f>SUM(N49:N51)</f>
        <v>5469833.1751999995</v>
      </c>
    </row>
    <row r="53" spans="4:14" x14ac:dyDescent="0.35">
      <c r="D53" s="60" t="s">
        <v>164</v>
      </c>
      <c r="E53" s="66">
        <v>22500000</v>
      </c>
    </row>
    <row r="54" spans="4:14" x14ac:dyDescent="0.35">
      <c r="D54" t="s">
        <v>165</v>
      </c>
      <c r="E54" s="66">
        <f>+E53*9</f>
        <v>202500000</v>
      </c>
      <c r="G54" s="60">
        <v>2028</v>
      </c>
      <c r="H54" s="24"/>
      <c r="I54" s="24"/>
      <c r="J54" s="24"/>
      <c r="K54" s="24"/>
      <c r="L54" s="24"/>
      <c r="M54" s="24"/>
      <c r="N54" s="24"/>
    </row>
    <row r="55" spans="4:14" x14ac:dyDescent="0.35">
      <c r="G55" s="58" t="s">
        <v>148</v>
      </c>
      <c r="H55" s="24">
        <v>5.5</v>
      </c>
      <c r="I55" s="24">
        <v>0.2</v>
      </c>
      <c r="J55" s="24">
        <v>13.1</v>
      </c>
      <c r="K55" s="24">
        <v>99.9</v>
      </c>
      <c r="L55" s="24">
        <f>+H55+I55*J55*K55</f>
        <v>267.238</v>
      </c>
      <c r="M55" s="49">
        <v>12788</v>
      </c>
      <c r="N55" s="51">
        <f>+L55*M55</f>
        <v>3417439.5439999998</v>
      </c>
    </row>
    <row r="56" spans="4:14" x14ac:dyDescent="0.35">
      <c r="D56" s="60" t="s">
        <v>166</v>
      </c>
      <c r="E56" s="48">
        <v>27312</v>
      </c>
      <c r="G56" s="59"/>
      <c r="H56" s="24"/>
      <c r="I56" s="24"/>
      <c r="J56" s="24"/>
      <c r="K56" s="24"/>
      <c r="L56" s="24"/>
      <c r="M56" s="48"/>
      <c r="N56" s="51"/>
    </row>
    <row r="57" spans="4:14" x14ac:dyDescent="0.35">
      <c r="D57" t="s">
        <v>157</v>
      </c>
      <c r="E57" s="48">
        <f>+E56*9</f>
        <v>245808</v>
      </c>
      <c r="G57" s="58" t="s">
        <v>149</v>
      </c>
      <c r="H57" s="24">
        <v>1.3</v>
      </c>
      <c r="I57" s="24">
        <v>0.03</v>
      </c>
      <c r="J57" s="24">
        <v>13.1</v>
      </c>
      <c r="K57" s="24">
        <v>99.9</v>
      </c>
      <c r="L57" s="24">
        <f>+H57+I57*J57*K57</f>
        <v>40.560699999999997</v>
      </c>
      <c r="M57" s="49">
        <v>55652</v>
      </c>
      <c r="N57" s="52">
        <f>+L57*M57</f>
        <v>2257284.0763999997</v>
      </c>
    </row>
    <row r="58" spans="4:14" x14ac:dyDescent="0.35">
      <c r="G58" s="24"/>
      <c r="H58" s="24"/>
      <c r="I58" s="24"/>
      <c r="J58" s="24"/>
      <c r="K58" s="24"/>
      <c r="L58" s="24"/>
      <c r="M58" s="24"/>
      <c r="N58" s="61">
        <f>SUM(N55:N57)</f>
        <v>5674723.6203999994</v>
      </c>
    </row>
    <row r="60" spans="4:14" x14ac:dyDescent="0.35">
      <c r="G60" s="60">
        <v>2029</v>
      </c>
      <c r="H60" s="24"/>
      <c r="I60" s="24"/>
      <c r="J60" s="24"/>
      <c r="K60" s="24"/>
      <c r="L60" s="24"/>
      <c r="M60" s="24"/>
      <c r="N60" s="24"/>
    </row>
    <row r="61" spans="4:14" x14ac:dyDescent="0.35">
      <c r="G61" s="58" t="s">
        <v>148</v>
      </c>
      <c r="H61" s="24">
        <v>5.5</v>
      </c>
      <c r="I61" s="24">
        <v>0.2</v>
      </c>
      <c r="J61" s="24">
        <v>13.1</v>
      </c>
      <c r="K61" s="24">
        <v>103.8</v>
      </c>
      <c r="L61" s="24">
        <f>+H61+I61*J61*K61</f>
        <v>277.45600000000002</v>
      </c>
      <c r="M61" s="49">
        <v>12788</v>
      </c>
      <c r="N61" s="51">
        <f>+L61*M61</f>
        <v>3548107.3280000002</v>
      </c>
    </row>
    <row r="62" spans="4:14" x14ac:dyDescent="0.35">
      <c r="G62" s="59"/>
      <c r="H62" s="24"/>
      <c r="I62" s="24"/>
      <c r="J62" s="24"/>
      <c r="K62" s="24"/>
      <c r="L62" s="24"/>
      <c r="M62" s="48"/>
      <c r="N62" s="51"/>
    </row>
    <row r="63" spans="4:14" x14ac:dyDescent="0.35">
      <c r="G63" s="58" t="s">
        <v>149</v>
      </c>
      <c r="H63" s="24">
        <v>1.3</v>
      </c>
      <c r="I63" s="24">
        <v>0.03</v>
      </c>
      <c r="J63" s="24">
        <v>13.1</v>
      </c>
      <c r="K63" s="24">
        <v>103.8</v>
      </c>
      <c r="L63" s="24">
        <f>+H63+I63*J63*K63</f>
        <v>42.093399999999995</v>
      </c>
      <c r="M63" s="49">
        <v>55652</v>
      </c>
      <c r="N63" s="52">
        <f>+L63*M63</f>
        <v>2342581.8967999998</v>
      </c>
    </row>
    <row r="64" spans="4:14" x14ac:dyDescent="0.35">
      <c r="G64" s="24"/>
      <c r="H64" s="24"/>
      <c r="I64" s="24"/>
      <c r="J64" s="24"/>
      <c r="K64" s="24"/>
      <c r="L64" s="24"/>
      <c r="M64" s="24"/>
      <c r="N64" s="61">
        <f>SUM(N61:N63)</f>
        <v>5890689.2248</v>
      </c>
    </row>
    <row r="66" spans="7:14" x14ac:dyDescent="0.35">
      <c r="G66" s="60">
        <v>2030</v>
      </c>
      <c r="H66" s="24"/>
      <c r="I66" s="24"/>
      <c r="J66" s="24"/>
      <c r="K66" s="24"/>
      <c r="L66" s="24"/>
      <c r="M66" s="24"/>
      <c r="N66" s="24"/>
    </row>
    <row r="67" spans="7:14" x14ac:dyDescent="0.35">
      <c r="G67" s="58" t="s">
        <v>148</v>
      </c>
      <c r="H67" s="24">
        <v>5.5</v>
      </c>
      <c r="I67" s="24">
        <v>0.2</v>
      </c>
      <c r="J67" s="24">
        <v>13.1</v>
      </c>
      <c r="K67" s="24">
        <v>107.3</v>
      </c>
      <c r="L67" s="24">
        <f>+H67+I67*J67*K67</f>
        <v>286.62599999999998</v>
      </c>
      <c r="M67" s="49">
        <v>12788</v>
      </c>
      <c r="N67" s="51">
        <f>+L67*M67</f>
        <v>3665373.2879999997</v>
      </c>
    </row>
    <row r="68" spans="7:14" x14ac:dyDescent="0.35">
      <c r="G68" s="59"/>
      <c r="H68" s="24"/>
      <c r="I68" s="24"/>
      <c r="J68" s="24"/>
      <c r="K68" s="24"/>
      <c r="L68" s="24"/>
      <c r="M68" s="48"/>
      <c r="N68" s="51"/>
    </row>
    <row r="69" spans="7:14" x14ac:dyDescent="0.35">
      <c r="G69" s="58" t="s">
        <v>149</v>
      </c>
      <c r="H69" s="24">
        <v>1.3</v>
      </c>
      <c r="I69" s="24">
        <v>0.03</v>
      </c>
      <c r="J69" s="24">
        <v>13.1</v>
      </c>
      <c r="K69" s="24">
        <v>107.3</v>
      </c>
      <c r="L69" s="24">
        <f>+H69+I69*J69*K69</f>
        <v>43.468899999999991</v>
      </c>
      <c r="M69" s="49">
        <v>55652</v>
      </c>
      <c r="N69" s="52">
        <f>+L69*M69</f>
        <v>2419131.2227999996</v>
      </c>
    </row>
    <row r="70" spans="7:14" x14ac:dyDescent="0.35">
      <c r="G70" s="24"/>
      <c r="H70" s="24"/>
      <c r="I70" s="24"/>
      <c r="J70" s="24"/>
      <c r="K70" s="24"/>
      <c r="L70" s="24"/>
      <c r="M70" s="24"/>
      <c r="N70" s="61">
        <f>SUM(N67:N69)</f>
        <v>6084504.5107999993</v>
      </c>
    </row>
    <row r="72" spans="7:14" x14ac:dyDescent="0.35">
      <c r="G72" s="60">
        <v>2031</v>
      </c>
      <c r="H72" s="24"/>
      <c r="I72" s="24"/>
      <c r="J72" s="24"/>
      <c r="K72" s="24"/>
      <c r="L72" s="24"/>
      <c r="M72" s="24"/>
      <c r="N72" s="24"/>
    </row>
    <row r="73" spans="7:14" x14ac:dyDescent="0.35">
      <c r="G73" s="58" t="s">
        <v>148</v>
      </c>
      <c r="H73" s="24">
        <v>5.5</v>
      </c>
      <c r="I73" s="24">
        <v>0.2</v>
      </c>
      <c r="J73" s="24">
        <v>13.1</v>
      </c>
      <c r="K73" s="24">
        <v>111.4</v>
      </c>
      <c r="L73" s="24">
        <f>+H73+I73*J73*K73</f>
        <v>297.36800000000005</v>
      </c>
      <c r="M73" s="49">
        <v>12788</v>
      </c>
      <c r="N73" s="51">
        <f>+L73*M73</f>
        <v>3802741.9840000006</v>
      </c>
    </row>
    <row r="74" spans="7:14" x14ac:dyDescent="0.35">
      <c r="G74" s="59"/>
      <c r="H74" s="24"/>
      <c r="I74" s="24"/>
      <c r="J74" s="24"/>
      <c r="K74" s="24"/>
      <c r="L74" s="24"/>
      <c r="M74" s="48"/>
      <c r="N74" s="51"/>
    </row>
    <row r="75" spans="7:14" x14ac:dyDescent="0.35">
      <c r="G75" s="58" t="s">
        <v>149</v>
      </c>
      <c r="H75" s="24">
        <v>1.3</v>
      </c>
      <c r="I75" s="24">
        <v>0.03</v>
      </c>
      <c r="J75" s="24">
        <v>13.1</v>
      </c>
      <c r="K75" s="24">
        <v>111.4</v>
      </c>
      <c r="L75" s="24">
        <f>+H75+I75*J75*K75</f>
        <v>45.080199999999998</v>
      </c>
      <c r="M75" s="49">
        <v>55652</v>
      </c>
      <c r="N75" s="52">
        <f>+L75*M75</f>
        <v>2508803.2903999998</v>
      </c>
    </row>
    <row r="76" spans="7:14" x14ac:dyDescent="0.35">
      <c r="G76" s="24"/>
      <c r="H76" s="24"/>
      <c r="I76" s="24"/>
      <c r="J76" s="24"/>
      <c r="K76" s="24"/>
      <c r="L76" s="24"/>
      <c r="M76" s="24"/>
      <c r="N76" s="61">
        <f>SUM(N73:N75)</f>
        <v>6311545.2744000005</v>
      </c>
    </row>
    <row r="78" spans="7:14" x14ac:dyDescent="0.35">
      <c r="G78" s="60">
        <v>2032</v>
      </c>
      <c r="H78" s="24"/>
      <c r="I78" s="24"/>
      <c r="J78" s="24"/>
      <c r="K78" s="24"/>
      <c r="L78" s="24"/>
      <c r="M78" s="24"/>
      <c r="N78" s="24"/>
    </row>
    <row r="79" spans="7:14" x14ac:dyDescent="0.35">
      <c r="G79" s="58" t="s">
        <v>148</v>
      </c>
      <c r="H79" s="24">
        <v>5.5</v>
      </c>
      <c r="I79" s="24">
        <v>0.2</v>
      </c>
      <c r="J79" s="24">
        <v>13.1</v>
      </c>
      <c r="K79" s="24">
        <v>115.8</v>
      </c>
      <c r="L79" s="24">
        <f>+H79+I79*J79*K79</f>
        <v>308.89600000000002</v>
      </c>
      <c r="M79" s="49">
        <v>12788</v>
      </c>
      <c r="N79" s="51">
        <f>+L79*M79</f>
        <v>3950162.0480000004</v>
      </c>
    </row>
    <row r="80" spans="7:14" x14ac:dyDescent="0.35">
      <c r="G80" s="59"/>
      <c r="H80" s="24"/>
      <c r="I80" s="24"/>
      <c r="J80" s="24"/>
      <c r="K80" s="24"/>
      <c r="L80" s="24"/>
      <c r="M80" s="48"/>
      <c r="N80" s="51"/>
    </row>
    <row r="81" spans="7:14" x14ac:dyDescent="0.35">
      <c r="G81" s="58" t="s">
        <v>149</v>
      </c>
      <c r="H81" s="24">
        <v>1.3</v>
      </c>
      <c r="I81" s="24">
        <v>0.03</v>
      </c>
      <c r="J81" s="24">
        <v>13.1</v>
      </c>
      <c r="K81" s="24">
        <v>115.8</v>
      </c>
      <c r="L81" s="24">
        <f>+H81+I81*J81*K81</f>
        <v>46.809399999999989</v>
      </c>
      <c r="M81" s="49">
        <v>55652</v>
      </c>
      <c r="N81" s="52">
        <f>+L81*M81</f>
        <v>2605036.7287999992</v>
      </c>
    </row>
    <row r="82" spans="7:14" x14ac:dyDescent="0.35">
      <c r="G82" s="24"/>
      <c r="H82" s="24"/>
      <c r="I82" s="24"/>
      <c r="J82" s="24"/>
      <c r="K82" s="24"/>
      <c r="L82" s="24"/>
      <c r="M82" s="24"/>
      <c r="N82" s="61">
        <f>SUM(N79:N81)</f>
        <v>6555198.7767999992</v>
      </c>
    </row>
    <row r="84" spans="7:14" x14ac:dyDescent="0.35">
      <c r="G84" s="60">
        <v>2033</v>
      </c>
      <c r="H84" s="24"/>
      <c r="I84" s="24"/>
      <c r="J84" s="24"/>
      <c r="K84" s="24"/>
      <c r="L84" s="24"/>
      <c r="M84" s="24"/>
      <c r="N84" s="24"/>
    </row>
    <row r="85" spans="7:14" x14ac:dyDescent="0.35">
      <c r="G85" s="58" t="s">
        <v>148</v>
      </c>
      <c r="H85" s="24">
        <v>5.5</v>
      </c>
      <c r="I85" s="24">
        <v>0.2</v>
      </c>
      <c r="J85" s="24">
        <v>13.1</v>
      </c>
      <c r="K85" s="24">
        <v>120.4</v>
      </c>
      <c r="L85" s="24">
        <f>+H85+I85*J85*K85</f>
        <v>320.94800000000004</v>
      </c>
      <c r="M85" s="49">
        <v>12788</v>
      </c>
      <c r="N85" s="51">
        <f>+L85*M85</f>
        <v>4104283.0240000007</v>
      </c>
    </row>
    <row r="86" spans="7:14" x14ac:dyDescent="0.35">
      <c r="G86" s="59"/>
      <c r="H86" s="24"/>
      <c r="I86" s="24"/>
      <c r="J86" s="24"/>
      <c r="K86" s="24"/>
      <c r="L86" s="24"/>
      <c r="M86" s="48"/>
      <c r="N86" s="51"/>
    </row>
    <row r="87" spans="7:14" x14ac:dyDescent="0.35">
      <c r="G87" s="58" t="s">
        <v>149</v>
      </c>
      <c r="H87" s="24">
        <v>1.3</v>
      </c>
      <c r="I87" s="24">
        <v>0.03</v>
      </c>
      <c r="J87" s="24">
        <v>13.1</v>
      </c>
      <c r="K87" s="24">
        <v>120.4</v>
      </c>
      <c r="L87" s="24">
        <f>+H87+I87*J87*K87</f>
        <v>48.617199999999997</v>
      </c>
      <c r="M87" s="49">
        <v>55652</v>
      </c>
      <c r="N87" s="52">
        <f>+L87*M87</f>
        <v>2705644.4143999997</v>
      </c>
    </row>
    <row r="88" spans="7:14" x14ac:dyDescent="0.35">
      <c r="G88" s="24"/>
      <c r="H88" s="24"/>
      <c r="I88" s="24"/>
      <c r="J88" s="24"/>
      <c r="K88" s="24"/>
      <c r="L88" s="24"/>
      <c r="M88" s="24"/>
      <c r="N88" s="61">
        <f>SUM(N85:N87)</f>
        <v>6809927.4384000003</v>
      </c>
    </row>
    <row r="90" spans="7:14" x14ac:dyDescent="0.35">
      <c r="G90" s="60">
        <v>2034</v>
      </c>
      <c r="H90" s="24"/>
      <c r="I90" s="24"/>
      <c r="J90" s="24"/>
      <c r="K90" s="24"/>
      <c r="L90" s="24"/>
      <c r="M90" s="24"/>
      <c r="N90" s="24"/>
    </row>
    <row r="91" spans="7:14" x14ac:dyDescent="0.35">
      <c r="G91" s="58" t="s">
        <v>148</v>
      </c>
      <c r="H91" s="24">
        <v>5.5</v>
      </c>
      <c r="I91" s="24">
        <v>0.2</v>
      </c>
      <c r="J91" s="24">
        <v>13.2</v>
      </c>
      <c r="K91" s="24">
        <v>125.1</v>
      </c>
      <c r="L91" s="24">
        <f>+H91+I91*J91*K91</f>
        <v>335.76400000000001</v>
      </c>
      <c r="M91" s="49">
        <v>12788</v>
      </c>
      <c r="N91" s="51">
        <f>+L91*M91</f>
        <v>4293750.0320000006</v>
      </c>
    </row>
    <row r="92" spans="7:14" x14ac:dyDescent="0.35">
      <c r="G92" s="59"/>
      <c r="H92" s="24"/>
      <c r="I92" s="24"/>
      <c r="J92" s="24"/>
      <c r="K92" s="24"/>
      <c r="L92" s="24"/>
      <c r="M92" s="48"/>
      <c r="N92" s="51"/>
    </row>
    <row r="93" spans="7:14" x14ac:dyDescent="0.35">
      <c r="G93" s="58" t="s">
        <v>149</v>
      </c>
      <c r="H93" s="24">
        <v>1.3</v>
      </c>
      <c r="I93" s="24">
        <v>0.03</v>
      </c>
      <c r="J93" s="24">
        <v>13.2</v>
      </c>
      <c r="K93" s="24">
        <v>125.1</v>
      </c>
      <c r="L93" s="24">
        <f>+H93+I93*J93*K93</f>
        <v>50.83959999999999</v>
      </c>
      <c r="M93" s="49">
        <v>55652</v>
      </c>
      <c r="N93" s="52">
        <f>+L93*M93</f>
        <v>2829325.4191999994</v>
      </c>
    </row>
    <row r="94" spans="7:14" x14ac:dyDescent="0.35">
      <c r="G94" s="24"/>
      <c r="H94" s="24"/>
      <c r="I94" s="24"/>
      <c r="J94" s="24"/>
      <c r="K94" s="24"/>
      <c r="L94" s="24"/>
      <c r="M94" s="24"/>
      <c r="N94" s="61">
        <f>SUM(N91:N93)</f>
        <v>7123075.4512</v>
      </c>
    </row>
    <row r="96" spans="7:14" x14ac:dyDescent="0.35">
      <c r="G96" s="60">
        <v>2035</v>
      </c>
      <c r="H96" s="24"/>
      <c r="I96" s="24"/>
      <c r="J96" s="24"/>
      <c r="K96" s="24"/>
      <c r="L96" s="24"/>
      <c r="M96" s="24"/>
      <c r="N96" s="24"/>
    </row>
    <row r="97" spans="7:14" x14ac:dyDescent="0.35">
      <c r="G97" s="58" t="s">
        <v>148</v>
      </c>
      <c r="H97" s="24">
        <v>5.5</v>
      </c>
      <c r="I97" s="24">
        <v>0.2</v>
      </c>
      <c r="J97" s="24">
        <v>13.2</v>
      </c>
      <c r="K97" s="24">
        <v>130.1</v>
      </c>
      <c r="L97" s="24">
        <f>+H97+I97*J97*K97</f>
        <v>348.964</v>
      </c>
      <c r="M97" s="49">
        <v>12788</v>
      </c>
      <c r="N97" s="51">
        <f>+L97*M97</f>
        <v>4462551.6320000002</v>
      </c>
    </row>
    <row r="98" spans="7:14" x14ac:dyDescent="0.35">
      <c r="G98" s="59"/>
      <c r="H98" s="24"/>
      <c r="I98" s="24"/>
      <c r="J98" s="24"/>
      <c r="K98" s="24"/>
      <c r="L98" s="24"/>
      <c r="M98" s="48"/>
      <c r="N98" s="51"/>
    </row>
    <row r="99" spans="7:14" x14ac:dyDescent="0.35">
      <c r="G99" s="58" t="s">
        <v>149</v>
      </c>
      <c r="H99" s="24">
        <v>1.3</v>
      </c>
      <c r="I99" s="24">
        <v>0.03</v>
      </c>
      <c r="J99" s="24">
        <v>13.2</v>
      </c>
      <c r="K99" s="24">
        <v>130.1</v>
      </c>
      <c r="L99" s="24">
        <f>+H99+I99*J99*K99</f>
        <v>52.819599999999987</v>
      </c>
      <c r="M99" s="49">
        <v>55652</v>
      </c>
      <c r="N99" s="52">
        <f>+L99*M99</f>
        <v>2939516.3791999994</v>
      </c>
    </row>
    <row r="100" spans="7:14" x14ac:dyDescent="0.35">
      <c r="G100" s="24"/>
      <c r="H100" s="24"/>
      <c r="I100" s="24"/>
      <c r="J100" s="24"/>
      <c r="K100" s="24"/>
      <c r="L100" s="24"/>
      <c r="M100" s="24"/>
      <c r="N100" s="61">
        <f>SUM(N97:N99)</f>
        <v>7402068.0111999996</v>
      </c>
    </row>
  </sheetData>
  <mergeCells count="4">
    <mergeCell ref="G6:K6"/>
    <mergeCell ref="M6:Q6"/>
    <mergeCell ref="A6:E6"/>
    <mergeCell ref="A1:G1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AE1D8-22F1-4E4C-944A-E336D0D4B283}">
  <dimension ref="C1:AD118"/>
  <sheetViews>
    <sheetView topLeftCell="D58" workbookViewId="0">
      <selection activeCell="J9" sqref="J9"/>
    </sheetView>
  </sheetViews>
  <sheetFormatPr defaultRowHeight="14.5" x14ac:dyDescent="0.35"/>
  <cols>
    <col min="3" max="3" width="8.81640625" customWidth="1"/>
    <col min="5" max="5" width="8.81640625" customWidth="1"/>
    <col min="6" max="6" width="14.54296875" bestFit="1" customWidth="1"/>
    <col min="8" max="8" width="10.453125" customWidth="1"/>
    <col min="10" max="10" width="10.81640625" customWidth="1"/>
    <col min="11" max="11" width="16.1796875" customWidth="1"/>
    <col min="12" max="12" width="13" customWidth="1"/>
    <col min="13" max="13" width="11.81640625" customWidth="1"/>
    <col min="14" max="14" width="14.54296875" bestFit="1" customWidth="1"/>
    <col min="15" max="15" width="11.81640625" customWidth="1"/>
    <col min="16" max="17" width="11.1796875" bestFit="1" customWidth="1"/>
    <col min="19" max="19" width="10" bestFit="1" customWidth="1"/>
    <col min="20" max="20" width="16" customWidth="1"/>
  </cols>
  <sheetData>
    <row r="1" spans="3:20" x14ac:dyDescent="0.35">
      <c r="G1" s="232" t="s">
        <v>167</v>
      </c>
      <c r="H1" s="232"/>
      <c r="I1" s="232"/>
      <c r="J1" s="232"/>
      <c r="M1" s="24"/>
      <c r="N1" s="24"/>
      <c r="O1" s="24"/>
      <c r="P1" s="233" t="s">
        <v>168</v>
      </c>
      <c r="Q1" s="233"/>
      <c r="R1" s="233"/>
      <c r="S1" s="233"/>
      <c r="T1" s="24"/>
    </row>
    <row r="2" spans="3:20" x14ac:dyDescent="0.35">
      <c r="C2" s="24"/>
      <c r="D2" s="24"/>
      <c r="E2" s="56"/>
      <c r="F2" s="56"/>
      <c r="G2" s="56" t="s">
        <v>156</v>
      </c>
      <c r="H2" s="56" t="s">
        <v>154</v>
      </c>
      <c r="I2" s="56"/>
      <c r="J2" s="54"/>
      <c r="K2" s="56" t="s">
        <v>157</v>
      </c>
      <c r="M2" s="24"/>
      <c r="N2" s="56"/>
      <c r="O2" s="56"/>
      <c r="P2" s="56" t="s">
        <v>156</v>
      </c>
      <c r="Q2" s="56" t="s">
        <v>154</v>
      </c>
      <c r="R2" s="56"/>
      <c r="S2" s="54"/>
      <c r="T2" s="56" t="s">
        <v>157</v>
      </c>
    </row>
    <row r="3" spans="3:20" x14ac:dyDescent="0.35">
      <c r="C3" s="24"/>
      <c r="D3" s="69" t="s">
        <v>169</v>
      </c>
      <c r="E3" s="57" t="s">
        <v>150</v>
      </c>
      <c r="F3" s="57" t="s">
        <v>141</v>
      </c>
      <c r="G3" s="57" t="s">
        <v>155</v>
      </c>
      <c r="H3" s="57" t="s">
        <v>155</v>
      </c>
      <c r="I3" s="57"/>
      <c r="J3" s="55" t="s">
        <v>151</v>
      </c>
      <c r="K3" s="57" t="s">
        <v>158</v>
      </c>
      <c r="N3" s="57" t="s">
        <v>150</v>
      </c>
      <c r="O3" s="57" t="s">
        <v>141</v>
      </c>
      <c r="P3" s="57" t="s">
        <v>155</v>
      </c>
      <c r="Q3" s="57" t="s">
        <v>155</v>
      </c>
      <c r="R3" s="57"/>
      <c r="S3" s="55" t="s">
        <v>151</v>
      </c>
      <c r="T3" s="57" t="s">
        <v>158</v>
      </c>
    </row>
    <row r="4" spans="3:20" x14ac:dyDescent="0.35">
      <c r="C4" s="24"/>
      <c r="D4" s="58" t="s">
        <v>148</v>
      </c>
      <c r="E4" s="24">
        <v>5.5</v>
      </c>
      <c r="F4" s="24">
        <v>0.2</v>
      </c>
      <c r="G4" s="24">
        <v>13.1</v>
      </c>
      <c r="H4" s="24">
        <v>79.099999999999994</v>
      </c>
      <c r="I4" s="24">
        <f>+E4+F4*G4*H4</f>
        <v>212.74199999999999</v>
      </c>
      <c r="J4" s="68">
        <v>12788</v>
      </c>
      <c r="K4" s="51">
        <f>+I4*J4</f>
        <v>2720544.696</v>
      </c>
      <c r="M4" s="58"/>
      <c r="N4" s="24"/>
      <c r="O4" s="24"/>
      <c r="P4" s="24"/>
      <c r="Q4" s="24"/>
      <c r="R4" s="24"/>
      <c r="S4" s="67"/>
      <c r="T4" s="51"/>
    </row>
    <row r="5" spans="3:20" x14ac:dyDescent="0.35">
      <c r="C5" s="24"/>
      <c r="D5" s="59"/>
      <c r="E5" s="24"/>
      <c r="F5" s="24"/>
      <c r="G5" s="24"/>
      <c r="H5" s="24"/>
      <c r="I5" s="24"/>
      <c r="J5" s="48"/>
      <c r="K5" s="51"/>
      <c r="M5" s="60">
        <v>2022</v>
      </c>
      <c r="N5" s="24"/>
      <c r="O5" s="24"/>
      <c r="P5" s="24"/>
      <c r="Q5" s="24"/>
      <c r="R5" s="24"/>
      <c r="S5" s="48"/>
      <c r="T5" s="51"/>
    </row>
    <row r="6" spans="3:20" ht="15" thickBot="1" x14ac:dyDescent="0.4">
      <c r="C6" s="24"/>
      <c r="D6" s="58" t="s">
        <v>149</v>
      </c>
      <c r="E6" s="24">
        <v>1.3</v>
      </c>
      <c r="F6" s="24">
        <v>0.03</v>
      </c>
      <c r="G6" s="24">
        <v>13.1</v>
      </c>
      <c r="H6" s="24">
        <v>79.099999999999994</v>
      </c>
      <c r="I6" s="24">
        <f>+E6+F6*G6*H6</f>
        <v>32.386299999999991</v>
      </c>
      <c r="J6" s="68">
        <v>55652</v>
      </c>
      <c r="K6" s="52">
        <f>+I6*J6</f>
        <v>1802362.3675999995</v>
      </c>
      <c r="M6" s="58" t="s">
        <v>149</v>
      </c>
      <c r="N6" s="24">
        <v>1.3</v>
      </c>
      <c r="O6" s="24">
        <v>0.03</v>
      </c>
      <c r="P6" s="24">
        <v>13.1</v>
      </c>
      <c r="Q6" s="24">
        <v>79.099999999999994</v>
      </c>
      <c r="R6" s="24">
        <f>+N6+O6*P6*Q6</f>
        <v>32.386299999999991</v>
      </c>
      <c r="S6" s="68">
        <v>87187</v>
      </c>
      <c r="T6" s="52">
        <f>+R6*S6</f>
        <v>2823664.3380999994</v>
      </c>
    </row>
    <row r="7" spans="3:20" ht="15" thickBot="1" x14ac:dyDescent="0.4">
      <c r="C7" s="24"/>
      <c r="D7" s="24"/>
      <c r="E7" s="24"/>
      <c r="F7" s="24"/>
      <c r="G7" s="24"/>
      <c r="H7" s="24"/>
      <c r="I7" s="24"/>
      <c r="J7" s="24"/>
      <c r="K7" s="53">
        <f>SUM(K4:K6)</f>
        <v>4522907.0636</v>
      </c>
      <c r="M7" s="24"/>
      <c r="N7" s="24"/>
      <c r="O7" s="24"/>
      <c r="P7" s="24"/>
      <c r="Q7" s="24"/>
      <c r="R7" s="34"/>
      <c r="S7" s="24"/>
      <c r="T7" s="53">
        <f>SUM(T4:T6)</f>
        <v>2823664.3380999994</v>
      </c>
    </row>
    <row r="8" spans="3:20" x14ac:dyDescent="0.35">
      <c r="C8" s="24"/>
      <c r="D8" s="60">
        <v>2023</v>
      </c>
      <c r="E8" s="24"/>
      <c r="F8" s="24"/>
      <c r="G8" s="24"/>
      <c r="H8" s="24"/>
      <c r="I8" s="24"/>
      <c r="J8" s="24"/>
      <c r="K8" s="24"/>
      <c r="N8" s="24"/>
      <c r="O8" s="24"/>
      <c r="P8" s="24"/>
      <c r="Q8" s="24"/>
      <c r="R8" s="24"/>
      <c r="S8" s="24"/>
      <c r="T8" s="24"/>
    </row>
    <row r="9" spans="3:20" x14ac:dyDescent="0.35">
      <c r="C9" s="24"/>
      <c r="D9" s="58" t="s">
        <v>148</v>
      </c>
      <c r="E9" s="24">
        <v>5.5</v>
      </c>
      <c r="F9" s="24">
        <v>0.2</v>
      </c>
      <c r="G9" s="24">
        <v>13.1</v>
      </c>
      <c r="H9" s="24">
        <v>82.3</v>
      </c>
      <c r="I9" s="24">
        <f>+E9+F9*G9*H9</f>
        <v>221.126</v>
      </c>
      <c r="J9" s="68">
        <v>10755</v>
      </c>
      <c r="K9" s="51">
        <f>+I9*J9</f>
        <v>2378210.13</v>
      </c>
      <c r="M9" s="58"/>
      <c r="N9" s="24"/>
      <c r="O9" s="24"/>
      <c r="P9" s="24"/>
      <c r="Q9" s="24"/>
      <c r="R9" s="24"/>
      <c r="S9" s="67"/>
      <c r="T9" s="51"/>
    </row>
    <row r="10" spans="3:20" x14ac:dyDescent="0.35">
      <c r="C10" s="24"/>
      <c r="D10" s="59"/>
      <c r="E10" s="24"/>
      <c r="F10" s="24"/>
      <c r="G10" s="24"/>
      <c r="H10" s="24"/>
      <c r="I10" s="24"/>
      <c r="J10" s="48"/>
      <c r="K10" s="51"/>
      <c r="M10" s="60">
        <v>2023</v>
      </c>
      <c r="N10" s="24"/>
      <c r="O10" s="24"/>
      <c r="P10" s="24"/>
      <c r="Q10" s="24"/>
      <c r="R10" s="24"/>
      <c r="S10" s="48"/>
      <c r="T10" s="51"/>
    </row>
    <row r="11" spans="3:20" x14ac:dyDescent="0.35">
      <c r="C11" s="24"/>
      <c r="D11" s="58" t="s">
        <v>149</v>
      </c>
      <c r="E11" s="24">
        <v>1.3</v>
      </c>
      <c r="F11" s="24">
        <v>0.03</v>
      </c>
      <c r="G11" s="24">
        <v>13.1</v>
      </c>
      <c r="H11" s="24">
        <v>82.3</v>
      </c>
      <c r="I11" s="24">
        <f>+E11+F11*G11*H11</f>
        <v>33.643899999999995</v>
      </c>
      <c r="J11" s="68">
        <v>82448</v>
      </c>
      <c r="K11" s="52">
        <f>+I11*J11</f>
        <v>2773872.2671999997</v>
      </c>
      <c r="M11" s="58" t="s">
        <v>149</v>
      </c>
      <c r="N11" s="24">
        <v>1.3</v>
      </c>
      <c r="O11" s="24">
        <v>0.03</v>
      </c>
      <c r="P11" s="24">
        <v>13.1</v>
      </c>
      <c r="Q11" s="24">
        <v>82.3</v>
      </c>
      <c r="R11" s="24">
        <f>+N11+O11*P11*Q11</f>
        <v>33.643899999999995</v>
      </c>
      <c r="S11" s="68">
        <v>102877</v>
      </c>
      <c r="T11" s="52">
        <f>+R11*S11</f>
        <v>3461183.5002999995</v>
      </c>
    </row>
    <row r="12" spans="3:20" x14ac:dyDescent="0.35">
      <c r="C12" s="24"/>
      <c r="D12" s="24"/>
      <c r="E12" s="24"/>
      <c r="F12" s="24"/>
      <c r="G12" s="24"/>
      <c r="H12" s="24"/>
      <c r="I12" s="24"/>
      <c r="J12" s="24"/>
      <c r="K12" s="61">
        <f>SUM(K9:K11)</f>
        <v>5152082.3971999995</v>
      </c>
      <c r="M12" s="24"/>
      <c r="N12" s="24"/>
      <c r="O12" s="24"/>
      <c r="P12" s="24"/>
      <c r="Q12" s="24"/>
      <c r="R12" s="24"/>
      <c r="S12" s="24"/>
      <c r="T12" s="61">
        <f>SUM(T9:T11)</f>
        <v>3461183.5002999995</v>
      </c>
    </row>
    <row r="13" spans="3:20" x14ac:dyDescent="0.35">
      <c r="C13" s="24"/>
      <c r="D13" s="60">
        <v>2024</v>
      </c>
      <c r="E13" s="24"/>
      <c r="F13" s="24"/>
      <c r="G13" s="24"/>
      <c r="H13" s="24"/>
      <c r="I13" s="24"/>
      <c r="J13" s="24"/>
      <c r="K13" s="24"/>
      <c r="N13" s="24"/>
      <c r="O13" s="24"/>
      <c r="P13" s="24"/>
      <c r="Q13" s="24"/>
      <c r="R13" s="24"/>
      <c r="S13" s="24"/>
      <c r="T13" s="24"/>
    </row>
    <row r="14" spans="3:20" x14ac:dyDescent="0.35">
      <c r="C14" s="24"/>
      <c r="D14" s="58" t="s">
        <v>148</v>
      </c>
      <c r="E14" s="24">
        <v>5.5</v>
      </c>
      <c r="F14" s="24">
        <v>0.2</v>
      </c>
      <c r="G14" s="24">
        <v>13.1</v>
      </c>
      <c r="H14" s="24">
        <v>85.6</v>
      </c>
      <c r="I14" s="24">
        <f>+E14+F14*G14*H14</f>
        <v>229.77199999999999</v>
      </c>
      <c r="J14" s="68">
        <v>12368</v>
      </c>
      <c r="K14" s="51">
        <f>+I14*J14</f>
        <v>2841820.0959999999</v>
      </c>
      <c r="M14" s="58"/>
      <c r="N14" s="24"/>
      <c r="O14" s="24"/>
      <c r="P14" s="24"/>
      <c r="Q14" s="24"/>
      <c r="R14" s="24"/>
      <c r="S14" s="67"/>
      <c r="T14" s="51"/>
    </row>
    <row r="15" spans="3:20" x14ac:dyDescent="0.35">
      <c r="C15" s="24"/>
      <c r="D15" s="59"/>
      <c r="E15" s="24"/>
      <c r="F15" s="24"/>
      <c r="G15" s="24"/>
      <c r="H15" s="24"/>
      <c r="I15" s="24"/>
      <c r="J15" s="48"/>
      <c r="K15" s="51"/>
      <c r="M15" s="60">
        <v>2024</v>
      </c>
      <c r="N15" s="24"/>
      <c r="O15" s="24"/>
      <c r="P15" s="24"/>
      <c r="Q15" s="24"/>
      <c r="R15" s="24"/>
      <c r="S15" s="48"/>
      <c r="T15" s="51"/>
    </row>
    <row r="16" spans="3:20" x14ac:dyDescent="0.35">
      <c r="C16" s="24"/>
      <c r="D16" s="58" t="s">
        <v>149</v>
      </c>
      <c r="E16" s="24">
        <v>1.3</v>
      </c>
      <c r="F16" s="24">
        <v>0.03</v>
      </c>
      <c r="G16" s="24">
        <v>13.1</v>
      </c>
      <c r="H16" s="24">
        <v>85.6</v>
      </c>
      <c r="I16" s="24">
        <f>+E16+F16*G16*H16</f>
        <v>34.940799999999989</v>
      </c>
      <c r="J16" s="68">
        <v>94816</v>
      </c>
      <c r="K16" s="52">
        <f>+I16*J16</f>
        <v>3312946.8927999991</v>
      </c>
      <c r="M16" s="58" t="s">
        <v>149</v>
      </c>
      <c r="N16" s="24">
        <v>1.3</v>
      </c>
      <c r="O16" s="24">
        <v>0.03</v>
      </c>
      <c r="P16" s="24">
        <v>13.1</v>
      </c>
      <c r="Q16" s="24">
        <v>85.6</v>
      </c>
      <c r="R16" s="24">
        <f>+N16+O16*P16*Q16</f>
        <v>34.940799999999989</v>
      </c>
      <c r="S16" s="68">
        <v>118309</v>
      </c>
      <c r="T16" s="52">
        <f>+R16*S16</f>
        <v>4133811.1071999986</v>
      </c>
    </row>
    <row r="17" spans="3:20" x14ac:dyDescent="0.35">
      <c r="C17" s="24"/>
      <c r="D17" s="24"/>
      <c r="E17" s="24"/>
      <c r="F17" s="24"/>
      <c r="G17" s="24"/>
      <c r="H17" s="24"/>
      <c r="I17" s="24"/>
      <c r="J17" s="24"/>
      <c r="K17" s="61">
        <f>SUM(K14:K16)</f>
        <v>6154766.9887999985</v>
      </c>
      <c r="M17" s="24"/>
      <c r="N17" s="24"/>
      <c r="O17" s="24"/>
      <c r="P17" s="24"/>
      <c r="Q17" s="24"/>
      <c r="R17" s="24"/>
      <c r="S17" s="24"/>
      <c r="T17" s="61">
        <f>SUM(T14:T16)</f>
        <v>4133811.1071999986</v>
      </c>
    </row>
    <row r="18" spans="3:20" x14ac:dyDescent="0.35">
      <c r="C18" s="24"/>
      <c r="D18" s="60">
        <v>2025</v>
      </c>
      <c r="E18" s="24"/>
      <c r="F18" s="24"/>
      <c r="G18" s="24"/>
      <c r="H18" s="24"/>
      <c r="I18" s="24"/>
      <c r="J18" s="24"/>
      <c r="K18" s="24"/>
      <c r="N18" s="24"/>
      <c r="O18" s="24"/>
      <c r="P18" s="24"/>
      <c r="Q18" s="24"/>
      <c r="R18" s="24"/>
      <c r="S18" s="24"/>
      <c r="T18" s="24"/>
    </row>
    <row r="19" spans="3:20" x14ac:dyDescent="0.35">
      <c r="C19" s="24"/>
      <c r="D19" s="58" t="s">
        <v>148</v>
      </c>
      <c r="E19" s="24">
        <v>5.5</v>
      </c>
      <c r="F19" s="24">
        <v>0.2</v>
      </c>
      <c r="G19" s="24">
        <v>13.1</v>
      </c>
      <c r="H19" s="24">
        <v>89</v>
      </c>
      <c r="I19" s="24">
        <f>+E19+F19*G19*H19</f>
        <v>238.68</v>
      </c>
      <c r="J19" s="68">
        <v>13874</v>
      </c>
      <c r="K19" s="51">
        <f>+I19*J19</f>
        <v>3311446.3200000003</v>
      </c>
      <c r="M19" s="58"/>
      <c r="N19" s="24"/>
      <c r="O19" s="24"/>
      <c r="P19" s="24"/>
      <c r="Q19" s="24"/>
      <c r="R19" s="24"/>
      <c r="S19" s="67"/>
      <c r="T19" s="51"/>
    </row>
    <row r="20" spans="3:20" x14ac:dyDescent="0.35">
      <c r="C20" s="24"/>
      <c r="D20" s="59"/>
      <c r="E20" s="24"/>
      <c r="F20" s="24"/>
      <c r="G20" s="24"/>
      <c r="H20" s="24"/>
      <c r="I20" s="24"/>
      <c r="J20" s="48"/>
      <c r="K20" s="51"/>
      <c r="M20" s="60">
        <v>2025</v>
      </c>
      <c r="N20" s="24"/>
      <c r="O20" s="24"/>
      <c r="P20" s="24"/>
      <c r="Q20" s="24"/>
      <c r="R20" s="24"/>
      <c r="S20" s="48"/>
      <c r="T20" s="51"/>
    </row>
    <row r="21" spans="3:20" x14ac:dyDescent="0.35">
      <c r="C21" s="24"/>
      <c r="D21" s="58" t="s">
        <v>149</v>
      </c>
      <c r="E21" s="24">
        <v>1.3</v>
      </c>
      <c r="F21" s="24">
        <v>0.03</v>
      </c>
      <c r="G21" s="24">
        <v>13.1</v>
      </c>
      <c r="H21" s="24">
        <v>89</v>
      </c>
      <c r="I21" s="24">
        <f>+E21+F21*G21*H21</f>
        <v>36.276999999999994</v>
      </c>
      <c r="J21" s="68">
        <v>106358</v>
      </c>
      <c r="K21" s="52">
        <f>+I21*J21</f>
        <v>3858349.1659999993</v>
      </c>
      <c r="M21" s="58" t="s">
        <v>149</v>
      </c>
      <c r="N21" s="24">
        <v>1.3</v>
      </c>
      <c r="O21" s="24">
        <v>0.03</v>
      </c>
      <c r="P21" s="24">
        <v>13.1</v>
      </c>
      <c r="Q21" s="24">
        <v>89</v>
      </c>
      <c r="R21" s="24">
        <f>+N21+O21*P21*Q21</f>
        <v>36.276999999999994</v>
      </c>
      <c r="S21" s="68">
        <v>132712</v>
      </c>
      <c r="T21" s="52">
        <f>+R21*S21</f>
        <v>4814393.2239999995</v>
      </c>
    </row>
    <row r="22" spans="3:20" x14ac:dyDescent="0.35">
      <c r="C22" s="24"/>
      <c r="D22" s="24"/>
      <c r="E22" s="24"/>
      <c r="F22" s="24"/>
      <c r="G22" s="24"/>
      <c r="H22" s="24"/>
      <c r="I22" s="24"/>
      <c r="J22" s="24"/>
      <c r="K22" s="61">
        <f>SUM(K19:K21)</f>
        <v>7169795.4859999996</v>
      </c>
      <c r="M22" s="24"/>
      <c r="N22" s="24"/>
      <c r="O22" s="24"/>
      <c r="P22" s="24"/>
      <c r="Q22" s="24"/>
      <c r="R22" s="24"/>
      <c r="S22" s="24"/>
      <c r="T22" s="61">
        <f>SUM(T19:T21)</f>
        <v>4814393.2239999995</v>
      </c>
    </row>
    <row r="23" spans="3:20" x14ac:dyDescent="0.35">
      <c r="C23" s="24"/>
      <c r="D23" s="60">
        <v>2026</v>
      </c>
      <c r="E23" s="24"/>
      <c r="F23" s="24"/>
      <c r="G23" s="24"/>
      <c r="H23" s="24"/>
      <c r="I23" s="24"/>
      <c r="J23" s="24"/>
      <c r="K23" s="24"/>
      <c r="N23" s="24"/>
      <c r="O23" s="24"/>
      <c r="P23" s="24"/>
      <c r="Q23" s="24"/>
      <c r="R23" s="24"/>
      <c r="S23" s="24"/>
      <c r="T23" s="24"/>
    </row>
    <row r="24" spans="3:20" x14ac:dyDescent="0.35">
      <c r="C24" s="24"/>
      <c r="D24" s="58" t="s">
        <v>148</v>
      </c>
      <c r="E24" s="24">
        <v>5.5</v>
      </c>
      <c r="F24" s="24">
        <v>0.2</v>
      </c>
      <c r="G24" s="24">
        <v>13.1</v>
      </c>
      <c r="H24" s="24">
        <v>92.6</v>
      </c>
      <c r="I24" s="24">
        <f>+E24+F24*G24*H24</f>
        <v>248.11199999999999</v>
      </c>
      <c r="J24" s="68">
        <f>+J19</f>
        <v>13874</v>
      </c>
      <c r="K24" s="51">
        <f>+I24*J24</f>
        <v>3442305.8879999998</v>
      </c>
      <c r="M24" s="58"/>
      <c r="N24" s="24"/>
      <c r="O24" s="24"/>
      <c r="P24" s="24"/>
      <c r="Q24" s="24"/>
      <c r="R24" s="24"/>
      <c r="S24" s="67"/>
      <c r="T24" s="51"/>
    </row>
    <row r="25" spans="3:20" x14ac:dyDescent="0.35">
      <c r="C25" s="24"/>
      <c r="D25" s="59"/>
      <c r="E25" s="24"/>
      <c r="F25" s="24"/>
      <c r="G25" s="24"/>
      <c r="H25" s="24"/>
      <c r="I25" s="24"/>
      <c r="J25" s="48"/>
      <c r="K25" s="51"/>
      <c r="M25" s="60">
        <v>2026</v>
      </c>
      <c r="N25" s="24"/>
      <c r="O25" s="24"/>
      <c r="P25" s="24"/>
      <c r="Q25" s="24"/>
      <c r="R25" s="24"/>
      <c r="S25" s="48"/>
      <c r="T25" s="51"/>
    </row>
    <row r="26" spans="3:20" x14ac:dyDescent="0.35">
      <c r="C26" s="24"/>
      <c r="D26" s="58" t="s">
        <v>149</v>
      </c>
      <c r="E26" s="24">
        <v>1.3</v>
      </c>
      <c r="F26" s="24">
        <v>0.03</v>
      </c>
      <c r="G26" s="24">
        <v>13.1</v>
      </c>
      <c r="H26" s="24">
        <v>92.6</v>
      </c>
      <c r="I26" s="24">
        <f>+E26+F26*G26*H26</f>
        <v>37.691799999999994</v>
      </c>
      <c r="J26" s="68">
        <f>+J21</f>
        <v>106358</v>
      </c>
      <c r="K26" s="52">
        <f>+I26*J26</f>
        <v>4008824.4643999995</v>
      </c>
      <c r="M26" s="58" t="s">
        <v>149</v>
      </c>
      <c r="N26" s="24">
        <v>1.3</v>
      </c>
      <c r="O26" s="24">
        <v>0.03</v>
      </c>
      <c r="P26" s="24">
        <v>13.1</v>
      </c>
      <c r="Q26" s="24">
        <v>92.6</v>
      </c>
      <c r="R26" s="24">
        <f>+N26+O26*P26*Q26</f>
        <v>37.691799999999994</v>
      </c>
      <c r="S26" s="68">
        <v>132712</v>
      </c>
      <c r="T26" s="52">
        <f>+R26*S26</f>
        <v>5002154.1615999993</v>
      </c>
    </row>
    <row r="27" spans="3:20" x14ac:dyDescent="0.35">
      <c r="C27" s="24"/>
      <c r="D27" s="24"/>
      <c r="E27" s="24"/>
      <c r="F27" s="24"/>
      <c r="G27" s="24"/>
      <c r="H27" s="24"/>
      <c r="I27" s="24"/>
      <c r="J27" s="24"/>
      <c r="K27" s="61">
        <f>SUM(K24:K26)</f>
        <v>7451130.3523999993</v>
      </c>
      <c r="M27" s="24"/>
      <c r="N27" s="24"/>
      <c r="O27" s="24"/>
      <c r="P27" s="24"/>
      <c r="Q27" s="24"/>
      <c r="R27" s="24"/>
      <c r="S27" s="24"/>
      <c r="T27" s="61">
        <f>SUM(T24:T26)</f>
        <v>5002154.1615999993</v>
      </c>
    </row>
    <row r="28" spans="3:20" x14ac:dyDescent="0.35">
      <c r="C28" s="24"/>
      <c r="D28" s="60">
        <v>2027</v>
      </c>
      <c r="E28" s="24"/>
      <c r="F28" s="24"/>
      <c r="G28" s="24"/>
      <c r="H28" s="24"/>
      <c r="I28" s="24"/>
      <c r="J28" s="24"/>
      <c r="K28" s="24"/>
      <c r="N28" s="24"/>
      <c r="O28" s="24"/>
      <c r="P28" s="24"/>
      <c r="Q28" s="24"/>
      <c r="R28" s="24"/>
      <c r="S28" s="24"/>
      <c r="T28" s="24"/>
    </row>
    <row r="29" spans="3:20" x14ac:dyDescent="0.35">
      <c r="C29" s="24"/>
      <c r="D29" s="58" t="s">
        <v>148</v>
      </c>
      <c r="E29" s="24">
        <v>5.5</v>
      </c>
      <c r="F29" s="24">
        <v>0.2</v>
      </c>
      <c r="G29" s="24">
        <v>13.1</v>
      </c>
      <c r="H29" s="24">
        <v>96.2</v>
      </c>
      <c r="I29" s="24">
        <f>+E29+F29*G29*H29</f>
        <v>257.54399999999998</v>
      </c>
      <c r="J29" s="68">
        <v>15057</v>
      </c>
      <c r="K29" s="51">
        <f>+I29*J29</f>
        <v>3877840.0079999999</v>
      </c>
      <c r="M29" s="58"/>
      <c r="N29" s="24"/>
      <c r="O29" s="24"/>
      <c r="P29" s="24"/>
      <c r="Q29" s="24"/>
      <c r="R29" s="24"/>
      <c r="S29" s="67"/>
      <c r="T29" s="51"/>
    </row>
    <row r="30" spans="3:20" x14ac:dyDescent="0.35">
      <c r="C30" s="24"/>
      <c r="D30" s="59"/>
      <c r="E30" s="24"/>
      <c r="F30" s="24"/>
      <c r="G30" s="24"/>
      <c r="H30" s="24"/>
      <c r="I30" s="24"/>
      <c r="J30" s="48"/>
      <c r="K30" s="51"/>
      <c r="M30" s="60">
        <v>2027</v>
      </c>
      <c r="N30" s="24"/>
      <c r="O30" s="24"/>
      <c r="P30" s="24"/>
      <c r="Q30" s="24"/>
      <c r="R30" s="24"/>
      <c r="S30" s="48"/>
      <c r="T30" s="51"/>
    </row>
    <row r="31" spans="3:20" x14ac:dyDescent="0.35">
      <c r="C31" s="24"/>
      <c r="D31" s="58" t="s">
        <v>149</v>
      </c>
      <c r="E31" s="24">
        <v>1.3</v>
      </c>
      <c r="F31" s="24">
        <v>0.03</v>
      </c>
      <c r="G31" s="24">
        <v>13.1</v>
      </c>
      <c r="H31" s="24">
        <v>96.2</v>
      </c>
      <c r="I31" s="24">
        <f>+E31+F31*G31*H31</f>
        <v>39.106599999999993</v>
      </c>
      <c r="J31" s="68">
        <v>115428</v>
      </c>
      <c r="K31" s="52">
        <f>+I31*J31</f>
        <v>4513996.6247999994</v>
      </c>
      <c r="M31" s="58" t="s">
        <v>149</v>
      </c>
      <c r="N31" s="24">
        <v>1.3</v>
      </c>
      <c r="O31" s="24">
        <v>0.03</v>
      </c>
      <c r="P31" s="24">
        <v>13.1</v>
      </c>
      <c r="Q31" s="24">
        <v>96.2</v>
      </c>
      <c r="R31" s="24">
        <f>+N31+O31*P31*Q31</f>
        <v>39.106599999999993</v>
      </c>
      <c r="S31" s="68">
        <v>144028</v>
      </c>
      <c r="T31" s="52">
        <f>+R31*S31</f>
        <v>5632445.3847999992</v>
      </c>
    </row>
    <row r="32" spans="3:20" x14ac:dyDescent="0.35">
      <c r="C32" s="24"/>
      <c r="D32" s="24"/>
      <c r="E32" s="24"/>
      <c r="F32" s="24"/>
      <c r="G32" s="24"/>
      <c r="H32" s="24"/>
      <c r="I32" s="24"/>
      <c r="J32" s="24"/>
      <c r="K32" s="61">
        <f>SUM(K29:K31)</f>
        <v>8391836.6327999998</v>
      </c>
      <c r="M32" s="24"/>
      <c r="N32" s="24"/>
      <c r="O32" s="24"/>
      <c r="P32" s="24"/>
      <c r="Q32" s="24"/>
      <c r="R32" s="24"/>
      <c r="S32" s="24"/>
      <c r="T32" s="61">
        <f>SUM(T29:T31)</f>
        <v>5632445.3847999992</v>
      </c>
    </row>
    <row r="33" spans="3:20" x14ac:dyDescent="0.35">
      <c r="C33" s="24"/>
      <c r="D33" s="60">
        <v>2028</v>
      </c>
      <c r="E33" s="24"/>
      <c r="F33" s="24"/>
      <c r="G33" s="24"/>
      <c r="H33" s="24"/>
      <c r="I33" s="24"/>
      <c r="J33" s="24"/>
      <c r="K33" s="24"/>
      <c r="N33" s="24"/>
      <c r="O33" s="24"/>
      <c r="P33" s="24"/>
      <c r="Q33" s="24"/>
      <c r="R33" s="24"/>
      <c r="S33" s="24"/>
      <c r="T33" s="24"/>
    </row>
    <row r="34" spans="3:20" x14ac:dyDescent="0.35">
      <c r="C34" s="24"/>
      <c r="D34" s="58" t="s">
        <v>148</v>
      </c>
      <c r="E34" s="24">
        <v>5.5</v>
      </c>
      <c r="F34" s="24">
        <v>0.2</v>
      </c>
      <c r="G34" s="24">
        <v>13.1</v>
      </c>
      <c r="H34" s="24">
        <v>99.9</v>
      </c>
      <c r="I34" s="24">
        <f>+E34+F34*G34*H34</f>
        <v>267.238</v>
      </c>
      <c r="J34" s="68">
        <v>16348</v>
      </c>
      <c r="K34" s="51">
        <f>+I34*J34</f>
        <v>4368806.824</v>
      </c>
      <c r="M34" s="58"/>
      <c r="N34" s="24"/>
      <c r="O34" s="24"/>
      <c r="P34" s="24"/>
      <c r="Q34" s="24"/>
      <c r="R34" s="24"/>
      <c r="S34" s="67"/>
      <c r="T34" s="51"/>
    </row>
    <row r="35" spans="3:20" x14ac:dyDescent="0.35">
      <c r="C35" s="24"/>
      <c r="D35" s="59"/>
      <c r="E35" s="24"/>
      <c r="F35" s="24"/>
      <c r="G35" s="24"/>
      <c r="H35" s="24"/>
      <c r="I35" s="24"/>
      <c r="J35" s="48"/>
      <c r="K35" s="51"/>
      <c r="M35" s="60">
        <v>2028</v>
      </c>
      <c r="N35" s="24"/>
      <c r="O35" s="24"/>
      <c r="P35" s="24"/>
      <c r="Q35" s="24"/>
      <c r="R35" s="24"/>
      <c r="S35" s="48"/>
      <c r="T35" s="51"/>
    </row>
    <row r="36" spans="3:20" x14ac:dyDescent="0.35">
      <c r="C36" s="24"/>
      <c r="D36" s="58" t="s">
        <v>149</v>
      </c>
      <c r="E36" s="24">
        <v>1.3</v>
      </c>
      <c r="F36" s="24">
        <v>0.03</v>
      </c>
      <c r="G36" s="24">
        <v>13.1</v>
      </c>
      <c r="H36" s="24">
        <v>99.9</v>
      </c>
      <c r="I36" s="24">
        <f>+E36+F36*G36*H36</f>
        <v>40.560699999999997</v>
      </c>
      <c r="J36" s="68">
        <v>125322</v>
      </c>
      <c r="K36" s="52">
        <f>+I36*J36</f>
        <v>5083148.0453999992</v>
      </c>
      <c r="M36" s="58" t="s">
        <v>149</v>
      </c>
      <c r="N36" s="24">
        <v>1.3</v>
      </c>
      <c r="O36" s="24">
        <v>0.03</v>
      </c>
      <c r="P36" s="24">
        <v>13.1</v>
      </c>
      <c r="Q36" s="24">
        <v>99.9</v>
      </c>
      <c r="R36" s="24">
        <f>+N36+O36*P36*Q36</f>
        <v>40.560699999999997</v>
      </c>
      <c r="S36" s="68">
        <v>156374</v>
      </c>
      <c r="T36" s="52">
        <f>+R36*S36</f>
        <v>6342638.9017999992</v>
      </c>
    </row>
    <row r="37" spans="3:20" x14ac:dyDescent="0.35">
      <c r="C37" s="24"/>
      <c r="D37" s="24"/>
      <c r="E37" s="24"/>
      <c r="F37" s="24"/>
      <c r="G37" s="24"/>
      <c r="H37" s="24"/>
      <c r="I37" s="24"/>
      <c r="J37" s="24"/>
      <c r="K37" s="61">
        <f>SUM(K34:K36)</f>
        <v>9451954.8693999983</v>
      </c>
      <c r="M37" s="24"/>
      <c r="N37" s="24"/>
      <c r="O37" s="24"/>
      <c r="P37" s="24"/>
      <c r="Q37" s="24"/>
      <c r="R37" s="24"/>
      <c r="S37" s="24"/>
      <c r="T37" s="61">
        <f>SUM(T34:T36)</f>
        <v>6342638.9017999992</v>
      </c>
    </row>
    <row r="38" spans="3:20" x14ac:dyDescent="0.35">
      <c r="C38" s="24"/>
      <c r="D38" s="60">
        <v>2029</v>
      </c>
      <c r="E38" s="24"/>
      <c r="F38" s="24"/>
      <c r="G38" s="24"/>
      <c r="H38" s="24"/>
      <c r="I38" s="24"/>
      <c r="J38" s="24"/>
      <c r="K38" s="24"/>
      <c r="N38" s="24"/>
      <c r="O38" s="24"/>
      <c r="P38" s="24"/>
      <c r="Q38" s="24"/>
      <c r="R38" s="24"/>
      <c r="S38" s="24"/>
      <c r="T38" s="24"/>
    </row>
    <row r="39" spans="3:20" x14ac:dyDescent="0.35">
      <c r="C39" s="24"/>
      <c r="D39" s="58" t="s">
        <v>148</v>
      </c>
      <c r="E39" s="24">
        <v>5.5</v>
      </c>
      <c r="F39" s="24">
        <v>0.2</v>
      </c>
      <c r="G39" s="24">
        <v>13.1</v>
      </c>
      <c r="H39" s="24">
        <v>103.8</v>
      </c>
      <c r="I39" s="24">
        <f>+E39+F39*G39*H39</f>
        <v>277.45600000000002</v>
      </c>
      <c r="J39" s="68">
        <f>+J34</f>
        <v>16348</v>
      </c>
      <c r="K39" s="51">
        <f>+I39*J39</f>
        <v>4535850.6880000001</v>
      </c>
      <c r="M39" s="58"/>
      <c r="N39" s="24"/>
      <c r="O39" s="24"/>
      <c r="P39" s="24"/>
      <c r="Q39" s="24"/>
      <c r="R39" s="24"/>
      <c r="S39" s="67"/>
      <c r="T39" s="51"/>
    </row>
    <row r="40" spans="3:20" x14ac:dyDescent="0.35">
      <c r="C40" s="24"/>
      <c r="D40" s="59"/>
      <c r="E40" s="24"/>
      <c r="F40" s="24"/>
      <c r="G40" s="24"/>
      <c r="H40" s="24"/>
      <c r="I40" s="24"/>
      <c r="J40" s="48"/>
      <c r="K40" s="51"/>
      <c r="M40" s="60">
        <v>2029</v>
      </c>
      <c r="N40" s="24"/>
      <c r="O40" s="24"/>
      <c r="P40" s="24"/>
      <c r="Q40" s="24"/>
      <c r="R40" s="24"/>
      <c r="S40" s="48"/>
      <c r="T40" s="51"/>
    </row>
    <row r="41" spans="3:20" x14ac:dyDescent="0.35">
      <c r="C41" s="24"/>
      <c r="D41" s="58" t="s">
        <v>149</v>
      </c>
      <c r="E41" s="24">
        <v>1.3</v>
      </c>
      <c r="F41" s="24">
        <v>0.03</v>
      </c>
      <c r="G41" s="24">
        <v>13.1</v>
      </c>
      <c r="H41" s="24">
        <v>103.8</v>
      </c>
      <c r="I41" s="24">
        <f>+E41+F41*G41*H41</f>
        <v>42.093399999999995</v>
      </c>
      <c r="J41" s="68">
        <f>+J36</f>
        <v>125322</v>
      </c>
      <c r="K41" s="52">
        <f>+I41*J41</f>
        <v>5275229.0747999996</v>
      </c>
      <c r="M41" s="58" t="s">
        <v>149</v>
      </c>
      <c r="N41" s="24">
        <v>1.3</v>
      </c>
      <c r="O41" s="24">
        <v>0.03</v>
      </c>
      <c r="P41" s="24">
        <v>13.1</v>
      </c>
      <c r="Q41" s="24">
        <v>103.8</v>
      </c>
      <c r="R41" s="24">
        <f>+N41+O41*P41*Q41</f>
        <v>42.093399999999995</v>
      </c>
      <c r="S41" s="68">
        <v>156374</v>
      </c>
      <c r="T41" s="52">
        <f>+R41*S41</f>
        <v>6582313.3315999992</v>
      </c>
    </row>
    <row r="42" spans="3:20" x14ac:dyDescent="0.35">
      <c r="C42" s="24"/>
      <c r="D42" s="24"/>
      <c r="E42" s="24"/>
      <c r="F42" s="24"/>
      <c r="G42" s="24"/>
      <c r="H42" s="24"/>
      <c r="I42" s="24"/>
      <c r="J42" s="24"/>
      <c r="K42" s="61">
        <f>SUM(K39:K41)</f>
        <v>9811079.7628000006</v>
      </c>
      <c r="M42" s="24"/>
      <c r="N42" s="24"/>
      <c r="O42" s="24"/>
      <c r="P42" s="24"/>
      <c r="Q42" s="24"/>
      <c r="R42" s="24"/>
      <c r="S42" s="24"/>
      <c r="T42" s="61">
        <f>SUM(T39:T41)</f>
        <v>6582313.3315999992</v>
      </c>
    </row>
    <row r="43" spans="3:20" x14ac:dyDescent="0.35">
      <c r="C43" s="24"/>
      <c r="D43" s="60">
        <v>2030</v>
      </c>
      <c r="E43" s="24"/>
      <c r="F43" s="24"/>
      <c r="G43" s="24"/>
      <c r="H43" s="24"/>
      <c r="I43" s="24"/>
      <c r="J43" s="24"/>
      <c r="K43" s="24"/>
      <c r="N43" s="24"/>
      <c r="O43" s="24"/>
      <c r="P43" s="24"/>
      <c r="Q43" s="24"/>
      <c r="R43" s="24"/>
      <c r="S43" s="24"/>
      <c r="T43" s="24"/>
    </row>
    <row r="44" spans="3:20" x14ac:dyDescent="0.35">
      <c r="C44" s="24"/>
      <c r="D44" s="58" t="s">
        <v>148</v>
      </c>
      <c r="E44" s="24">
        <v>5.5</v>
      </c>
      <c r="F44" s="24">
        <v>0.2</v>
      </c>
      <c r="G44" s="24">
        <v>13.1</v>
      </c>
      <c r="H44" s="24">
        <v>107.3</v>
      </c>
      <c r="I44" s="24">
        <f>+E44+F44*G44*H44</f>
        <v>286.62599999999998</v>
      </c>
      <c r="J44" s="68">
        <f>+J39</f>
        <v>16348</v>
      </c>
      <c r="K44" s="51">
        <f>+I44*J44</f>
        <v>4685761.8479999993</v>
      </c>
      <c r="M44" s="58"/>
      <c r="N44" s="24"/>
      <c r="O44" s="24"/>
      <c r="P44" s="24"/>
      <c r="Q44" s="24"/>
      <c r="R44" s="24"/>
      <c r="S44" s="67"/>
      <c r="T44" s="51"/>
    </row>
    <row r="45" spans="3:20" x14ac:dyDescent="0.35">
      <c r="C45" s="24"/>
      <c r="D45" s="59"/>
      <c r="E45" s="24"/>
      <c r="F45" s="24"/>
      <c r="G45" s="24"/>
      <c r="H45" s="24"/>
      <c r="I45" s="24"/>
      <c r="J45" s="48"/>
      <c r="K45" s="51"/>
      <c r="M45" s="60">
        <v>2030</v>
      </c>
      <c r="N45" s="24"/>
      <c r="O45" s="24"/>
      <c r="P45" s="24"/>
      <c r="Q45" s="24"/>
      <c r="R45" s="24"/>
      <c r="S45" s="48"/>
      <c r="T45" s="51"/>
    </row>
    <row r="46" spans="3:20" x14ac:dyDescent="0.35">
      <c r="C46" s="24"/>
      <c r="D46" s="58" t="s">
        <v>149</v>
      </c>
      <c r="E46" s="24">
        <v>1.3</v>
      </c>
      <c r="F46" s="24">
        <v>0.03</v>
      </c>
      <c r="G46" s="24">
        <v>13.1</v>
      </c>
      <c r="H46" s="24">
        <v>107.3</v>
      </c>
      <c r="I46" s="24">
        <f>+E46+F46*G46*H46</f>
        <v>43.468899999999991</v>
      </c>
      <c r="J46" s="68">
        <f>+J41</f>
        <v>125322</v>
      </c>
      <c r="K46" s="52">
        <f>+I46*J46</f>
        <v>5447609.485799999</v>
      </c>
      <c r="M46" s="58" t="s">
        <v>149</v>
      </c>
      <c r="N46" s="24">
        <v>1.3</v>
      </c>
      <c r="O46" s="24">
        <v>0.03</v>
      </c>
      <c r="P46" s="24">
        <v>13.1</v>
      </c>
      <c r="Q46" s="24">
        <v>107.3</v>
      </c>
      <c r="R46" s="24">
        <f>+N46+O46*P46*Q46</f>
        <v>43.468899999999991</v>
      </c>
      <c r="S46" s="68">
        <v>156374</v>
      </c>
      <c r="T46" s="52">
        <f>+R46*S46</f>
        <v>6797405.7685999982</v>
      </c>
    </row>
    <row r="47" spans="3:20" x14ac:dyDescent="0.35">
      <c r="C47" s="24"/>
      <c r="D47" s="24"/>
      <c r="E47" s="24"/>
      <c r="F47" s="24"/>
      <c r="G47" s="24"/>
      <c r="H47" s="24"/>
      <c r="I47" s="24"/>
      <c r="J47" s="24"/>
      <c r="K47" s="61">
        <f>SUM(K44:K46)</f>
        <v>10133371.333799999</v>
      </c>
      <c r="M47" s="24"/>
      <c r="N47" s="24"/>
      <c r="O47" s="24"/>
      <c r="P47" s="24"/>
      <c r="Q47" s="24"/>
      <c r="R47" s="24"/>
      <c r="S47" s="24"/>
      <c r="T47" s="61">
        <f>SUM(T44:T46)</f>
        <v>6797405.7685999982</v>
      </c>
    </row>
    <row r="48" spans="3:20" s="24" customFormat="1" x14ac:dyDescent="0.35">
      <c r="K48" s="91"/>
      <c r="T48" s="91"/>
    </row>
    <row r="49" spans="4:20" s="24" customFormat="1" x14ac:dyDescent="0.35">
      <c r="D49" s="60">
        <v>2031</v>
      </c>
      <c r="T49" s="91"/>
    </row>
    <row r="50" spans="4:20" s="24" customFormat="1" x14ac:dyDescent="0.35">
      <c r="D50" s="58" t="s">
        <v>148</v>
      </c>
      <c r="E50" s="24">
        <v>5.5</v>
      </c>
      <c r="F50" s="24">
        <v>0.2</v>
      </c>
      <c r="G50" s="24">
        <v>13.1</v>
      </c>
      <c r="H50" s="24">
        <v>111.4</v>
      </c>
      <c r="I50" s="24">
        <f>+E50+F50*G50*H50</f>
        <v>297.36800000000005</v>
      </c>
      <c r="J50" s="68">
        <v>16348</v>
      </c>
      <c r="K50" s="51">
        <f>+I50*J50</f>
        <v>4861372.0640000012</v>
      </c>
      <c r="T50" s="91"/>
    </row>
    <row r="51" spans="4:20" s="24" customFormat="1" x14ac:dyDescent="0.35">
      <c r="D51" s="59"/>
      <c r="K51" s="51"/>
      <c r="T51" s="91"/>
    </row>
    <row r="52" spans="4:20" s="24" customFormat="1" x14ac:dyDescent="0.35">
      <c r="D52" s="58" t="s">
        <v>149</v>
      </c>
      <c r="E52" s="24">
        <v>1.3</v>
      </c>
      <c r="F52" s="24">
        <v>0.03</v>
      </c>
      <c r="G52" s="24">
        <v>13.1</v>
      </c>
      <c r="H52" s="24">
        <v>111.4</v>
      </c>
      <c r="I52" s="24">
        <f>+E52+F52*G52*H52</f>
        <v>45.080199999999998</v>
      </c>
      <c r="J52" s="48">
        <v>125322</v>
      </c>
      <c r="K52" s="52">
        <f>I52*J52</f>
        <v>5649540.8243999993</v>
      </c>
      <c r="T52" s="91"/>
    </row>
    <row r="53" spans="4:20" s="24" customFormat="1" x14ac:dyDescent="0.35">
      <c r="K53" s="61">
        <f>SUM(K50:K52)</f>
        <v>10510912.8884</v>
      </c>
      <c r="T53" s="91"/>
    </row>
    <row r="54" spans="4:20" s="24" customFormat="1" x14ac:dyDescent="0.35">
      <c r="K54" s="91"/>
      <c r="T54" s="91"/>
    </row>
    <row r="55" spans="4:20" s="24" customFormat="1" x14ac:dyDescent="0.35">
      <c r="D55" s="60">
        <v>2032</v>
      </c>
      <c r="T55" s="91"/>
    </row>
    <row r="56" spans="4:20" s="24" customFormat="1" x14ac:dyDescent="0.35">
      <c r="D56" s="58" t="s">
        <v>148</v>
      </c>
      <c r="E56" s="24">
        <v>5.5</v>
      </c>
      <c r="F56" s="24">
        <v>0.2</v>
      </c>
      <c r="G56" s="24">
        <v>13.1</v>
      </c>
      <c r="H56" s="24">
        <v>115.8</v>
      </c>
      <c r="I56" s="24">
        <f>+E56+F56*G56*H56</f>
        <v>308.89600000000002</v>
      </c>
      <c r="J56" s="68">
        <v>16348</v>
      </c>
      <c r="K56" s="51">
        <f>+I56*J56</f>
        <v>5049831.8080000002</v>
      </c>
      <c r="T56" s="91"/>
    </row>
    <row r="57" spans="4:20" s="24" customFormat="1" x14ac:dyDescent="0.35">
      <c r="D57" s="59"/>
      <c r="K57" s="51"/>
      <c r="T57" s="91"/>
    </row>
    <row r="58" spans="4:20" s="24" customFormat="1" x14ac:dyDescent="0.35">
      <c r="D58" s="58" t="s">
        <v>149</v>
      </c>
      <c r="E58" s="24">
        <v>1.3</v>
      </c>
      <c r="F58" s="24">
        <v>0.03</v>
      </c>
      <c r="G58" s="24">
        <v>13.1</v>
      </c>
      <c r="H58" s="24">
        <v>115.8</v>
      </c>
      <c r="I58" s="24">
        <f>+E58+F58*G58*H58</f>
        <v>46.809399999999989</v>
      </c>
      <c r="J58" s="48">
        <v>125322</v>
      </c>
      <c r="K58" s="52">
        <f>I58*J58</f>
        <v>5866247.6267999988</v>
      </c>
      <c r="T58" s="91"/>
    </row>
    <row r="59" spans="4:20" s="24" customFormat="1" x14ac:dyDescent="0.35">
      <c r="K59" s="61">
        <f>SUM(K56:K58)</f>
        <v>10916079.434799999</v>
      </c>
      <c r="T59" s="91"/>
    </row>
    <row r="60" spans="4:20" s="24" customFormat="1" x14ac:dyDescent="0.35">
      <c r="K60" s="91"/>
      <c r="T60" s="91"/>
    </row>
    <row r="61" spans="4:20" s="24" customFormat="1" x14ac:dyDescent="0.35">
      <c r="D61" s="60">
        <v>2033</v>
      </c>
      <c r="T61" s="91"/>
    </row>
    <row r="62" spans="4:20" s="24" customFormat="1" x14ac:dyDescent="0.35">
      <c r="D62" s="58" t="s">
        <v>148</v>
      </c>
      <c r="E62" s="24">
        <v>5.5</v>
      </c>
      <c r="F62" s="24">
        <v>0.2</v>
      </c>
      <c r="G62" s="24">
        <v>13.1</v>
      </c>
      <c r="H62" s="24">
        <v>120.4</v>
      </c>
      <c r="I62" s="24">
        <f>+E62+F62*G62*H62</f>
        <v>320.94800000000004</v>
      </c>
      <c r="J62" s="68">
        <v>16348</v>
      </c>
      <c r="K62" s="51">
        <f>+I62*J62</f>
        <v>5246857.904000001</v>
      </c>
      <c r="T62" s="91"/>
    </row>
    <row r="63" spans="4:20" s="24" customFormat="1" x14ac:dyDescent="0.35">
      <c r="D63" s="59"/>
      <c r="K63" s="51"/>
      <c r="T63" s="91"/>
    </row>
    <row r="64" spans="4:20" s="24" customFormat="1" x14ac:dyDescent="0.35">
      <c r="D64" s="58" t="s">
        <v>149</v>
      </c>
      <c r="E64" s="24">
        <v>1.3</v>
      </c>
      <c r="F64" s="24">
        <v>0.03</v>
      </c>
      <c r="G64" s="24">
        <v>13.1</v>
      </c>
      <c r="H64" s="24">
        <v>120.4</v>
      </c>
      <c r="I64" s="24">
        <f>+E64+F64*G64*H64</f>
        <v>48.617199999999997</v>
      </c>
      <c r="J64" s="48">
        <v>125322</v>
      </c>
      <c r="K64" s="52">
        <f>I64*J64</f>
        <v>6092804.7383999992</v>
      </c>
      <c r="T64" s="91"/>
    </row>
    <row r="65" spans="4:20" s="24" customFormat="1" x14ac:dyDescent="0.35">
      <c r="K65" s="61">
        <f>SUM(K62:K64)</f>
        <v>11339662.6424</v>
      </c>
      <c r="T65" s="91"/>
    </row>
    <row r="66" spans="4:20" s="24" customFormat="1" x14ac:dyDescent="0.35">
      <c r="K66" s="91"/>
      <c r="T66" s="91"/>
    </row>
    <row r="67" spans="4:20" s="24" customFormat="1" x14ac:dyDescent="0.35">
      <c r="D67" s="60">
        <v>2034</v>
      </c>
      <c r="T67" s="91"/>
    </row>
    <row r="68" spans="4:20" s="24" customFormat="1" x14ac:dyDescent="0.35">
      <c r="D68" s="58" t="s">
        <v>148</v>
      </c>
      <c r="E68" s="24">
        <v>5.5</v>
      </c>
      <c r="F68" s="24">
        <v>0.2</v>
      </c>
      <c r="G68" s="24">
        <v>13.2</v>
      </c>
      <c r="H68" s="24">
        <v>125.1</v>
      </c>
      <c r="I68" s="24">
        <f>+E68+F68*G68*H68</f>
        <v>335.76400000000001</v>
      </c>
      <c r="J68" s="68">
        <v>16348</v>
      </c>
      <c r="K68" s="51">
        <f>+I68*J68</f>
        <v>5489069.8720000004</v>
      </c>
      <c r="T68" s="91"/>
    </row>
    <row r="69" spans="4:20" s="24" customFormat="1" x14ac:dyDescent="0.35">
      <c r="D69" s="59"/>
      <c r="K69" s="51"/>
      <c r="T69" s="91"/>
    </row>
    <row r="70" spans="4:20" s="24" customFormat="1" x14ac:dyDescent="0.35">
      <c r="D70" s="58" t="s">
        <v>149</v>
      </c>
      <c r="E70" s="24">
        <v>1.3</v>
      </c>
      <c r="F70" s="24">
        <v>0.03</v>
      </c>
      <c r="G70" s="24">
        <v>13.2</v>
      </c>
      <c r="H70" s="24">
        <v>125.1</v>
      </c>
      <c r="I70" s="24">
        <f>+E70+F70*G70*H70</f>
        <v>50.83959999999999</v>
      </c>
      <c r="J70" s="48">
        <v>125322</v>
      </c>
      <c r="K70" s="52">
        <f>I70*J70</f>
        <v>6371320.3511999985</v>
      </c>
      <c r="T70" s="91"/>
    </row>
    <row r="71" spans="4:20" s="24" customFormat="1" x14ac:dyDescent="0.35">
      <c r="K71" s="61">
        <f>SUM(K68:K70)</f>
        <v>11860390.223199999</v>
      </c>
      <c r="T71" s="91"/>
    </row>
    <row r="72" spans="4:20" s="24" customFormat="1" x14ac:dyDescent="0.35">
      <c r="K72" s="91"/>
      <c r="T72" s="91"/>
    </row>
    <row r="73" spans="4:20" s="24" customFormat="1" x14ac:dyDescent="0.35">
      <c r="D73" s="60">
        <v>2035</v>
      </c>
      <c r="T73" s="91"/>
    </row>
    <row r="74" spans="4:20" s="24" customFormat="1" x14ac:dyDescent="0.35">
      <c r="D74" s="58" t="s">
        <v>148</v>
      </c>
      <c r="E74" s="24">
        <v>5.5</v>
      </c>
      <c r="F74" s="24">
        <v>0.2</v>
      </c>
      <c r="G74" s="24">
        <v>13.2</v>
      </c>
      <c r="H74" s="24">
        <v>130.1</v>
      </c>
      <c r="I74" s="24">
        <f>+E74+F74*G74*H74</f>
        <v>348.964</v>
      </c>
      <c r="J74" s="68">
        <v>16348</v>
      </c>
      <c r="K74" s="51">
        <f>+I74*J74</f>
        <v>5704863.4720000001</v>
      </c>
      <c r="T74" s="91"/>
    </row>
    <row r="75" spans="4:20" s="24" customFormat="1" x14ac:dyDescent="0.35">
      <c r="D75" s="59"/>
      <c r="K75" s="51"/>
      <c r="T75" s="91"/>
    </row>
    <row r="76" spans="4:20" s="24" customFormat="1" x14ac:dyDescent="0.35">
      <c r="D76" s="58" t="s">
        <v>149</v>
      </c>
      <c r="E76" s="24">
        <v>1.3</v>
      </c>
      <c r="F76" s="24">
        <v>0.03</v>
      </c>
      <c r="G76" s="24">
        <v>13.2</v>
      </c>
      <c r="H76" s="24">
        <v>130.1</v>
      </c>
      <c r="I76" s="24">
        <f>+E76+F76*G76*H76</f>
        <v>52.819599999999987</v>
      </c>
      <c r="J76" s="48">
        <v>125322</v>
      </c>
      <c r="K76" s="52">
        <f>I76*J76</f>
        <v>6619457.9111999981</v>
      </c>
      <c r="T76" s="91"/>
    </row>
    <row r="77" spans="4:20" s="24" customFormat="1" x14ac:dyDescent="0.35">
      <c r="K77" s="61">
        <f>SUM(K74:K76)</f>
        <v>12324321.383199997</v>
      </c>
      <c r="T77" s="91"/>
    </row>
    <row r="78" spans="4:20" s="24" customFormat="1" x14ac:dyDescent="0.35">
      <c r="K78" s="91"/>
      <c r="T78" s="91"/>
    </row>
    <row r="79" spans="4:20" s="24" customFormat="1" x14ac:dyDescent="0.35">
      <c r="K79" s="91"/>
      <c r="T79" s="91"/>
    </row>
    <row r="80" spans="4:20" s="24" customFormat="1" x14ac:dyDescent="0.35">
      <c r="K80" s="91"/>
      <c r="T80" s="91"/>
    </row>
    <row r="81" spans="4:30" s="24" customFormat="1" x14ac:dyDescent="0.35">
      <c r="K81" s="91"/>
      <c r="T81" s="91"/>
    </row>
    <row r="82" spans="4:30" x14ac:dyDescent="0.35">
      <c r="D82" t="s">
        <v>170</v>
      </c>
      <c r="L82" s="234" t="s">
        <v>175</v>
      </c>
      <c r="M82" s="234"/>
    </row>
    <row r="83" spans="4:30" x14ac:dyDescent="0.35">
      <c r="G83" s="71" t="s">
        <v>172</v>
      </c>
      <c r="H83" s="71"/>
      <c r="I83" s="71"/>
      <c r="J83" s="71"/>
      <c r="K83" s="72">
        <f>+K47+K42+K37+K32+K27+K22+K17+K12+K7</f>
        <v>68238924.886799991</v>
      </c>
      <c r="L83" s="69" t="s">
        <v>174</v>
      </c>
      <c r="M83" s="69" t="s">
        <v>127</v>
      </c>
      <c r="P83" s="71" t="s">
        <v>171</v>
      </c>
      <c r="Q83" s="71"/>
      <c r="R83" s="71"/>
      <c r="S83" s="71"/>
      <c r="T83" s="72">
        <f>+T47+T42+T37+T32+T27+T22+T17+T12+T7</f>
        <v>45590009.717999987</v>
      </c>
    </row>
    <row r="84" spans="4:30" x14ac:dyDescent="0.35">
      <c r="L84" s="63">
        <f>+K83/9</f>
        <v>7582102.7651999993</v>
      </c>
      <c r="M84" s="63">
        <f>+T83/9</f>
        <v>5065556.6353333322</v>
      </c>
      <c r="N84" s="62"/>
    </row>
    <row r="85" spans="4:30" x14ac:dyDescent="0.35">
      <c r="J85" s="24" t="s">
        <v>163</v>
      </c>
      <c r="K85" s="24"/>
      <c r="Q85" t="s">
        <v>173</v>
      </c>
      <c r="T85" s="70">
        <f>+K83-T83</f>
        <v>22648915.168800004</v>
      </c>
    </row>
    <row r="86" spans="4:30" x14ac:dyDescent="0.35">
      <c r="J86" s="24">
        <v>2020</v>
      </c>
      <c r="K86" s="63">
        <v>234000000</v>
      </c>
      <c r="L86" s="73">
        <f>+L84/K86</f>
        <v>3.2402148569230765E-2</v>
      </c>
      <c r="M86" s="73">
        <f>+M84/K86</f>
        <v>2.1647677928774926E-2</v>
      </c>
    </row>
    <row r="87" spans="4:30" x14ac:dyDescent="0.35">
      <c r="E87" t="s">
        <v>181</v>
      </c>
      <c r="F87" s="71" t="s">
        <v>180</v>
      </c>
      <c r="G87" s="71"/>
      <c r="H87" s="71"/>
    </row>
    <row r="92" spans="4:30" x14ac:dyDescent="0.35">
      <c r="R92" t="s">
        <v>176</v>
      </c>
    </row>
    <row r="93" spans="4:30" x14ac:dyDescent="0.35">
      <c r="R93" t="s">
        <v>177</v>
      </c>
    </row>
    <row r="96" spans="4:30" x14ac:dyDescent="0.35">
      <c r="U96" s="76" t="s">
        <v>178</v>
      </c>
      <c r="V96" s="77">
        <v>2022</v>
      </c>
      <c r="W96" s="77">
        <v>2023</v>
      </c>
      <c r="X96" s="77">
        <v>2024</v>
      </c>
      <c r="Y96" s="77">
        <v>2025</v>
      </c>
      <c r="Z96" s="77">
        <v>2026</v>
      </c>
      <c r="AA96" s="77">
        <v>2027</v>
      </c>
      <c r="AB96" s="77">
        <v>2028</v>
      </c>
      <c r="AC96" s="77">
        <v>2029</v>
      </c>
      <c r="AD96" s="78">
        <v>2030</v>
      </c>
    </row>
    <row r="97" spans="4:30" ht="30.65" customHeight="1" x14ac:dyDescent="0.35">
      <c r="U97" s="80" t="s">
        <v>179</v>
      </c>
      <c r="V97" s="81">
        <v>0.17499999999999999</v>
      </c>
      <c r="W97" s="79">
        <v>0.12</v>
      </c>
      <c r="X97" s="81">
        <v>0.105</v>
      </c>
      <c r="Y97" s="81">
        <v>9.5000000000000001E-2</v>
      </c>
      <c r="Z97" s="81">
        <v>0.09</v>
      </c>
      <c r="AA97" s="81">
        <v>8.5000000000000006E-2</v>
      </c>
      <c r="AB97" s="81">
        <v>0.08</v>
      </c>
      <c r="AC97" s="81">
        <v>7.4999999999999997E-2</v>
      </c>
      <c r="AD97" s="79">
        <v>7.0000000000000007E-2</v>
      </c>
    </row>
    <row r="104" spans="4:30" x14ac:dyDescent="0.35">
      <c r="K104" s="60" t="s">
        <v>188</v>
      </c>
    </row>
    <row r="105" spans="4:30" x14ac:dyDescent="0.35">
      <c r="D105" s="82" t="s">
        <v>124</v>
      </c>
      <c r="E105" s="84">
        <v>3</v>
      </c>
      <c r="F105" s="82" t="s">
        <v>187</v>
      </c>
      <c r="J105" t="s">
        <v>183</v>
      </c>
      <c r="K105" s="235" t="s">
        <v>186</v>
      </c>
      <c r="L105" s="235"/>
      <c r="M105" s="85" t="s">
        <v>183</v>
      </c>
    </row>
    <row r="106" spans="4:30" x14ac:dyDescent="0.35">
      <c r="D106" s="82" t="s">
        <v>127</v>
      </c>
      <c r="E106" s="84">
        <v>3.19</v>
      </c>
      <c r="F106" s="83" t="s">
        <v>187</v>
      </c>
      <c r="H106" t="s">
        <v>196</v>
      </c>
      <c r="J106" t="s">
        <v>184</v>
      </c>
      <c r="K106" s="75" t="s">
        <v>182</v>
      </c>
      <c r="L106" s="75" t="s">
        <v>185</v>
      </c>
      <c r="O106" s="86"/>
      <c r="P106" s="86"/>
    </row>
    <row r="107" spans="4:30" x14ac:dyDescent="0.35">
      <c r="F107" s="51"/>
      <c r="H107" t="s">
        <v>189</v>
      </c>
      <c r="I107">
        <v>2021</v>
      </c>
      <c r="J107" s="48">
        <v>2773475</v>
      </c>
      <c r="K107" s="89">
        <v>1745903</v>
      </c>
      <c r="L107" s="89">
        <v>5629834</v>
      </c>
      <c r="M107" s="34">
        <f>SUM(K107:L107)</f>
        <v>7375737</v>
      </c>
      <c r="N107" s="34"/>
      <c r="O107" s="34"/>
      <c r="P107" s="48"/>
      <c r="Q107" s="48"/>
    </row>
    <row r="108" spans="4:30" x14ac:dyDescent="0.35">
      <c r="F108" s="74"/>
      <c r="H108" t="s">
        <v>190</v>
      </c>
      <c r="I108">
        <v>2022</v>
      </c>
      <c r="J108" s="48">
        <v>2773475</v>
      </c>
      <c r="K108" s="89">
        <v>1745903</v>
      </c>
      <c r="L108" s="89">
        <v>5629834</v>
      </c>
      <c r="M108" s="34">
        <f t="shared" ref="M108:M116" si="0">SUM(K108:L108)</f>
        <v>7375737</v>
      </c>
      <c r="N108" s="34"/>
      <c r="O108" s="34"/>
      <c r="P108" s="48"/>
      <c r="Q108" s="48"/>
    </row>
    <row r="109" spans="4:30" x14ac:dyDescent="0.35">
      <c r="H109" t="s">
        <v>191</v>
      </c>
      <c r="I109">
        <v>2023</v>
      </c>
      <c r="J109" s="67">
        <v>2806257.91</v>
      </c>
      <c r="K109" s="89">
        <v>1734512</v>
      </c>
      <c r="L109" s="89">
        <v>5868140</v>
      </c>
      <c r="M109" s="34">
        <f t="shared" si="0"/>
        <v>7602652</v>
      </c>
      <c r="N109" s="34"/>
      <c r="O109" s="34"/>
      <c r="P109" s="48"/>
      <c r="Q109" s="48"/>
    </row>
    <row r="110" spans="4:30" x14ac:dyDescent="0.35">
      <c r="H110" t="s">
        <v>192</v>
      </c>
      <c r="I110">
        <v>2024</v>
      </c>
      <c r="J110" s="67">
        <v>3227197</v>
      </c>
      <c r="K110" s="88">
        <f>+K109*1.15</f>
        <v>1994688.7999999998</v>
      </c>
      <c r="L110" s="88">
        <f>+L109*1.15</f>
        <v>6748360.9999999991</v>
      </c>
      <c r="M110" s="34">
        <f t="shared" si="0"/>
        <v>8743049.7999999989</v>
      </c>
      <c r="N110" s="34"/>
      <c r="O110" s="34"/>
      <c r="P110" s="48"/>
      <c r="Q110" s="48"/>
    </row>
    <row r="111" spans="4:30" x14ac:dyDescent="0.35">
      <c r="H111" t="s">
        <v>193</v>
      </c>
      <c r="I111">
        <v>2025</v>
      </c>
      <c r="J111" s="67">
        <v>3620073</v>
      </c>
      <c r="K111" s="88">
        <f>+K109*1.29</f>
        <v>2237520.48</v>
      </c>
      <c r="L111" s="88">
        <f>+L109*1.29</f>
        <v>7569900.6000000006</v>
      </c>
      <c r="M111" s="34">
        <f t="shared" si="0"/>
        <v>9807421.0800000001</v>
      </c>
      <c r="N111" s="34"/>
      <c r="O111" s="34"/>
      <c r="P111" s="48"/>
      <c r="Q111" s="48"/>
    </row>
    <row r="112" spans="4:30" x14ac:dyDescent="0.35">
      <c r="H112" s="24" t="s">
        <v>193</v>
      </c>
      <c r="I112">
        <v>2026</v>
      </c>
      <c r="J112" s="67">
        <f>+J111</f>
        <v>3620073</v>
      </c>
      <c r="K112" s="88">
        <f>+K111</f>
        <v>2237520.48</v>
      </c>
      <c r="L112" s="88">
        <f>+L111</f>
        <v>7569900.6000000006</v>
      </c>
      <c r="M112" s="34">
        <f t="shared" si="0"/>
        <v>9807421.0800000001</v>
      </c>
      <c r="N112" s="34"/>
      <c r="O112" s="34"/>
      <c r="P112" s="48"/>
      <c r="Q112" s="48"/>
    </row>
    <row r="113" spans="8:20" x14ac:dyDescent="0.35">
      <c r="H113" t="s">
        <v>194</v>
      </c>
      <c r="I113">
        <v>2027</v>
      </c>
      <c r="J113" s="67">
        <v>3928761</v>
      </c>
      <c r="K113" s="88">
        <f>+K109*1.4</f>
        <v>2428316.7999999998</v>
      </c>
      <c r="L113" s="88">
        <f>+L109*1.4</f>
        <v>8215395.9999999991</v>
      </c>
      <c r="M113" s="34">
        <f t="shared" si="0"/>
        <v>10643712.799999999</v>
      </c>
      <c r="N113" s="34"/>
      <c r="O113" s="34"/>
      <c r="P113" s="48"/>
      <c r="Q113" s="48"/>
    </row>
    <row r="114" spans="8:20" x14ac:dyDescent="0.35">
      <c r="H114" t="s">
        <v>195</v>
      </c>
      <c r="I114">
        <v>2028</v>
      </c>
      <c r="J114" s="67">
        <v>4265512</v>
      </c>
      <c r="K114" s="88">
        <f>+K109*1.52</f>
        <v>2636458.2400000002</v>
      </c>
      <c r="L114" s="88">
        <f>+L109*1.52</f>
        <v>8919572.8000000007</v>
      </c>
      <c r="M114" s="34">
        <f t="shared" si="0"/>
        <v>11556031.040000001</v>
      </c>
      <c r="N114" s="34"/>
      <c r="O114" s="34"/>
      <c r="P114" s="48"/>
      <c r="Q114" s="48"/>
    </row>
    <row r="115" spans="8:20" x14ac:dyDescent="0.35">
      <c r="H115" s="24" t="s">
        <v>195</v>
      </c>
      <c r="I115">
        <v>2029</v>
      </c>
      <c r="J115" s="67">
        <f t="shared" ref="J115:L116" si="1">+J114</f>
        <v>4265512</v>
      </c>
      <c r="K115" s="88">
        <f t="shared" si="1"/>
        <v>2636458.2400000002</v>
      </c>
      <c r="L115" s="88">
        <f t="shared" si="1"/>
        <v>8919572.8000000007</v>
      </c>
      <c r="M115" s="34">
        <f t="shared" si="0"/>
        <v>11556031.040000001</v>
      </c>
      <c r="N115" s="34"/>
      <c r="O115" s="34"/>
      <c r="P115" s="48"/>
      <c r="Q115" s="48"/>
    </row>
    <row r="116" spans="8:20" x14ac:dyDescent="0.35">
      <c r="H116" s="24" t="s">
        <v>195</v>
      </c>
      <c r="I116">
        <v>2030</v>
      </c>
      <c r="J116" s="67">
        <f t="shared" si="1"/>
        <v>4265512</v>
      </c>
      <c r="K116" s="88">
        <f t="shared" si="1"/>
        <v>2636458.2400000002</v>
      </c>
      <c r="L116" s="88">
        <f t="shared" si="1"/>
        <v>8919572.8000000007</v>
      </c>
      <c r="M116" s="34">
        <f t="shared" si="0"/>
        <v>11556031.040000001</v>
      </c>
      <c r="N116" s="34"/>
      <c r="O116" s="34"/>
      <c r="P116" s="48"/>
      <c r="Q116" s="48"/>
    </row>
    <row r="117" spans="8:20" x14ac:dyDescent="0.35">
      <c r="M117" s="34"/>
      <c r="N117" s="34"/>
      <c r="P117" s="48"/>
      <c r="Q117" s="48"/>
      <c r="R117" s="34"/>
      <c r="S117" s="34"/>
      <c r="T117" s="87"/>
    </row>
    <row r="118" spans="8:20" x14ac:dyDescent="0.35">
      <c r="P118" s="48"/>
      <c r="Q118" s="34"/>
      <c r="S118" s="34"/>
    </row>
  </sheetData>
  <mergeCells count="4">
    <mergeCell ref="G1:J1"/>
    <mergeCell ref="P1:S1"/>
    <mergeCell ref="L82:M82"/>
    <mergeCell ref="K105:L105"/>
  </mergeCells>
  <conditionalFormatting sqref="K107">
    <cfRule type="cellIs" dxfId="17" priority="22" operator="equal">
      <formula>"ZE by 2035"</formula>
    </cfRule>
    <cfRule type="cellIs" dxfId="16" priority="23" operator="equal">
      <formula>"NA"</formula>
    </cfRule>
    <cfRule type="cellIs" dxfId="15" priority="24" operator="equal">
      <formula>"Retired"</formula>
    </cfRule>
  </conditionalFormatting>
  <conditionalFormatting sqref="K108">
    <cfRule type="cellIs" dxfId="14" priority="19" operator="equal">
      <formula>"ZE by 2035"</formula>
    </cfRule>
    <cfRule type="cellIs" dxfId="13" priority="20" operator="equal">
      <formula>"NA"</formula>
    </cfRule>
    <cfRule type="cellIs" dxfId="12" priority="21" operator="equal">
      <formula>"Retired"</formula>
    </cfRule>
  </conditionalFormatting>
  <conditionalFormatting sqref="L107">
    <cfRule type="cellIs" dxfId="11" priority="16" operator="equal">
      <formula>"ZE by 2035"</formula>
    </cfRule>
    <cfRule type="cellIs" dxfId="10" priority="17" operator="equal">
      <formula>"NA"</formula>
    </cfRule>
    <cfRule type="cellIs" dxfId="9" priority="18" operator="equal">
      <formula>"Retired"</formula>
    </cfRule>
  </conditionalFormatting>
  <conditionalFormatting sqref="L108">
    <cfRule type="cellIs" dxfId="8" priority="13" operator="equal">
      <formula>"ZE by 2035"</formula>
    </cfRule>
    <cfRule type="cellIs" dxfId="7" priority="14" operator="equal">
      <formula>"NA"</formula>
    </cfRule>
    <cfRule type="cellIs" dxfId="6" priority="15" operator="equal">
      <formula>"Retired"</formula>
    </cfRule>
  </conditionalFormatting>
  <conditionalFormatting sqref="K109">
    <cfRule type="cellIs" dxfId="5" priority="7" operator="equal">
      <formula>"ZE by 2035"</formula>
    </cfRule>
    <cfRule type="cellIs" dxfId="4" priority="8" operator="equal">
      <formula>"NA"</formula>
    </cfRule>
    <cfRule type="cellIs" dxfId="3" priority="9" operator="equal">
      <formula>"Retired"</formula>
    </cfRule>
  </conditionalFormatting>
  <conditionalFormatting sqref="L109">
    <cfRule type="cellIs" dxfId="2" priority="1" operator="equal">
      <formula>"ZE by 2035"</formula>
    </cfRule>
    <cfRule type="cellIs" dxfId="1" priority="2" operator="equal">
      <formula>"NA"</formula>
    </cfRule>
    <cfRule type="cellIs" dxfId="0" priority="3" operator="equal">
      <formula>"Retired"</formula>
    </cfRule>
  </conditionalFormatting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18FE04-13FA-4833-A887-A104982B8081}">
  <dimension ref="A1:O66"/>
  <sheetViews>
    <sheetView showGridLines="0" workbookViewId="0">
      <selection activeCell="A2" sqref="A2:XFD17"/>
    </sheetView>
  </sheetViews>
  <sheetFormatPr defaultRowHeight="14.5" x14ac:dyDescent="0.35"/>
  <cols>
    <col min="1" max="1" width="16" style="90" customWidth="1"/>
    <col min="2" max="2" width="15.1796875" customWidth="1"/>
    <col min="3" max="3" width="14.54296875" style="24" customWidth="1"/>
    <col min="4" max="4" width="21.1796875" style="24" customWidth="1"/>
    <col min="5" max="5" width="21.1796875" customWidth="1"/>
    <col min="6" max="6" width="14.453125" style="24" customWidth="1"/>
    <col min="7" max="7" width="20.81640625" customWidth="1"/>
    <col min="8" max="9" width="20.81640625" style="24" customWidth="1"/>
    <col min="10" max="10" width="14.54296875" bestFit="1" customWidth="1"/>
    <col min="11" max="11" width="33.453125" customWidth="1"/>
    <col min="13" max="13" width="13.54296875" customWidth="1"/>
  </cols>
  <sheetData>
    <row r="1" spans="1:15" s="24" customFormat="1" x14ac:dyDescent="0.35">
      <c r="A1" s="240" t="s">
        <v>220</v>
      </c>
      <c r="B1" s="240"/>
    </row>
    <row r="2" spans="1:15" s="24" customFormat="1" ht="30.65" customHeight="1" x14ac:dyDescent="0.35">
      <c r="C2" s="233" t="s">
        <v>217</v>
      </c>
      <c r="D2" s="238"/>
      <c r="E2" s="238"/>
      <c r="F2" s="236" t="s">
        <v>237</v>
      </c>
      <c r="G2" s="237"/>
      <c r="H2" s="236" t="s">
        <v>238</v>
      </c>
      <c r="I2" s="237"/>
    </row>
    <row r="3" spans="1:15" s="90" customFormat="1" ht="43.5" x14ac:dyDescent="0.35">
      <c r="A3" s="110" t="s">
        <v>197</v>
      </c>
      <c r="B3" s="110" t="s">
        <v>221</v>
      </c>
      <c r="C3" s="116" t="s">
        <v>214</v>
      </c>
      <c r="D3" s="116" t="s">
        <v>215</v>
      </c>
      <c r="E3" s="116" t="s">
        <v>229</v>
      </c>
      <c r="F3" s="121" t="s">
        <v>214</v>
      </c>
      <c r="G3" s="121" t="s">
        <v>229</v>
      </c>
      <c r="H3" s="121" t="s">
        <v>214</v>
      </c>
      <c r="I3" s="121" t="s">
        <v>229</v>
      </c>
    </row>
    <row r="4" spans="1:15" s="90" customFormat="1" x14ac:dyDescent="0.35">
      <c r="A4" s="110">
        <v>2022</v>
      </c>
      <c r="B4" s="126" t="e">
        <f>(#REF!*#REF!)+(#REF!*#REF!)</f>
        <v>#REF!</v>
      </c>
      <c r="C4" s="117">
        <v>0</v>
      </c>
      <c r="D4" s="118" t="s">
        <v>216</v>
      </c>
      <c r="E4" s="118" t="e">
        <f>B4</f>
        <v>#REF!</v>
      </c>
      <c r="F4" s="122">
        <v>0</v>
      </c>
      <c r="G4" s="123" t="e">
        <f>B4</f>
        <v>#REF!</v>
      </c>
      <c r="H4" s="122">
        <v>0</v>
      </c>
      <c r="I4" s="123" t="e">
        <f>B4</f>
        <v>#REF!</v>
      </c>
    </row>
    <row r="5" spans="1:15" x14ac:dyDescent="0.35">
      <c r="A5" s="110">
        <v>2023</v>
      </c>
      <c r="B5" s="126" t="e">
        <f>(#REF!*#REF!)+(#REF!*#REF!)</f>
        <v>#REF!</v>
      </c>
      <c r="C5" s="119">
        <v>0</v>
      </c>
      <c r="D5" s="120" t="s">
        <v>216</v>
      </c>
      <c r="E5" s="120" t="e">
        <f>B5+B4</f>
        <v>#REF!</v>
      </c>
      <c r="F5" s="124">
        <v>0</v>
      </c>
      <c r="G5" s="125" t="e">
        <f>SUM($B$4:B5)</f>
        <v>#REF!</v>
      </c>
      <c r="H5" s="124">
        <v>0</v>
      </c>
      <c r="I5" s="125" t="e">
        <f>SUM($B$4:B5)</f>
        <v>#REF!</v>
      </c>
    </row>
    <row r="6" spans="1:15" x14ac:dyDescent="0.35">
      <c r="A6" s="110">
        <v>2024</v>
      </c>
      <c r="B6" s="126" t="e">
        <f>(#REF!*#REF!)+(#REF!*#REF!)</f>
        <v>#REF!</v>
      </c>
      <c r="C6" s="119">
        <v>1</v>
      </c>
      <c r="D6" s="120" t="e">
        <f>E5-#REF!</f>
        <v>#REF!</v>
      </c>
      <c r="E6" s="120" t="e">
        <f>D6+B6</f>
        <v>#REF!</v>
      </c>
      <c r="F6" s="124">
        <v>0</v>
      </c>
      <c r="G6" s="125" t="e">
        <f>SUM($B$4:B6)</f>
        <v>#REF!</v>
      </c>
      <c r="H6" s="124">
        <v>0</v>
      </c>
      <c r="I6" s="125" t="e">
        <f>SUM($B$4:B6)</f>
        <v>#REF!</v>
      </c>
      <c r="J6" s="70"/>
    </row>
    <row r="7" spans="1:15" x14ac:dyDescent="0.35">
      <c r="A7" s="110">
        <v>2025</v>
      </c>
      <c r="B7" s="126" t="e">
        <f>(#REF!*#REF!)+(#REF!*#REF!)</f>
        <v>#REF!</v>
      </c>
      <c r="C7" s="119">
        <v>0</v>
      </c>
      <c r="D7" s="120" t="s">
        <v>216</v>
      </c>
      <c r="E7" s="120" t="e">
        <f>E6+B7</f>
        <v>#REF!</v>
      </c>
      <c r="F7" s="124">
        <v>0</v>
      </c>
      <c r="G7" s="125" t="e">
        <f>SUM($B$4:B7)</f>
        <v>#REF!</v>
      </c>
      <c r="H7" s="124">
        <v>0</v>
      </c>
      <c r="I7" s="125" t="e">
        <f>SUM($B$4:B7)</f>
        <v>#REF!</v>
      </c>
      <c r="J7" s="70"/>
      <c r="K7" s="110"/>
    </row>
    <row r="8" spans="1:15" x14ac:dyDescent="0.35">
      <c r="A8" s="110">
        <v>2026</v>
      </c>
      <c r="B8" s="126" t="e">
        <f>(#REF!*#REF!)+(#REF!*#REF!)</f>
        <v>#REF!</v>
      </c>
      <c r="C8" s="119">
        <v>1</v>
      </c>
      <c r="D8" s="120" t="e">
        <f>E7-#REF!</f>
        <v>#REF!</v>
      </c>
      <c r="E8" s="120" t="e">
        <f>D8+B8</f>
        <v>#REF!</v>
      </c>
      <c r="F8" s="124">
        <v>0</v>
      </c>
      <c r="G8" s="125" t="e">
        <f>SUM($B$4:B8)</f>
        <v>#REF!</v>
      </c>
      <c r="H8" s="124">
        <v>0</v>
      </c>
      <c r="I8" s="125" t="e">
        <f>SUM($B$4:B8)</f>
        <v>#REF!</v>
      </c>
      <c r="J8" s="70"/>
      <c r="K8" s="110"/>
      <c r="L8" s="24"/>
      <c r="M8" s="24"/>
      <c r="N8" s="24"/>
      <c r="O8" s="24"/>
    </row>
    <row r="9" spans="1:15" x14ac:dyDescent="0.35">
      <c r="A9" s="110">
        <v>2027</v>
      </c>
      <c r="B9" s="126" t="e">
        <f>(#REF!*#REF!)+(#REF!*#REF!)</f>
        <v>#REF!</v>
      </c>
      <c r="C9" s="119">
        <v>1</v>
      </c>
      <c r="D9" s="120" t="e">
        <f>E8-#REF!</f>
        <v>#REF!</v>
      </c>
      <c r="E9" s="120" t="e">
        <f>D9+B9</f>
        <v>#REF!</v>
      </c>
      <c r="F9" s="124">
        <v>0</v>
      </c>
      <c r="G9" s="125" t="e">
        <f>SUM($B$4:B9)</f>
        <v>#REF!</v>
      </c>
      <c r="H9" s="124">
        <v>0</v>
      </c>
      <c r="I9" s="125" t="e">
        <f>SUM($B$4:B9)</f>
        <v>#REF!</v>
      </c>
      <c r="J9" s="70"/>
      <c r="K9" s="110"/>
      <c r="L9" s="24"/>
      <c r="M9" s="24"/>
      <c r="N9" s="24"/>
      <c r="O9" s="24"/>
    </row>
    <row r="10" spans="1:15" x14ac:dyDescent="0.35">
      <c r="A10" s="110">
        <v>2028</v>
      </c>
      <c r="B10" s="126" t="e">
        <f>(#REF!*#REF!)+(#REF!*#REF!)</f>
        <v>#REF!</v>
      </c>
      <c r="C10" s="119">
        <v>0</v>
      </c>
      <c r="D10" s="120" t="s">
        <v>216</v>
      </c>
      <c r="E10" s="120" t="e">
        <f>E9+B10</f>
        <v>#REF!</v>
      </c>
      <c r="F10" s="124">
        <v>0</v>
      </c>
      <c r="G10" s="125" t="e">
        <f>SUM($B$4:B10)</f>
        <v>#REF!</v>
      </c>
      <c r="H10" s="124">
        <v>0</v>
      </c>
      <c r="I10" s="125" t="e">
        <f>SUM($B$4:B10)</f>
        <v>#REF!</v>
      </c>
      <c r="J10" s="70"/>
      <c r="K10" s="136"/>
      <c r="L10" s="24"/>
      <c r="M10" s="24"/>
      <c r="N10" s="24"/>
      <c r="O10" s="24"/>
    </row>
    <row r="11" spans="1:15" ht="15" thickBot="1" x14ac:dyDescent="0.4">
      <c r="A11" s="110">
        <v>2029</v>
      </c>
      <c r="B11" s="126" t="e">
        <f>(#REF!*#REF!)+(#REF!*#REF!)</f>
        <v>#REF!</v>
      </c>
      <c r="C11" s="119">
        <v>1</v>
      </c>
      <c r="D11" s="120" t="e">
        <f>E10-#REF!</f>
        <v>#REF!</v>
      </c>
      <c r="E11" s="120" t="e">
        <f>E10+B11</f>
        <v>#REF!</v>
      </c>
      <c r="F11" s="122">
        <v>0</v>
      </c>
      <c r="G11" s="125" t="e">
        <f>SUM($B$4:B11)</f>
        <v>#REF!</v>
      </c>
      <c r="H11" s="122">
        <v>0</v>
      </c>
      <c r="I11" s="125" t="e">
        <f>SUM($B$4:B11)</f>
        <v>#REF!</v>
      </c>
      <c r="J11" s="70"/>
      <c r="K11" s="136"/>
      <c r="L11" s="24"/>
      <c r="M11" s="24"/>
      <c r="N11" s="24"/>
      <c r="O11" s="24"/>
    </row>
    <row r="12" spans="1:15" x14ac:dyDescent="0.35">
      <c r="A12" s="128">
        <v>2030</v>
      </c>
      <c r="B12" s="129" t="e">
        <f>(#REF!*#REF!)+(#REF!*#REF!)</f>
        <v>#REF!</v>
      </c>
      <c r="C12" s="130">
        <v>1</v>
      </c>
      <c r="D12" s="131" t="e">
        <f>E11-(#REF!*'Locomotive Procurement'!C12)</f>
        <v>#REF!</v>
      </c>
      <c r="E12" s="131" t="e">
        <f>D12+B12</f>
        <v>#REF!</v>
      </c>
      <c r="F12" s="132">
        <v>0</v>
      </c>
      <c r="G12" s="133" t="e">
        <f>SUM($B$4:B12)</f>
        <v>#REF!</v>
      </c>
      <c r="H12" s="132">
        <v>0</v>
      </c>
      <c r="I12" s="133" t="e">
        <f>SUM($B$4:B12)</f>
        <v>#REF!</v>
      </c>
      <c r="J12" s="134" t="s">
        <v>213</v>
      </c>
      <c r="K12" s="136"/>
      <c r="L12" s="24"/>
      <c r="M12" s="24"/>
      <c r="N12" s="24"/>
      <c r="O12" s="24"/>
    </row>
    <row r="13" spans="1:15" s="24" customFormat="1" x14ac:dyDescent="0.35">
      <c r="A13" s="136">
        <v>2031</v>
      </c>
      <c r="B13" s="142" t="e">
        <f>(#REF!*#REF!)+(#REF!*#REF!)</f>
        <v>#REF!</v>
      </c>
      <c r="C13" s="143">
        <v>1</v>
      </c>
      <c r="D13" s="144" t="e">
        <f>E12-#REF!</f>
        <v>#REF!</v>
      </c>
      <c r="E13" s="144" t="e">
        <f>D13+B13</f>
        <v>#REF!</v>
      </c>
      <c r="F13" s="145">
        <v>0</v>
      </c>
      <c r="G13" s="135" t="e">
        <f>SUM($B$4:B13)</f>
        <v>#REF!</v>
      </c>
      <c r="H13" s="145">
        <v>5</v>
      </c>
      <c r="I13" s="125" t="e">
        <f>SUM($B$4:B13)</f>
        <v>#REF!</v>
      </c>
      <c r="K13" s="136"/>
    </row>
    <row r="14" spans="1:15" s="24" customFormat="1" x14ac:dyDescent="0.35">
      <c r="A14" s="110">
        <v>2032</v>
      </c>
      <c r="B14" s="126" t="e">
        <f>(#REF!*#REF!)+(#REF!*#REF!)</f>
        <v>#REF!</v>
      </c>
      <c r="C14" s="119">
        <v>1</v>
      </c>
      <c r="D14" s="120" t="e">
        <f>E13-#REF!</f>
        <v>#REF!</v>
      </c>
      <c r="E14" s="120" t="e">
        <f>D14+B14</f>
        <v>#REF!</v>
      </c>
      <c r="F14" s="124">
        <v>0</v>
      </c>
      <c r="G14" s="125" t="e">
        <f>SUM($B$4:B14)</f>
        <v>#REF!</v>
      </c>
      <c r="H14" s="124">
        <v>0</v>
      </c>
      <c r="I14" s="125" t="e">
        <f>I13-(#REF!*'Locomotive Procurement'!H13)+'Locomotive Procurement'!B14</f>
        <v>#REF!</v>
      </c>
      <c r="J14" s="70"/>
      <c r="K14" s="110"/>
    </row>
    <row r="15" spans="1:15" s="24" customFormat="1" x14ac:dyDescent="0.35">
      <c r="A15" s="110">
        <v>2033</v>
      </c>
      <c r="B15" s="126" t="e">
        <f>(#REF!*#REF!)+(#REF!*#REF!)</f>
        <v>#REF!</v>
      </c>
      <c r="C15" s="119">
        <v>0</v>
      </c>
      <c r="D15" s="120" t="s">
        <v>216</v>
      </c>
      <c r="E15" s="120" t="e">
        <f>E14+B15</f>
        <v>#REF!</v>
      </c>
      <c r="F15" s="124">
        <v>0</v>
      </c>
      <c r="G15" s="125" t="e">
        <f>SUM($B$4:B15)</f>
        <v>#REF!</v>
      </c>
      <c r="H15" s="124">
        <v>0</v>
      </c>
      <c r="I15" s="125" t="e">
        <f>I14+B15</f>
        <v>#REF!</v>
      </c>
      <c r="J15" s="70"/>
      <c r="K15" s="110"/>
    </row>
    <row r="16" spans="1:15" s="24" customFormat="1" x14ac:dyDescent="0.35">
      <c r="A16" s="110">
        <v>2034</v>
      </c>
      <c r="B16" s="126" t="e">
        <f>(#REF!*#REF!)+(#REF!*#REF!)</f>
        <v>#REF!</v>
      </c>
      <c r="C16" s="119">
        <v>1</v>
      </c>
      <c r="D16" s="120" t="e">
        <f>E15-#REF!</f>
        <v>#REF!</v>
      </c>
      <c r="E16" s="120" t="e">
        <f>D16+B16</f>
        <v>#REF!</v>
      </c>
      <c r="F16" s="124">
        <v>0</v>
      </c>
      <c r="G16" s="125" t="e">
        <f>SUM($B$4:B16)</f>
        <v>#REF!</v>
      </c>
      <c r="H16" s="124">
        <v>0</v>
      </c>
      <c r="I16" s="125" t="e">
        <f>I15+B16</f>
        <v>#REF!</v>
      </c>
      <c r="J16" s="70"/>
      <c r="K16" s="110"/>
    </row>
    <row r="17" spans="1:15" s="24" customFormat="1" x14ac:dyDescent="0.35">
      <c r="A17" s="110">
        <v>2035</v>
      </c>
      <c r="B17" s="126" t="e">
        <f>(#REF!*#REF!)+(#REF!*#REF!)</f>
        <v>#REF!</v>
      </c>
      <c r="C17" s="119">
        <v>1</v>
      </c>
      <c r="D17" s="120" t="e">
        <f>E16-#REF!</f>
        <v>#REF!</v>
      </c>
      <c r="E17" s="120" t="e">
        <f>D17+B17</f>
        <v>#REF!</v>
      </c>
      <c r="F17" s="124">
        <v>0</v>
      </c>
      <c r="G17" s="125" t="e">
        <f>SUM($B$4:B17)</f>
        <v>#REF!</v>
      </c>
      <c r="H17" s="124">
        <v>0</v>
      </c>
      <c r="I17" s="125" t="e">
        <f>I16+B17</f>
        <v>#REF!</v>
      </c>
      <c r="J17" s="70"/>
      <c r="K17" s="110"/>
    </row>
    <row r="18" spans="1:15" ht="18" customHeight="1" x14ac:dyDescent="0.35">
      <c r="A18" s="239" t="s">
        <v>234</v>
      </c>
      <c r="B18" s="239"/>
      <c r="C18" s="70"/>
      <c r="D18" s="109"/>
      <c r="E18" s="70"/>
      <c r="F18" s="115"/>
      <c r="G18" s="149" t="s">
        <v>235</v>
      </c>
      <c r="H18" s="115"/>
      <c r="I18" s="149" t="s">
        <v>235</v>
      </c>
      <c r="L18" s="24"/>
      <c r="M18" s="24"/>
      <c r="N18" s="24"/>
      <c r="O18" s="24"/>
    </row>
    <row r="19" spans="1:15" s="24" customFormat="1" x14ac:dyDescent="0.35">
      <c r="A19" s="110"/>
      <c r="B19" s="127"/>
      <c r="C19" s="70"/>
      <c r="D19" s="109"/>
      <c r="E19" s="70"/>
      <c r="F19" s="115"/>
      <c r="G19" s="114"/>
      <c r="H19" s="114"/>
      <c r="I19" s="114"/>
    </row>
    <row r="20" spans="1:15" x14ac:dyDescent="0.35">
      <c r="A20" s="241" t="s">
        <v>219</v>
      </c>
      <c r="B20" s="241"/>
      <c r="C20" s="34"/>
      <c r="D20" s="34"/>
      <c r="L20" s="24"/>
      <c r="M20" s="24"/>
      <c r="N20" s="24"/>
      <c r="O20" s="24"/>
    </row>
    <row r="21" spans="1:15" s="24" customFormat="1" ht="32.5" customHeight="1" x14ac:dyDescent="0.35">
      <c r="A21" s="110"/>
      <c r="B21" s="127"/>
      <c r="C21" s="233" t="s">
        <v>217</v>
      </c>
      <c r="D21" s="238"/>
      <c r="E21" s="238"/>
      <c r="F21" s="236" t="s">
        <v>218</v>
      </c>
      <c r="G21" s="237"/>
      <c r="H21" s="148"/>
      <c r="I21" s="148"/>
    </row>
    <row r="22" spans="1:15" s="24" customFormat="1" ht="43.5" x14ac:dyDescent="0.35">
      <c r="A22" s="110" t="s">
        <v>197</v>
      </c>
      <c r="B22" s="110" t="s">
        <v>221</v>
      </c>
      <c r="C22" s="116" t="s">
        <v>214</v>
      </c>
      <c r="D22" s="116" t="s">
        <v>215</v>
      </c>
      <c r="E22" s="116" t="s">
        <v>229</v>
      </c>
      <c r="F22" s="121" t="s">
        <v>214</v>
      </c>
      <c r="G22" s="121" t="s">
        <v>229</v>
      </c>
      <c r="H22" s="121"/>
      <c r="I22" s="121"/>
    </row>
    <row r="23" spans="1:15" s="24" customFormat="1" x14ac:dyDescent="0.35">
      <c r="A23" s="110">
        <v>2022</v>
      </c>
      <c r="B23" s="126" t="e">
        <f>(#REF!*#REF!)+(#REF!*#REF!)</f>
        <v>#REF!</v>
      </c>
      <c r="C23" s="117">
        <v>0</v>
      </c>
      <c r="D23" s="118" t="s">
        <v>216</v>
      </c>
      <c r="E23" s="118" t="e">
        <f>B23</f>
        <v>#REF!</v>
      </c>
      <c r="F23" s="122">
        <v>0</v>
      </c>
      <c r="G23" s="123" t="e">
        <f>B23</f>
        <v>#REF!</v>
      </c>
      <c r="H23" s="123"/>
      <c r="I23" s="123"/>
    </row>
    <row r="24" spans="1:15" s="24" customFormat="1" x14ac:dyDescent="0.35">
      <c r="A24" s="110">
        <v>2023</v>
      </c>
      <c r="B24" s="126" t="e">
        <f>(#REF!*#REF!)+(#REF!*#REF!)</f>
        <v>#REF!</v>
      </c>
      <c r="C24" s="119">
        <v>0</v>
      </c>
      <c r="D24" s="118" t="s">
        <v>216</v>
      </c>
      <c r="E24" s="120" t="e">
        <f>E23+B24</f>
        <v>#REF!</v>
      </c>
      <c r="F24" s="124">
        <v>0</v>
      </c>
      <c r="G24" s="125" t="e">
        <f>SUM($B$23:B24)</f>
        <v>#REF!</v>
      </c>
      <c r="H24" s="125"/>
      <c r="I24" s="125"/>
    </row>
    <row r="25" spans="1:15" s="24" customFormat="1" x14ac:dyDescent="0.35">
      <c r="A25" s="110">
        <v>2024</v>
      </c>
      <c r="B25" s="126" t="e">
        <f>(#REF!*#REF!)+(#REF!*#REF!)</f>
        <v>#REF!</v>
      </c>
      <c r="C25" s="119">
        <v>1</v>
      </c>
      <c r="D25" s="120" t="e">
        <f>E24-#REF!</f>
        <v>#REF!</v>
      </c>
      <c r="E25" s="120" t="e">
        <f>D25+B25</f>
        <v>#REF!</v>
      </c>
      <c r="F25" s="124">
        <v>0</v>
      </c>
      <c r="G25" s="125" t="e">
        <f>SUM($B$23:B25)</f>
        <v>#REF!</v>
      </c>
      <c r="H25" s="125"/>
      <c r="I25" s="125"/>
    </row>
    <row r="26" spans="1:15" s="24" customFormat="1" x14ac:dyDescent="0.35">
      <c r="A26" s="110">
        <v>2025</v>
      </c>
      <c r="B26" s="126" t="e">
        <f>(#REF!*#REF!)+(#REF!*#REF!)</f>
        <v>#REF!</v>
      </c>
      <c r="C26" s="119">
        <v>1</v>
      </c>
      <c r="D26" s="120" t="e">
        <f>E25-#REF!</f>
        <v>#REF!</v>
      </c>
      <c r="E26" s="120" t="e">
        <f>D26+B26</f>
        <v>#REF!</v>
      </c>
      <c r="F26" s="124">
        <v>0</v>
      </c>
      <c r="G26" s="125" t="e">
        <f>SUM($B$23:B26)</f>
        <v>#REF!</v>
      </c>
      <c r="H26" s="125"/>
      <c r="I26" s="125"/>
    </row>
    <row r="27" spans="1:15" s="24" customFormat="1" x14ac:dyDescent="0.35">
      <c r="A27" s="110">
        <v>2026</v>
      </c>
      <c r="B27" s="126" t="e">
        <f>(#REF!*#REF!)+(#REF!*#REF!)</f>
        <v>#REF!</v>
      </c>
      <c r="C27" s="119">
        <v>0</v>
      </c>
      <c r="D27" s="120" t="s">
        <v>216</v>
      </c>
      <c r="E27" s="120" t="e">
        <f>E26+B27</f>
        <v>#REF!</v>
      </c>
      <c r="F27" s="124">
        <v>0</v>
      </c>
      <c r="G27" s="125" t="e">
        <f>SUM($B$23:B27)</f>
        <v>#REF!</v>
      </c>
      <c r="H27" s="125"/>
      <c r="I27" s="125"/>
    </row>
    <row r="28" spans="1:15" s="24" customFormat="1" x14ac:dyDescent="0.35">
      <c r="A28" s="110">
        <v>2027</v>
      </c>
      <c r="B28" s="126" t="e">
        <f>(#REF!*#REF!)+(#REF!*#REF!)</f>
        <v>#REF!</v>
      </c>
      <c r="C28" s="119">
        <v>1</v>
      </c>
      <c r="D28" s="120" t="e">
        <f>E27-#REF!</f>
        <v>#REF!</v>
      </c>
      <c r="E28" s="120" t="e">
        <f t="shared" ref="E28:E36" si="0">D28+B28</f>
        <v>#REF!</v>
      </c>
      <c r="F28" s="124">
        <v>0</v>
      </c>
      <c r="G28" s="125" t="e">
        <f>SUM($B$23:B28)</f>
        <v>#REF!</v>
      </c>
      <c r="H28" s="125"/>
      <c r="I28" s="125"/>
    </row>
    <row r="29" spans="1:15" s="24" customFormat="1" x14ac:dyDescent="0.35">
      <c r="A29" s="110">
        <v>2028</v>
      </c>
      <c r="B29" s="126" t="e">
        <f>(#REF!*#REF!)+(#REF!*#REF!)</f>
        <v>#REF!</v>
      </c>
      <c r="C29" s="119">
        <v>1</v>
      </c>
      <c r="D29" s="120" t="e">
        <f>E28-(#REF!*C29)</f>
        <v>#REF!</v>
      </c>
      <c r="E29" s="120" t="e">
        <f t="shared" si="0"/>
        <v>#REF!</v>
      </c>
      <c r="F29" s="124">
        <v>0</v>
      </c>
      <c r="G29" s="125" t="e">
        <f>SUM($B$23:B29)</f>
        <v>#REF!</v>
      </c>
      <c r="H29" s="125"/>
      <c r="I29" s="125"/>
    </row>
    <row r="30" spans="1:15" s="24" customFormat="1" ht="15" thickBot="1" x14ac:dyDescent="0.4">
      <c r="A30" s="110">
        <v>2029</v>
      </c>
      <c r="B30" s="126" t="e">
        <f>(#REF!*#REF!)+(#REF!*#REF!)</f>
        <v>#REF!</v>
      </c>
      <c r="C30" s="119">
        <v>2</v>
      </c>
      <c r="D30" s="120" t="e">
        <f>E29-(#REF!*C30)</f>
        <v>#REF!</v>
      </c>
      <c r="E30" s="120" t="e">
        <f t="shared" si="0"/>
        <v>#REF!</v>
      </c>
      <c r="F30" s="122">
        <v>0</v>
      </c>
      <c r="G30" s="125" t="e">
        <f>SUM($B$23:B30)</f>
        <v>#REF!</v>
      </c>
      <c r="H30" s="125"/>
      <c r="I30" s="125"/>
    </row>
    <row r="31" spans="1:15" s="24" customFormat="1" x14ac:dyDescent="0.35">
      <c r="A31" s="128">
        <v>2030</v>
      </c>
      <c r="B31" s="129" t="e">
        <f>(#REF!*#REF!)+(#REF!*#REF!)</f>
        <v>#REF!</v>
      </c>
      <c r="C31" s="130">
        <v>1</v>
      </c>
      <c r="D31" s="131" t="e">
        <f>E30-#REF!</f>
        <v>#REF!</v>
      </c>
      <c r="E31" s="131" t="e">
        <f t="shared" si="0"/>
        <v>#REF!</v>
      </c>
      <c r="F31" s="132">
        <v>0</v>
      </c>
      <c r="G31" s="133" t="e">
        <f>SUM($B$23:B31)</f>
        <v>#REF!</v>
      </c>
      <c r="H31" s="133"/>
      <c r="I31" s="133"/>
      <c r="J31" s="134" t="s">
        <v>213</v>
      </c>
      <c r="L31"/>
      <c r="M31"/>
      <c r="N31"/>
      <c r="O31"/>
    </row>
    <row r="32" spans="1:15" s="24" customFormat="1" x14ac:dyDescent="0.35">
      <c r="A32" s="136">
        <v>2031</v>
      </c>
      <c r="B32" s="142" t="e">
        <f>(#REF!*#REF!)+(#REF!*#REF!)</f>
        <v>#REF!</v>
      </c>
      <c r="C32" s="143">
        <v>1</v>
      </c>
      <c r="D32" s="144" t="e">
        <f>E31-#REF!</f>
        <v>#REF!</v>
      </c>
      <c r="E32" s="144" t="e">
        <f t="shared" si="0"/>
        <v>#REF!</v>
      </c>
      <c r="F32" s="145">
        <v>0</v>
      </c>
      <c r="G32" s="135" t="e">
        <f>SUM($B$23:B32)</f>
        <v>#REF!</v>
      </c>
      <c r="H32" s="135"/>
      <c r="I32" s="135"/>
      <c r="L32"/>
      <c r="M32"/>
      <c r="N32"/>
      <c r="O32"/>
    </row>
    <row r="33" spans="1:15" s="24" customFormat="1" x14ac:dyDescent="0.35">
      <c r="A33" s="110">
        <v>2032</v>
      </c>
      <c r="B33" s="126" t="e">
        <f>(#REF!*#REF!)+(#REF!*#REF!)</f>
        <v>#REF!</v>
      </c>
      <c r="C33" s="119">
        <v>1</v>
      </c>
      <c r="D33" s="120" t="e">
        <f>E32-#REF!</f>
        <v>#REF!</v>
      </c>
      <c r="E33" s="120" t="e">
        <f t="shared" si="0"/>
        <v>#REF!</v>
      </c>
      <c r="F33" s="124">
        <v>0</v>
      </c>
      <c r="G33" s="135" t="e">
        <f>SUM($B$23:B33)</f>
        <v>#REF!</v>
      </c>
      <c r="H33" s="135"/>
      <c r="I33" s="135"/>
      <c r="L33"/>
      <c r="M33"/>
      <c r="N33"/>
      <c r="O33"/>
    </row>
    <row r="34" spans="1:15" s="24" customFormat="1" x14ac:dyDescent="0.35">
      <c r="A34" s="110">
        <v>2033</v>
      </c>
      <c r="B34" s="126" t="e">
        <f>(#REF!*#REF!)+(#REF!*#REF!)</f>
        <v>#REF!</v>
      </c>
      <c r="C34" s="119">
        <v>1</v>
      </c>
      <c r="D34" s="120" t="e">
        <f>E33-#REF!</f>
        <v>#REF!</v>
      </c>
      <c r="E34" s="120" t="e">
        <f t="shared" si="0"/>
        <v>#REF!</v>
      </c>
      <c r="F34" s="124">
        <v>0</v>
      </c>
      <c r="G34" s="135" t="e">
        <f>SUM($B$23:B34)</f>
        <v>#REF!</v>
      </c>
      <c r="H34" s="135"/>
      <c r="I34" s="135"/>
    </row>
    <row r="35" spans="1:15" s="24" customFormat="1" x14ac:dyDescent="0.35">
      <c r="A35" s="110">
        <v>2034</v>
      </c>
      <c r="B35" s="126" t="e">
        <f>(#REF!*#REF!)+(#REF!*#REF!)</f>
        <v>#REF!</v>
      </c>
      <c r="C35" s="119">
        <v>1</v>
      </c>
      <c r="D35" s="120" t="e">
        <f>E34-#REF!</f>
        <v>#REF!</v>
      </c>
      <c r="E35" s="120" t="e">
        <f t="shared" si="0"/>
        <v>#REF!</v>
      </c>
      <c r="F35" s="124">
        <v>10</v>
      </c>
      <c r="G35" s="135" t="e">
        <f>G34-(F35*#REF!)</f>
        <v>#REF!</v>
      </c>
      <c r="H35" s="135"/>
      <c r="I35" s="135"/>
      <c r="L35"/>
      <c r="M35"/>
      <c r="N35"/>
      <c r="O35"/>
    </row>
    <row r="36" spans="1:15" s="24" customFormat="1" x14ac:dyDescent="0.35">
      <c r="A36" s="110">
        <v>2035</v>
      </c>
      <c r="B36" s="126" t="e">
        <f>(#REF!*#REF!)+(#REF!*#REF!)</f>
        <v>#REF!</v>
      </c>
      <c r="C36" s="119">
        <v>1</v>
      </c>
      <c r="D36" s="120" t="e">
        <f>E35-#REF!</f>
        <v>#REF!</v>
      </c>
      <c r="E36" s="120" t="e">
        <f t="shared" si="0"/>
        <v>#REF!</v>
      </c>
      <c r="F36" s="124">
        <v>0</v>
      </c>
      <c r="G36" s="135" t="e">
        <f>G35+B36</f>
        <v>#REF!</v>
      </c>
      <c r="H36" s="135"/>
      <c r="I36" s="135"/>
      <c r="L36"/>
      <c r="M36"/>
      <c r="N36"/>
      <c r="O36"/>
    </row>
    <row r="37" spans="1:15" s="24" customFormat="1" ht="18" customHeight="1" x14ac:dyDescent="0.35">
      <c r="A37" s="239" t="s">
        <v>234</v>
      </c>
      <c r="B37" s="239"/>
      <c r="C37" s="70"/>
      <c r="D37" s="109"/>
      <c r="E37" s="70"/>
      <c r="F37" s="115"/>
      <c r="G37" s="149" t="s">
        <v>236</v>
      </c>
      <c r="H37" s="149"/>
      <c r="I37" s="149"/>
    </row>
    <row r="38" spans="1:15" s="24" customFormat="1" x14ac:dyDescent="0.35">
      <c r="A38" s="90"/>
      <c r="B38" s="70"/>
      <c r="C38" s="34"/>
      <c r="D38" s="34"/>
      <c r="L38"/>
      <c r="M38"/>
      <c r="N38"/>
      <c r="O38"/>
    </row>
    <row r="39" spans="1:15" s="24" customFormat="1" x14ac:dyDescent="0.35">
      <c r="A39" s="60" t="s">
        <v>214</v>
      </c>
      <c r="L39"/>
      <c r="M39"/>
      <c r="N39"/>
      <c r="O39"/>
    </row>
    <row r="40" spans="1:15" s="24" customFormat="1" x14ac:dyDescent="0.35">
      <c r="B40" s="242" t="s">
        <v>226</v>
      </c>
      <c r="C40" s="242"/>
      <c r="D40" s="242" t="s">
        <v>212</v>
      </c>
      <c r="E40" s="242"/>
      <c r="L40"/>
      <c r="M40"/>
      <c r="N40"/>
      <c r="O40"/>
    </row>
    <row r="41" spans="1:15" s="24" customFormat="1" x14ac:dyDescent="0.35">
      <c r="A41" s="110"/>
      <c r="B41" s="141" t="s">
        <v>127</v>
      </c>
      <c r="C41" s="141" t="s">
        <v>225</v>
      </c>
      <c r="D41" s="141" t="s">
        <v>127</v>
      </c>
      <c r="E41" s="141" t="s">
        <v>225</v>
      </c>
      <c r="L41"/>
      <c r="M41"/>
      <c r="N41"/>
      <c r="O41"/>
    </row>
    <row r="42" spans="1:15" s="24" customFormat="1" ht="29" x14ac:dyDescent="0.35">
      <c r="A42" s="139" t="s">
        <v>220</v>
      </c>
      <c r="B42" s="140">
        <v>4</v>
      </c>
      <c r="C42" s="140">
        <v>5</v>
      </c>
      <c r="D42" s="139">
        <v>0</v>
      </c>
      <c r="E42" s="139">
        <v>0</v>
      </c>
      <c r="L42"/>
      <c r="M42"/>
      <c r="N42"/>
      <c r="O42"/>
    </row>
    <row r="43" spans="1:15" ht="29" x14ac:dyDescent="0.35">
      <c r="A43" s="110" t="s">
        <v>219</v>
      </c>
      <c r="B43" s="137">
        <v>6</v>
      </c>
      <c r="C43" s="137">
        <v>6</v>
      </c>
      <c r="D43" s="138">
        <v>0</v>
      </c>
      <c r="E43" s="138">
        <v>10</v>
      </c>
      <c r="F43"/>
    </row>
    <row r="44" spans="1:15" ht="29" x14ac:dyDescent="0.35">
      <c r="A44" s="146" t="s">
        <v>230</v>
      </c>
      <c r="B44" s="147" t="s">
        <v>231</v>
      </c>
      <c r="C44" s="93"/>
      <c r="D44" s="93"/>
      <c r="E44" s="93"/>
      <c r="F44"/>
    </row>
    <row r="45" spans="1:15" x14ac:dyDescent="0.35">
      <c r="A45" s="24"/>
      <c r="B45" s="24"/>
      <c r="C45"/>
      <c r="F45"/>
    </row>
    <row r="46" spans="1:15" s="24" customFormat="1" x14ac:dyDescent="0.35">
      <c r="A46" s="93"/>
      <c r="B46" s="93"/>
      <c r="L46"/>
      <c r="M46"/>
      <c r="N46"/>
      <c r="O46"/>
    </row>
    <row r="47" spans="1:15" x14ac:dyDescent="0.35">
      <c r="A47" s="93"/>
      <c r="B47" s="93"/>
      <c r="C47"/>
      <c r="F47"/>
    </row>
    <row r="48" spans="1:15" x14ac:dyDescent="0.35">
      <c r="A48" s="93"/>
      <c r="B48" s="93"/>
      <c r="C48"/>
      <c r="F48"/>
    </row>
    <row r="49" spans="1:6" x14ac:dyDescent="0.35">
      <c r="A49" s="93"/>
      <c r="B49" s="93"/>
      <c r="C49"/>
      <c r="F49"/>
    </row>
    <row r="50" spans="1:6" x14ac:dyDescent="0.35">
      <c r="A50" s="93"/>
      <c r="B50" s="93"/>
      <c r="C50"/>
      <c r="F50"/>
    </row>
    <row r="51" spans="1:6" x14ac:dyDescent="0.35">
      <c r="A51" s="93"/>
      <c r="B51" s="93"/>
      <c r="C51"/>
      <c r="F51"/>
    </row>
    <row r="52" spans="1:6" x14ac:dyDescent="0.35">
      <c r="A52" s="93"/>
      <c r="B52" s="93"/>
      <c r="C52"/>
      <c r="F52"/>
    </row>
    <row r="53" spans="1:6" x14ac:dyDescent="0.35">
      <c r="A53" s="93"/>
      <c r="B53" s="93"/>
      <c r="C53"/>
      <c r="F53"/>
    </row>
    <row r="54" spans="1:6" x14ac:dyDescent="0.35">
      <c r="A54" s="93"/>
      <c r="B54" s="93"/>
      <c r="C54"/>
      <c r="F54"/>
    </row>
    <row r="55" spans="1:6" x14ac:dyDescent="0.35">
      <c r="A55" s="93"/>
      <c r="B55" s="93"/>
      <c r="C55"/>
      <c r="F55"/>
    </row>
    <row r="56" spans="1:6" x14ac:dyDescent="0.35">
      <c r="A56" s="93"/>
      <c r="B56" s="93"/>
      <c r="C56"/>
      <c r="F56"/>
    </row>
    <row r="57" spans="1:6" x14ac:dyDescent="0.35">
      <c r="A57" s="93"/>
      <c r="B57" s="93"/>
      <c r="C57"/>
      <c r="F57"/>
    </row>
    <row r="58" spans="1:6" x14ac:dyDescent="0.35">
      <c r="A58" s="93"/>
      <c r="B58" s="93"/>
      <c r="C58"/>
      <c r="F58"/>
    </row>
    <row r="59" spans="1:6" x14ac:dyDescent="0.35">
      <c r="A59" s="93"/>
      <c r="B59" s="93"/>
      <c r="C59"/>
      <c r="F59"/>
    </row>
    <row r="60" spans="1:6" x14ac:dyDescent="0.35">
      <c r="A60" s="93"/>
      <c r="B60" s="93"/>
      <c r="C60"/>
      <c r="F60"/>
    </row>
    <row r="61" spans="1:6" x14ac:dyDescent="0.35">
      <c r="A61" s="93"/>
      <c r="B61" s="93"/>
      <c r="C61"/>
      <c r="F61"/>
    </row>
    <row r="62" spans="1:6" x14ac:dyDescent="0.35">
      <c r="A62" s="24"/>
      <c r="B62" s="24"/>
      <c r="C62"/>
      <c r="F62"/>
    </row>
    <row r="63" spans="1:6" x14ac:dyDescent="0.35">
      <c r="A63" s="24"/>
      <c r="B63" s="24"/>
      <c r="C63"/>
      <c r="F63"/>
    </row>
    <row r="64" spans="1:6" x14ac:dyDescent="0.35">
      <c r="A64" s="24"/>
      <c r="B64" s="24"/>
      <c r="C64"/>
      <c r="F64"/>
    </row>
    <row r="65" spans="1:6" x14ac:dyDescent="0.35">
      <c r="A65" s="24"/>
      <c r="B65" s="24"/>
      <c r="C65"/>
      <c r="F65"/>
    </row>
    <row r="66" spans="1:6" x14ac:dyDescent="0.35">
      <c r="A66" s="24"/>
      <c r="B66" s="24"/>
      <c r="C66"/>
      <c r="F66"/>
    </row>
  </sheetData>
  <mergeCells count="11">
    <mergeCell ref="A1:B1"/>
    <mergeCell ref="A20:B20"/>
    <mergeCell ref="B40:C40"/>
    <mergeCell ref="D40:E40"/>
    <mergeCell ref="C2:E2"/>
    <mergeCell ref="A37:B37"/>
    <mergeCell ref="F2:G2"/>
    <mergeCell ref="H2:I2"/>
    <mergeCell ref="C21:E21"/>
    <mergeCell ref="F21:G21"/>
    <mergeCell ref="A18:B18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5778AE8472AA4AAF7F9B9726B6D00C" ma:contentTypeVersion="13" ma:contentTypeDescription="Create a new document." ma:contentTypeScope="" ma:versionID="3df7f629b818abe0591443d3236ed4a4">
  <xsd:schema xmlns:xsd="http://www.w3.org/2001/XMLSchema" xmlns:xs="http://www.w3.org/2001/XMLSchema" xmlns:p="http://schemas.microsoft.com/office/2006/metadata/properties" xmlns:ns3="25977964-8e91-4c60-b04d-e429d517b579" xmlns:ns4="3d94be6c-06b0-4d7b-9fa3-a78647574171" targetNamespace="http://schemas.microsoft.com/office/2006/metadata/properties" ma:root="true" ma:fieldsID="f720eb655dbdf24293f1f308f7c9e809" ns3:_="" ns4:_="">
    <xsd:import namespace="25977964-8e91-4c60-b04d-e429d517b579"/>
    <xsd:import namespace="3d94be6c-06b0-4d7b-9fa3-a7864757417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977964-8e91-4c60-b04d-e429d517b57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94be6c-06b0-4d7b-9fa3-a7864757417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CC5937-9953-4A57-9A53-8AB71D1DA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977964-8e91-4c60-b04d-e429d517b579"/>
    <ds:schemaRef ds:uri="3d94be6c-06b0-4d7b-9fa3-a786475741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262C6E-0B67-4FF6-B451-97A98D3B3B9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CB7C4DA-54DD-4929-A346-B46FD11A0B3E}">
  <ds:schemaRefs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25977964-8e91-4c60-b04d-e429d517b579"/>
    <ds:schemaRef ds:uri="http://schemas.openxmlformats.org/package/2006/metadata/core-properties"/>
    <ds:schemaRef ds:uri="3d94be6c-06b0-4d7b-9fa3-a7864757417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</vt:i4>
      </vt:variant>
    </vt:vector>
  </HeadingPairs>
  <TitlesOfParts>
    <vt:vector size="10" baseType="lpstr">
      <vt:lpstr>summary final</vt:lpstr>
      <vt:lpstr>Fleet actions Reg</vt:lpstr>
      <vt:lpstr>Fleet actions ACP </vt:lpstr>
      <vt:lpstr>Assumptions new</vt:lpstr>
      <vt:lpstr>Mileage, Consumption, Energy</vt:lpstr>
      <vt:lpstr>Penalty Fee - Static Service</vt:lpstr>
      <vt:lpstr>Penalty Fee-Projected Service </vt:lpstr>
      <vt:lpstr>Locomotive Procurement</vt:lpstr>
      <vt:lpstr>'Penalty Fee - Static Service'!_Ref414891824</vt:lpstr>
      <vt:lpstr>'Penalty Fee - Static Service'!_Ref466378391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Demirdjian, Art</dc:creator>
  <cp:lastModifiedBy>Colicchio, Lisa</cp:lastModifiedBy>
  <dcterms:created xsi:type="dcterms:W3CDTF">2021-02-16T17:49:19Z</dcterms:created>
  <dcterms:modified xsi:type="dcterms:W3CDTF">2022-11-03T21:26:16Z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0x0101003F5778AE8472AA4AAF7F9B9726B6D00C</vt:lpwstr>
  </property>
</Properties>
</file>