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2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4.xml" ContentType="application/vnd.openxmlformats-officedocument.drawing+xml"/>
  <Override PartName="/xl/charts/chart1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 filterPrivacy="1" hidePivotFieldList="1" autoCompressPictures="0"/>
  <mc:AlternateContent xmlns:mc="http://schemas.openxmlformats.org/markup-compatibility/2006">
    <mc:Choice Requires="x15">
      <x15ac:absPath xmlns:x15ac="http://schemas.microsoft.com/office/spreadsheetml/2010/11/ac" url="/Users/cmurphy/Downloads/NextGen Submission/"/>
    </mc:Choice>
  </mc:AlternateContent>
  <bookViews>
    <workbookView xWindow="8820" yWindow="8400" windowWidth="28800" windowHeight="18000" tabRatio="867" firstSheet="1" activeTab="1"/>
  </bookViews>
  <sheets>
    <sheet name="Intermediate Calculations" sheetId="72" state="hidden" r:id="rId1"/>
    <sheet name="Summary" sheetId="70" r:id="rId2"/>
    <sheet name="Reduction Targets" sheetId="74" r:id="rId3"/>
    <sheet name="Demand Reduction Scenarios" sheetId="71" r:id="rId4"/>
    <sheet name="Supply Scenarios" sheetId="73" r:id="rId5"/>
    <sheet name="Cerulogy High Perf. Scenario " sheetId="79" r:id="rId6"/>
    <sheet name="Calculations" sheetId="68" r:id="rId7"/>
    <sheet name="GHG Calculations" sheetId="77" r:id="rId8"/>
    <sheet name="Figures I" sheetId="76" r:id="rId9"/>
    <sheet name="Figures II" sheetId="75" r:id="rId10"/>
    <sheet name="Maximum Cost Pass-Through" sheetId="78" r:id="rId11"/>
  </sheets>
  <externalReferences>
    <externalReference r:id="rId12"/>
    <externalReference r:id="rId13"/>
    <externalReference r:id="rId14"/>
    <externalReference r:id="rId15"/>
    <externalReference r:id="rId16"/>
  </externalReferences>
  <definedNames>
    <definedName name="__123Graph_A" hidden="1">'[1]auto ICE'!#REF!</definedName>
    <definedName name="__123Graph_B" hidden="1">'[1]auto ICE'!#REF!</definedName>
    <definedName name="__123Graph_X" hidden="1">'[1]auto ICE'!#REF!</definedName>
    <definedName name="_P" localSheetId="6">'[2]Tables 14 15 16 data'!#REF!</definedName>
    <definedName name="_P">'[2]Tables 14 15 16 data'!#REF!</definedName>
    <definedName name="_Regression_Out" localSheetId="6" hidden="1">#REF!</definedName>
    <definedName name="_Regression_Out" localSheetId="5" hidden="1">#REF!</definedName>
    <definedName name="_Regression_Out" hidden="1">#REF!</definedName>
    <definedName name="_Regression_X" localSheetId="6" hidden="1">#REF!</definedName>
    <definedName name="_Regression_X" localSheetId="5" hidden="1">'[1]auto ICE'!#REF!</definedName>
    <definedName name="_Regression_X" hidden="1">#REF!</definedName>
    <definedName name="_Regression_Y" localSheetId="6" hidden="1">#REF!</definedName>
    <definedName name="_Regression_Y" localSheetId="5" hidden="1">'[1]auto ICE'!#REF!</definedName>
    <definedName name="_Regression_Y" hidden="1">#REF!</definedName>
    <definedName name="_S" localSheetId="6">'[2]Tables 14 15 16 data'!#REF!</definedName>
    <definedName name="_S">'[2]Tables 14 15 16 data'!#REF!</definedName>
    <definedName name="\p" localSheetId="6">'[2]Tables 14 15 16 data'!#REF!</definedName>
    <definedName name="\p">'[2]Tables 14 15 16 data'!#REF!</definedName>
    <definedName name="\s" localSheetId="6">'[2]Tables 14 15 16 data'!#REF!</definedName>
    <definedName name="\s">'[2]Tables 14 15 16 data'!#REF!</definedName>
    <definedName name="BiodieselLHV">'[1]Key data'!$B$8</definedName>
    <definedName name="BiofuelFeedstockData">'[1]Scenario Input'!$C$114:$T$313</definedName>
    <definedName name="BiofuelFeedstockName">'[1]Scenario Input'!$A$114:$A$313</definedName>
    <definedName name="BiofuelFeedstockYear">'[1]Scenario Input'!$C$113:$T$113</definedName>
    <definedName name="CA_ElecCI_AppC">'[1]Smart and green charging'!$L$23</definedName>
    <definedName name="CARBOB_LHV">'[1]Key data'!$B$11</definedName>
    <definedName name="CarbonIntensityData">'[1]Scenario Input'!$E$319:$T$348</definedName>
    <definedName name="CarbonIntensityName">'[1]Scenario Input'!$A$319:$A$348</definedName>
    <definedName name="CarbonIntensityYear">'[1]Scenario Input'!$E$318:$T$318</definedName>
    <definedName name="CarbonSavingsFraction">[1]Scenario_Results!$D$230:$S$272</definedName>
    <definedName name="Compliance_schedule">'[1]Compliance curves'!$J$9:$Y$9</definedName>
    <definedName name="Diesel_comparator_list">'[1]Compliance curves'!$M$99:$M$114</definedName>
    <definedName name="DieselLHV">'[1]Key data'!$B$5</definedName>
    <definedName name="Domestic_chart6" localSheetId="6">#REF!</definedName>
    <definedName name="Domestic_chart6">#REF!</definedName>
    <definedName name="Electric_EER_HDV">[1]Calculation_Sheet!$C$158</definedName>
    <definedName name="Electric_EER_LDV">[1]Calculation_Sheet!$C$151</definedName>
    <definedName name="Electric_truck_credits">'[1]MDHD EVs'!$A$19:$Q$24</definedName>
    <definedName name="Electric_truck_dsl_displacement">'[1]MDHD EVs'!$A$28:$Q$33</definedName>
    <definedName name="Ethanol_blend">'[1]Upstream Energy Use Rates'!$M$54:$M$85</definedName>
    <definedName name="Ethanol_years">'[1]Upstream Energy Use Rates'!$B$54:$B$85</definedName>
    <definedName name="EthanolCCS_in_CI">'[1]Other credits'!$W$2</definedName>
    <definedName name="EthanolLHV">'[1]Key data'!$B$7</definedName>
    <definedName name="Forecast_Model_Output" localSheetId="6">#REF!</definedName>
    <definedName name="Forecast_Model_Output">#REF!</definedName>
    <definedName name="Front_Scenario">[1]FrontCover!$E$2</definedName>
    <definedName name="FuelVolumesData">'[1]Scenario Input'!$E$80:$T$109</definedName>
    <definedName name="FuelVolumesName">'[1]Scenario Input'!$A$80:$A$109</definedName>
    <definedName name="FuelVolumesYear">'[1]Scenario Input'!$E$79:$T$79</definedName>
    <definedName name="Gasoline_comparator_list">'[1]Compliance curves'!$L$99:$L$114</definedName>
    <definedName name="GasolineLHV">'[1]Key data'!$B$6</definedName>
    <definedName name="Green_Tariif_Switch">'[1]Smart and green charging'!$C$113</definedName>
    <definedName name="High_scen_MD_sales_fraction">'[1]MDHD EVs'!$AC$43</definedName>
    <definedName name="Hydrogen_EER_HDV">[1]Calculation_Sheet!$C$159</definedName>
    <definedName name="Hydrogen_EER_LDV">[1]Calculation_Sheet!$C$152</definedName>
    <definedName name="HydrogenLHV_mass">'[1]Key data'!$B$10</definedName>
    <definedName name="kWh2BTU">[3]Fuel_Specs!$F$133</definedName>
    <definedName name="LATECON">[4]LATGDP!$B$5</definedName>
    <definedName name="MDHD_EV_scen">[1]FrontCover!$E$4</definedName>
    <definedName name="Medium_scen_MD_fraction">'[1]MDHD EVs'!$AC$21</definedName>
    <definedName name="model_output" localSheetId="6">#REF!</definedName>
    <definedName name="model_output">#REF!</definedName>
    <definedName name="Print_Area_MI">'[5]F41 data'!$CD$76:$CQ$117</definedName>
    <definedName name="Print_Titles_MI">'[5]F41 data'!$A$1:$A$65536</definedName>
    <definedName name="Quad_in_PJ">[1]Scenario_Results_Vision!$V$9</definedName>
    <definedName name="RenewableDieselLHV">[1]Calculation_Sheet!$C$176</definedName>
    <definedName name="ScaleFactorDiesel">'[1]Scenario Input'!$D$5</definedName>
    <definedName name="ScaleFactorGasoline">'[1]Scenario Input'!$D$4</definedName>
    <definedName name="Scenario_names">'[1]Scenario table'!$C$6:$C$26</definedName>
    <definedName name="Scenario_table">'[1]Scenario table'!$C$5:$AP$26</definedName>
    <definedName name="Smart_Charging_Switch">'[1]Smart and green charging'!$D$3</definedName>
    <definedName name="ss" localSheetId="6">'[2]Tables 14 15 16 data'!#REF!</definedName>
    <definedName name="ss">'[2]Tables 14 15 16 data'!#REF!</definedName>
    <definedName name="sss" localSheetId="5" hidden="1">{#N/A,#N/A,FALSE,"Form 41 Commuter Domestic";#N/A,#N/A,FALSE,"FORM41--COMMUTER % CHG";#N/A,#N/A,FALSE,"Total Domestic Traffic Stats";#N/A,#N/A,FALSE,"TOTAL DOM TRAFFIC--% CHG";#N/A,#N/A,FALSE,"TotDomTraf-Large Carriers Only";#N/A,#N/A,FALSE,"TOTDOMTRAF-LARGECAR% CHG"}</definedName>
    <definedName name="sss" hidden="1">{#N/A,#N/A,FALSE,"Form 41 Commuter Domestic";#N/A,#N/A,FALSE,"FORM41--COMMUTER % CHG";#N/A,#N/A,FALSE,"Total Domestic Traffic Stats";#N/A,#N/A,FALSE,"TOTAL DOM TRAFFIC--% CHG";#N/A,#N/A,FALSE,"TotDomTraf-Large Carriers Only";#N/A,#N/A,FALSE,"TOTDOMTRAF-LARGECAR% CHG"}</definedName>
    <definedName name="TenScenNames">'[1]Scenario table'!$C$7:$C$26</definedName>
    <definedName name="Vehicle_sum_0">'[1]All vehicles'!$AT$4:$AT$44</definedName>
    <definedName name="Vehicle_sum_1">'[1]All vehicles'!$AU$4:$AU$44</definedName>
    <definedName name="Vehicle_sum_2">'[1]All vehicles'!$AV$4:$AV$44</definedName>
    <definedName name="Vehicle_sum_3">'[1]All vehicles'!$AW$4:$AW$44</definedName>
    <definedName name="Vehicle_sum_4">'[1]All vehicles'!$AX$4:$AX$44</definedName>
    <definedName name="wrn.DOM._.TRAF._.STATS." localSheetId="5" hidden="1">{#N/A,#N/A,FALSE,"Form 41 Commuter Domestic";#N/A,#N/A,FALSE,"FORM41--COMMUTER % CHG";#N/A,#N/A,FALSE,"Total Domestic Traffic Stats";#N/A,#N/A,FALSE,"TOTAL DOM TRAFFIC--% CHG";#N/A,#N/A,FALSE,"TotDomTraf-Large Carriers Only";#N/A,#N/A,FALSE,"TOTDOMTRAF-LARGECAR% CHG"}</definedName>
    <definedName name="wrn.DOM._.TRAF._.STATS." hidden="1">{#N/A,#N/A,FALSE,"Form 41 Commuter Domestic";#N/A,#N/A,FALSE,"FORM41--COMMUTER % CHG";#N/A,#N/A,FALSE,"Total Domestic Traffic Stats";#N/A,#N/A,FALSE,"TOTAL DOM TRAFFIC--% CHG";#N/A,#N/A,FALSE,"TotDomTraf-Large Carriers Only";#N/A,#N/A,FALSE,"TOTDOMTRAF-LARGECAR% CHG"}</definedName>
    <definedName name="wrn.econtab." localSheetId="5" hidden="1">{#N/A,#N/A,FALSE,"TABLE1";#N/A,#N/A,FALSE,"TABLE2";#N/A,#N/A,FALSE,"TABLE3";#N/A,#N/A,FALSE,"TABLE4";#N/A,#N/A,FALSE,"TABLE5"}</definedName>
    <definedName name="wrn.econtab." hidden="1">{#N/A,#N/A,FALSE,"TABLE1";#N/A,#N/A,FALSE,"TABLE2";#N/A,#N/A,FALSE,"TABLE3";#N/A,#N/A,FALSE,"TABLE4";#N/A,#N/A,FALSE,"TABLE5"}</definedName>
    <definedName name="wrn.FORECAST." localSheetId="5" hidden="1">{"TOT",#N/A,FALSE,"ASFCST99";"TOTINT",#N/A,FALSE,"ASFCST99";"DOM",#N/A,FALSE,"ASFCST99";"NORTHATL",#N/A,FALSE,"ASFCST99";"PACIFIC",#N/A,FALSE,"ASFCST99";"LATAM",#N/A,FALSE,"ASFCST99"}</definedName>
    <definedName name="wrn.FORECAST." hidden="1">{"TOT",#N/A,FALSE,"ASFCST99";"TOTINT",#N/A,FALSE,"ASFCST99";"DOM",#N/A,FALSE,"ASFCST99";"NORTHATL",#N/A,FALSE,"ASFCST99";"PACIFIC",#N/A,FALSE,"ASFCST99";"LATAM",#N/A,FALSE,"ASFCST99"}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" i="74" l="1"/>
  <c r="K7" i="74"/>
  <c r="L7" i="74"/>
  <c r="M7" i="74"/>
  <c r="I7" i="74"/>
  <c r="H7" i="74"/>
  <c r="D7" i="74"/>
  <c r="E7" i="74"/>
  <c r="F7" i="74"/>
  <c r="G7" i="74"/>
  <c r="C7" i="74"/>
  <c r="C19" i="71"/>
  <c r="B22" i="71"/>
  <c r="G21" i="71"/>
  <c r="H10" i="68"/>
  <c r="H24" i="68"/>
  <c r="H23" i="68"/>
  <c r="H25" i="68"/>
  <c r="H17" i="68"/>
  <c r="H18" i="68"/>
  <c r="H19" i="68"/>
  <c r="H20" i="68"/>
  <c r="H21" i="68"/>
  <c r="H75" i="68"/>
  <c r="H51" i="68"/>
  <c r="H100" i="68"/>
  <c r="H76" i="68"/>
  <c r="H101" i="68"/>
  <c r="H77" i="68"/>
  <c r="H102" i="68"/>
  <c r="H22" i="68"/>
  <c r="H78" i="68"/>
  <c r="H103" i="68"/>
  <c r="H79" i="68"/>
  <c r="H104" i="68"/>
  <c r="H56" i="68"/>
  <c r="H80" i="68"/>
  <c r="H105" i="68"/>
  <c r="H106" i="68"/>
  <c r="H26" i="68"/>
  <c r="H81" i="68"/>
  <c r="H107" i="68"/>
  <c r="C22" i="71"/>
  <c r="G22" i="71"/>
  <c r="H11" i="68"/>
  <c r="H31" i="68"/>
  <c r="H35" i="68"/>
  <c r="H36" i="68"/>
  <c r="H34" i="68"/>
  <c r="H37" i="68"/>
  <c r="H29" i="68"/>
  <c r="H30" i="68"/>
  <c r="H38" i="68"/>
  <c r="H91" i="68"/>
  <c r="H118" i="68"/>
  <c r="H139" i="68"/>
  <c r="H140" i="68"/>
  <c r="H135" i="68"/>
  <c r="H84" i="68"/>
  <c r="H110" i="68"/>
  <c r="H85" i="68"/>
  <c r="H111" i="68"/>
  <c r="H32" i="68"/>
  <c r="H86" i="68"/>
  <c r="H112" i="68"/>
  <c r="H62" i="68"/>
  <c r="H63" i="68"/>
  <c r="H33" i="68"/>
  <c r="H87" i="68"/>
  <c r="H113" i="68"/>
  <c r="H88" i="68"/>
  <c r="H114" i="68"/>
  <c r="H65" i="68"/>
  <c r="H89" i="68"/>
  <c r="H115" i="68"/>
  <c r="H66" i="68"/>
  <c r="H90" i="68"/>
  <c r="H116" i="68"/>
  <c r="H117" i="68"/>
  <c r="H134" i="68"/>
  <c r="H136" i="68"/>
  <c r="H137" i="68"/>
  <c r="H138" i="68"/>
  <c r="H141" i="68"/>
  <c r="O4" i="77"/>
  <c r="Q49" i="78"/>
  <c r="R49" i="78"/>
  <c r="S49" i="78"/>
  <c r="T49" i="78"/>
  <c r="U49" i="78"/>
  <c r="V49" i="78"/>
  <c r="W49" i="78"/>
  <c r="X49" i="78"/>
  <c r="Y49" i="78"/>
  <c r="Z49" i="78"/>
  <c r="AA49" i="78"/>
  <c r="P49" i="78"/>
  <c r="Q48" i="78"/>
  <c r="R48" i="78"/>
  <c r="S48" i="78"/>
  <c r="T48" i="78"/>
  <c r="U48" i="78"/>
  <c r="V48" i="78"/>
  <c r="W48" i="78"/>
  <c r="X48" i="78"/>
  <c r="Y48" i="78"/>
  <c r="Z48" i="78"/>
  <c r="AA48" i="78"/>
  <c r="P48" i="78"/>
  <c r="C49" i="78"/>
  <c r="D49" i="78"/>
  <c r="E49" i="78"/>
  <c r="F49" i="78"/>
  <c r="G49" i="78"/>
  <c r="H49" i="78"/>
  <c r="I49" i="78"/>
  <c r="J49" i="78"/>
  <c r="K49" i="78"/>
  <c r="L49" i="78"/>
  <c r="M49" i="78"/>
  <c r="B49" i="78"/>
  <c r="C48" i="78"/>
  <c r="D48" i="78"/>
  <c r="E48" i="78"/>
  <c r="F48" i="78"/>
  <c r="G48" i="78"/>
  <c r="H48" i="78"/>
  <c r="I48" i="78"/>
  <c r="J48" i="78"/>
  <c r="K48" i="78"/>
  <c r="L48" i="78"/>
  <c r="M48" i="78"/>
  <c r="B48" i="78"/>
  <c r="N83" i="77"/>
  <c r="N82" i="77"/>
  <c r="O82" i="77"/>
  <c r="N78" i="77"/>
  <c r="N77" i="77"/>
  <c r="O77" i="77"/>
  <c r="P40" i="78"/>
  <c r="P39" i="78"/>
  <c r="P38" i="78"/>
  <c r="P37" i="78"/>
  <c r="P36" i="78"/>
  <c r="Q35" i="78"/>
  <c r="R35" i="78"/>
  <c r="S35" i="78"/>
  <c r="T35" i="78"/>
  <c r="T44" i="78"/>
  <c r="U35" i="78"/>
  <c r="V35" i="78"/>
  <c r="W35" i="78"/>
  <c r="X35" i="78"/>
  <c r="X44" i="78"/>
  <c r="Y35" i="78"/>
  <c r="Z35" i="78"/>
  <c r="AA35" i="78"/>
  <c r="P35" i="78"/>
  <c r="P34" i="78"/>
  <c r="P33" i="78"/>
  <c r="P32" i="78"/>
  <c r="P31" i="78"/>
  <c r="B40" i="78"/>
  <c r="B39" i="78"/>
  <c r="B38" i="78"/>
  <c r="B37" i="78"/>
  <c r="B36" i="78"/>
  <c r="B35" i="78"/>
  <c r="B34" i="78"/>
  <c r="B33" i="78"/>
  <c r="B32" i="78"/>
  <c r="B31" i="78"/>
  <c r="AA46" i="78"/>
  <c r="Z46" i="78"/>
  <c r="Y46" i="78"/>
  <c r="X46" i="78"/>
  <c r="W46" i="78"/>
  <c r="V46" i="78"/>
  <c r="U46" i="78"/>
  <c r="T46" i="78"/>
  <c r="S46" i="78"/>
  <c r="R46" i="78"/>
  <c r="Q46" i="78"/>
  <c r="P46" i="78"/>
  <c r="AA45" i="78"/>
  <c r="Z45" i="78"/>
  <c r="Y45" i="78"/>
  <c r="X45" i="78"/>
  <c r="W45" i="78"/>
  <c r="V45" i="78"/>
  <c r="U45" i="78"/>
  <c r="T45" i="78"/>
  <c r="S45" i="78"/>
  <c r="R45" i="78"/>
  <c r="Q45" i="78"/>
  <c r="P45" i="78"/>
  <c r="AA44" i="78"/>
  <c r="Z44" i="78"/>
  <c r="Y44" i="78"/>
  <c r="W44" i="78"/>
  <c r="V44" i="78"/>
  <c r="U44" i="78"/>
  <c r="S44" i="78"/>
  <c r="R44" i="78"/>
  <c r="Q44" i="78"/>
  <c r="P44" i="78"/>
  <c r="AA43" i="78"/>
  <c r="Z43" i="78"/>
  <c r="Y43" i="78"/>
  <c r="X43" i="78"/>
  <c r="W43" i="78"/>
  <c r="V43" i="78"/>
  <c r="U43" i="78"/>
  <c r="T43" i="78"/>
  <c r="S43" i="78"/>
  <c r="R43" i="78"/>
  <c r="Q43" i="78"/>
  <c r="P43" i="78"/>
  <c r="Q40" i="78"/>
  <c r="R40" i="78"/>
  <c r="S40" i="78"/>
  <c r="T40" i="78"/>
  <c r="U40" i="78"/>
  <c r="V40" i="78"/>
  <c r="W40" i="78"/>
  <c r="X40" i="78"/>
  <c r="Y40" i="78"/>
  <c r="Z40" i="78"/>
  <c r="AA40" i="78"/>
  <c r="Q39" i="78"/>
  <c r="R39" i="78"/>
  <c r="S39" i="78"/>
  <c r="T39" i="78"/>
  <c r="U39" i="78"/>
  <c r="V39" i="78"/>
  <c r="W39" i="78"/>
  <c r="X39" i="78"/>
  <c r="Y39" i="78"/>
  <c r="Z39" i="78"/>
  <c r="AA39" i="78"/>
  <c r="Q38" i="78"/>
  <c r="R38" i="78"/>
  <c r="S38" i="78"/>
  <c r="T38" i="78"/>
  <c r="U38" i="78"/>
  <c r="V38" i="78"/>
  <c r="W38" i="78"/>
  <c r="X38" i="78"/>
  <c r="Y38" i="78"/>
  <c r="Z38" i="78"/>
  <c r="AA38" i="78"/>
  <c r="Q37" i="78"/>
  <c r="R37" i="78"/>
  <c r="S37" i="78"/>
  <c r="T37" i="78"/>
  <c r="U37" i="78"/>
  <c r="V37" i="78"/>
  <c r="W37" i="78"/>
  <c r="X37" i="78"/>
  <c r="Y37" i="78"/>
  <c r="Z37" i="78"/>
  <c r="AA37" i="78"/>
  <c r="Q36" i="78"/>
  <c r="R36" i="78"/>
  <c r="S36" i="78"/>
  <c r="T36" i="78"/>
  <c r="U36" i="78"/>
  <c r="V36" i="78"/>
  <c r="W36" i="78"/>
  <c r="X36" i="78"/>
  <c r="Y36" i="78"/>
  <c r="Z36" i="78"/>
  <c r="AA36" i="78"/>
  <c r="Q34" i="78"/>
  <c r="R34" i="78"/>
  <c r="S34" i="78"/>
  <c r="T34" i="78"/>
  <c r="U34" i="78"/>
  <c r="V34" i="78"/>
  <c r="W34" i="78"/>
  <c r="X34" i="78"/>
  <c r="Y34" i="78"/>
  <c r="Z34" i="78"/>
  <c r="AA34" i="78"/>
  <c r="Q33" i="78"/>
  <c r="R33" i="78"/>
  <c r="S33" i="78"/>
  <c r="T33" i="78"/>
  <c r="U33" i="78"/>
  <c r="V33" i="78"/>
  <c r="W33" i="78"/>
  <c r="X33" i="78"/>
  <c r="Y33" i="78"/>
  <c r="Z33" i="78"/>
  <c r="AA33" i="78"/>
  <c r="Q32" i="78"/>
  <c r="R32" i="78"/>
  <c r="S32" i="78"/>
  <c r="T32" i="78"/>
  <c r="U32" i="78"/>
  <c r="V32" i="78"/>
  <c r="W32" i="78"/>
  <c r="X32" i="78"/>
  <c r="Y32" i="78"/>
  <c r="Z32" i="78"/>
  <c r="AA32" i="78"/>
  <c r="Q31" i="78"/>
  <c r="R31" i="78"/>
  <c r="S31" i="78"/>
  <c r="T31" i="78"/>
  <c r="U31" i="78"/>
  <c r="V31" i="78"/>
  <c r="W31" i="78"/>
  <c r="X31" i="78"/>
  <c r="Y31" i="78"/>
  <c r="Z31" i="78"/>
  <c r="AA31" i="78"/>
  <c r="C40" i="78"/>
  <c r="C46" i="78"/>
  <c r="D40" i="78"/>
  <c r="D46" i="78"/>
  <c r="E40" i="78"/>
  <c r="E46" i="78"/>
  <c r="F40" i="78"/>
  <c r="F46" i="78"/>
  <c r="G40" i="78"/>
  <c r="G46" i="78"/>
  <c r="H40" i="78"/>
  <c r="H46" i="78"/>
  <c r="I40" i="78"/>
  <c r="I46" i="78"/>
  <c r="J40" i="78"/>
  <c r="J46" i="78"/>
  <c r="K40" i="78"/>
  <c r="K46" i="78"/>
  <c r="L40" i="78"/>
  <c r="L46" i="78"/>
  <c r="M40" i="78"/>
  <c r="M46" i="78"/>
  <c r="B46" i="78"/>
  <c r="C39" i="78"/>
  <c r="D39" i="78"/>
  <c r="E39" i="78"/>
  <c r="F39" i="78"/>
  <c r="G39" i="78"/>
  <c r="H39" i="78"/>
  <c r="I39" i="78"/>
  <c r="J39" i="78"/>
  <c r="K39" i="78"/>
  <c r="L39" i="78"/>
  <c r="M39" i="78"/>
  <c r="C38" i="78"/>
  <c r="C45" i="78"/>
  <c r="D38" i="78"/>
  <c r="D45" i="78"/>
  <c r="E38" i="78"/>
  <c r="E45" i="78"/>
  <c r="F38" i="78"/>
  <c r="F45" i="78"/>
  <c r="G38" i="78"/>
  <c r="G45" i="78"/>
  <c r="H38" i="78"/>
  <c r="H45" i="78"/>
  <c r="I38" i="78"/>
  <c r="I45" i="78"/>
  <c r="J38" i="78"/>
  <c r="J45" i="78"/>
  <c r="K38" i="78"/>
  <c r="K45" i="78"/>
  <c r="L38" i="78"/>
  <c r="L45" i="78"/>
  <c r="M38" i="78"/>
  <c r="M45" i="78"/>
  <c r="B45" i="78"/>
  <c r="C37" i="78"/>
  <c r="D37" i="78"/>
  <c r="E37" i="78"/>
  <c r="F37" i="78"/>
  <c r="G37" i="78"/>
  <c r="H37" i="78"/>
  <c r="I37" i="78"/>
  <c r="J37" i="78"/>
  <c r="K37" i="78"/>
  <c r="L37" i="78"/>
  <c r="M37" i="78"/>
  <c r="C35" i="78"/>
  <c r="D35" i="78"/>
  <c r="E35" i="78"/>
  <c r="F35" i="78"/>
  <c r="G35" i="78"/>
  <c r="H35" i="78"/>
  <c r="I35" i="78"/>
  <c r="J35" i="78"/>
  <c r="K35" i="78"/>
  <c r="L35" i="78"/>
  <c r="M35" i="78"/>
  <c r="C34" i="78"/>
  <c r="D34" i="78"/>
  <c r="E34" i="78"/>
  <c r="F34" i="78"/>
  <c r="G34" i="78"/>
  <c r="H34" i="78"/>
  <c r="I34" i="78"/>
  <c r="J34" i="78"/>
  <c r="K34" i="78"/>
  <c r="L34" i="78"/>
  <c r="M34" i="78"/>
  <c r="C33" i="78"/>
  <c r="D33" i="78"/>
  <c r="E33" i="78"/>
  <c r="F33" i="78"/>
  <c r="G33" i="78"/>
  <c r="H33" i="78"/>
  <c r="I33" i="78"/>
  <c r="J33" i="78"/>
  <c r="K33" i="78"/>
  <c r="L33" i="78"/>
  <c r="M33" i="78"/>
  <c r="C36" i="78"/>
  <c r="C44" i="78"/>
  <c r="D36" i="78"/>
  <c r="D44" i="78"/>
  <c r="E36" i="78"/>
  <c r="E44" i="78"/>
  <c r="F36" i="78"/>
  <c r="F44" i="78"/>
  <c r="G36" i="78"/>
  <c r="G44" i="78"/>
  <c r="H36" i="78"/>
  <c r="H44" i="78"/>
  <c r="I36" i="78"/>
  <c r="I44" i="78"/>
  <c r="J36" i="78"/>
  <c r="J44" i="78"/>
  <c r="K36" i="78"/>
  <c r="K44" i="78"/>
  <c r="L36" i="78"/>
  <c r="L44" i="78"/>
  <c r="M36" i="78"/>
  <c r="M44" i="78"/>
  <c r="B44" i="78"/>
  <c r="C32" i="78"/>
  <c r="C43" i="78"/>
  <c r="D32" i="78"/>
  <c r="D43" i="78"/>
  <c r="E32" i="78"/>
  <c r="E43" i="78"/>
  <c r="F32" i="78"/>
  <c r="F43" i="78"/>
  <c r="G32" i="78"/>
  <c r="G43" i="78"/>
  <c r="H32" i="78"/>
  <c r="H43" i="78"/>
  <c r="I32" i="78"/>
  <c r="I43" i="78"/>
  <c r="J32" i="78"/>
  <c r="J43" i="78"/>
  <c r="K32" i="78"/>
  <c r="K43" i="78"/>
  <c r="L32" i="78"/>
  <c r="L43" i="78"/>
  <c r="M32" i="78"/>
  <c r="M43" i="78"/>
  <c r="B43" i="78"/>
  <c r="C31" i="78"/>
  <c r="D31" i="78"/>
  <c r="E31" i="78"/>
  <c r="F31" i="78"/>
  <c r="G31" i="78"/>
  <c r="H31" i="78"/>
  <c r="I31" i="78"/>
  <c r="J31" i="78"/>
  <c r="K31" i="78"/>
  <c r="L31" i="78"/>
  <c r="M31" i="78"/>
  <c r="N55" i="77"/>
  <c r="N54" i="77"/>
  <c r="N53" i="77"/>
  <c r="O13" i="77"/>
  <c r="O12" i="77"/>
  <c r="O11" i="77"/>
  <c r="F85" i="68"/>
  <c r="O10" i="77"/>
  <c r="F84" i="68"/>
  <c r="O9" i="77"/>
  <c r="F76" i="68"/>
  <c r="F77" i="68"/>
  <c r="O8" i="77"/>
  <c r="O7" i="77"/>
  <c r="O6" i="77"/>
  <c r="F79" i="68"/>
  <c r="F88" i="68"/>
  <c r="O5" i="77"/>
  <c r="O14" i="77"/>
  <c r="AC45" i="77"/>
  <c r="AC46" i="77"/>
  <c r="AC47" i="77"/>
  <c r="AC44" i="77"/>
  <c r="AE45" i="77"/>
  <c r="AD44" i="77"/>
  <c r="AD45" i="77"/>
  <c r="AE44" i="77"/>
  <c r="C30" i="75"/>
  <c r="D30" i="75"/>
  <c r="E30" i="75"/>
  <c r="F30" i="75"/>
  <c r="G30" i="75"/>
  <c r="H30" i="75"/>
  <c r="I30" i="75"/>
  <c r="J30" i="75"/>
  <c r="K30" i="75"/>
  <c r="L30" i="75"/>
  <c r="M30" i="75"/>
  <c r="B30" i="75"/>
  <c r="C29" i="75"/>
  <c r="D29" i="75"/>
  <c r="E29" i="75"/>
  <c r="F29" i="75"/>
  <c r="G29" i="75"/>
  <c r="H29" i="75"/>
  <c r="I29" i="75"/>
  <c r="J29" i="75"/>
  <c r="K29" i="75"/>
  <c r="L29" i="75"/>
  <c r="M29" i="75"/>
  <c r="B29" i="75"/>
  <c r="C28" i="75"/>
  <c r="D28" i="75"/>
  <c r="E28" i="75"/>
  <c r="F28" i="75"/>
  <c r="G28" i="75"/>
  <c r="H28" i="75"/>
  <c r="I28" i="75"/>
  <c r="J28" i="75"/>
  <c r="K28" i="75"/>
  <c r="L28" i="75"/>
  <c r="M28" i="75"/>
  <c r="B28" i="75"/>
  <c r="Q22" i="77"/>
  <c r="R22" i="77"/>
  <c r="S22" i="77"/>
  <c r="T22" i="77"/>
  <c r="U22" i="77"/>
  <c r="V22" i="77"/>
  <c r="W22" i="77"/>
  <c r="X22" i="77"/>
  <c r="Y22" i="77"/>
  <c r="Z22" i="77"/>
  <c r="AA22" i="77"/>
  <c r="AB22" i="77"/>
  <c r="AC21" i="77"/>
  <c r="AC20" i="77"/>
  <c r="C31" i="77"/>
  <c r="D31" i="77"/>
  <c r="E31" i="77"/>
  <c r="F31" i="77"/>
  <c r="G31" i="77"/>
  <c r="H31" i="77"/>
  <c r="I31" i="77"/>
  <c r="J31" i="77"/>
  <c r="K31" i="77"/>
  <c r="L31" i="77"/>
  <c r="M31" i="77"/>
  <c r="N31" i="77"/>
  <c r="B31" i="77"/>
  <c r="C30" i="77"/>
  <c r="D30" i="77"/>
  <c r="E30" i="77"/>
  <c r="F30" i="77"/>
  <c r="G30" i="77"/>
  <c r="H30" i="77"/>
  <c r="I30" i="77"/>
  <c r="J30" i="77"/>
  <c r="K30" i="77"/>
  <c r="L30" i="77"/>
  <c r="M30" i="77"/>
  <c r="N30" i="77"/>
  <c r="B30" i="77"/>
  <c r="C32" i="77"/>
  <c r="D32" i="77"/>
  <c r="E32" i="77"/>
  <c r="F32" i="77"/>
  <c r="G32" i="77"/>
  <c r="H32" i="77"/>
  <c r="I32" i="77"/>
  <c r="J32" i="77"/>
  <c r="K32" i="77"/>
  <c r="L32" i="77"/>
  <c r="M32" i="77"/>
  <c r="N32" i="77"/>
  <c r="B32" i="77"/>
  <c r="B3" i="68"/>
  <c r="I20" i="68"/>
  <c r="I76" i="68"/>
  <c r="E8" i="76"/>
  <c r="I9" i="68"/>
  <c r="I8" i="68"/>
  <c r="J9" i="68"/>
  <c r="J6" i="68"/>
  <c r="K9" i="68"/>
  <c r="K8" i="68"/>
  <c r="L9" i="68"/>
  <c r="L7" i="68"/>
  <c r="M9" i="68"/>
  <c r="M7" i="68"/>
  <c r="N9" i="68"/>
  <c r="N7" i="68"/>
  <c r="O9" i="68"/>
  <c r="O7" i="68"/>
  <c r="P9" i="68"/>
  <c r="P8" i="68"/>
  <c r="Q9" i="68"/>
  <c r="Q6" i="68"/>
  <c r="R9" i="68"/>
  <c r="R8" i="68"/>
  <c r="S9" i="68"/>
  <c r="S7" i="68"/>
  <c r="T9" i="68"/>
  <c r="T8" i="68"/>
  <c r="B1" i="73"/>
  <c r="L68" i="68"/>
  <c r="I68" i="68"/>
  <c r="J68" i="68"/>
  <c r="K68" i="68"/>
  <c r="M68" i="68"/>
  <c r="N68" i="68"/>
  <c r="O68" i="68"/>
  <c r="P68" i="68"/>
  <c r="Q68" i="68"/>
  <c r="R68" i="68"/>
  <c r="S68" i="68"/>
  <c r="T68" i="68"/>
  <c r="F64" i="68"/>
  <c r="G64" i="68"/>
  <c r="H64" i="68"/>
  <c r="I64" i="68"/>
  <c r="I61" i="68"/>
  <c r="I69" i="68"/>
  <c r="B23" i="71"/>
  <c r="H21" i="71"/>
  <c r="I10" i="68"/>
  <c r="F10" i="68"/>
  <c r="H57" i="68"/>
  <c r="I57" i="68"/>
  <c r="H58" i="68"/>
  <c r="I58" i="68"/>
  <c r="I71" i="68"/>
  <c r="F11" i="68"/>
  <c r="G61" i="68"/>
  <c r="E90" i="68"/>
  <c r="B21" i="71"/>
  <c r="F21" i="71"/>
  <c r="G10" i="68"/>
  <c r="F55" i="68"/>
  <c r="G55" i="68"/>
  <c r="G67" i="68"/>
  <c r="F117" i="68"/>
  <c r="F106" i="68"/>
  <c r="F138" i="68"/>
  <c r="F143" i="68"/>
  <c r="F140" i="68"/>
  <c r="F141" i="68"/>
  <c r="F142" i="68"/>
  <c r="G143" i="68"/>
  <c r="H61" i="68"/>
  <c r="H55" i="68"/>
  <c r="H67" i="68"/>
  <c r="J64" i="68"/>
  <c r="J61" i="68"/>
  <c r="J69" i="68"/>
  <c r="J57" i="68"/>
  <c r="J58" i="68"/>
  <c r="J71" i="68"/>
  <c r="J67" i="68"/>
  <c r="I55" i="68"/>
  <c r="K64" i="68"/>
  <c r="K61" i="68"/>
  <c r="K69" i="68"/>
  <c r="H150" i="73"/>
  <c r="K57" i="68"/>
  <c r="K58" i="68"/>
  <c r="K71" i="68"/>
  <c r="K67" i="68"/>
  <c r="J55" i="68"/>
  <c r="L64" i="68"/>
  <c r="L61" i="68"/>
  <c r="L69" i="68"/>
  <c r="I150" i="73"/>
  <c r="L57" i="68"/>
  <c r="L58" i="68"/>
  <c r="L71" i="68"/>
  <c r="L67" i="68"/>
  <c r="K55" i="68"/>
  <c r="M64" i="68"/>
  <c r="M61" i="68"/>
  <c r="M69" i="68"/>
  <c r="J150" i="73"/>
  <c r="B27" i="71"/>
  <c r="L21" i="71"/>
  <c r="M10" i="68"/>
  <c r="M57" i="68"/>
  <c r="M58" i="68"/>
  <c r="M71" i="68"/>
  <c r="M67" i="68"/>
  <c r="L55" i="68"/>
  <c r="N64" i="68"/>
  <c r="N61" i="68"/>
  <c r="N69" i="68"/>
  <c r="K150" i="73"/>
  <c r="N57" i="68"/>
  <c r="N58" i="68"/>
  <c r="N71" i="68"/>
  <c r="N67" i="68"/>
  <c r="M55" i="68"/>
  <c r="O64" i="68"/>
  <c r="O61" i="68"/>
  <c r="O69" i="68"/>
  <c r="L150" i="73"/>
  <c r="O57" i="68"/>
  <c r="O58" i="68"/>
  <c r="O71" i="68"/>
  <c r="O67" i="68"/>
  <c r="N55" i="68"/>
  <c r="P64" i="68"/>
  <c r="P61" i="68"/>
  <c r="P69" i="68"/>
  <c r="P57" i="68"/>
  <c r="P58" i="68"/>
  <c r="P71" i="68"/>
  <c r="P67" i="68"/>
  <c r="O55" i="68"/>
  <c r="Q64" i="68"/>
  <c r="Q61" i="68"/>
  <c r="Q69" i="68"/>
  <c r="Q57" i="68"/>
  <c r="Q58" i="68"/>
  <c r="Q71" i="68"/>
  <c r="Q67" i="68"/>
  <c r="P55" i="68"/>
  <c r="R64" i="68"/>
  <c r="R61" i="68"/>
  <c r="R69" i="68"/>
  <c r="R57" i="68"/>
  <c r="R58" i="68"/>
  <c r="R71" i="68"/>
  <c r="R67" i="68"/>
  <c r="C32" i="71"/>
  <c r="Q22" i="71"/>
  <c r="R11" i="68"/>
  <c r="Q55" i="68"/>
  <c r="S64" i="68"/>
  <c r="S61" i="68"/>
  <c r="S69" i="68"/>
  <c r="S57" i="68"/>
  <c r="S58" i="68"/>
  <c r="S71" i="68"/>
  <c r="S67" i="68"/>
  <c r="R55" i="68"/>
  <c r="T64" i="68"/>
  <c r="T61" i="68"/>
  <c r="T69" i="68"/>
  <c r="T57" i="68"/>
  <c r="T58" i="68"/>
  <c r="T71" i="68"/>
  <c r="T67" i="68"/>
  <c r="S55" i="68"/>
  <c r="D89" i="68"/>
  <c r="H275" i="73"/>
  <c r="I275" i="73"/>
  <c r="J275" i="73"/>
  <c r="K275" i="73"/>
  <c r="H200" i="73"/>
  <c r="I200" i="73"/>
  <c r="J200" i="73"/>
  <c r="K200" i="73"/>
  <c r="H300" i="73"/>
  <c r="I300" i="73"/>
  <c r="J300" i="73"/>
  <c r="K300" i="73"/>
  <c r="H250" i="73"/>
  <c r="I250" i="73"/>
  <c r="J250" i="73"/>
  <c r="K250" i="73"/>
  <c r="B5" i="74"/>
  <c r="C5" i="74"/>
  <c r="D5" i="74"/>
  <c r="E5" i="74"/>
  <c r="F5" i="74"/>
  <c r="G5" i="74"/>
  <c r="H5" i="74"/>
  <c r="I5" i="74"/>
  <c r="J5" i="74"/>
  <c r="K5" i="74"/>
  <c r="L5" i="74"/>
  <c r="M5" i="74"/>
  <c r="K70" i="68"/>
  <c r="L70" i="68"/>
  <c r="M70" i="68"/>
  <c r="N70" i="68"/>
  <c r="O70" i="68"/>
  <c r="P70" i="68"/>
  <c r="Q70" i="68"/>
  <c r="R70" i="68"/>
  <c r="S70" i="68"/>
  <c r="T70" i="68"/>
  <c r="J70" i="68"/>
  <c r="F66" i="68"/>
  <c r="F65" i="68"/>
  <c r="B24" i="76"/>
  <c r="B20" i="76"/>
  <c r="B21" i="76"/>
  <c r="C23" i="76"/>
  <c r="D23" i="76"/>
  <c r="B23" i="76"/>
  <c r="B17" i="76"/>
  <c r="B22" i="76"/>
  <c r="B19" i="76"/>
  <c r="B18" i="76"/>
  <c r="B16" i="76"/>
  <c r="B15" i="76"/>
  <c r="F3" i="74"/>
  <c r="G3" i="74"/>
  <c r="H3" i="74"/>
  <c r="I3" i="74"/>
  <c r="J3" i="74"/>
  <c r="K3" i="74"/>
  <c r="L3" i="74"/>
  <c r="M3" i="74"/>
  <c r="T55" i="68"/>
  <c r="E143" i="68"/>
  <c r="E140" i="68"/>
  <c r="D140" i="68"/>
  <c r="D117" i="68"/>
  <c r="D106" i="68"/>
  <c r="D138" i="68"/>
  <c r="D141" i="68"/>
  <c r="E117" i="68"/>
  <c r="E106" i="68"/>
  <c r="D127" i="68"/>
  <c r="D126" i="68"/>
  <c r="F80" i="68"/>
  <c r="E95" i="68"/>
  <c r="H94" i="68"/>
  <c r="G94" i="68"/>
  <c r="F94" i="68"/>
  <c r="E94" i="68"/>
  <c r="D94" i="68"/>
  <c r="D95" i="68"/>
  <c r="D128" i="68"/>
  <c r="E128" i="68"/>
  <c r="F128" i="68"/>
  <c r="E126" i="68"/>
  <c r="E127" i="68"/>
  <c r="F127" i="68"/>
  <c r="E125" i="68"/>
  <c r="F125" i="68"/>
  <c r="D124" i="68"/>
  <c r="E124" i="68"/>
  <c r="F124" i="68"/>
  <c r="D125" i="68"/>
  <c r="B2" i="68"/>
  <c r="C9" i="72"/>
  <c r="D9" i="72"/>
  <c r="E9" i="72"/>
  <c r="F9" i="72"/>
  <c r="B9" i="72"/>
  <c r="C5" i="72"/>
  <c r="D5" i="72"/>
  <c r="C6" i="72"/>
  <c r="D6" i="72"/>
  <c r="B6" i="72"/>
  <c r="B5" i="72"/>
  <c r="B3" i="72"/>
  <c r="C3" i="72"/>
  <c r="D3" i="72"/>
  <c r="C4" i="72"/>
  <c r="D4" i="72"/>
  <c r="B4" i="72"/>
  <c r="C2" i="72"/>
  <c r="D2" i="72"/>
  <c r="E2" i="72"/>
  <c r="F2" i="72"/>
  <c r="G2" i="72"/>
  <c r="H2" i="72"/>
  <c r="I2" i="72"/>
  <c r="J2" i="72"/>
  <c r="K2" i="72"/>
  <c r="L2" i="72"/>
  <c r="M2" i="72"/>
  <c r="N2" i="72"/>
  <c r="O2" i="72"/>
  <c r="P2" i="72"/>
  <c r="Q2" i="72"/>
  <c r="R2" i="72"/>
  <c r="B2" i="72"/>
  <c r="F47" i="68"/>
  <c r="F21" i="68"/>
  <c r="F75" i="68"/>
  <c r="B9" i="76"/>
  <c r="E21" i="68"/>
  <c r="E75" i="68"/>
  <c r="D21" i="68"/>
  <c r="D75" i="68"/>
  <c r="E76" i="68"/>
  <c r="B8" i="76"/>
  <c r="D76" i="68"/>
  <c r="D77" i="68"/>
  <c r="E77" i="68"/>
  <c r="B7" i="76"/>
  <c r="F89" i="68"/>
  <c r="E89" i="68"/>
  <c r="E13" i="68"/>
  <c r="C11" i="72"/>
  <c r="B11" i="72"/>
  <c r="H96" i="68"/>
  <c r="D11" i="76"/>
  <c r="G96" i="68"/>
  <c r="C11" i="76"/>
  <c r="F96" i="68"/>
  <c r="B11" i="76"/>
  <c r="E96" i="68"/>
  <c r="D96" i="68"/>
  <c r="F90" i="68"/>
  <c r="D90" i="68"/>
  <c r="E88" i="68"/>
  <c r="D88" i="68"/>
  <c r="F86" i="68"/>
  <c r="B5" i="76"/>
  <c r="B6" i="76"/>
  <c r="B3" i="76"/>
  <c r="E79" i="68"/>
  <c r="D79" i="68"/>
  <c r="F78" i="68"/>
  <c r="E78" i="68"/>
  <c r="D78" i="68"/>
  <c r="F63" i="68"/>
  <c r="E91" i="68"/>
  <c r="D91" i="68"/>
  <c r="F87" i="68"/>
  <c r="B10" i="76"/>
  <c r="E87" i="68"/>
  <c r="E129" i="68"/>
  <c r="D87" i="68"/>
  <c r="D129" i="68"/>
  <c r="E86" i="68"/>
  <c r="D86" i="68"/>
  <c r="D85" i="68"/>
  <c r="E84" i="68"/>
  <c r="D84" i="68"/>
  <c r="E81" i="68"/>
  <c r="D81" i="68"/>
  <c r="E80" i="68"/>
  <c r="D80" i="68"/>
  <c r="F81" i="68"/>
  <c r="F91" i="68"/>
  <c r="F40" i="68"/>
  <c r="F39" i="68"/>
  <c r="E85" i="68"/>
  <c r="E40" i="68"/>
  <c r="D39" i="68"/>
  <c r="E39" i="68"/>
  <c r="D40" i="68"/>
  <c r="B10" i="72"/>
  <c r="F126" i="68"/>
  <c r="F95" i="68"/>
  <c r="G95" i="68"/>
  <c r="M9" i="72"/>
  <c r="F12" i="68"/>
  <c r="D10" i="72"/>
  <c r="B4" i="76"/>
  <c r="E138" i="68"/>
  <c r="E141" i="68"/>
  <c r="E12" i="68"/>
  <c r="C10" i="72"/>
  <c r="F129" i="68"/>
  <c r="R9" i="72"/>
  <c r="I9" i="72"/>
  <c r="Q9" i="72"/>
  <c r="N9" i="72"/>
  <c r="F13" i="68"/>
  <c r="D11" i="72"/>
  <c r="J9" i="72"/>
  <c r="C34" i="71"/>
  <c r="S22" i="71"/>
  <c r="T11" i="68"/>
  <c r="B34" i="71"/>
  <c r="S21" i="71"/>
  <c r="T10" i="68"/>
  <c r="B31" i="71"/>
  <c r="P21" i="71"/>
  <c r="Q10" i="68"/>
  <c r="C31" i="71"/>
  <c r="P22" i="71"/>
  <c r="Q11" i="68"/>
  <c r="C29" i="71"/>
  <c r="N22" i="71"/>
  <c r="O11" i="68"/>
  <c r="B33" i="71"/>
  <c r="R21" i="71"/>
  <c r="S10" i="68"/>
  <c r="C30" i="71"/>
  <c r="O22" i="71"/>
  <c r="P11" i="68"/>
  <c r="B30" i="71"/>
  <c r="O21" i="71"/>
  <c r="P10" i="68"/>
  <c r="C28" i="71"/>
  <c r="M22" i="71"/>
  <c r="N11" i="68"/>
  <c r="B26" i="71"/>
  <c r="K21" i="71"/>
  <c r="L10" i="68"/>
  <c r="C24" i="71"/>
  <c r="I22" i="71"/>
  <c r="J11" i="68"/>
  <c r="C33" i="71"/>
  <c r="R22" i="71"/>
  <c r="S11" i="68"/>
  <c r="B32" i="71"/>
  <c r="Q21" i="71"/>
  <c r="R10" i="68"/>
  <c r="B29" i="71"/>
  <c r="N21" i="71"/>
  <c r="O10" i="68"/>
  <c r="C26" i="71"/>
  <c r="K22" i="71"/>
  <c r="L11" i="68"/>
  <c r="B28" i="71"/>
  <c r="M21" i="71"/>
  <c r="N10" i="68"/>
  <c r="C27" i="71"/>
  <c r="L22" i="71"/>
  <c r="M11" i="68"/>
  <c r="C25" i="71"/>
  <c r="J22" i="71"/>
  <c r="K11" i="68"/>
  <c r="B25" i="71"/>
  <c r="J21" i="71"/>
  <c r="K10" i="68"/>
  <c r="C23" i="71"/>
  <c r="H22" i="71"/>
  <c r="I11" i="68"/>
  <c r="B24" i="71"/>
  <c r="I21" i="71"/>
  <c r="J10" i="68"/>
  <c r="C21" i="71"/>
  <c r="F22" i="71"/>
  <c r="G11" i="68"/>
  <c r="P9" i="72"/>
  <c r="H9" i="72"/>
  <c r="L9" i="72"/>
  <c r="AC22" i="77"/>
  <c r="G9" i="72"/>
  <c r="K9" i="72"/>
  <c r="O9" i="72"/>
  <c r="K7" i="68"/>
  <c r="Q8" i="68"/>
  <c r="S8" i="68"/>
  <c r="N45" i="68"/>
  <c r="T20" i="68"/>
  <c r="T76" i="68"/>
  <c r="P8" i="76"/>
  <c r="T31" i="68"/>
  <c r="S51" i="68"/>
  <c r="R134" i="68"/>
  <c r="R31" i="68"/>
  <c r="Q34" i="68"/>
  <c r="O6" i="72"/>
  <c r="P46" i="68"/>
  <c r="P96" i="68"/>
  <c r="L11" i="76"/>
  <c r="P31" i="68"/>
  <c r="O24" i="68"/>
  <c r="O80" i="68"/>
  <c r="J45" i="68"/>
  <c r="P45" i="68"/>
  <c r="T51" i="68"/>
  <c r="T35" i="68"/>
  <c r="T89" i="68"/>
  <c r="R17" i="68"/>
  <c r="Q20" i="68"/>
  <c r="Q76" i="68"/>
  <c r="M8" i="76"/>
  <c r="P136" i="68"/>
  <c r="I13" i="77"/>
  <c r="P17" i="68"/>
  <c r="P23" i="68"/>
  <c r="N4" i="72"/>
  <c r="N17" i="68"/>
  <c r="I36" i="68"/>
  <c r="I90" i="68"/>
  <c r="T45" i="68"/>
  <c r="T137" i="68"/>
  <c r="T136" i="68"/>
  <c r="M13" i="77"/>
  <c r="S62" i="68"/>
  <c r="S63" i="68"/>
  <c r="R24" i="68"/>
  <c r="Q19" i="68"/>
  <c r="Q77" i="68"/>
  <c r="M7" i="76"/>
  <c r="O137" i="68"/>
  <c r="P51" i="68"/>
  <c r="O29" i="68"/>
  <c r="O84" i="68"/>
  <c r="H9" i="77"/>
  <c r="L136" i="68"/>
  <c r="E13" i="77"/>
  <c r="R45" i="68"/>
  <c r="T46" i="68"/>
  <c r="T96" i="68"/>
  <c r="T123" i="68"/>
  <c r="T32" i="68"/>
  <c r="T86" i="68"/>
  <c r="S46" i="68"/>
  <c r="S96" i="68"/>
  <c r="O11" i="76"/>
  <c r="R136" i="68"/>
  <c r="K13" i="77"/>
  <c r="R32" i="68"/>
  <c r="R86" i="68"/>
  <c r="Q134" i="68"/>
  <c r="P134" i="68"/>
  <c r="N34" i="68"/>
  <c r="N56" i="68"/>
  <c r="Q7" i="68"/>
  <c r="O6" i="68"/>
  <c r="N8" i="68"/>
  <c r="K6" i="68"/>
  <c r="M22" i="68"/>
  <c r="M78" i="68"/>
  <c r="L51" i="68"/>
  <c r="G136" i="68"/>
  <c r="O34" i="68"/>
  <c r="M20" i="68"/>
  <c r="M76" i="68"/>
  <c r="I8" i="76"/>
  <c r="J46" i="68"/>
  <c r="J96" i="68"/>
  <c r="F11" i="76"/>
  <c r="T6" i="68"/>
  <c r="T7" i="68"/>
  <c r="O8" i="68"/>
  <c r="M6" i="68"/>
  <c r="L6" i="68"/>
  <c r="N6" i="68"/>
  <c r="Q88" i="68"/>
  <c r="M32" i="68"/>
  <c r="M86" i="68"/>
  <c r="M112" i="68"/>
  <c r="M36" i="68"/>
  <c r="M90" i="68"/>
  <c r="L34" i="68"/>
  <c r="L24" i="68"/>
  <c r="I134" i="68"/>
  <c r="I45" i="68"/>
  <c r="O45" i="68"/>
  <c r="S137" i="68"/>
  <c r="T23" i="68"/>
  <c r="S22" i="68"/>
  <c r="S78" i="68"/>
  <c r="S29" i="68"/>
  <c r="S84" i="68"/>
  <c r="S110" i="68"/>
  <c r="S23" i="68"/>
  <c r="Q137" i="68"/>
  <c r="R46" i="68"/>
  <c r="R96" i="68"/>
  <c r="R123" i="68"/>
  <c r="R51" i="68"/>
  <c r="R23" i="68"/>
  <c r="R79" i="68"/>
  <c r="Q136" i="68"/>
  <c r="J13" i="77"/>
  <c r="Q46" i="68"/>
  <c r="Q96" i="68"/>
  <c r="M11" i="76"/>
  <c r="Q30" i="68"/>
  <c r="Q36" i="68"/>
  <c r="Q90" i="68"/>
  <c r="P29" i="68"/>
  <c r="P84" i="68"/>
  <c r="O136" i="68"/>
  <c r="H13" i="77"/>
  <c r="O30" i="68"/>
  <c r="O85" i="68"/>
  <c r="O36" i="68"/>
  <c r="O90" i="68"/>
  <c r="M137" i="68"/>
  <c r="N29" i="68"/>
  <c r="N84" i="68"/>
  <c r="J6" i="76"/>
  <c r="N30" i="68"/>
  <c r="N85" i="68"/>
  <c r="N111" i="68"/>
  <c r="J17" i="76"/>
  <c r="N36" i="68"/>
  <c r="N90" i="68"/>
  <c r="M46" i="68"/>
  <c r="M96" i="68"/>
  <c r="I11" i="76"/>
  <c r="M31" i="68"/>
  <c r="L22" i="68"/>
  <c r="L78" i="68"/>
  <c r="L20" i="68"/>
  <c r="L76" i="68"/>
  <c r="H8" i="76"/>
  <c r="L36" i="68"/>
  <c r="L90" i="68"/>
  <c r="K136" i="68"/>
  <c r="D13" i="77"/>
  <c r="J31" i="68"/>
  <c r="I24" i="68"/>
  <c r="I62" i="68"/>
  <c r="I63" i="68"/>
  <c r="G62" i="68"/>
  <c r="G63" i="68"/>
  <c r="J35" i="68"/>
  <c r="J89" i="68"/>
  <c r="J51" i="68"/>
  <c r="K36" i="68"/>
  <c r="K90" i="68"/>
  <c r="K29" i="68"/>
  <c r="K84" i="68"/>
  <c r="L35" i="68"/>
  <c r="L62" i="68"/>
  <c r="L30" i="68"/>
  <c r="L17" i="68"/>
  <c r="L29" i="68"/>
  <c r="L46" i="68"/>
  <c r="L96" i="68"/>
  <c r="H11" i="76"/>
  <c r="M24" i="68"/>
  <c r="M30" i="68"/>
  <c r="M85" i="68"/>
  <c r="M17" i="68"/>
  <c r="M29" i="68"/>
  <c r="M84" i="68"/>
  <c r="M110" i="68"/>
  <c r="I18" i="76"/>
  <c r="L137" i="68"/>
  <c r="N24" i="68"/>
  <c r="N62" i="68"/>
  <c r="N63" i="68"/>
  <c r="N20" i="68"/>
  <c r="N76" i="68"/>
  <c r="N22" i="68"/>
  <c r="N78" i="68"/>
  <c r="N136" i="68"/>
  <c r="G13" i="77"/>
  <c r="O35" i="68"/>
  <c r="O23" i="68"/>
  <c r="O62" i="68"/>
  <c r="O19" i="68"/>
  <c r="O77" i="68"/>
  <c r="O134" i="68"/>
  <c r="P56" i="68"/>
  <c r="P34" i="68"/>
  <c r="P30" i="68"/>
  <c r="P19" i="68"/>
  <c r="P77" i="68"/>
  <c r="L7" i="76"/>
  <c r="P22" i="68"/>
  <c r="P78" i="68"/>
  <c r="Q56" i="68"/>
  <c r="Q23" i="68"/>
  <c r="Q62" i="68"/>
  <c r="Q17" i="68"/>
  <c r="R35" i="68"/>
  <c r="R34" i="68"/>
  <c r="R30" i="68"/>
  <c r="R85" i="68"/>
  <c r="R19" i="68"/>
  <c r="R77" i="68"/>
  <c r="N7" i="76"/>
  <c r="R22" i="68"/>
  <c r="R78" i="68"/>
  <c r="S56" i="68"/>
  <c r="S34" i="68"/>
  <c r="S32" i="68"/>
  <c r="S86" i="68"/>
  <c r="S112" i="68"/>
  <c r="S20" i="68"/>
  <c r="S76" i="68"/>
  <c r="T56" i="68"/>
  <c r="T34" i="68"/>
  <c r="T30" i="68"/>
  <c r="T85" i="68"/>
  <c r="T111" i="68"/>
  <c r="T17" i="68"/>
  <c r="T29" i="68"/>
  <c r="T84" i="68"/>
  <c r="P6" i="76"/>
  <c r="T134" i="68"/>
  <c r="G24" i="68"/>
  <c r="E3" i="72"/>
  <c r="J34" i="68"/>
  <c r="J19" i="68"/>
  <c r="J77" i="68"/>
  <c r="F7" i="76"/>
  <c r="K62" i="68"/>
  <c r="K63" i="68"/>
  <c r="L56" i="68"/>
  <c r="L23" i="68"/>
  <c r="L31" i="68"/>
  <c r="L19" i="68"/>
  <c r="L77" i="68"/>
  <c r="H7" i="76"/>
  <c r="L134" i="68"/>
  <c r="K137" i="68"/>
  <c r="M35" i="68"/>
  <c r="M23" i="68"/>
  <c r="M62" i="68"/>
  <c r="M19" i="68"/>
  <c r="M77" i="68"/>
  <c r="I7" i="76"/>
  <c r="M134" i="68"/>
  <c r="M136" i="68"/>
  <c r="F13" i="77"/>
  <c r="N23" i="68"/>
  <c r="N31" i="68"/>
  <c r="N51" i="68"/>
  <c r="N46" i="68"/>
  <c r="N96" i="68"/>
  <c r="O56" i="68"/>
  <c r="O31" i="68"/>
  <c r="O51" i="68"/>
  <c r="O20" i="68"/>
  <c r="O76" i="68"/>
  <c r="K8" i="76"/>
  <c r="O46" i="68"/>
  <c r="O96" i="68"/>
  <c r="K11" i="76"/>
  <c r="O22" i="68"/>
  <c r="O78" i="68"/>
  <c r="N137" i="68"/>
  <c r="P24" i="68"/>
  <c r="P36" i="68"/>
  <c r="P90" i="68"/>
  <c r="P62" i="68"/>
  <c r="P63" i="68"/>
  <c r="P20" i="68"/>
  <c r="P76" i="68"/>
  <c r="L8" i="76"/>
  <c r="Q24" i="68"/>
  <c r="Q31" i="68"/>
  <c r="R56" i="68"/>
  <c r="R36" i="68"/>
  <c r="R90" i="68"/>
  <c r="R62" i="68"/>
  <c r="R63" i="68"/>
  <c r="R20" i="68"/>
  <c r="R76" i="68"/>
  <c r="N8" i="76"/>
  <c r="S24" i="68"/>
  <c r="S36" i="68"/>
  <c r="S90" i="68"/>
  <c r="S30" i="68"/>
  <c r="S85" i="68"/>
  <c r="S17" i="68"/>
  <c r="R137" i="68"/>
  <c r="T24" i="68"/>
  <c r="T36" i="68"/>
  <c r="T90" i="68"/>
  <c r="T62" i="68"/>
  <c r="T19" i="68"/>
  <c r="T77" i="68"/>
  <c r="P7" i="76"/>
  <c r="T22" i="68"/>
  <c r="T78" i="68"/>
  <c r="M45" i="68"/>
  <c r="L45" i="68"/>
  <c r="S45" i="68"/>
  <c r="K45" i="68"/>
  <c r="Q45" i="68"/>
  <c r="S136" i="68"/>
  <c r="L13" i="77"/>
  <c r="S134" i="68"/>
  <c r="S19" i="68"/>
  <c r="S77" i="68"/>
  <c r="O7" i="76"/>
  <c r="S31" i="68"/>
  <c r="S35" i="68"/>
  <c r="R29" i="68"/>
  <c r="R84" i="68"/>
  <c r="P137" i="68"/>
  <c r="Q22" i="68"/>
  <c r="Q78" i="68"/>
  <c r="Q103" i="68"/>
  <c r="Q29" i="68"/>
  <c r="Q84" i="68"/>
  <c r="M6" i="76"/>
  <c r="Q51" i="68"/>
  <c r="Q32" i="68"/>
  <c r="Q86" i="68"/>
  <c r="Q35" i="68"/>
  <c r="P32" i="68"/>
  <c r="P86" i="68"/>
  <c r="P35" i="68"/>
  <c r="O17" i="68"/>
  <c r="O32" i="68"/>
  <c r="N134" i="68"/>
  <c r="N19" i="68"/>
  <c r="N77" i="68"/>
  <c r="J7" i="76"/>
  <c r="N32" i="68"/>
  <c r="N86" i="68"/>
  <c r="N112" i="68"/>
  <c r="N35" i="68"/>
  <c r="M51" i="68"/>
  <c r="M34" i="68"/>
  <c r="M56" i="68"/>
  <c r="L32" i="68"/>
  <c r="L86" i="68"/>
  <c r="L112" i="68"/>
  <c r="J137" i="68"/>
  <c r="J56" i="68"/>
  <c r="R6" i="68"/>
  <c r="J8" i="68"/>
  <c r="J7" i="68"/>
  <c r="S6" i="68"/>
  <c r="R7" i="68"/>
  <c r="P7" i="68"/>
  <c r="M8" i="68"/>
  <c r="L8" i="68"/>
  <c r="I6" i="68"/>
  <c r="I101" i="68"/>
  <c r="E20" i="76"/>
  <c r="I7" i="68"/>
  <c r="P6" i="68"/>
  <c r="K46" i="68"/>
  <c r="K96" i="68"/>
  <c r="K19" i="68"/>
  <c r="K77" i="68"/>
  <c r="K51" i="68"/>
  <c r="K31" i="68"/>
  <c r="K34" i="68"/>
  <c r="K35" i="68"/>
  <c r="K56" i="68"/>
  <c r="J134" i="68"/>
  <c r="J20" i="68"/>
  <c r="J76" i="68"/>
  <c r="J30" i="68"/>
  <c r="J32" i="68"/>
  <c r="J86" i="68"/>
  <c r="J24" i="68"/>
  <c r="I136" i="68"/>
  <c r="G137" i="68"/>
  <c r="G19" i="68"/>
  <c r="G77" i="68"/>
  <c r="G23" i="68"/>
  <c r="G56" i="68"/>
  <c r="G32" i="68"/>
  <c r="G86" i="68"/>
  <c r="G112" i="68"/>
  <c r="I22" i="68"/>
  <c r="I78" i="68"/>
  <c r="I17" i="68"/>
  <c r="I31" i="68"/>
  <c r="I34" i="68"/>
  <c r="I35" i="68"/>
  <c r="I56" i="68"/>
  <c r="K22" i="68"/>
  <c r="K78" i="68"/>
  <c r="K17" i="68"/>
  <c r="K23" i="68"/>
  <c r="J29" i="68"/>
  <c r="J62" i="68"/>
  <c r="J36" i="68"/>
  <c r="G17" i="68"/>
  <c r="G51" i="68"/>
  <c r="G36" i="68"/>
  <c r="G90" i="68"/>
  <c r="G35" i="68"/>
  <c r="G29" i="68"/>
  <c r="I46" i="68"/>
  <c r="I96" i="68"/>
  <c r="I19" i="68"/>
  <c r="I77" i="68"/>
  <c r="I51" i="68"/>
  <c r="H45" i="68"/>
  <c r="H44" i="68"/>
  <c r="I23" i="68"/>
  <c r="K134" i="68"/>
  <c r="K20" i="68"/>
  <c r="K76" i="68"/>
  <c r="K30" i="68"/>
  <c r="K32" i="68"/>
  <c r="K86" i="68"/>
  <c r="K24" i="68"/>
  <c r="J136" i="68"/>
  <c r="I137" i="68"/>
  <c r="J22" i="68"/>
  <c r="J78" i="68"/>
  <c r="J103" i="68"/>
  <c r="J17" i="68"/>
  <c r="J23" i="68"/>
  <c r="G134" i="68"/>
  <c r="G22" i="68"/>
  <c r="G78" i="68"/>
  <c r="G103" i="68"/>
  <c r="G20" i="68"/>
  <c r="G76" i="68"/>
  <c r="G34" i="68"/>
  <c r="G31" i="68"/>
  <c r="G30" i="68"/>
  <c r="I29" i="68"/>
  <c r="I30" i="68"/>
  <c r="I32" i="68"/>
  <c r="I86" i="68"/>
  <c r="P25" i="68"/>
  <c r="M66" i="68"/>
  <c r="P66" i="68"/>
  <c r="N66" i="68"/>
  <c r="N116" i="68"/>
  <c r="Q66" i="68"/>
  <c r="Q116" i="68"/>
  <c r="J66" i="68"/>
  <c r="R65" i="68"/>
  <c r="S123" i="68"/>
  <c r="O23" i="76"/>
  <c r="Q112" i="68"/>
  <c r="Q101" i="68"/>
  <c r="P123" i="68"/>
  <c r="I11" i="77"/>
  <c r="O103" i="68"/>
  <c r="Q65" i="68"/>
  <c r="P79" i="68"/>
  <c r="M101" i="68"/>
  <c r="I20" i="76"/>
  <c r="Q102" i="68"/>
  <c r="M19" i="76"/>
  <c r="M103" i="68"/>
  <c r="N65" i="68"/>
  <c r="J112" i="68"/>
  <c r="L9" i="77"/>
  <c r="L123" i="68"/>
  <c r="E11" i="77"/>
  <c r="K103" i="68"/>
  <c r="I112" i="68"/>
  <c r="R102" i="68"/>
  <c r="N19" i="76"/>
  <c r="T101" i="68"/>
  <c r="P20" i="76"/>
  <c r="M3" i="72"/>
  <c r="G80" i="68"/>
  <c r="G105" i="68"/>
  <c r="O110" i="68"/>
  <c r="K18" i="76"/>
  <c r="T33" i="68"/>
  <c r="T87" i="68"/>
  <c r="M116" i="68"/>
  <c r="T112" i="68"/>
  <c r="K6" i="76"/>
  <c r="L103" i="68"/>
  <c r="K112" i="68"/>
  <c r="O6" i="76"/>
  <c r="J65" i="68"/>
  <c r="J115" i="68"/>
  <c r="J123" i="68"/>
  <c r="F23" i="76"/>
  <c r="G25" i="68"/>
  <c r="G18" i="68"/>
  <c r="G26" i="68"/>
  <c r="G81" i="68"/>
  <c r="G107" i="68"/>
  <c r="O43" i="68"/>
  <c r="O44" i="68"/>
  <c r="O95" i="68"/>
  <c r="O122" i="68"/>
  <c r="P65" i="68"/>
  <c r="J102" i="68"/>
  <c r="F19" i="76"/>
  <c r="P11" i="76"/>
  <c r="R33" i="68"/>
  <c r="R87" i="68"/>
  <c r="R113" i="68"/>
  <c r="N102" i="68"/>
  <c r="J19" i="76"/>
  <c r="N88" i="68"/>
  <c r="N114" i="68"/>
  <c r="L6" i="72"/>
  <c r="P33" i="68"/>
  <c r="P87" i="68"/>
  <c r="L101" i="68"/>
  <c r="H20" i="76"/>
  <c r="P3" i="72"/>
  <c r="R80" i="68"/>
  <c r="R103" i="68"/>
  <c r="Q110" i="68"/>
  <c r="M18" i="76"/>
  <c r="I103" i="68"/>
  <c r="N103" i="68"/>
  <c r="Q114" i="68"/>
  <c r="N110" i="68"/>
  <c r="J18" i="76"/>
  <c r="R66" i="68"/>
  <c r="R116" i="68"/>
  <c r="J9" i="77"/>
  <c r="T25" i="68"/>
  <c r="T18" i="68"/>
  <c r="T26" i="68"/>
  <c r="T81" i="68"/>
  <c r="T107" i="68"/>
  <c r="G9" i="77"/>
  <c r="T102" i="68"/>
  <c r="P19" i="76"/>
  <c r="J37" i="68"/>
  <c r="N11" i="76"/>
  <c r="M6" i="72"/>
  <c r="O88" i="68"/>
  <c r="O114" i="68"/>
  <c r="S101" i="68"/>
  <c r="O20" i="76"/>
  <c r="T103" i="68"/>
  <c r="N89" i="68"/>
  <c r="N115" i="68"/>
  <c r="L5" i="72"/>
  <c r="Q89" i="68"/>
  <c r="O5" i="72"/>
  <c r="Q33" i="68"/>
  <c r="Q87" i="68"/>
  <c r="Q37" i="68"/>
  <c r="Q38" i="68"/>
  <c r="Q40" i="68"/>
  <c r="O105" i="68"/>
  <c r="O66" i="68"/>
  <c r="O116" i="68"/>
  <c r="O65" i="68"/>
  <c r="N25" i="68"/>
  <c r="N18" i="68"/>
  <c r="N26" i="68"/>
  <c r="N81" i="68"/>
  <c r="N107" i="68"/>
  <c r="N79" i="68"/>
  <c r="L4" i="72"/>
  <c r="M63" i="68"/>
  <c r="T65" i="68"/>
  <c r="T115" i="68"/>
  <c r="T66" i="68"/>
  <c r="T116" i="68"/>
  <c r="Q79" i="68"/>
  <c r="O4" i="72"/>
  <c r="D9" i="77"/>
  <c r="G6" i="76"/>
  <c r="D17" i="76"/>
  <c r="D5" i="76"/>
  <c r="Q80" i="68"/>
  <c r="Q25" i="68"/>
  <c r="O3" i="72"/>
  <c r="N3" i="72"/>
  <c r="P80" i="68"/>
  <c r="P105" i="68"/>
  <c r="F6" i="72"/>
  <c r="O63" i="68"/>
  <c r="L85" i="68"/>
  <c r="I9" i="77"/>
  <c r="L6" i="76"/>
  <c r="J6" i="72"/>
  <c r="L88" i="68"/>
  <c r="L114" i="68"/>
  <c r="J38" i="68"/>
  <c r="J91" i="68"/>
  <c r="J118" i="68"/>
  <c r="T37" i="68"/>
  <c r="T38" i="68"/>
  <c r="T39" i="68"/>
  <c r="N33" i="68"/>
  <c r="N128" i="68"/>
  <c r="O8" i="76"/>
  <c r="T110" i="68"/>
  <c r="P18" i="76"/>
  <c r="O123" i="68"/>
  <c r="H11" i="77"/>
  <c r="M88" i="68"/>
  <c r="M114" i="68"/>
  <c r="K6" i="72"/>
  <c r="P89" i="68"/>
  <c r="N5" i="72"/>
  <c r="K9" i="77"/>
  <c r="N6" i="76"/>
  <c r="R3" i="72"/>
  <c r="T80" i="68"/>
  <c r="P4" i="76"/>
  <c r="M89" i="68"/>
  <c r="K5" i="72"/>
  <c r="L37" i="68"/>
  <c r="L38" i="68"/>
  <c r="L91" i="68"/>
  <c r="L118" i="68"/>
  <c r="L33" i="68"/>
  <c r="M10" i="77"/>
  <c r="P5" i="76"/>
  <c r="O79" i="68"/>
  <c r="M4" i="72"/>
  <c r="O25" i="68"/>
  <c r="J8" i="76"/>
  <c r="N101" i="68"/>
  <c r="J20" i="76"/>
  <c r="F9" i="77"/>
  <c r="I6" i="76"/>
  <c r="L63" i="68"/>
  <c r="G10" i="77"/>
  <c r="J5" i="76"/>
  <c r="R25" i="68"/>
  <c r="R18" i="68"/>
  <c r="R26" i="68"/>
  <c r="R81" i="68"/>
  <c r="R107" i="68"/>
  <c r="P4" i="72"/>
  <c r="Q4" i="72"/>
  <c r="S79" i="68"/>
  <c r="S104" i="68"/>
  <c r="L102" i="68"/>
  <c r="H19" i="76"/>
  <c r="M102" i="68"/>
  <c r="I19" i="76"/>
  <c r="R5" i="72"/>
  <c r="O33" i="68"/>
  <c r="O87" i="68"/>
  <c r="O86" i="68"/>
  <c r="O112" i="68"/>
  <c r="S33" i="68"/>
  <c r="S37" i="68"/>
  <c r="S38" i="68"/>
  <c r="T128" i="68"/>
  <c r="T63" i="68"/>
  <c r="T113" i="68"/>
  <c r="L65" i="68"/>
  <c r="L66" i="68"/>
  <c r="L116" i="68"/>
  <c r="S66" i="68"/>
  <c r="S116" i="68"/>
  <c r="S65" i="68"/>
  <c r="R88" i="68"/>
  <c r="R114" i="68"/>
  <c r="P6" i="72"/>
  <c r="P85" i="68"/>
  <c r="P111" i="68"/>
  <c r="L17" i="76"/>
  <c r="O102" i="68"/>
  <c r="K19" i="76"/>
  <c r="K7" i="76"/>
  <c r="N80" i="68"/>
  <c r="L3" i="72"/>
  <c r="I80" i="68"/>
  <c r="I105" i="68"/>
  <c r="G3" i="72"/>
  <c r="L25" i="68"/>
  <c r="J3" i="72"/>
  <c r="L80" i="68"/>
  <c r="N37" i="68"/>
  <c r="N38" i="68"/>
  <c r="N39" i="68"/>
  <c r="Q123" i="68"/>
  <c r="J11" i="77"/>
  <c r="N123" i="68"/>
  <c r="J11" i="76"/>
  <c r="K4" i="72"/>
  <c r="M79" i="68"/>
  <c r="R89" i="68"/>
  <c r="P5" i="72"/>
  <c r="P88" i="68"/>
  <c r="P114" i="68"/>
  <c r="N6" i="72"/>
  <c r="M80" i="68"/>
  <c r="K3" i="72"/>
  <c r="M25" i="68"/>
  <c r="D20" i="76"/>
  <c r="D8" i="76"/>
  <c r="T79" i="68"/>
  <c r="R4" i="72"/>
  <c r="M65" i="68"/>
  <c r="H6" i="77"/>
  <c r="R37" i="68"/>
  <c r="R38" i="68"/>
  <c r="R39" i="68"/>
  <c r="M9" i="77"/>
  <c r="T47" i="68"/>
  <c r="O101" i="68"/>
  <c r="K20" i="76"/>
  <c r="M123" i="68"/>
  <c r="I23" i="76"/>
  <c r="S89" i="68"/>
  <c r="Q5" i="72"/>
  <c r="S80" i="68"/>
  <c r="S25" i="68"/>
  <c r="Q3" i="72"/>
  <c r="O37" i="68"/>
  <c r="O38" i="68"/>
  <c r="O91" i="68"/>
  <c r="O118" i="68"/>
  <c r="L79" i="68"/>
  <c r="J4" i="72"/>
  <c r="J88" i="68"/>
  <c r="J114" i="68"/>
  <c r="H6" i="72"/>
  <c r="T88" i="68"/>
  <c r="T114" i="68"/>
  <c r="R6" i="72"/>
  <c r="S88" i="68"/>
  <c r="S114" i="68"/>
  <c r="Q6" i="72"/>
  <c r="K10" i="77"/>
  <c r="N5" i="76"/>
  <c r="Q63" i="68"/>
  <c r="O89" i="68"/>
  <c r="K4" i="76"/>
  <c r="M5" i="72"/>
  <c r="L84" i="68"/>
  <c r="L89" i="68"/>
  <c r="J5" i="72"/>
  <c r="M33" i="68"/>
  <c r="M37" i="68"/>
  <c r="M38" i="68"/>
  <c r="M40" i="68"/>
  <c r="Q85" i="68"/>
  <c r="K110" i="68"/>
  <c r="G18" i="76"/>
  <c r="P37" i="68"/>
  <c r="P38" i="68"/>
  <c r="P101" i="68"/>
  <c r="L20" i="76"/>
  <c r="P102" i="68"/>
  <c r="L19" i="76"/>
  <c r="M20" i="76"/>
  <c r="P116" i="68"/>
  <c r="P112" i="68"/>
  <c r="P110" i="68"/>
  <c r="L18" i="76"/>
  <c r="S103" i="68"/>
  <c r="S102" i="68"/>
  <c r="O19" i="76"/>
  <c r="P103" i="68"/>
  <c r="R110" i="68"/>
  <c r="N18" i="76"/>
  <c r="R111" i="68"/>
  <c r="N17" i="76"/>
  <c r="R112" i="68"/>
  <c r="R101" i="68"/>
  <c r="N20" i="76"/>
  <c r="O94" i="68"/>
  <c r="O121" i="68"/>
  <c r="H7" i="77"/>
  <c r="J79" i="68"/>
  <c r="H4" i="72"/>
  <c r="I43" i="68"/>
  <c r="I85" i="68"/>
  <c r="G37" i="68"/>
  <c r="G38" i="68"/>
  <c r="G91" i="68"/>
  <c r="G118" i="68"/>
  <c r="G33" i="68"/>
  <c r="K25" i="68"/>
  <c r="K80" i="68"/>
  <c r="K105" i="68"/>
  <c r="I3" i="72"/>
  <c r="I102" i="68"/>
  <c r="E19" i="76"/>
  <c r="E7" i="76"/>
  <c r="J63" i="68"/>
  <c r="I88" i="68"/>
  <c r="I114" i="68"/>
  <c r="G6" i="72"/>
  <c r="J80" i="68"/>
  <c r="J25" i="68"/>
  <c r="H3" i="72"/>
  <c r="K33" i="68"/>
  <c r="K37" i="68"/>
  <c r="K38" i="68"/>
  <c r="K91" i="68"/>
  <c r="R104" i="68"/>
  <c r="M6" i="77"/>
  <c r="T129" i="68"/>
  <c r="P10" i="76"/>
  <c r="K6" i="77"/>
  <c r="G88" i="68"/>
  <c r="G114" i="68"/>
  <c r="E6" i="72"/>
  <c r="I123" i="68"/>
  <c r="E11" i="76"/>
  <c r="F4" i="72"/>
  <c r="G65" i="68"/>
  <c r="G66" i="68"/>
  <c r="G116" i="68"/>
  <c r="K66" i="68"/>
  <c r="K116" i="68"/>
  <c r="K65" i="68"/>
  <c r="M111" i="68"/>
  <c r="F10" i="77"/>
  <c r="I5" i="76"/>
  <c r="P18" i="68"/>
  <c r="P26" i="68"/>
  <c r="P81" i="68"/>
  <c r="K11" i="77"/>
  <c r="N23" i="76"/>
  <c r="I84" i="68"/>
  <c r="I79" i="68"/>
  <c r="G4" i="72"/>
  <c r="J84" i="68"/>
  <c r="I37" i="68"/>
  <c r="I38" i="68"/>
  <c r="I91" i="68"/>
  <c r="I33" i="68"/>
  <c r="G101" i="68"/>
  <c r="C8" i="76"/>
  <c r="F3" i="72"/>
  <c r="K43" i="68"/>
  <c r="K85" i="68"/>
  <c r="L43" i="68"/>
  <c r="N43" i="68"/>
  <c r="T43" i="68"/>
  <c r="H95" i="68"/>
  <c r="R43" i="68"/>
  <c r="P43" i="68"/>
  <c r="G84" i="68"/>
  <c r="D19" i="76"/>
  <c r="D7" i="76"/>
  <c r="I66" i="68"/>
  <c r="I116" i="68"/>
  <c r="I65" i="68"/>
  <c r="G79" i="68"/>
  <c r="E4" i="72"/>
  <c r="F5" i="72"/>
  <c r="J43" i="68"/>
  <c r="J85" i="68"/>
  <c r="K89" i="68"/>
  <c r="I5" i="72"/>
  <c r="K102" i="68"/>
  <c r="G19" i="76"/>
  <c r="G7" i="76"/>
  <c r="I25" i="68"/>
  <c r="J33" i="68"/>
  <c r="J87" i="68"/>
  <c r="C6" i="77"/>
  <c r="M43" i="68"/>
  <c r="P104" i="68"/>
  <c r="L10" i="77"/>
  <c r="S111" i="68"/>
  <c r="O17" i="76"/>
  <c r="O5" i="76"/>
  <c r="S43" i="68"/>
  <c r="O18" i="76"/>
  <c r="M11" i="77"/>
  <c r="P23" i="76"/>
  <c r="G85" i="68"/>
  <c r="C13" i="77"/>
  <c r="K101" i="68"/>
  <c r="G8" i="76"/>
  <c r="G89" i="68"/>
  <c r="E5" i="72"/>
  <c r="J90" i="68"/>
  <c r="J116" i="68"/>
  <c r="H5" i="72"/>
  <c r="K79" i="68"/>
  <c r="I4" i="72"/>
  <c r="I89" i="68"/>
  <c r="G5" i="72"/>
  <c r="G102" i="68"/>
  <c r="C19" i="76"/>
  <c r="C7" i="76"/>
  <c r="B13" i="77"/>
  <c r="J101" i="68"/>
  <c r="F8" i="76"/>
  <c r="K88" i="68"/>
  <c r="K114" i="68"/>
  <c r="I6" i="72"/>
  <c r="K123" i="68"/>
  <c r="G11" i="76"/>
  <c r="Q43" i="68"/>
  <c r="P17" i="76"/>
  <c r="O111" i="68"/>
  <c r="H10" i="77"/>
  <c r="K5" i="76"/>
  <c r="P128" i="68"/>
  <c r="G4" i="77"/>
  <c r="P47" i="68"/>
  <c r="K4" i="77"/>
  <c r="C4" i="77"/>
  <c r="E4" i="77"/>
  <c r="J4" i="77"/>
  <c r="H4" i="77"/>
  <c r="L4" i="77"/>
  <c r="F4" i="77"/>
  <c r="I4" i="77"/>
  <c r="L39" i="68"/>
  <c r="B4" i="77"/>
  <c r="M23" i="76"/>
  <c r="D4" i="77"/>
  <c r="M4" i="77"/>
  <c r="T40" i="68"/>
  <c r="T91" i="68"/>
  <c r="C11" i="77"/>
  <c r="L11" i="77"/>
  <c r="N47" i="68"/>
  <c r="Q47" i="68"/>
  <c r="L23" i="76"/>
  <c r="K5" i="77"/>
  <c r="N40" i="68"/>
  <c r="R129" i="68"/>
  <c r="R128" i="68"/>
  <c r="N10" i="76"/>
  <c r="C4" i="76"/>
  <c r="R47" i="68"/>
  <c r="M115" i="68"/>
  <c r="G40" i="68"/>
  <c r="R105" i="68"/>
  <c r="N4" i="76"/>
  <c r="R16" i="68"/>
  <c r="P115" i="68"/>
  <c r="L16" i="76"/>
  <c r="R21" i="68"/>
  <c r="R75" i="68"/>
  <c r="N9" i="76"/>
  <c r="J40" i="68"/>
  <c r="O128" i="68"/>
  <c r="H23" i="76"/>
  <c r="P22" i="76"/>
  <c r="T117" i="68"/>
  <c r="G39" i="68"/>
  <c r="H47" i="68"/>
  <c r="N87" i="68"/>
  <c r="J10" i="76"/>
  <c r="Q113" i="68"/>
  <c r="M22" i="76"/>
  <c r="M91" i="68"/>
  <c r="M118" i="68"/>
  <c r="F11" i="77"/>
  <c r="Q128" i="68"/>
  <c r="N16" i="68"/>
  <c r="N21" i="68"/>
  <c r="N75" i="68"/>
  <c r="J9" i="76"/>
  <c r="R40" i="68"/>
  <c r="E4" i="76"/>
  <c r="O40" i="68"/>
  <c r="O15" i="76"/>
  <c r="K40" i="68"/>
  <c r="I39" i="68"/>
  <c r="N91" i="68"/>
  <c r="N139" i="68"/>
  <c r="S115" i="68"/>
  <c r="L40" i="68"/>
  <c r="I4" i="76"/>
  <c r="J39" i="68"/>
  <c r="N3" i="76"/>
  <c r="H39" i="68"/>
  <c r="H3" i="76"/>
  <c r="L104" i="68"/>
  <c r="E5" i="77"/>
  <c r="M18" i="68"/>
  <c r="N104" i="68"/>
  <c r="J3" i="76"/>
  <c r="G5" i="77"/>
  <c r="L3" i="76"/>
  <c r="R91" i="68"/>
  <c r="R139" i="68"/>
  <c r="Q115" i="68"/>
  <c r="S127" i="68"/>
  <c r="K23" i="76"/>
  <c r="M87" i="68"/>
  <c r="M113" i="68"/>
  <c r="I22" i="76"/>
  <c r="M128" i="68"/>
  <c r="E9" i="77"/>
  <c r="H6" i="76"/>
  <c r="L110" i="68"/>
  <c r="T104" i="68"/>
  <c r="P15" i="76"/>
  <c r="M5" i="77"/>
  <c r="P3" i="76"/>
  <c r="R115" i="68"/>
  <c r="L18" i="68"/>
  <c r="J4" i="76"/>
  <c r="N105" i="68"/>
  <c r="I10" i="77"/>
  <c r="L5" i="76"/>
  <c r="K10" i="76"/>
  <c r="O129" i="68"/>
  <c r="O18" i="68"/>
  <c r="E10" i="77"/>
  <c r="H5" i="76"/>
  <c r="L111" i="68"/>
  <c r="H17" i="76"/>
  <c r="Q18" i="68"/>
  <c r="M3" i="76"/>
  <c r="Q104" i="68"/>
  <c r="J5" i="77"/>
  <c r="Q91" i="68"/>
  <c r="Q39" i="68"/>
  <c r="O4" i="76"/>
  <c r="S105" i="68"/>
  <c r="M39" i="68"/>
  <c r="G11" i="77"/>
  <c r="J23" i="76"/>
  <c r="S91" i="68"/>
  <c r="S39" i="68"/>
  <c r="S40" i="68"/>
  <c r="L87" i="68"/>
  <c r="L128" i="68"/>
  <c r="M105" i="68"/>
  <c r="O47" i="68"/>
  <c r="L4" i="76"/>
  <c r="M4" i="76"/>
  <c r="Q105" i="68"/>
  <c r="T105" i="68"/>
  <c r="P16" i="76"/>
  <c r="M47" i="68"/>
  <c r="O115" i="68"/>
  <c r="J6" i="77"/>
  <c r="Q129" i="68"/>
  <c r="M10" i="76"/>
  <c r="P91" i="68"/>
  <c r="P118" i="68"/>
  <c r="P39" i="68"/>
  <c r="P40" i="68"/>
  <c r="I5" i="77"/>
  <c r="M5" i="76"/>
  <c r="Q111" i="68"/>
  <c r="J10" i="77"/>
  <c r="S18" i="68"/>
  <c r="S26" i="68"/>
  <c r="S81" i="68"/>
  <c r="S107" i="68"/>
  <c r="M104" i="68"/>
  <c r="I3" i="76"/>
  <c r="F5" i="77"/>
  <c r="H4" i="76"/>
  <c r="L115" i="68"/>
  <c r="S87" i="68"/>
  <c r="S128" i="68"/>
  <c r="S47" i="68"/>
  <c r="L5" i="77"/>
  <c r="O3" i="76"/>
  <c r="O39" i="68"/>
  <c r="L47" i="68"/>
  <c r="K3" i="76"/>
  <c r="O104" i="68"/>
  <c r="H5" i="77"/>
  <c r="O113" i="68"/>
  <c r="K22" i="76"/>
  <c r="L105" i="68"/>
  <c r="H16" i="76"/>
  <c r="P107" i="68"/>
  <c r="T94" i="68"/>
  <c r="T121" i="68"/>
  <c r="M7" i="77"/>
  <c r="T44" i="68"/>
  <c r="T95" i="68"/>
  <c r="T122" i="68"/>
  <c r="I87" i="68"/>
  <c r="I128" i="68"/>
  <c r="I47" i="68"/>
  <c r="R100" i="68"/>
  <c r="M94" i="68"/>
  <c r="M121" i="68"/>
  <c r="F7" i="77"/>
  <c r="M44" i="68"/>
  <c r="M95" i="68"/>
  <c r="M122" i="68"/>
  <c r="I115" i="68"/>
  <c r="E16" i="76"/>
  <c r="P94" i="68"/>
  <c r="P121" i="68"/>
  <c r="I7" i="77"/>
  <c r="P44" i="68"/>
  <c r="P95" i="68"/>
  <c r="P122" i="68"/>
  <c r="N94" i="68"/>
  <c r="N121" i="68"/>
  <c r="G7" i="77"/>
  <c r="N44" i="68"/>
  <c r="N95" i="68"/>
  <c r="N122" i="68"/>
  <c r="D10" i="77"/>
  <c r="K111" i="68"/>
  <c r="G5" i="76"/>
  <c r="D4" i="76"/>
  <c r="I118" i="68"/>
  <c r="D22" i="76"/>
  <c r="N113" i="68"/>
  <c r="D3" i="76"/>
  <c r="K87" i="68"/>
  <c r="K128" i="68"/>
  <c r="K47" i="68"/>
  <c r="J18" i="68"/>
  <c r="J26" i="68"/>
  <c r="J81" i="68"/>
  <c r="Q7" i="76"/>
  <c r="I40" i="68"/>
  <c r="G21" i="68"/>
  <c r="G75" i="68"/>
  <c r="G16" i="68"/>
  <c r="D11" i="77"/>
  <c r="G23" i="76"/>
  <c r="D5" i="77"/>
  <c r="K104" i="68"/>
  <c r="G15" i="76"/>
  <c r="G3" i="76"/>
  <c r="G111" i="68"/>
  <c r="C17" i="76"/>
  <c r="C5" i="76"/>
  <c r="L94" i="68"/>
  <c r="L121" i="68"/>
  <c r="E7" i="77"/>
  <c r="L44" i="68"/>
  <c r="L95" i="68"/>
  <c r="L122" i="68"/>
  <c r="Q11" i="76"/>
  <c r="J105" i="68"/>
  <c r="F16" i="76"/>
  <c r="F4" i="76"/>
  <c r="J128" i="68"/>
  <c r="Q19" i="76"/>
  <c r="B10" i="77"/>
  <c r="I111" i="68"/>
  <c r="E17" i="76"/>
  <c r="E5" i="76"/>
  <c r="G140" i="68"/>
  <c r="G135" i="68"/>
  <c r="Q94" i="68"/>
  <c r="Q121" i="68"/>
  <c r="J7" i="77"/>
  <c r="Q44" i="68"/>
  <c r="Q95" i="68"/>
  <c r="Q122" i="68"/>
  <c r="K17" i="76"/>
  <c r="G20" i="76"/>
  <c r="S94" i="68"/>
  <c r="S121" i="68"/>
  <c r="L7" i="77"/>
  <c r="S44" i="68"/>
  <c r="S95" i="68"/>
  <c r="S122" i="68"/>
  <c r="C10" i="77"/>
  <c r="J111" i="68"/>
  <c r="F17" i="76"/>
  <c r="F5" i="76"/>
  <c r="R44" i="68"/>
  <c r="R95" i="68"/>
  <c r="R122" i="68"/>
  <c r="R94" i="68"/>
  <c r="R121" i="68"/>
  <c r="K7" i="77"/>
  <c r="K94" i="68"/>
  <c r="K121" i="68"/>
  <c r="D7" i="77"/>
  <c r="K44" i="68"/>
  <c r="K95" i="68"/>
  <c r="K122" i="68"/>
  <c r="B5" i="77"/>
  <c r="I104" i="68"/>
  <c r="E15" i="76"/>
  <c r="E3" i="76"/>
  <c r="P21" i="68"/>
  <c r="P75" i="68"/>
  <c r="P16" i="68"/>
  <c r="Q8" i="76"/>
  <c r="P127" i="68"/>
  <c r="L15" i="76"/>
  <c r="T118" i="68"/>
  <c r="T139" i="68"/>
  <c r="J129" i="68"/>
  <c r="F10" i="76"/>
  <c r="J94" i="68"/>
  <c r="J121" i="68"/>
  <c r="C7" i="77"/>
  <c r="J44" i="68"/>
  <c r="J95" i="68"/>
  <c r="J122" i="68"/>
  <c r="K39" i="68"/>
  <c r="C20" i="76"/>
  <c r="C9" i="77"/>
  <c r="J110" i="68"/>
  <c r="F6" i="76"/>
  <c r="H128" i="68"/>
  <c r="I110" i="68"/>
  <c r="B9" i="77"/>
  <c r="E6" i="76"/>
  <c r="P113" i="68"/>
  <c r="I6" i="77"/>
  <c r="L10" i="76"/>
  <c r="P129" i="68"/>
  <c r="K115" i="68"/>
  <c r="G16" i="76"/>
  <c r="H40" i="68"/>
  <c r="G115" i="68"/>
  <c r="G126" i="68"/>
  <c r="B11" i="77"/>
  <c r="E23" i="76"/>
  <c r="R127" i="68"/>
  <c r="N15" i="76"/>
  <c r="J47" i="68"/>
  <c r="H126" i="68"/>
  <c r="G4" i="76"/>
  <c r="G87" i="68"/>
  <c r="G128" i="68"/>
  <c r="G47" i="68"/>
  <c r="I94" i="68"/>
  <c r="I121" i="68"/>
  <c r="B7" i="77"/>
  <c r="I44" i="68"/>
  <c r="I95" i="68"/>
  <c r="I122" i="68"/>
  <c r="C5" i="77"/>
  <c r="J104" i="68"/>
  <c r="F3" i="76"/>
  <c r="F20" i="76"/>
  <c r="I18" i="68"/>
  <c r="I26" i="68"/>
  <c r="I81" i="68"/>
  <c r="I107" i="68"/>
  <c r="G104" i="68"/>
  <c r="C15" i="76"/>
  <c r="C3" i="76"/>
  <c r="G110" i="68"/>
  <c r="C6" i="76"/>
  <c r="I17" i="76"/>
  <c r="D10" i="76"/>
  <c r="H129" i="68"/>
  <c r="D6" i="76"/>
  <c r="N22" i="76"/>
  <c r="T21" i="68"/>
  <c r="T75" i="68"/>
  <c r="T16" i="68"/>
  <c r="K118" i="68"/>
  <c r="J113" i="68"/>
  <c r="F22" i="76"/>
  <c r="K18" i="68"/>
  <c r="K26" i="68"/>
  <c r="K81" i="68"/>
  <c r="N100" i="68"/>
  <c r="G6" i="77"/>
  <c r="G8" i="77"/>
  <c r="N129" i="68"/>
  <c r="K8" i="77"/>
  <c r="R118" i="68"/>
  <c r="M126" i="68"/>
  <c r="P126" i="68"/>
  <c r="K126" i="68"/>
  <c r="R126" i="68"/>
  <c r="N16" i="76"/>
  <c r="M117" i="68"/>
  <c r="I16" i="76"/>
  <c r="N118" i="68"/>
  <c r="Q20" i="76"/>
  <c r="O16" i="76"/>
  <c r="R117" i="68"/>
  <c r="Q126" i="68"/>
  <c r="Q6" i="76"/>
  <c r="P139" i="68"/>
  <c r="O117" i="68"/>
  <c r="L21" i="68"/>
  <c r="L75" i="68"/>
  <c r="M21" i="68"/>
  <c r="M75" i="68"/>
  <c r="Q5" i="76"/>
  <c r="M16" i="76"/>
  <c r="I15" i="76"/>
  <c r="M127" i="68"/>
  <c r="N126" i="68"/>
  <c r="J16" i="76"/>
  <c r="H18" i="76"/>
  <c r="F6" i="77"/>
  <c r="I10" i="76"/>
  <c r="M129" i="68"/>
  <c r="J15" i="76"/>
  <c r="N127" i="68"/>
  <c r="T126" i="68"/>
  <c r="L126" i="68"/>
  <c r="E6" i="77"/>
  <c r="H10" i="76"/>
  <c r="L129" i="68"/>
  <c r="Q118" i="68"/>
  <c r="O21" i="68"/>
  <c r="O75" i="68"/>
  <c r="Q23" i="76"/>
  <c r="M17" i="76"/>
  <c r="Q117" i="68"/>
  <c r="Q21" i="68"/>
  <c r="Q75" i="68"/>
  <c r="L113" i="68"/>
  <c r="H22" i="76"/>
  <c r="H15" i="76"/>
  <c r="L127" i="68"/>
  <c r="S126" i="68"/>
  <c r="D16" i="76"/>
  <c r="Q4" i="76"/>
  <c r="K15" i="76"/>
  <c r="O127" i="68"/>
  <c r="O10" i="76"/>
  <c r="S129" i="68"/>
  <c r="S113" i="68"/>
  <c r="L6" i="77"/>
  <c r="S21" i="68"/>
  <c r="S75" i="68"/>
  <c r="S16" i="68"/>
  <c r="K16" i="76"/>
  <c r="O126" i="68"/>
  <c r="S139" i="68"/>
  <c r="S118" i="68"/>
  <c r="M15" i="76"/>
  <c r="Q127" i="68"/>
  <c r="Q26" i="68"/>
  <c r="Q81" i="68"/>
  <c r="Q107" i="68"/>
  <c r="O26" i="68"/>
  <c r="O81" i="68"/>
  <c r="L26" i="68"/>
  <c r="L81" i="68"/>
  <c r="M26" i="68"/>
  <c r="M81" i="68"/>
  <c r="T127" i="68"/>
  <c r="K127" i="68"/>
  <c r="J107" i="68"/>
  <c r="J139" i="68"/>
  <c r="K107" i="68"/>
  <c r="K139" i="68"/>
  <c r="N106" i="68"/>
  <c r="J21" i="76"/>
  <c r="N124" i="68"/>
  <c r="J117" i="68"/>
  <c r="F18" i="76"/>
  <c r="C16" i="76"/>
  <c r="G129" i="68"/>
  <c r="C10" i="76"/>
  <c r="G113" i="68"/>
  <c r="C22" i="76"/>
  <c r="E18" i="76"/>
  <c r="H16" i="68"/>
  <c r="P117" i="68"/>
  <c r="L22" i="76"/>
  <c r="Q3" i="76"/>
  <c r="C9" i="76"/>
  <c r="G100" i="68"/>
  <c r="G10" i="76"/>
  <c r="K129" i="68"/>
  <c r="K113" i="68"/>
  <c r="G22" i="76"/>
  <c r="D6" i="77"/>
  <c r="I139" i="68"/>
  <c r="G17" i="76"/>
  <c r="C24" i="76"/>
  <c r="G125" i="68"/>
  <c r="J21" i="68"/>
  <c r="J75" i="68"/>
  <c r="J16" i="68"/>
  <c r="D15" i="76"/>
  <c r="H127" i="68"/>
  <c r="I129" i="68"/>
  <c r="E10" i="76"/>
  <c r="B6" i="77"/>
  <c r="I113" i="68"/>
  <c r="E22" i="76"/>
  <c r="P9" i="76"/>
  <c r="T100" i="68"/>
  <c r="M8" i="77"/>
  <c r="D18" i="76"/>
  <c r="F15" i="76"/>
  <c r="J127" i="68"/>
  <c r="G117" i="68"/>
  <c r="C18" i="76"/>
  <c r="I21" i="68"/>
  <c r="I75" i="68"/>
  <c r="I16" i="68"/>
  <c r="J22" i="76"/>
  <c r="N117" i="68"/>
  <c r="R106" i="68"/>
  <c r="N21" i="76"/>
  <c r="R124" i="68"/>
  <c r="K21" i="68"/>
  <c r="K75" i="68"/>
  <c r="K16" i="68"/>
  <c r="I126" i="68"/>
  <c r="P100" i="68"/>
  <c r="L9" i="76"/>
  <c r="I8" i="77"/>
  <c r="I127" i="68"/>
  <c r="G127" i="68"/>
  <c r="J126" i="68"/>
  <c r="Q16" i="76"/>
  <c r="Q18" i="76"/>
  <c r="K117" i="68"/>
  <c r="Q17" i="76"/>
  <c r="O9" i="76"/>
  <c r="S100" i="68"/>
  <c r="L8" i="77"/>
  <c r="M107" i="68"/>
  <c r="M139" i="68"/>
  <c r="Q16" i="68"/>
  <c r="Q139" i="68"/>
  <c r="L117" i="68"/>
  <c r="M16" i="68"/>
  <c r="L107" i="68"/>
  <c r="L139" i="68"/>
  <c r="O22" i="76"/>
  <c r="Q22" i="76"/>
  <c r="S117" i="68"/>
  <c r="M9" i="76"/>
  <c r="Q100" i="68"/>
  <c r="J8" i="77"/>
  <c r="O16" i="68"/>
  <c r="L16" i="68"/>
  <c r="F8" i="77"/>
  <c r="I9" i="76"/>
  <c r="M100" i="68"/>
  <c r="Q15" i="76"/>
  <c r="Q10" i="76"/>
  <c r="O139" i="68"/>
  <c r="O107" i="68"/>
  <c r="K9" i="76"/>
  <c r="H8" i="77"/>
  <c r="O100" i="68"/>
  <c r="L100" i="68"/>
  <c r="E8" i="77"/>
  <c r="H9" i="76"/>
  <c r="E9" i="76"/>
  <c r="B8" i="77"/>
  <c r="I100" i="68"/>
  <c r="T106" i="68"/>
  <c r="P21" i="76"/>
  <c r="T124" i="68"/>
  <c r="I117" i="68"/>
  <c r="J100" i="68"/>
  <c r="F9" i="76"/>
  <c r="C8" i="77"/>
  <c r="P106" i="68"/>
  <c r="L21" i="76"/>
  <c r="P124" i="68"/>
  <c r="D9" i="76"/>
  <c r="G9" i="76"/>
  <c r="K100" i="68"/>
  <c r="D8" i="77"/>
  <c r="G106" i="68"/>
  <c r="G138" i="68"/>
  <c r="G141" i="68"/>
  <c r="C21" i="76"/>
  <c r="G124" i="68"/>
  <c r="Q124" i="68"/>
  <c r="Q106" i="68"/>
  <c r="M21" i="76"/>
  <c r="O21" i="76"/>
  <c r="S124" i="68"/>
  <c r="S106" i="68"/>
  <c r="O106" i="68"/>
  <c r="K21" i="76"/>
  <c r="O124" i="68"/>
  <c r="H21" i="76"/>
  <c r="L106" i="68"/>
  <c r="L124" i="68"/>
  <c r="M124" i="68"/>
  <c r="M106" i="68"/>
  <c r="I21" i="76"/>
  <c r="J106" i="68"/>
  <c r="F21" i="76"/>
  <c r="J124" i="68"/>
  <c r="D21" i="76"/>
  <c r="H124" i="68"/>
  <c r="Q9" i="76"/>
  <c r="G12" i="68"/>
  <c r="E10" i="72"/>
  <c r="K106" i="68"/>
  <c r="G21" i="76"/>
  <c r="K124" i="68"/>
  <c r="I106" i="68"/>
  <c r="E21" i="76"/>
  <c r="I124" i="68"/>
  <c r="Q21" i="76"/>
  <c r="H143" i="68"/>
  <c r="G13" i="68"/>
  <c r="E11" i="72"/>
  <c r="D24" i="76"/>
  <c r="H125" i="68"/>
  <c r="H12" i="68"/>
  <c r="F10" i="72"/>
  <c r="H142" i="68"/>
  <c r="I143" i="68"/>
  <c r="I140" i="68"/>
  <c r="I135" i="68"/>
  <c r="H13" i="68"/>
  <c r="F11" i="72"/>
  <c r="B12" i="77"/>
  <c r="B14" i="77"/>
  <c r="E24" i="76"/>
  <c r="I125" i="68"/>
  <c r="I138" i="68"/>
  <c r="I141" i="68"/>
  <c r="I12" i="68"/>
  <c r="G10" i="72"/>
  <c r="I142" i="68"/>
  <c r="J143" i="68"/>
  <c r="J140" i="68"/>
  <c r="J135" i="68"/>
  <c r="I13" i="68"/>
  <c r="G11" i="72"/>
  <c r="C12" i="77"/>
  <c r="C14" i="77"/>
  <c r="J125" i="68"/>
  <c r="F24" i="76"/>
  <c r="J138" i="68"/>
  <c r="J141" i="68"/>
  <c r="J12" i="68"/>
  <c r="H10" i="72"/>
  <c r="J142" i="68"/>
  <c r="K143" i="68"/>
  <c r="K140" i="68"/>
  <c r="K135" i="68"/>
  <c r="J13" i="68"/>
  <c r="H11" i="72"/>
  <c r="G24" i="76"/>
  <c r="K125" i="68"/>
  <c r="D12" i="77"/>
  <c r="D14" i="77"/>
  <c r="K138" i="68"/>
  <c r="K141" i="68"/>
  <c r="K12" i="68"/>
  <c r="I10" i="72"/>
  <c r="K142" i="68"/>
  <c r="L143" i="68"/>
  <c r="L140" i="68"/>
  <c r="L135" i="68"/>
  <c r="K13" i="68"/>
  <c r="I11" i="72"/>
  <c r="E12" i="77"/>
  <c r="E14" i="77"/>
  <c r="L125" i="68"/>
  <c r="H24" i="76"/>
  <c r="L138" i="68"/>
  <c r="L141" i="68"/>
  <c r="L12" i="68"/>
  <c r="J10" i="72"/>
  <c r="L142" i="68"/>
  <c r="M143" i="68"/>
  <c r="M140" i="68"/>
  <c r="M135" i="68"/>
  <c r="L13" i="68"/>
  <c r="J11" i="72"/>
  <c r="F12" i="77"/>
  <c r="F14" i="77"/>
  <c r="I24" i="76"/>
  <c r="M125" i="68"/>
  <c r="M138" i="68"/>
  <c r="M141" i="68"/>
  <c r="M12" i="68"/>
  <c r="K10" i="72"/>
  <c r="M142" i="68"/>
  <c r="N143" i="68"/>
  <c r="N140" i="68"/>
  <c r="N135" i="68"/>
  <c r="M13" i="68"/>
  <c r="K11" i="72"/>
  <c r="G12" i="77"/>
  <c r="G14" i="77"/>
  <c r="N125" i="68"/>
  <c r="J24" i="76"/>
  <c r="N138" i="68"/>
  <c r="N141" i="68"/>
  <c r="N12" i="68"/>
  <c r="L10" i="72"/>
  <c r="N142" i="68"/>
  <c r="O143" i="68"/>
  <c r="O140" i="68"/>
  <c r="O135" i="68"/>
  <c r="N13" i="68"/>
  <c r="L11" i="72"/>
  <c r="H12" i="77"/>
  <c r="H14" i="77"/>
  <c r="K24" i="76"/>
  <c r="O125" i="68"/>
  <c r="O138" i="68"/>
  <c r="O141" i="68"/>
  <c r="O12" i="68"/>
  <c r="M10" i="72"/>
  <c r="O142" i="68"/>
  <c r="P143" i="68"/>
  <c r="P140" i="68"/>
  <c r="P135" i="68"/>
  <c r="O13" i="68"/>
  <c r="M11" i="72"/>
  <c r="I12" i="77"/>
  <c r="I14" i="77"/>
  <c r="P125" i="68"/>
  <c r="L24" i="76"/>
  <c r="P138" i="68"/>
  <c r="P141" i="68"/>
  <c r="P12" i="68"/>
  <c r="N10" i="72"/>
  <c r="P142" i="68"/>
  <c r="Q143" i="68"/>
  <c r="Q140" i="68"/>
  <c r="Q135" i="68"/>
  <c r="P13" i="68"/>
  <c r="N11" i="72"/>
  <c r="J12" i="77"/>
  <c r="J14" i="77"/>
  <c r="M24" i="76"/>
  <c r="Q125" i="68"/>
  <c r="Q138" i="68"/>
  <c r="Q141" i="68"/>
  <c r="Q12" i="68"/>
  <c r="O10" i="72"/>
  <c r="Q142" i="68"/>
  <c r="R143" i="68"/>
  <c r="R140" i="68"/>
  <c r="R135" i="68"/>
  <c r="Q13" i="68"/>
  <c r="O11" i="72"/>
  <c r="K12" i="77"/>
  <c r="K14" i="77"/>
  <c r="R125" i="68"/>
  <c r="N24" i="76"/>
  <c r="R138" i="68"/>
  <c r="R141" i="68"/>
  <c r="R12" i="68"/>
  <c r="P10" i="72"/>
  <c r="R142" i="68"/>
  <c r="S143" i="68"/>
  <c r="S140" i="68"/>
  <c r="S135" i="68"/>
  <c r="R13" i="68"/>
  <c r="P11" i="72"/>
  <c r="L12" i="77"/>
  <c r="L14" i="77"/>
  <c r="S125" i="68"/>
  <c r="O24" i="76"/>
  <c r="S138" i="68"/>
  <c r="S141" i="68"/>
  <c r="S12" i="68"/>
  <c r="Q10" i="72"/>
  <c r="S142" i="68"/>
  <c r="T143" i="68"/>
  <c r="T140" i="68"/>
  <c r="T135" i="68"/>
  <c r="S13" i="68"/>
  <c r="Q11" i="72"/>
  <c r="M12" i="77"/>
  <c r="M14" i="77"/>
  <c r="T125" i="68"/>
  <c r="P24" i="76"/>
  <c r="Q24" i="76"/>
  <c r="T138" i="68"/>
  <c r="T141" i="68"/>
  <c r="T12" i="68"/>
  <c r="R10" i="72"/>
  <c r="T142" i="68"/>
  <c r="T13" i="68"/>
  <c r="R11" i="72"/>
  <c r="N14" i="77"/>
</calcChain>
</file>

<file path=xl/comments1.xml><?xml version="1.0" encoding="utf-8"?>
<comments xmlns="http://schemas.openxmlformats.org/spreadsheetml/2006/main">
  <authors>
    <author>Author</author>
  </authors>
  <commentList>
    <comment ref="A5" authorId="0">
      <text>
        <r>
          <rPr>
            <sz val="10"/>
            <color indexed="81"/>
            <rFont val="Calibri"/>
            <family val="2"/>
          </rPr>
          <t>Assumed H2 generated with biomethane, not electrolysis</t>
        </r>
      </text>
    </comment>
  </commentList>
</comments>
</file>

<file path=xl/sharedStrings.xml><?xml version="1.0" encoding="utf-8"?>
<sst xmlns="http://schemas.openxmlformats.org/spreadsheetml/2006/main" count="2783" uniqueCount="319">
  <si>
    <t>Electricity for LDVs</t>
  </si>
  <si>
    <t>Renewable Diesel</t>
  </si>
  <si>
    <t>Electricity for HDVs/Rail</t>
  </si>
  <si>
    <t xml:space="preserve">CARBOB </t>
  </si>
  <si>
    <t>CARB Diesel</t>
  </si>
  <si>
    <t>Hydrogen</t>
  </si>
  <si>
    <t>Fuel/Vehicle Combo</t>
  </si>
  <si>
    <t>EER relative to gasoline</t>
  </si>
  <si>
    <t>EER relative to diesel</t>
  </si>
  <si>
    <t>gas/LDV or E85/FFV</t>
  </si>
  <si>
    <t>Electricty/BEV or PHEV</t>
  </si>
  <si>
    <t>Hydrogen/FCV</t>
  </si>
  <si>
    <t>LDVs</t>
  </si>
  <si>
    <t>HDVs</t>
  </si>
  <si>
    <t>CNG or LPG/HDV</t>
  </si>
  <si>
    <t>Units</t>
  </si>
  <si>
    <t>Renewable Gasoline</t>
  </si>
  <si>
    <t>Cellulosic Ethanol</t>
  </si>
  <si>
    <t>mm gal</t>
  </si>
  <si>
    <t>1000 MWH</t>
  </si>
  <si>
    <t>Biofuel</t>
  </si>
  <si>
    <t>Energy Density</t>
  </si>
  <si>
    <t>Total Ethanol</t>
  </si>
  <si>
    <t>CaRFG</t>
  </si>
  <si>
    <t>MJ/gal</t>
  </si>
  <si>
    <t>MJ/MWH</t>
  </si>
  <si>
    <t>Annual Credit Balance</t>
  </si>
  <si>
    <t>Total Gasoline Side Credits</t>
  </si>
  <si>
    <t>Total Diesel Side Credits</t>
  </si>
  <si>
    <t>CARBOB Deficits</t>
  </si>
  <si>
    <t>Diesel Deficits</t>
  </si>
  <si>
    <t>Total Credits</t>
  </si>
  <si>
    <t>Total Deficits</t>
  </si>
  <si>
    <t>Conventional Natural Gas</t>
  </si>
  <si>
    <t>Renewable Natural Gas</t>
  </si>
  <si>
    <t>Renewable NG</t>
  </si>
  <si>
    <t>Conv. Natural Gas</t>
  </si>
  <si>
    <t>Conventional NG</t>
  </si>
  <si>
    <t>Biodiesel</t>
  </si>
  <si>
    <t>Avg of CONV. LNG&amp;CNG</t>
  </si>
  <si>
    <t>MJ/DGE</t>
  </si>
  <si>
    <t>Diesel or BD/HDV</t>
  </si>
  <si>
    <t>Annual Carry-Over of Credits</t>
  </si>
  <si>
    <t>%</t>
  </si>
  <si>
    <t>g/MJ</t>
  </si>
  <si>
    <t>MMT</t>
  </si>
  <si>
    <t>Average Annual CI Assumptions for Each Fuel</t>
  </si>
  <si>
    <t>Credits or Deficits</t>
  </si>
  <si>
    <t>Total Fuel Energy</t>
  </si>
  <si>
    <t>Gasoline Compliance Schedule</t>
  </si>
  <si>
    <t>Diesel Compliance Schedule</t>
  </si>
  <si>
    <t>Fuel Volumes</t>
  </si>
  <si>
    <t>Annual Carryover</t>
  </si>
  <si>
    <t>Credit/Deficit Summary</t>
  </si>
  <si>
    <t>Innovative Crude Credits</t>
  </si>
  <si>
    <t>Refinery Investment Credits</t>
  </si>
  <si>
    <t>Refinery Renewable Hydrogen</t>
  </si>
  <si>
    <t>Incremental Crude Deficits</t>
  </si>
  <si>
    <t>mm MJ</t>
  </si>
  <si>
    <t>Notes</t>
  </si>
  <si>
    <t>Conventional Ethanol</t>
  </si>
  <si>
    <t>mm DGE</t>
  </si>
  <si>
    <t>Diesel</t>
  </si>
  <si>
    <t>Electricity</t>
  </si>
  <si>
    <t>Gasoline</t>
  </si>
  <si>
    <t>Year</t>
  </si>
  <si>
    <t>Biodiesel (% by volume)</t>
  </si>
  <si>
    <t>Renewable Diesel (% by volume)</t>
  </si>
  <si>
    <t>Alternative Jet Fuel</t>
  </si>
  <si>
    <t>Jet Fuel Standard</t>
  </si>
  <si>
    <t>EER relative to jet</t>
  </si>
  <si>
    <t>AJF</t>
  </si>
  <si>
    <t>Fuel</t>
  </si>
  <si>
    <t>CARBOB</t>
  </si>
  <si>
    <t>Renewable NG (landfill)</t>
  </si>
  <si>
    <t>Renewable NG (dairy)</t>
  </si>
  <si>
    <t>LC/LEU Refinery</t>
  </si>
  <si>
    <t>Required by regulation</t>
  </si>
  <si>
    <t>Actual LCFS Data</t>
  </si>
  <si>
    <t>Calculated Cell</t>
  </si>
  <si>
    <t>Color Code Index</t>
  </si>
  <si>
    <t>Percentage RNG as dairy gas</t>
  </si>
  <si>
    <t>Total Natural Gas Demand</t>
  </si>
  <si>
    <t>mm GGE</t>
  </si>
  <si>
    <t>Target CI Reduction</t>
  </si>
  <si>
    <t>Total Gasoline and Substitutes Demand</t>
  </si>
  <si>
    <t>Total Diesel and Substitutes Demand</t>
  </si>
  <si>
    <t>Others</t>
  </si>
  <si>
    <t>Electricty HDV</t>
  </si>
  <si>
    <t>Electricity for HDV</t>
  </si>
  <si>
    <t>Electricity for HDVs</t>
  </si>
  <si>
    <t>Electricity for HDV (EER Adj.)</t>
  </si>
  <si>
    <t>Includes CARBOB, ethanol, electricity (displaced gasoline), hydrogen (displaced gasoline) and renewable gasoline</t>
  </si>
  <si>
    <t>Total liquid gasoline (CARBOB, RG and Ethanol)</t>
  </si>
  <si>
    <t>Total Liquid Diesel (CARB diesel, RD, BD)</t>
  </si>
  <si>
    <t>Calculated from "total gasoline and substitutes demand" minus gasoline displaced by electricity and hydrogen</t>
  </si>
  <si>
    <t>Calculated from "total liquid gasoline" minus ethanol and renewable gasoline</t>
  </si>
  <si>
    <t>Calculated from total natural gas minus assumed fossil natural gas</t>
  </si>
  <si>
    <t>Calculated from "total liquid diesel" minus renewable diesel and biodiesel</t>
  </si>
  <si>
    <t>Ethanol (% of liquid gasoline by volume)</t>
  </si>
  <si>
    <t>Informational calculation</t>
  </si>
  <si>
    <t>Calculated using landfill gas and dairy gas CI values with an assumed dairy fraction</t>
  </si>
  <si>
    <t>LCFS Illustrative Compliance Scenario Calculator</t>
  </si>
  <si>
    <t>Hydrogen for HDV</t>
  </si>
  <si>
    <t>Hydrogen for LDV (EER Adj.)</t>
  </si>
  <si>
    <t>Hydrogen for HDV (EER Adj.)</t>
  </si>
  <si>
    <t>Hydrogen for HDVs</t>
  </si>
  <si>
    <t>Hydrogen for LDVs</t>
  </si>
  <si>
    <t>Includes CARB diesel, biodiesel, renewable diesel, natural gas, hydrogen (displaced diesel), and electricity (displaced diesel)</t>
  </si>
  <si>
    <t>Calculated from "total diesel and substitutes demand" miinus diesel displaced by NG, hydrogen, and electricity</t>
  </si>
  <si>
    <t>Annual % CI reduction</t>
  </si>
  <si>
    <t>MJ/kg</t>
  </si>
  <si>
    <t>mm kg</t>
  </si>
  <si>
    <t>*Electricity Rail/Forklift/etc.</t>
  </si>
  <si>
    <t>*Approximate value for multiple categories</t>
  </si>
  <si>
    <t>CNG/LDV/MDV</t>
  </si>
  <si>
    <t>Average CI</t>
  </si>
  <si>
    <t>Fuel Energy</t>
  </si>
  <si>
    <t>Summary</t>
  </si>
  <si>
    <t>Electricity for Rail/Forklift/etc.</t>
  </si>
  <si>
    <t>Electricity for Rail/Forklift/etc. (EER Adj.)</t>
  </si>
  <si>
    <t>RNG average</t>
  </si>
  <si>
    <t>Renewable Diesel/AJF</t>
  </si>
  <si>
    <t>Sugarcane Ethanol</t>
  </si>
  <si>
    <t>Sugar Ethanol</t>
  </si>
  <si>
    <t xml:space="preserve">Starch Ethanol </t>
  </si>
  <si>
    <t>Calculated from total ethanol minus cellulosic and sugar ethanol.  Includes corn, sorghum, wheat, etc.</t>
  </si>
  <si>
    <t>Calculated Dairy Gas</t>
  </si>
  <si>
    <t>Scenario Selected</t>
  </si>
  <si>
    <t>Demand Scenario</t>
  </si>
  <si>
    <t>Scenario List</t>
  </si>
  <si>
    <t>Transposed</t>
  </si>
  <si>
    <t>million gge</t>
  </si>
  <si>
    <t>HDV Electricity</t>
  </si>
  <si>
    <t>HDV H2</t>
  </si>
  <si>
    <t>Results Summary</t>
  </si>
  <si>
    <t>LCFS CI Reduction Targets</t>
  </si>
  <si>
    <t>Reduction Target</t>
  </si>
  <si>
    <t>Gasoline Pool (million gallons)</t>
  </si>
  <si>
    <t>Diesel Pool (million gallons)</t>
  </si>
  <si>
    <t>Net Credits</t>
  </si>
  <si>
    <t>Credit Bank</t>
  </si>
  <si>
    <t>Scenario Selection</t>
  </si>
  <si>
    <t>Default</t>
  </si>
  <si>
    <t>Scenario Name</t>
  </si>
  <si>
    <t>Scenario Variables</t>
  </si>
  <si>
    <t>Scenario List:</t>
  </si>
  <si>
    <t>Supply Index</t>
  </si>
  <si>
    <t>Fuel Supply Scenario</t>
  </si>
  <si>
    <t>Hydrogen (Total)</t>
  </si>
  <si>
    <t>Electricity (Total)</t>
  </si>
  <si>
    <t>Alternative Credits (Total)</t>
  </si>
  <si>
    <t>Custom</t>
  </si>
  <si>
    <t>Credits from Dairies</t>
  </si>
  <si>
    <t>Credits from Landfills</t>
  </si>
  <si>
    <t>Renewable Propane</t>
  </si>
  <si>
    <t>Conventional Propane</t>
  </si>
  <si>
    <t>mm GDE</t>
  </si>
  <si>
    <t>E85</t>
  </si>
  <si>
    <t>EERs</t>
  </si>
  <si>
    <t>Estimated/Assumed</t>
  </si>
  <si>
    <t>Total Propane</t>
  </si>
  <si>
    <t>Interest on Carryover Deficits</t>
  </si>
  <si>
    <t>Electricity for LDVs (EER Adj.)</t>
  </si>
  <si>
    <t>Estimated assuming coproduct of hydrotreating to produce RD</t>
  </si>
  <si>
    <t>Set of Scenarios</t>
  </si>
  <si>
    <t>Starch Ethanol CI</t>
  </si>
  <si>
    <t>gCO2/MJ</t>
  </si>
  <si>
    <t xml:space="preserve">Baseline </t>
  </si>
  <si>
    <t>Biomethane</t>
  </si>
  <si>
    <t>Petroleum Projects</t>
  </si>
  <si>
    <t>Credits (MMT)</t>
  </si>
  <si>
    <t>Volume (mm GGE)</t>
  </si>
  <si>
    <t>Starch Ethanol</t>
  </si>
  <si>
    <t>Proposed Amendments</t>
  </si>
  <si>
    <t>High Demand</t>
  </si>
  <si>
    <t>Low Demand</t>
  </si>
  <si>
    <t>Baseline/LD/Low ZEV/10%</t>
  </si>
  <si>
    <t>Baseline/LD/High ZEV/10%</t>
  </si>
  <si>
    <t>Baseline/HD/Low ZEV/10%</t>
  </si>
  <si>
    <t>Project/LD/Low ZEV/18%</t>
  </si>
  <si>
    <t>Project/LD/Low ZEV/25%</t>
  </si>
  <si>
    <t>Main Scenario</t>
  </si>
  <si>
    <t>High Zev Scenario</t>
  </si>
  <si>
    <t>High Demand Scenario</t>
  </si>
  <si>
    <t>Fair Oaks provisional CI</t>
  </si>
  <si>
    <t>Assumes SMR with landfill gas as feedstock</t>
  </si>
  <si>
    <t>Calculated value from total liquid gasoline, percentage ethanol by volume, and E85 estimate</t>
  </si>
  <si>
    <t>From Reduction Targets Worksheet</t>
  </si>
  <si>
    <t>From Supply Scenarios Worksheet</t>
  </si>
  <si>
    <t>Baseline - no amendments</t>
  </si>
  <si>
    <t>ISOR - Proposed Amendments</t>
  </si>
  <si>
    <t>25 Percent Alternative</t>
  </si>
  <si>
    <t>Project/LD/High ZEV/20%</t>
  </si>
  <si>
    <t>Project/LD/Low ZEV/20%</t>
  </si>
  <si>
    <t>Project/HD/Low ZEV/20%</t>
  </si>
  <si>
    <t>Project/HD/High ZEV/20%</t>
  </si>
  <si>
    <t>Baseline/HD/High ZEV/10%</t>
  </si>
  <si>
    <t>Project/LD/High ZEV/25%</t>
  </si>
  <si>
    <t xml:space="preserve">25% Low ZEV Low Demand </t>
  </si>
  <si>
    <t xml:space="preserve">18% Low ZEV Low Demand </t>
  </si>
  <si>
    <t>High Demand/High ZEV</t>
  </si>
  <si>
    <t>High Zev</t>
  </si>
  <si>
    <t>Total Emission Reductions (MMT)</t>
  </si>
  <si>
    <t>Electricity (MMT)</t>
  </si>
  <si>
    <t>Hydrogen (MMT)</t>
  </si>
  <si>
    <t>Biomethane (MMT)</t>
  </si>
  <si>
    <t>Propane (MMT)</t>
  </si>
  <si>
    <t>Ethanol (MMT)</t>
  </si>
  <si>
    <t>Biodiesel (MMT)</t>
  </si>
  <si>
    <t>Renewable Diesel (MMT)</t>
  </si>
  <si>
    <t>Alternative Jet (MMT)</t>
  </si>
  <si>
    <t>Refinery Projects (MMT)</t>
  </si>
  <si>
    <t>Innovative Crude Projects (MMT)</t>
  </si>
  <si>
    <t>Baseline</t>
  </si>
  <si>
    <t>Alternative 1</t>
  </si>
  <si>
    <t>Alternative 2</t>
  </si>
  <si>
    <t>Credits</t>
  </si>
  <si>
    <t>LCFS Attributable GHG Reductions</t>
  </si>
  <si>
    <t>Delta</t>
  </si>
  <si>
    <t>Incremental LCFS Attributable GHG Reductions</t>
  </si>
  <si>
    <t>Deficits</t>
  </si>
  <si>
    <t>Delta - PA</t>
  </si>
  <si>
    <t>Delta - Base</t>
  </si>
  <si>
    <t>Business As Usual</t>
  </si>
  <si>
    <t>Current Conditions Baseline (2016)</t>
  </si>
  <si>
    <t>LCFS Attributable GHG Reductions (Chapter IV)</t>
  </si>
  <si>
    <t>High Zev Sensitivity</t>
  </si>
  <si>
    <t>High Demand Sensitivity</t>
  </si>
  <si>
    <t>Baseline - High ZEV</t>
  </si>
  <si>
    <t>Baseline - High Demand</t>
  </si>
  <si>
    <t>Baseline - High ZEV and Demand</t>
  </si>
  <si>
    <t>High ZEV and Demand Sensitivity</t>
  </si>
  <si>
    <t>Estimate of Maximum Cost Pass-Through</t>
  </si>
  <si>
    <t>CARBOB CI</t>
  </si>
  <si>
    <t>ULSD CI</t>
  </si>
  <si>
    <t>10% CI Reduction</t>
  </si>
  <si>
    <t>18% CI reduction</t>
  </si>
  <si>
    <t>20% CI Reduction</t>
  </si>
  <si>
    <t>25% CI Reduction</t>
  </si>
  <si>
    <t>CARBOB Energy Density</t>
  </si>
  <si>
    <t>ULSD Energy Density</t>
  </si>
  <si>
    <t>Diesel Compliance Targets (g/MJ)</t>
  </si>
  <si>
    <t>Gasoline Compliance Targets (g/MJ)</t>
  </si>
  <si>
    <t>Conversion</t>
  </si>
  <si>
    <t>g/MT</t>
  </si>
  <si>
    <t>Baseline Scenarios</t>
  </si>
  <si>
    <t>Baseline - Proposed Amendments</t>
  </si>
  <si>
    <t>Project Scenarios</t>
  </si>
  <si>
    <t>Estimated Credit Prices ($/MT)</t>
  </si>
  <si>
    <t>Estimated Incremental Crude CI (g/MJ)</t>
  </si>
  <si>
    <t>cents/$</t>
  </si>
  <si>
    <t>Estimated Pass-Through Gasoline (cents)</t>
  </si>
  <si>
    <t>Estimated Pass-Through Diesel (cents)</t>
  </si>
  <si>
    <t>Incremental Pass-Through Gasoline (cents)</t>
  </si>
  <si>
    <t>Incremental Pass-Through Diesel (cents)</t>
  </si>
  <si>
    <t>Min</t>
  </si>
  <si>
    <t>Max</t>
  </si>
  <si>
    <t>High ZEV</t>
  </si>
  <si>
    <t>High ZEV Baseline</t>
  </si>
  <si>
    <t>High Demand Baseline</t>
  </si>
  <si>
    <t xml:space="preserve">High Demand </t>
  </si>
  <si>
    <t>18 Percent Alternative</t>
  </si>
  <si>
    <t>Proposed amendment</t>
  </si>
  <si>
    <t>Attribution of GHG Reductions to LCFS - See Appendix F of ISOR</t>
  </si>
  <si>
    <t>Cumulative</t>
  </si>
  <si>
    <t>Estimated Credit Prices</t>
  </si>
  <si>
    <t>Percentage CI Reduction</t>
  </si>
  <si>
    <t>Incremental</t>
  </si>
  <si>
    <t>LD = Low Demand</t>
  </si>
  <si>
    <t>HD = High Demand</t>
  </si>
  <si>
    <t>Version Date: March 6, 2018</t>
  </si>
  <si>
    <t>Cerulogy version</t>
  </si>
  <si>
    <t>LCFS Compliance Scenario Calculator Sheet</t>
  </si>
  <si>
    <t/>
  </si>
  <si>
    <t>Notes/sources</t>
  </si>
  <si>
    <t>Cerulogy High Performance</t>
  </si>
  <si>
    <t>Gasoline comparator</t>
  </si>
  <si>
    <t>CARB draft regulatory proposal</t>
  </si>
  <si>
    <t>Diesel comparator</t>
  </si>
  <si>
    <t>Up to 2016</t>
  </si>
  <si>
    <t>Calculated</t>
  </si>
  <si>
    <t>Calculated (dependent on ethanol blend and E85 use)</t>
  </si>
  <si>
    <t>Calculated based on E85 assumptions (Malins et al. 2015)</t>
  </si>
  <si>
    <t>Dependent on cellulosic fuel ramp up model (modified from Malins et al. 2015)</t>
  </si>
  <si>
    <t>Dependent on feedstock fraction assumptions (modified from Malins et al. 2015)</t>
  </si>
  <si>
    <t>Calculated based on VISION fuel demand assumptions and FCV sales share</t>
  </si>
  <si>
    <t>Calculated based on VISION fuel demand assumptions and BEV/PHEV sales share</t>
  </si>
  <si>
    <t>Calculated as residual</t>
  </si>
  <si>
    <t>Calculated based on blend assumptions</t>
  </si>
  <si>
    <t>Renewable Distillates (diesel + jet; HVO + cellulosic)</t>
  </si>
  <si>
    <t>HVO input volumes as direct input, cellulosic distillates based on cellulosic fuel ramp up model (modified from Malisn et al. 2015)</t>
  </si>
  <si>
    <t>Calculated based on VISION fuel demand assumptions and input NG vehicle sales fractions</t>
  </si>
  <si>
    <t>Zero by hypothesis</t>
  </si>
  <si>
    <t>Meets full NG demand</t>
  </si>
  <si>
    <t>Copied from draft illustrative compliance scenarios</t>
  </si>
  <si>
    <t>Calculated (residual)</t>
  </si>
  <si>
    <t>Renewable Distillates (diesel + jet; HVO + cellulosic) (by volume)</t>
  </si>
  <si>
    <t>Assumed zero</t>
  </si>
  <si>
    <t>Match total propane demand</t>
  </si>
  <si>
    <t>Calculated from dairy gas fraction, based on draft illustrative compliance scenario</t>
  </si>
  <si>
    <t>Malins et al. (2015), not incl. CCS savings</t>
  </si>
  <si>
    <t>Modified from Malins et al. (2015)</t>
  </si>
  <si>
    <t>Malins et al. (2015)</t>
  </si>
  <si>
    <t xml:space="preserve">Based on assessment of renewable fraction in California energy from CPUC modelling, see report for details. </t>
  </si>
  <si>
    <t>Based on feedstock mix assumptions and CI by feedstock as detailed in Malins et al. (2015)</t>
  </si>
  <si>
    <t>Malins et al. (2015)*</t>
  </si>
  <si>
    <t xml:space="preserve">*I had intended to revise this to match the illustrative compliance scenario (40 g/MJ). Unfortunately, the spreadsheet causes Excel to crash quite often, and it looks like I lost the change I had made without realising it at some point. We therefore lean generous on RNG credits. </t>
  </si>
  <si>
    <t>Based on dairy gas volume in draft illustrative compliance scenario</t>
  </si>
  <si>
    <t xml:space="preserve">Same as electricity for PV, with different EER adjustment. </t>
  </si>
  <si>
    <t>Cf. fuel volumes</t>
  </si>
  <si>
    <t>mn MJ</t>
  </si>
  <si>
    <t>Calculated from energy, CI and compliance schedule</t>
  </si>
  <si>
    <t>Incremental Crude:</t>
  </si>
  <si>
    <t>EERs from CARB illustrative compliance scenarios</t>
  </si>
  <si>
    <t>Energy Density from CARB illustrative compliance scenarios</t>
  </si>
  <si>
    <t>Note: Imported from Malins (2018)</t>
  </si>
  <si>
    <t>NextGen High Demand</t>
  </si>
  <si>
    <t>NextGen Base Demand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</si>
</sst>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5" formatCode="&quot;$&quot;#,##0_);\(&quot;$&quot;#,##0\)"/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"/>
    <numFmt numFmtId="166" formatCode="#,##0.0"/>
    <numFmt numFmtId="167" formatCode="mmm\ dd\,\ yyyy"/>
    <numFmt numFmtId="168" formatCode="yyyy"/>
    <numFmt numFmtId="169" formatCode="#,##0.00%"/>
    <numFmt numFmtId="170" formatCode="_-* #,##0.00\ _z_ł_-;\-* #,##0.00\ _z_ł_-;_-* &quot;-&quot;??\ _z_ł_-;_-@_-"/>
    <numFmt numFmtId="171" formatCode="mmmm\ d\,\ yyyy"/>
    <numFmt numFmtId="172" formatCode="General_)"/>
    <numFmt numFmtId="173" formatCode="0.0%"/>
    <numFmt numFmtId="174" formatCode="0.000%"/>
    <numFmt numFmtId="175" formatCode="_(&quot;$&quot;* #,##0_);_(&quot;$&quot;* \(#,##0\);_(&quot;$&quot;* &quot;-&quot;??_);_(@_)"/>
  </numFmts>
  <fonts count="10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Tahoma"/>
      <family val="2"/>
    </font>
    <font>
      <sz val="11"/>
      <color rgb="FF000000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b/>
      <sz val="12"/>
      <name val="Arial"/>
      <family val="2"/>
    </font>
    <font>
      <sz val="10"/>
      <color indexed="8"/>
      <name val="Verdana"/>
      <family val="2"/>
    </font>
    <font>
      <sz val="1"/>
      <color indexed="9"/>
      <name val="Verdana"/>
      <family val="2"/>
    </font>
    <font>
      <sz val="11"/>
      <color indexed="8"/>
      <name val="Calibri"/>
      <family val="2"/>
    </font>
    <font>
      <sz val="12"/>
      <color theme="1"/>
      <name val="Arial"/>
      <family val="2"/>
    </font>
    <font>
      <sz val="11"/>
      <color indexed="9"/>
      <name val="Calibri"/>
      <family val="2"/>
    </font>
    <font>
      <sz val="12"/>
      <color theme="0"/>
      <name val="Arial"/>
      <family val="2"/>
    </font>
    <font>
      <sz val="11"/>
      <color indexed="20"/>
      <name val="Calibri"/>
      <family val="2"/>
    </font>
    <font>
      <sz val="12"/>
      <color rgb="FF9C0006"/>
      <name val="Arial"/>
      <family val="2"/>
    </font>
    <font>
      <b/>
      <sz val="11"/>
      <color indexed="52"/>
      <name val="Calibri"/>
      <family val="2"/>
    </font>
    <font>
      <b/>
      <sz val="12"/>
      <color rgb="FFFA7D00"/>
      <name val="Arial"/>
      <family val="2"/>
    </font>
    <font>
      <b/>
      <sz val="11"/>
      <color indexed="9"/>
      <name val="Calibri"/>
      <family val="2"/>
    </font>
    <font>
      <b/>
      <sz val="12"/>
      <color theme="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name val="Times New Roman"/>
      <family val="1"/>
    </font>
    <font>
      <sz val="10"/>
      <name val="Verdana"/>
      <family val="2"/>
    </font>
    <font>
      <sz val="8"/>
      <name val="Arial"/>
      <family val="2"/>
    </font>
    <font>
      <i/>
      <sz val="11"/>
      <color indexed="23"/>
      <name val="Calibri"/>
      <family val="2"/>
    </font>
    <font>
      <i/>
      <sz val="12"/>
      <color rgb="FF7F7F7F"/>
      <name val="Arial"/>
      <family val="2"/>
    </font>
    <font>
      <u/>
      <sz val="11"/>
      <color rgb="FF004488"/>
      <name val="Calibri"/>
      <family val="2"/>
      <scheme val="minor"/>
    </font>
    <font>
      <sz val="11"/>
      <color indexed="17"/>
      <name val="Calibri"/>
      <family val="2"/>
    </font>
    <font>
      <sz val="12"/>
      <color rgb="FF006100"/>
      <name val="Arial"/>
      <family val="2"/>
    </font>
    <font>
      <b/>
      <sz val="15"/>
      <color indexed="56"/>
      <name val="Calibri"/>
      <family val="2"/>
    </font>
    <font>
      <b/>
      <sz val="15"/>
      <color theme="3"/>
      <name val="Arial"/>
      <family val="2"/>
    </font>
    <font>
      <b/>
      <sz val="13"/>
      <color indexed="56"/>
      <name val="Calibri"/>
      <family val="2"/>
    </font>
    <font>
      <b/>
      <sz val="13"/>
      <color theme="3"/>
      <name val="Arial"/>
      <family val="2"/>
    </font>
    <font>
      <b/>
      <sz val="11"/>
      <color indexed="56"/>
      <name val="Calibri"/>
      <family val="2"/>
    </font>
    <font>
      <b/>
      <sz val="11"/>
      <color theme="3"/>
      <name val="Arial"/>
      <family val="2"/>
    </font>
    <font>
      <u/>
      <sz val="11"/>
      <color rgb="FF0066AA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62"/>
      <name val="Calibri"/>
      <family val="2"/>
    </font>
    <font>
      <sz val="12"/>
      <color rgb="FF3F3F76"/>
      <name val="Arial"/>
      <family val="2"/>
    </font>
    <font>
      <sz val="11"/>
      <color indexed="52"/>
      <name val="Calibri"/>
      <family val="2"/>
    </font>
    <font>
      <sz val="12"/>
      <color rgb="FFFA7D00"/>
      <name val="Arial"/>
      <family val="2"/>
    </font>
    <font>
      <sz val="11"/>
      <color indexed="60"/>
      <name val="Calibri"/>
      <family val="2"/>
    </font>
    <font>
      <sz val="12"/>
      <color rgb="FF9C6500"/>
      <name val="Arial"/>
      <family val="2"/>
    </font>
    <font>
      <sz val="12"/>
      <name val="Times New Roman"/>
      <family val="1"/>
    </font>
    <font>
      <sz val="10"/>
      <name val="Courier"/>
      <family val="3"/>
    </font>
    <font>
      <b/>
      <sz val="11"/>
      <color indexed="63"/>
      <name val="Calibri"/>
      <family val="2"/>
    </font>
    <font>
      <b/>
      <sz val="12"/>
      <color rgb="FF3F3F3F"/>
      <name val="Arial"/>
      <family val="2"/>
    </font>
    <font>
      <sz val="10"/>
      <color indexed="63"/>
      <name val="Verdana"/>
      <family val="2"/>
    </font>
    <font>
      <b/>
      <sz val="10"/>
      <color indexed="9"/>
      <name val="Verdana"/>
      <family val="2"/>
    </font>
    <font>
      <b/>
      <sz val="10"/>
      <color indexed="63"/>
      <name val="Verdana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2"/>
      <color theme="1"/>
      <name val="Arial"/>
      <family val="2"/>
    </font>
    <font>
      <sz val="11"/>
      <color indexed="10"/>
      <name val="Calibri"/>
      <family val="2"/>
    </font>
    <font>
      <sz val="12"/>
      <color rgb="FFFF000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b/>
      <sz val="14"/>
      <color theme="0" tint="-0.249977111117893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indexed="81"/>
      <name val="Calibri"/>
      <family val="2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name val="Calibri"/>
      <family val="2"/>
      <scheme val="minor"/>
    </font>
  </fonts>
  <fills count="7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3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indexed="64"/>
      </patternFill>
    </fill>
    <fill>
      <patternFill patternType="mediumGray">
        <bgColor theme="1" tint="0.499984740745262"/>
      </patternFill>
    </fill>
    <fill>
      <patternFill patternType="solid">
        <fgColor rgb="FFFFFFFF"/>
        <bgColor rgb="FF000000"/>
      </patternFill>
    </fill>
    <fill>
      <patternFill patternType="solid">
        <fgColor theme="8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39"/>
      </top>
      <bottom/>
      <diagonal/>
    </border>
    <border>
      <left style="medium">
        <color indexed="39"/>
      </left>
      <right/>
      <top style="medium">
        <color indexed="3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theme="4"/>
      </left>
      <right style="dotted">
        <color theme="4"/>
      </right>
      <top style="dotted">
        <color theme="4"/>
      </top>
      <bottom style="dotted">
        <color theme="4"/>
      </bottom>
      <diagonal/>
    </border>
  </borders>
  <cellStyleXfs count="468">
    <xf numFmtId="0" fontId="0" fillId="0" borderId="0"/>
    <xf numFmtId="0" fontId="6" fillId="0" borderId="0"/>
    <xf numFmtId="43" fontId="5" fillId="0" borderId="0" applyFont="0" applyFill="0" applyBorder="0" applyAlignment="0" applyProtection="0"/>
    <xf numFmtId="0" fontId="8" fillId="0" borderId="0"/>
    <xf numFmtId="0" fontId="3" fillId="0" borderId="0"/>
    <xf numFmtId="0" fontId="5" fillId="0" borderId="0"/>
    <xf numFmtId="0" fontId="15" fillId="6" borderId="0" applyNumberFormat="0" applyBorder="0" applyAlignment="0" applyProtection="0"/>
    <xf numFmtId="0" fontId="5" fillId="0" borderId="0"/>
    <xf numFmtId="0" fontId="29" fillId="0" borderId="0" applyNumberFormat="0" applyFill="0" applyBorder="0" applyAlignment="0" applyProtection="0">
      <alignment vertical="top"/>
      <protection locked="0"/>
    </xf>
    <xf numFmtId="22" fontId="5" fillId="0" borderId="0" applyFont="0" applyFill="0" applyBorder="0" applyAlignment="0" applyProtection="0">
      <alignment wrapText="1"/>
    </xf>
    <xf numFmtId="0" fontId="4" fillId="38" borderId="14" applyNumberFormat="0" applyProtection="0">
      <alignment horizontal="center" wrapText="1"/>
    </xf>
    <xf numFmtId="0" fontId="4" fillId="38" borderId="15" applyNumberFormat="0" applyAlignment="0" applyProtection="0">
      <alignment wrapText="1"/>
    </xf>
    <xf numFmtId="0" fontId="5" fillId="39" borderId="0" applyNumberFormat="0" applyBorder="0">
      <alignment horizontal="center" wrapText="1"/>
    </xf>
    <xf numFmtId="0" fontId="5" fillId="39" borderId="0" applyNumberFormat="0" applyBorder="0">
      <alignment wrapText="1"/>
    </xf>
    <xf numFmtId="0" fontId="5" fillId="0" borderId="0" applyNumberFormat="0" applyFill="0" applyBorder="0" applyProtection="0">
      <alignment horizontal="right" wrapText="1"/>
    </xf>
    <xf numFmtId="167" fontId="5" fillId="0" borderId="0" applyFill="0" applyBorder="0" applyAlignment="0" applyProtection="0">
      <alignment wrapText="1"/>
    </xf>
    <xf numFmtId="0" fontId="5" fillId="0" borderId="0" applyNumberFormat="0" applyFill="0" applyBorder="0" applyProtection="0">
      <alignment horizontal="right" wrapText="1"/>
    </xf>
    <xf numFmtId="168" fontId="5" fillId="0" borderId="0" applyFill="0" applyBorder="0" applyAlignment="0" applyProtection="0">
      <alignment wrapText="1"/>
    </xf>
    <xf numFmtId="0" fontId="5" fillId="0" borderId="0" applyNumberFormat="0" applyFill="0" applyBorder="0" applyProtection="0">
      <alignment horizontal="right" wrapText="1"/>
    </xf>
    <xf numFmtId="0" fontId="5" fillId="0" borderId="0" applyNumberFormat="0" applyFill="0" applyBorder="0">
      <alignment horizontal="right" wrapText="1"/>
    </xf>
    <xf numFmtId="17" fontId="5" fillId="0" borderId="0" applyFill="0" applyBorder="0">
      <alignment horizontal="right" wrapText="1"/>
    </xf>
    <xf numFmtId="8" fontId="5" fillId="0" borderId="0" applyFill="0" applyBorder="0" applyAlignment="0" applyProtection="0">
      <alignment wrapText="1"/>
    </xf>
    <xf numFmtId="0" fontId="30" fillId="0" borderId="0" applyNumberFormat="0" applyFill="0" applyBorder="0">
      <alignment horizontal="left" wrapText="1"/>
    </xf>
    <xf numFmtId="0" fontId="4" fillId="0" borderId="0" applyNumberFormat="0" applyFill="0" applyBorder="0">
      <alignment horizontal="center" wrapText="1"/>
    </xf>
    <xf numFmtId="0" fontId="4" fillId="0" borderId="0" applyNumberFormat="0" applyFill="0" applyBorder="0">
      <alignment horizontal="center" wrapText="1"/>
    </xf>
    <xf numFmtId="0" fontId="4" fillId="0" borderId="0" applyNumberFormat="0" applyFill="0" applyBorder="0">
      <alignment horizontal="center" wrapText="1"/>
    </xf>
    <xf numFmtId="0" fontId="31" fillId="0" borderId="0" applyNumberFormat="0">
      <alignment readingOrder="1"/>
      <protection locked="0"/>
    </xf>
    <xf numFmtId="0" fontId="31" fillId="0" borderId="0" applyNumberFormat="0">
      <alignment readingOrder="1"/>
      <protection locked="0"/>
    </xf>
    <xf numFmtId="0" fontId="31" fillId="0" borderId="0" applyNumberFormat="0">
      <alignment readingOrder="1"/>
      <protection locked="0"/>
    </xf>
    <xf numFmtId="0" fontId="31" fillId="0" borderId="0" applyNumberFormat="0">
      <alignment readingOrder="1"/>
      <protection locked="0"/>
    </xf>
    <xf numFmtId="0" fontId="32" fillId="0" borderId="0" applyNumberFormat="0">
      <alignment readingOrder="1"/>
      <protection locked="0"/>
    </xf>
    <xf numFmtId="0" fontId="31" fillId="0" borderId="0" applyNumberFormat="0">
      <alignment readingOrder="1"/>
      <protection locked="0"/>
    </xf>
    <xf numFmtId="169" fontId="31" fillId="0" borderId="0">
      <alignment readingOrder="1"/>
      <protection locked="0"/>
    </xf>
    <xf numFmtId="169" fontId="31" fillId="0" borderId="0">
      <alignment readingOrder="1"/>
      <protection locked="0"/>
    </xf>
    <xf numFmtId="0" fontId="31" fillId="0" borderId="0" applyNumberFormat="0">
      <alignment readingOrder="1"/>
      <protection locked="0"/>
    </xf>
    <xf numFmtId="0" fontId="31" fillId="0" borderId="0" applyNumberFormat="0">
      <alignment readingOrder="1"/>
      <protection locked="0"/>
    </xf>
    <xf numFmtId="4" fontId="31" fillId="0" borderId="0">
      <alignment readingOrder="1"/>
      <protection locked="0"/>
    </xf>
    <xf numFmtId="4" fontId="31" fillId="0" borderId="0">
      <alignment readingOrder="1"/>
      <protection locked="0"/>
    </xf>
    <xf numFmtId="0" fontId="31" fillId="0" borderId="0" applyNumberFormat="0">
      <alignment horizontal="center" readingOrder="1"/>
      <protection locked="0"/>
    </xf>
    <xf numFmtId="4" fontId="31" fillId="0" borderId="0">
      <alignment readingOrder="1"/>
      <protection locked="0"/>
    </xf>
    <xf numFmtId="0" fontId="33" fillId="40" borderId="0" applyNumberFormat="0" applyBorder="0" applyAlignment="0" applyProtection="0"/>
    <xf numFmtId="0" fontId="6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33" fillId="41" borderId="0" applyNumberFormat="0" applyBorder="0" applyAlignment="0" applyProtection="0"/>
    <xf numFmtId="0" fontId="6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33" fillId="42" borderId="0" applyNumberFormat="0" applyBorder="0" applyAlignment="0" applyProtection="0"/>
    <xf numFmtId="0" fontId="6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33" fillId="43" borderId="0" applyNumberFormat="0" applyBorder="0" applyAlignment="0" applyProtection="0"/>
    <xf numFmtId="0" fontId="6" fillId="25" borderId="0" applyNumberFormat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33" fillId="44" borderId="0" applyNumberFormat="0" applyBorder="0" applyAlignment="0" applyProtection="0"/>
    <xf numFmtId="0" fontId="6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33" fillId="45" borderId="0" applyNumberFormat="0" applyBorder="0" applyAlignment="0" applyProtection="0"/>
    <xf numFmtId="0" fontId="6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33" fillId="46" borderId="0" applyNumberFormat="0" applyBorder="0" applyAlignment="0" applyProtection="0"/>
    <xf numFmtId="0" fontId="6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33" fillId="47" borderId="0" applyNumberFormat="0" applyBorder="0" applyAlignment="0" applyProtection="0"/>
    <xf numFmtId="0" fontId="6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3" fillId="48" borderId="0" applyNumberFormat="0" applyBorder="0" applyAlignment="0" applyProtection="0"/>
    <xf numFmtId="0" fontId="6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33" fillId="43" borderId="0" applyNumberFormat="0" applyBorder="0" applyAlignment="0" applyProtection="0"/>
    <xf numFmtId="0" fontId="6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33" fillId="46" borderId="0" applyNumberFormat="0" applyBorder="0" applyAlignment="0" applyProtection="0"/>
    <xf numFmtId="0" fontId="6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3" fillId="49" borderId="0" applyNumberFormat="0" applyBorder="0" applyAlignment="0" applyProtection="0"/>
    <xf numFmtId="0" fontId="6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35" fillId="50" borderId="0" applyNumberFormat="0" applyBorder="0" applyAlignment="0" applyProtection="0"/>
    <xf numFmtId="0" fontId="24" fillId="15" borderId="0" applyNumberFormat="0" applyBorder="0" applyAlignment="0" applyProtection="0"/>
    <xf numFmtId="0" fontId="36" fillId="15" borderId="0" applyNumberFormat="0" applyBorder="0" applyAlignment="0" applyProtection="0"/>
    <xf numFmtId="0" fontId="36" fillId="15" borderId="0" applyNumberFormat="0" applyBorder="0" applyAlignment="0" applyProtection="0"/>
    <xf numFmtId="0" fontId="35" fillId="47" borderId="0" applyNumberFormat="0" applyBorder="0" applyAlignment="0" applyProtection="0"/>
    <xf numFmtId="0" fontId="24" fillId="19" borderId="0" applyNumberFormat="0" applyBorder="0" applyAlignment="0" applyProtection="0"/>
    <xf numFmtId="0" fontId="36" fillId="19" borderId="0" applyNumberFormat="0" applyBorder="0" applyAlignment="0" applyProtection="0"/>
    <xf numFmtId="0" fontId="36" fillId="19" borderId="0" applyNumberFormat="0" applyBorder="0" applyAlignment="0" applyProtection="0"/>
    <xf numFmtId="0" fontId="35" fillId="48" borderId="0" applyNumberFormat="0" applyBorder="0" applyAlignment="0" applyProtection="0"/>
    <xf numFmtId="0" fontId="24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5" fillId="51" borderId="0" applyNumberFormat="0" applyBorder="0" applyAlignment="0" applyProtection="0"/>
    <xf numFmtId="0" fontId="24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5" fillId="52" borderId="0" applyNumberFormat="0" applyBorder="0" applyAlignment="0" applyProtection="0"/>
    <xf numFmtId="0" fontId="24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5" fillId="53" borderId="0" applyNumberFormat="0" applyBorder="0" applyAlignment="0" applyProtection="0"/>
    <xf numFmtId="0" fontId="24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5" fillId="54" borderId="0" applyNumberFormat="0" applyBorder="0" applyAlignment="0" applyProtection="0"/>
    <xf numFmtId="0" fontId="24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5" fillId="55" borderId="0" applyNumberFormat="0" applyBorder="0" applyAlignment="0" applyProtection="0"/>
    <xf numFmtId="0" fontId="24" fillId="16" borderId="0" applyNumberFormat="0" applyBorder="0" applyAlignment="0" applyProtection="0"/>
    <xf numFmtId="0" fontId="36" fillId="16" borderId="0" applyNumberFormat="0" applyBorder="0" applyAlignment="0" applyProtection="0"/>
    <xf numFmtId="0" fontId="36" fillId="16" borderId="0" applyNumberFormat="0" applyBorder="0" applyAlignment="0" applyProtection="0"/>
    <xf numFmtId="0" fontId="35" fillId="56" borderId="0" applyNumberFormat="0" applyBorder="0" applyAlignment="0" applyProtection="0"/>
    <xf numFmtId="0" fontId="24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5" fillId="51" borderId="0" applyNumberFormat="0" applyBorder="0" applyAlignment="0" applyProtection="0"/>
    <xf numFmtId="0" fontId="24" fillId="24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35" fillId="52" borderId="0" applyNumberFormat="0" applyBorder="0" applyAlignment="0" applyProtection="0"/>
    <xf numFmtId="0" fontId="24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5" fillId="57" borderId="0" applyNumberFormat="0" applyBorder="0" applyAlignment="0" applyProtection="0"/>
    <xf numFmtId="0" fontId="24" fillId="32" borderId="0" applyNumberFormat="0" applyBorder="0" applyAlignment="0" applyProtection="0"/>
    <xf numFmtId="0" fontId="36" fillId="32" borderId="0" applyNumberFormat="0" applyBorder="0" applyAlignment="0" applyProtection="0"/>
    <xf numFmtId="0" fontId="36" fillId="32" borderId="0" applyNumberFormat="0" applyBorder="0" applyAlignment="0" applyProtection="0"/>
    <xf numFmtId="0" fontId="37" fillId="41" borderId="0" applyNumberFormat="0" applyBorder="0" applyAlignment="0" applyProtection="0"/>
    <xf numFmtId="0" fontId="15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9" fillId="58" borderId="16" applyNumberFormat="0" applyAlignment="0" applyProtection="0"/>
    <xf numFmtId="0" fontId="19" fillId="9" borderId="8" applyNumberFormat="0" applyAlignment="0" applyProtection="0"/>
    <xf numFmtId="0" fontId="39" fillId="58" borderId="16" applyNumberFormat="0" applyAlignment="0" applyProtection="0"/>
    <xf numFmtId="0" fontId="40" fillId="9" borderId="8" applyNumberFormat="0" applyAlignment="0" applyProtection="0"/>
    <xf numFmtId="0" fontId="40" fillId="9" borderId="8" applyNumberFormat="0" applyAlignment="0" applyProtection="0"/>
    <xf numFmtId="0" fontId="41" fillId="59" borderId="17" applyNumberFormat="0" applyAlignment="0" applyProtection="0"/>
    <xf numFmtId="0" fontId="21" fillId="10" borderId="11" applyNumberFormat="0" applyAlignment="0" applyProtection="0"/>
    <xf numFmtId="0" fontId="42" fillId="10" borderId="11" applyNumberFormat="0" applyAlignment="0" applyProtection="0"/>
    <xf numFmtId="0" fontId="42" fillId="10" borderId="11" applyNumberFormat="0" applyAlignment="0" applyProtection="0"/>
    <xf numFmtId="38" fontId="43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0" fontId="43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4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3" fontId="5" fillId="0" borderId="0" applyFill="0" applyBorder="0" applyAlignment="0" applyProtection="0"/>
    <xf numFmtId="44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5" fontId="5" fillId="0" borderId="0" applyFill="0" applyBorder="0" applyAlignment="0" applyProtection="0"/>
    <xf numFmtId="171" fontId="5" fillId="0" borderId="0" applyFill="0" applyBorder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2" fontId="5" fillId="0" borderId="0" applyFill="0" applyBorder="0" applyAlignment="0" applyProtection="0"/>
    <xf numFmtId="0" fontId="50" fillId="0" borderId="0" applyNumberFormat="0" applyFill="0" applyBorder="0" applyAlignment="0" applyProtection="0"/>
    <xf numFmtId="0" fontId="51" fillId="42" borderId="0" applyNumberFormat="0" applyBorder="0" applyAlignment="0" applyProtection="0"/>
    <xf numFmtId="0" fontId="14" fillId="5" borderId="0" applyNumberFormat="0" applyBorder="0" applyAlignment="0" applyProtection="0"/>
    <xf numFmtId="0" fontId="52" fillId="5" borderId="0" applyNumberFormat="0" applyBorder="0" applyAlignment="0" applyProtection="0"/>
    <xf numFmtId="0" fontId="52" fillId="5" borderId="0" applyNumberFormat="0" applyBorder="0" applyAlignment="0" applyProtection="0"/>
    <xf numFmtId="0" fontId="53" fillId="0" borderId="18" applyNumberFormat="0" applyFill="0" applyAlignment="0" applyProtection="0"/>
    <xf numFmtId="0" fontId="11" fillId="0" borderId="5" applyNumberFormat="0" applyFill="0" applyAlignment="0" applyProtection="0"/>
    <xf numFmtId="0" fontId="54" fillId="0" borderId="5" applyNumberFormat="0" applyFill="0" applyAlignment="0" applyProtection="0"/>
    <xf numFmtId="0" fontId="54" fillId="0" borderId="5" applyNumberFormat="0" applyFill="0" applyAlignment="0" applyProtection="0"/>
    <xf numFmtId="0" fontId="55" fillId="0" borderId="19" applyNumberFormat="0" applyFill="0" applyAlignment="0" applyProtection="0"/>
    <xf numFmtId="0" fontId="12" fillId="0" borderId="6" applyNumberFormat="0" applyFill="0" applyAlignment="0" applyProtection="0"/>
    <xf numFmtId="0" fontId="56" fillId="0" borderId="6" applyNumberFormat="0" applyFill="0" applyAlignment="0" applyProtection="0"/>
    <xf numFmtId="0" fontId="56" fillId="0" borderId="6" applyNumberFormat="0" applyFill="0" applyAlignment="0" applyProtection="0"/>
    <xf numFmtId="0" fontId="57" fillId="0" borderId="20" applyNumberFormat="0" applyFill="0" applyAlignment="0" applyProtection="0"/>
    <xf numFmtId="0" fontId="13" fillId="0" borderId="7" applyNumberFormat="0" applyFill="0" applyAlignment="0" applyProtection="0"/>
    <xf numFmtId="0" fontId="58" fillId="0" borderId="7" applyNumberFormat="0" applyFill="0" applyAlignment="0" applyProtection="0"/>
    <xf numFmtId="0" fontId="58" fillId="0" borderId="7" applyNumberFormat="0" applyFill="0" applyAlignment="0" applyProtection="0"/>
    <xf numFmtId="0" fontId="5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1" fillId="45" borderId="16" applyNumberFormat="0" applyAlignment="0" applyProtection="0"/>
    <xf numFmtId="0" fontId="17" fillId="8" borderId="8" applyNumberFormat="0" applyAlignment="0" applyProtection="0"/>
    <xf numFmtId="0" fontId="61" fillId="45" borderId="16" applyNumberFormat="0" applyAlignment="0" applyProtection="0"/>
    <xf numFmtId="0" fontId="62" fillId="8" borderId="8" applyNumberFormat="0" applyAlignment="0" applyProtection="0"/>
    <xf numFmtId="0" fontId="62" fillId="8" borderId="8" applyNumberFormat="0" applyAlignment="0" applyProtection="0"/>
    <xf numFmtId="0" fontId="63" fillId="0" borderId="21" applyNumberFormat="0" applyFill="0" applyAlignment="0" applyProtection="0"/>
    <xf numFmtId="0" fontId="20" fillId="0" borderId="10" applyNumberFormat="0" applyFill="0" applyAlignment="0" applyProtection="0"/>
    <xf numFmtId="0" fontId="64" fillId="0" borderId="10" applyNumberFormat="0" applyFill="0" applyAlignment="0" applyProtection="0"/>
    <xf numFmtId="0" fontId="64" fillId="0" borderId="10" applyNumberFormat="0" applyFill="0" applyAlignment="0" applyProtection="0"/>
    <xf numFmtId="0" fontId="65" fillId="60" borderId="0" applyNumberFormat="0" applyBorder="0" applyAlignment="0" applyProtection="0"/>
    <xf numFmtId="0" fontId="16" fillId="7" borderId="0" applyNumberFormat="0" applyBorder="0" applyAlignment="0" applyProtection="0"/>
    <xf numFmtId="0" fontId="66" fillId="7" borderId="0" applyNumberFormat="0" applyBorder="0" applyAlignment="0" applyProtection="0"/>
    <xf numFmtId="0" fontId="66" fillId="7" borderId="0" applyNumberFormat="0" applyBorder="0" applyAlignment="0" applyProtection="0"/>
    <xf numFmtId="0" fontId="6" fillId="0" borderId="0"/>
    <xf numFmtId="0" fontId="4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5" fillId="0" borderId="0"/>
    <xf numFmtId="0" fontId="5" fillId="0" borderId="0"/>
    <xf numFmtId="0" fontId="44" fillId="0" borderId="0"/>
    <xf numFmtId="0" fontId="45" fillId="0" borderId="0"/>
    <xf numFmtId="0" fontId="44" fillId="0" borderId="0"/>
    <xf numFmtId="0" fontId="3" fillId="0" borderId="0"/>
    <xf numFmtId="0" fontId="44" fillId="0" borderId="0"/>
    <xf numFmtId="166" fontId="67" fillId="0" borderId="0"/>
    <xf numFmtId="0" fontId="4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6" fontId="67" fillId="0" borderId="0"/>
    <xf numFmtId="0" fontId="46" fillId="0" borderId="0" applyNumberFormat="0" applyFont="0">
      <alignment readingOrder="1"/>
      <protection locked="0"/>
    </xf>
    <xf numFmtId="0" fontId="6" fillId="0" borderId="0"/>
    <xf numFmtId="0" fontId="44" fillId="0" borderId="0"/>
    <xf numFmtId="0" fontId="34" fillId="0" borderId="0"/>
    <xf numFmtId="0" fontId="45" fillId="0" borderId="0"/>
    <xf numFmtId="172" fontId="68" fillId="0" borderId="0"/>
    <xf numFmtId="0" fontId="6" fillId="0" borderId="0"/>
    <xf numFmtId="0" fontId="5" fillId="0" borderId="0"/>
    <xf numFmtId="0" fontId="34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47" fillId="0" borderId="0"/>
    <xf numFmtId="0" fontId="47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7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47" fillId="61" borderId="22" applyNumberFormat="0" applyFont="0" applyAlignment="0" applyProtection="0"/>
    <xf numFmtId="0" fontId="33" fillId="61" borderId="22" applyNumberFormat="0" applyFont="0" applyAlignment="0" applyProtection="0"/>
    <xf numFmtId="0" fontId="6" fillId="11" borderId="12" applyNumberFormat="0" applyFont="0" applyAlignment="0" applyProtection="0"/>
    <xf numFmtId="0" fontId="33" fillId="61" borderId="22" applyNumberFormat="0" applyFont="0" applyAlignment="0" applyProtection="0"/>
    <xf numFmtId="0" fontId="34" fillId="11" borderId="12" applyNumberFormat="0" applyFont="0" applyAlignment="0" applyProtection="0"/>
    <xf numFmtId="0" fontId="47" fillId="61" borderId="22" applyNumberFormat="0" applyFont="0" applyAlignment="0" applyProtection="0"/>
    <xf numFmtId="0" fontId="34" fillId="11" borderId="12" applyNumberFormat="0" applyFont="0" applyAlignment="0" applyProtection="0"/>
    <xf numFmtId="0" fontId="6" fillId="11" borderId="12" applyNumberFormat="0" applyFont="0" applyAlignment="0" applyProtection="0"/>
    <xf numFmtId="0" fontId="6" fillId="11" borderId="12" applyNumberFormat="0" applyFont="0" applyAlignment="0" applyProtection="0"/>
    <xf numFmtId="0" fontId="6" fillId="11" borderId="12" applyNumberFormat="0" applyFont="0" applyAlignment="0" applyProtection="0"/>
    <xf numFmtId="0" fontId="6" fillId="11" borderId="12" applyNumberFormat="0" applyFont="0" applyAlignment="0" applyProtection="0"/>
    <xf numFmtId="0" fontId="6" fillId="11" borderId="12" applyNumberFormat="0" applyFont="0" applyAlignment="0" applyProtection="0"/>
    <xf numFmtId="0" fontId="6" fillId="11" borderId="12" applyNumberFormat="0" applyFont="0" applyAlignment="0" applyProtection="0"/>
    <xf numFmtId="0" fontId="6" fillId="11" borderId="12" applyNumberFormat="0" applyFont="0" applyAlignment="0" applyProtection="0"/>
    <xf numFmtId="0" fontId="6" fillId="11" borderId="12" applyNumberFormat="0" applyFont="0" applyAlignment="0" applyProtection="0"/>
    <xf numFmtId="0" fontId="69" fillId="58" borderId="23" applyNumberFormat="0" applyAlignment="0" applyProtection="0"/>
    <xf numFmtId="0" fontId="18" fillId="9" borderId="9" applyNumberFormat="0" applyAlignment="0" applyProtection="0"/>
    <xf numFmtId="0" fontId="69" fillId="58" borderId="23" applyNumberFormat="0" applyAlignment="0" applyProtection="0"/>
    <xf numFmtId="0" fontId="70" fillId="9" borderId="9" applyNumberFormat="0" applyAlignment="0" applyProtection="0"/>
    <xf numFmtId="0" fontId="70" fillId="9" borderId="9" applyNumberFormat="0" applyAlignment="0" applyProtection="0"/>
    <xf numFmtId="9" fontId="4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71" fillId="62" borderId="24" applyNumberFormat="0" applyAlignment="0" applyProtection="0"/>
    <xf numFmtId="0" fontId="71" fillId="62" borderId="24" applyNumberFormat="0" applyAlignment="0" applyProtection="0"/>
    <xf numFmtId="0" fontId="71" fillId="62" borderId="24" applyNumberFormat="0" applyAlignment="0" applyProtection="0"/>
    <xf numFmtId="2" fontId="71" fillId="63" borderId="24" applyProtection="0">
      <alignment horizontal="right"/>
    </xf>
    <xf numFmtId="2" fontId="71" fillId="63" borderId="24" applyProtection="0">
      <alignment horizontal="right"/>
    </xf>
    <xf numFmtId="165" fontId="31" fillId="64" borderId="24" applyProtection="0">
      <alignment horizontal="right"/>
    </xf>
    <xf numFmtId="165" fontId="31" fillId="64" borderId="24" applyProtection="0">
      <alignment horizontal="right"/>
    </xf>
    <xf numFmtId="165" fontId="31" fillId="64" borderId="24" applyProtection="0">
      <alignment horizontal="right"/>
    </xf>
    <xf numFmtId="2" fontId="31" fillId="64" borderId="24" applyProtection="0">
      <alignment horizontal="right"/>
    </xf>
    <xf numFmtId="2" fontId="31" fillId="64" borderId="24" applyProtection="0">
      <alignment horizontal="right"/>
    </xf>
    <xf numFmtId="2" fontId="31" fillId="64" borderId="24" applyProtection="0">
      <alignment horizontal="right"/>
    </xf>
    <xf numFmtId="14" fontId="72" fillId="65" borderId="24" applyProtection="0">
      <alignment horizontal="right"/>
    </xf>
    <xf numFmtId="14" fontId="72" fillId="65" borderId="24" applyProtection="0">
      <alignment horizontal="right"/>
    </xf>
    <xf numFmtId="14" fontId="72" fillId="65" borderId="24" applyProtection="0">
      <alignment horizontal="left"/>
    </xf>
    <xf numFmtId="14" fontId="72" fillId="65" borderId="24" applyProtection="0">
      <alignment horizontal="left"/>
    </xf>
    <xf numFmtId="0" fontId="73" fillId="62" borderId="24" applyNumberFormat="0" applyProtection="0">
      <alignment horizontal="left"/>
    </xf>
    <xf numFmtId="0" fontId="73" fillId="62" borderId="24" applyNumberFormat="0" applyProtection="0">
      <alignment horizontal="left"/>
    </xf>
    <xf numFmtId="0" fontId="7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75" fillId="0" borderId="25" applyNumberFormat="0" applyFill="0" applyAlignment="0" applyProtection="0"/>
    <xf numFmtId="0" fontId="2" fillId="0" borderId="13" applyNumberFormat="0" applyFill="0" applyAlignment="0" applyProtection="0"/>
    <xf numFmtId="0" fontId="75" fillId="0" borderId="25" applyNumberFormat="0" applyFill="0" applyAlignment="0" applyProtection="0"/>
    <xf numFmtId="0" fontId="76" fillId="0" borderId="13" applyNumberFormat="0" applyFill="0" applyAlignment="0" applyProtection="0"/>
    <xf numFmtId="0" fontId="76" fillId="0" borderId="13" applyNumberFormat="0" applyFill="0" applyAlignment="0" applyProtection="0"/>
    <xf numFmtId="0" fontId="7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0" borderId="0"/>
    <xf numFmtId="43" fontId="79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96" fillId="0" borderId="0"/>
    <xf numFmtId="9" fontId="6" fillId="0" borderId="0" applyFont="0" applyFill="0" applyBorder="0" applyAlignment="0" applyProtection="0"/>
    <xf numFmtId="9" fontId="96" fillId="0" borderId="0" applyFill="0" applyBorder="0" applyAlignment="0" applyProtection="0"/>
    <xf numFmtId="9" fontId="102" fillId="75" borderId="63" applyNumberFormat="0" applyAlignment="0"/>
    <xf numFmtId="0" fontId="76" fillId="0" borderId="13" applyNumberFormat="0" applyFill="0" applyAlignment="0" applyProtection="0"/>
  </cellStyleXfs>
  <cellXfs count="476">
    <xf numFmtId="0" fontId="0" fillId="0" borderId="0" xfId="0"/>
    <xf numFmtId="0" fontId="2" fillId="0" borderId="1" xfId="0" applyFont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0" xfId="0" applyFont="1" applyBorder="1"/>
    <xf numFmtId="0" fontId="3" fillId="0" borderId="0" xfId="0" applyFont="1"/>
    <xf numFmtId="0" fontId="0" fillId="0" borderId="0" xfId="0" applyBorder="1"/>
    <xf numFmtId="0" fontId="0" fillId="0" borderId="0" xfId="0" applyFill="1"/>
    <xf numFmtId="0" fontId="2" fillId="0" borderId="0" xfId="0" applyFont="1"/>
    <xf numFmtId="3" fontId="0" fillId="4" borderId="1" xfId="0" applyNumberFormat="1" applyFont="1" applyFill="1" applyBorder="1"/>
    <xf numFmtId="0" fontId="2" fillId="4" borderId="1" xfId="0" applyFont="1" applyFill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4" borderId="0" xfId="0" applyFill="1"/>
    <xf numFmtId="0" fontId="2" fillId="2" borderId="1" xfId="0" applyFont="1" applyFill="1" applyBorder="1"/>
    <xf numFmtId="2" fontId="2" fillId="0" borderId="0" xfId="0" applyNumberFormat="1" applyFont="1" applyFill="1" applyBorder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/>
    <xf numFmtId="0" fontId="2" fillId="0" borderId="1" xfId="0" applyFont="1" applyFill="1" applyBorder="1" applyAlignment="1"/>
    <xf numFmtId="0" fontId="2" fillId="4" borderId="1" xfId="0" applyFont="1" applyFill="1" applyBorder="1" applyAlignment="1">
      <alignment horizontal="right"/>
    </xf>
    <xf numFmtId="0" fontId="2" fillId="4" borderId="1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1" xfId="0" applyBorder="1" applyAlignment="1">
      <alignment horizontal="right"/>
    </xf>
    <xf numFmtId="15" fontId="26" fillId="0" borderId="0" xfId="0" applyNumberFormat="1" applyFont="1" applyAlignment="1">
      <alignment horizontal="center" vertical="center"/>
    </xf>
    <xf numFmtId="0" fontId="0" fillId="0" borderId="1" xfId="0" applyFill="1" applyBorder="1"/>
    <xf numFmtId="0" fontId="0" fillId="0" borderId="1" xfId="0" applyBorder="1" applyAlignment="1">
      <alignment horizontal="left"/>
    </xf>
    <xf numFmtId="10" fontId="3" fillId="0" borderId="1" xfId="0" applyNumberFormat="1" applyFont="1" applyFill="1" applyBorder="1"/>
    <xf numFmtId="164" fontId="0" fillId="0" borderId="1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2" fontId="0" fillId="4" borderId="1" xfId="0" applyNumberFormat="1" applyFont="1" applyFill="1" applyBorder="1"/>
    <xf numFmtId="10" fontId="0" fillId="4" borderId="1" xfId="0" applyNumberFormat="1" applyFont="1" applyFill="1" applyBorder="1"/>
    <xf numFmtId="0" fontId="27" fillId="0" borderId="1" xfId="0" applyFont="1" applyBorder="1" applyAlignment="1">
      <alignment horizontal="center" vertical="center"/>
    </xf>
    <xf numFmtId="3" fontId="0" fillId="66" borderId="1" xfId="0" applyNumberFormat="1" applyFont="1" applyFill="1" applyBorder="1"/>
    <xf numFmtId="2" fontId="0" fillId="66" borderId="1" xfId="0" applyNumberFormat="1" applyFont="1" applyFill="1" applyBorder="1"/>
    <xf numFmtId="2" fontId="0" fillId="66" borderId="1" xfId="0" applyNumberFormat="1" applyFont="1" applyFill="1" applyBorder="1" applyAlignment="1">
      <alignment horizontal="center"/>
    </xf>
    <xf numFmtId="3" fontId="7" fillId="66" borderId="1" xfId="0" applyNumberFormat="1" applyFont="1" applyFill="1" applyBorder="1"/>
    <xf numFmtId="3" fontId="0" fillId="36" borderId="1" xfId="0" applyNumberFormat="1" applyFont="1" applyFill="1" applyBorder="1"/>
    <xf numFmtId="1" fontId="0" fillId="36" borderId="1" xfId="0" applyNumberFormat="1" applyFont="1" applyFill="1" applyBorder="1"/>
    <xf numFmtId="3" fontId="7" fillId="36" borderId="1" xfId="0" applyNumberFormat="1" applyFont="1" applyFill="1" applyBorder="1"/>
    <xf numFmtId="3" fontId="9" fillId="67" borderId="1" xfId="0" applyNumberFormat="1" applyFont="1" applyFill="1" applyBorder="1"/>
    <xf numFmtId="2" fontId="0" fillId="36" borderId="1" xfId="0" applyNumberFormat="1" applyFont="1" applyFill="1" applyBorder="1"/>
    <xf numFmtId="2" fontId="0" fillId="36" borderId="1" xfId="0" applyNumberFormat="1" applyFont="1" applyFill="1" applyBorder="1" applyAlignment="1">
      <alignment horizontal="right"/>
    </xf>
    <xf numFmtId="1" fontId="0" fillId="66" borderId="1" xfId="0" applyNumberFormat="1" applyFont="1" applyFill="1" applyBorder="1" applyAlignment="1">
      <alignment horizontal="center"/>
    </xf>
    <xf numFmtId="2" fontId="0" fillId="3" borderId="1" xfId="0" applyNumberFormat="1" applyFont="1" applyFill="1" applyBorder="1"/>
    <xf numFmtId="10" fontId="0" fillId="3" borderId="1" xfId="0" applyNumberFormat="1" applyFont="1" applyFill="1" applyBorder="1"/>
    <xf numFmtId="2" fontId="15" fillId="6" borderId="1" xfId="6" applyNumberFormat="1" applyBorder="1"/>
    <xf numFmtId="3" fontId="15" fillId="6" borderId="1" xfId="6" applyNumberFormat="1" applyBorder="1" applyAlignment="1">
      <alignment horizontal="right"/>
    </xf>
    <xf numFmtId="3" fontId="15" fillId="6" borderId="1" xfId="6" applyNumberFormat="1" applyBorder="1"/>
    <xf numFmtId="165" fontId="15" fillId="6" borderId="1" xfId="6" applyNumberFormat="1" applyBorder="1"/>
    <xf numFmtId="1" fontId="15" fillId="6" borderId="1" xfId="6" applyNumberFormat="1" applyBorder="1"/>
    <xf numFmtId="10" fontId="15" fillId="6" borderId="1" xfId="6" applyNumberFormat="1" applyBorder="1"/>
    <xf numFmtId="1" fontId="0" fillId="37" borderId="1" xfId="0" applyNumberFormat="1" applyFont="1" applyFill="1" applyBorder="1" applyAlignment="1">
      <alignment horizontal="center"/>
    </xf>
    <xf numFmtId="1" fontId="15" fillId="6" borderId="1" xfId="6" applyNumberFormat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2" fontId="15" fillId="6" borderId="1" xfId="6" applyNumberFormat="1" applyBorder="1" applyAlignment="1">
      <alignment horizontal="right"/>
    </xf>
    <xf numFmtId="0" fontId="2" fillId="36" borderId="0" xfId="0" applyFont="1" applyFill="1"/>
    <xf numFmtId="0" fontId="2" fillId="3" borderId="0" xfId="0" applyFont="1" applyFill="1"/>
    <xf numFmtId="0" fontId="2" fillId="37" borderId="0" xfId="0" applyFont="1" applyFill="1"/>
    <xf numFmtId="0" fontId="2" fillId="68" borderId="0" xfId="0" applyFont="1" applyFill="1"/>
    <xf numFmtId="0" fontId="81" fillId="6" borderId="0" xfId="6" applyFont="1"/>
    <xf numFmtId="2" fontId="2" fillId="3" borderId="1" xfId="0" applyNumberFormat="1" applyFont="1" applyFill="1" applyBorder="1" applyAlignment="1"/>
    <xf numFmtId="1" fontId="2" fillId="3" borderId="1" xfId="0" applyNumberFormat="1" applyFont="1" applyFill="1" applyBorder="1" applyAlignment="1"/>
    <xf numFmtId="3" fontId="2" fillId="3" borderId="1" xfId="0" applyNumberFormat="1" applyFont="1" applyFill="1" applyBorder="1" applyAlignment="1"/>
    <xf numFmtId="4" fontId="2" fillId="3" borderId="1" xfId="0" applyNumberFormat="1" applyFont="1" applyFill="1" applyBorder="1" applyAlignment="1"/>
    <xf numFmtId="0" fontId="2" fillId="69" borderId="0" xfId="0" applyFont="1" applyFill="1"/>
    <xf numFmtId="1" fontId="0" fillId="66" borderId="1" xfId="0" applyNumberFormat="1" applyFont="1" applyFill="1" applyBorder="1"/>
    <xf numFmtId="3" fontId="82" fillId="36" borderId="1" xfId="6" applyNumberFormat="1" applyFont="1" applyFill="1" applyBorder="1" applyAlignment="1">
      <alignment horizontal="right"/>
    </xf>
    <xf numFmtId="3" fontId="82" fillId="36" borderId="1" xfId="6" applyNumberFormat="1" applyFont="1" applyFill="1" applyBorder="1"/>
    <xf numFmtId="3" fontId="15" fillId="66" borderId="1" xfId="6" applyNumberFormat="1" applyFill="1" applyBorder="1"/>
    <xf numFmtId="166" fontId="15" fillId="6" borderId="1" xfId="6" applyNumberFormat="1" applyBorder="1"/>
    <xf numFmtId="0" fontId="81" fillId="0" borderId="0" xfId="6" applyFont="1" applyFill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/>
    <xf numFmtId="2" fontId="2" fillId="0" borderId="4" xfId="0" applyNumberFormat="1" applyFont="1" applyBorder="1" applyAlignment="1"/>
    <xf numFmtId="0" fontId="2" fillId="0" borderId="4" xfId="0" applyFont="1" applyFill="1" applyBorder="1" applyAlignment="1"/>
    <xf numFmtId="0" fontId="2" fillId="0" borderId="4" xfId="0" applyFont="1" applyBorder="1" applyAlignment="1">
      <alignment horizontal="right"/>
    </xf>
    <xf numFmtId="0" fontId="2" fillId="0" borderId="4" xfId="0" applyFont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2" fillId="0" borderId="4" xfId="0" applyFont="1" applyBorder="1"/>
    <xf numFmtId="0" fontId="2" fillId="0" borderId="4" xfId="0" applyFont="1" applyFill="1" applyBorder="1"/>
    <xf numFmtId="0" fontId="2" fillId="4" borderId="4" xfId="0" applyFont="1" applyFill="1" applyBorder="1"/>
    <xf numFmtId="0" fontId="2" fillId="0" borderId="4" xfId="0" applyFont="1" applyFill="1" applyBorder="1" applyAlignment="1">
      <alignment horizontal="left"/>
    </xf>
    <xf numFmtId="0" fontId="0" fillId="0" borderId="4" xfId="0" applyBorder="1"/>
    <xf numFmtId="1" fontId="82" fillId="36" borderId="1" xfId="6" applyNumberFormat="1" applyFont="1" applyFill="1" applyBorder="1"/>
    <xf numFmtId="3" fontId="80" fillId="36" borderId="1" xfId="0" applyNumberFormat="1" applyFont="1" applyFill="1" applyBorder="1"/>
    <xf numFmtId="2" fontId="82" fillId="36" borderId="1" xfId="6" applyNumberFormat="1" applyFont="1" applyFill="1" applyBorder="1" applyAlignment="1">
      <alignment horizontal="right"/>
    </xf>
    <xf numFmtId="1" fontId="0" fillId="36" borderId="1" xfId="0" applyNumberFormat="1" applyFont="1" applyFill="1" applyBorder="1" applyAlignment="1">
      <alignment horizontal="center"/>
    </xf>
    <xf numFmtId="1" fontId="82" fillId="36" borderId="1" xfId="0" applyNumberFormat="1" applyFont="1" applyFill="1" applyBorder="1" applyAlignment="1">
      <alignment horizontal="center"/>
    </xf>
    <xf numFmtId="9" fontId="82" fillId="36" borderId="1" xfId="0" applyNumberFormat="1" applyFont="1" applyFill="1" applyBorder="1" applyAlignment="1">
      <alignment horizontal="center"/>
    </xf>
    <xf numFmtId="3" fontId="82" fillId="66" borderId="1" xfId="6" applyNumberFormat="1" applyFont="1" applyFill="1" applyBorder="1"/>
    <xf numFmtId="2" fontId="82" fillId="36" borderId="1" xfId="6" applyNumberFormat="1" applyFont="1" applyFill="1" applyBorder="1"/>
    <xf numFmtId="0" fontId="25" fillId="0" borderId="1" xfId="0" applyFont="1" applyBorder="1" applyAlignment="1">
      <alignment horizontal="center" vertical="center"/>
    </xf>
    <xf numFmtId="2" fontId="0" fillId="36" borderId="1" xfId="0" applyNumberFormat="1" applyFont="1" applyFill="1" applyBorder="1" applyAlignment="1"/>
    <xf numFmtId="9" fontId="3" fillId="0" borderId="1" xfId="389" applyFont="1" applyFill="1" applyBorder="1"/>
    <xf numFmtId="0" fontId="27" fillId="0" borderId="0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" fillId="4" borderId="0" xfId="0" applyFont="1" applyFill="1"/>
    <xf numFmtId="9" fontId="0" fillId="4" borderId="0" xfId="389" applyFont="1" applyFill="1"/>
    <xf numFmtId="0" fontId="0" fillId="4" borderId="34" xfId="0" applyFill="1" applyBorder="1"/>
    <xf numFmtId="0" fontId="0" fillId="4" borderId="0" xfId="0" applyFill="1" applyBorder="1"/>
    <xf numFmtId="0" fontId="0" fillId="4" borderId="35" xfId="0" applyFill="1" applyBorder="1"/>
    <xf numFmtId="0" fontId="0" fillId="4" borderId="36" xfId="0" applyFill="1" applyBorder="1"/>
    <xf numFmtId="0" fontId="0" fillId="4" borderId="37" xfId="0" applyFill="1" applyBorder="1"/>
    <xf numFmtId="0" fontId="0" fillId="4" borderId="38" xfId="0" applyFill="1" applyBorder="1"/>
    <xf numFmtId="0" fontId="2" fillId="4" borderId="29" xfId="0" applyFont="1" applyFill="1" applyBorder="1"/>
    <xf numFmtId="0" fontId="0" fillId="4" borderId="39" xfId="0" applyFill="1" applyBorder="1"/>
    <xf numFmtId="0" fontId="0" fillId="4" borderId="30" xfId="0" applyFill="1" applyBorder="1"/>
    <xf numFmtId="0" fontId="0" fillId="4" borderId="27" xfId="0" applyFill="1" applyBorder="1"/>
    <xf numFmtId="0" fontId="2" fillId="4" borderId="31" xfId="0" applyFont="1" applyFill="1" applyBorder="1"/>
    <xf numFmtId="9" fontId="0" fillId="4" borderId="0" xfId="389" applyFont="1" applyFill="1" applyBorder="1"/>
    <xf numFmtId="9" fontId="0" fillId="4" borderId="35" xfId="389" applyFont="1" applyFill="1" applyBorder="1"/>
    <xf numFmtId="9" fontId="0" fillId="4" borderId="37" xfId="389" applyFont="1" applyFill="1" applyBorder="1"/>
    <xf numFmtId="9" fontId="0" fillId="4" borderId="38" xfId="389" applyFont="1" applyFill="1" applyBorder="1"/>
    <xf numFmtId="9" fontId="0" fillId="4" borderId="34" xfId="389" applyFont="1" applyFill="1" applyBorder="1"/>
    <xf numFmtId="9" fontId="0" fillId="4" borderId="36" xfId="389" applyFont="1" applyFill="1" applyBorder="1"/>
    <xf numFmtId="0" fontId="0" fillId="4" borderId="40" xfId="0" applyFill="1" applyBorder="1"/>
    <xf numFmtId="0" fontId="0" fillId="4" borderId="41" xfId="0" applyFill="1" applyBorder="1"/>
    <xf numFmtId="0" fontId="0" fillId="4" borderId="42" xfId="0" applyFill="1" applyBorder="1"/>
    <xf numFmtId="9" fontId="2" fillId="4" borderId="29" xfId="389" applyFont="1" applyFill="1" applyBorder="1"/>
    <xf numFmtId="9" fontId="0" fillId="4" borderId="30" xfId="389" applyFont="1" applyFill="1" applyBorder="1"/>
    <xf numFmtId="9" fontId="0" fillId="4" borderId="41" xfId="389" applyFont="1" applyFill="1" applyBorder="1"/>
    <xf numFmtId="9" fontId="0" fillId="3" borderId="31" xfId="389" applyFont="1" applyFill="1" applyBorder="1"/>
    <xf numFmtId="0" fontId="25" fillId="0" borderId="1" xfId="0" applyFont="1" applyBorder="1" applyAlignment="1">
      <alignment horizontal="center" vertical="center"/>
    </xf>
    <xf numFmtId="0" fontId="84" fillId="4" borderId="0" xfId="0" applyFont="1" applyFill="1"/>
    <xf numFmtId="0" fontId="85" fillId="4" borderId="0" xfId="0" applyFont="1" applyFill="1"/>
    <xf numFmtId="0" fontId="2" fillId="4" borderId="43" xfId="0" applyFont="1" applyFill="1" applyBorder="1"/>
    <xf numFmtId="0" fontId="2" fillId="4" borderId="44" xfId="0" applyFont="1" applyFill="1" applyBorder="1"/>
    <xf numFmtId="0" fontId="2" fillId="4" borderId="45" xfId="0" applyFont="1" applyFill="1" applyBorder="1"/>
    <xf numFmtId="0" fontId="0" fillId="4" borderId="46" xfId="0" applyFill="1" applyBorder="1"/>
    <xf numFmtId="0" fontId="0" fillId="4" borderId="47" xfId="0" applyFill="1" applyBorder="1"/>
    <xf numFmtId="0" fontId="0" fillId="4" borderId="48" xfId="0" applyFill="1" applyBorder="1"/>
    <xf numFmtId="0" fontId="0" fillId="4" borderId="31" xfId="0" applyFill="1" applyBorder="1"/>
    <xf numFmtId="10" fontId="0" fillId="4" borderId="39" xfId="0" applyNumberFormat="1" applyFill="1" applyBorder="1"/>
    <xf numFmtId="10" fontId="0" fillId="4" borderId="30" xfId="0" applyNumberFormat="1" applyFill="1" applyBorder="1"/>
    <xf numFmtId="2" fontId="0" fillId="4" borderId="0" xfId="0" applyNumberFormat="1" applyFill="1"/>
    <xf numFmtId="0" fontId="86" fillId="4" borderId="0" xfId="0" applyFont="1" applyFill="1"/>
    <xf numFmtId="0" fontId="84" fillId="0" borderId="1" xfId="0" applyFont="1" applyBorder="1" applyAlignment="1">
      <alignment horizontal="left"/>
    </xf>
    <xf numFmtId="1" fontId="82" fillId="68" borderId="1" xfId="389" applyNumberFormat="1" applyFont="1" applyFill="1" applyBorder="1" applyProtection="1">
      <protection locked="0"/>
    </xf>
    <xf numFmtId="0" fontId="60" fillId="4" borderId="0" xfId="390" applyFill="1"/>
    <xf numFmtId="0" fontId="2" fillId="72" borderId="1" xfId="0" applyFont="1" applyFill="1" applyBorder="1" applyAlignment="1">
      <alignment horizontal="center"/>
    </xf>
    <xf numFmtId="0" fontId="2" fillId="72" borderId="1" xfId="0" applyFont="1" applyFill="1" applyBorder="1"/>
    <xf numFmtId="1" fontId="82" fillId="66" borderId="1" xfId="389" applyNumberFormat="1" applyFont="1" applyFill="1" applyBorder="1" applyProtection="1">
      <protection locked="0"/>
    </xf>
    <xf numFmtId="0" fontId="24" fillId="4" borderId="0" xfId="0" applyFont="1" applyFill="1"/>
    <xf numFmtId="1" fontId="0" fillId="4" borderId="0" xfId="0" applyNumberFormat="1" applyFill="1"/>
    <xf numFmtId="9" fontId="0" fillId="4" borderId="0" xfId="0" applyNumberFormat="1" applyFill="1"/>
    <xf numFmtId="0" fontId="88" fillId="73" borderId="0" xfId="0" applyFont="1" applyFill="1"/>
    <xf numFmtId="0" fontId="89" fillId="73" borderId="1" xfId="0" applyFont="1" applyFill="1" applyBorder="1" applyAlignment="1">
      <alignment horizontal="left"/>
    </xf>
    <xf numFmtId="173" fontId="0" fillId="4" borderId="0" xfId="0" applyNumberFormat="1" applyFill="1"/>
    <xf numFmtId="0" fontId="0" fillId="4" borderId="1" xfId="0" applyFill="1" applyBorder="1"/>
    <xf numFmtId="9" fontId="82" fillId="68" borderId="1" xfId="389" applyFont="1" applyFill="1" applyBorder="1" applyProtection="1">
      <protection locked="0"/>
    </xf>
    <xf numFmtId="0" fontId="2" fillId="66" borderId="1" xfId="0" applyFont="1" applyFill="1" applyBorder="1" applyAlignment="1">
      <alignment horizontal="center"/>
    </xf>
    <xf numFmtId="0" fontId="91" fillId="0" borderId="4" xfId="0" applyFont="1" applyBorder="1"/>
    <xf numFmtId="2" fontId="82" fillId="68" borderId="1" xfId="389" applyNumberFormat="1" applyFont="1" applyFill="1" applyBorder="1" applyProtection="1">
      <protection locked="0"/>
    </xf>
    <xf numFmtId="0" fontId="2" fillId="0" borderId="47" xfId="0" applyFont="1" applyBorder="1"/>
    <xf numFmtId="0" fontId="0" fillId="0" borderId="47" xfId="0" applyBorder="1"/>
    <xf numFmtId="0" fontId="0" fillId="3" borderId="50" xfId="0" applyFill="1" applyBorder="1" applyAlignment="1">
      <alignment horizontal="center"/>
    </xf>
    <xf numFmtId="0" fontId="0" fillId="0" borderId="34" xfId="0" applyBorder="1"/>
    <xf numFmtId="0" fontId="0" fillId="0" borderId="35" xfId="0" applyBorder="1"/>
    <xf numFmtId="0" fontId="0" fillId="0" borderId="48" xfId="0" applyBorder="1"/>
    <xf numFmtId="0" fontId="2" fillId="0" borderId="46" xfId="0" applyFont="1" applyBorder="1" applyAlignment="1"/>
    <xf numFmtId="0" fontId="2" fillId="0" borderId="47" xfId="0" applyFont="1" applyBorder="1" applyAlignment="1"/>
    <xf numFmtId="1" fontId="0" fillId="37" borderId="1" xfId="0" applyNumberFormat="1" applyFont="1" applyFill="1" applyBorder="1" applyAlignment="1" applyProtection="1">
      <alignment horizontal="center"/>
      <protection locked="0"/>
    </xf>
    <xf numFmtId="1" fontId="6" fillId="37" borderId="1" xfId="6" applyNumberFormat="1" applyFont="1" applyFill="1" applyBorder="1" applyAlignment="1" applyProtection="1">
      <alignment horizontal="center"/>
      <protection locked="0"/>
    </xf>
    <xf numFmtId="1" fontId="82" fillId="37" borderId="1" xfId="6" applyNumberFormat="1" applyFont="1" applyFill="1" applyBorder="1" applyAlignment="1" applyProtection="1">
      <alignment horizontal="center"/>
      <protection locked="0"/>
    </xf>
    <xf numFmtId="0" fontId="0" fillId="3" borderId="51" xfId="0" applyFill="1" applyBorder="1" applyAlignment="1">
      <alignment horizontal="center"/>
    </xf>
    <xf numFmtId="0" fontId="0" fillId="37" borderId="1" xfId="0" applyFill="1" applyBorder="1" applyProtection="1">
      <protection locked="0"/>
    </xf>
    <xf numFmtId="173" fontId="2" fillId="37" borderId="1" xfId="0" applyNumberFormat="1" applyFont="1" applyFill="1" applyBorder="1" applyAlignment="1" applyProtection="1">
      <protection locked="0"/>
    </xf>
    <xf numFmtId="0" fontId="2" fillId="0" borderId="49" xfId="0" applyFont="1" applyBorder="1" applyAlignment="1"/>
    <xf numFmtId="0" fontId="2" fillId="0" borderId="50" xfId="0" applyFont="1" applyBorder="1" applyAlignment="1">
      <alignment wrapText="1"/>
    </xf>
    <xf numFmtId="0" fontId="2" fillId="0" borderId="53" xfId="0" applyFont="1" applyBorder="1" applyAlignment="1"/>
    <xf numFmtId="0" fontId="0" fillId="0" borderId="48" xfId="0" applyFont="1" applyBorder="1"/>
    <xf numFmtId="0" fontId="91" fillId="74" borderId="4" xfId="0" applyFont="1" applyFill="1" applyBorder="1" applyAlignment="1">
      <alignment horizontal="left"/>
    </xf>
    <xf numFmtId="11" fontId="0" fillId="0" borderId="0" xfId="0" applyNumberFormat="1"/>
    <xf numFmtId="173" fontId="0" fillId="0" borderId="2" xfId="389" applyNumberFormat="1" applyFont="1" applyBorder="1"/>
    <xf numFmtId="0" fontId="2" fillId="0" borderId="54" xfId="0" applyFont="1" applyFill="1" applyBorder="1"/>
    <xf numFmtId="165" fontId="0" fillId="4" borderId="0" xfId="0" applyNumberFormat="1" applyFill="1"/>
    <xf numFmtId="165" fontId="0" fillId="4" borderId="44" xfId="0" applyNumberFormat="1" applyFill="1" applyBorder="1"/>
    <xf numFmtId="165" fontId="0" fillId="4" borderId="45" xfId="0" applyNumberFormat="1" applyFill="1" applyBorder="1"/>
    <xf numFmtId="165" fontId="0" fillId="4" borderId="0" xfId="0" applyNumberFormat="1" applyFill="1" applyBorder="1"/>
    <xf numFmtId="165" fontId="0" fillId="4" borderId="35" xfId="0" applyNumberFormat="1" applyFill="1" applyBorder="1"/>
    <xf numFmtId="165" fontId="0" fillId="4" borderId="37" xfId="0" applyNumberFormat="1" applyFill="1" applyBorder="1"/>
    <xf numFmtId="165" fontId="0" fillId="4" borderId="38" xfId="0" applyNumberFormat="1" applyFill="1" applyBorder="1"/>
    <xf numFmtId="2" fontId="87" fillId="4" borderId="3" xfId="0" applyNumberFormat="1" applyFont="1" applyFill="1" applyBorder="1" applyAlignment="1"/>
    <xf numFmtId="2" fontId="2" fillId="3" borderId="13" xfId="381" applyNumberFormat="1" applyFont="1" applyFill="1" applyAlignment="1"/>
    <xf numFmtId="10" fontId="0" fillId="0" borderId="0" xfId="389" applyNumberFormat="1" applyFont="1"/>
    <xf numFmtId="165" fontId="15" fillId="6" borderId="1" xfId="6" applyNumberFormat="1" applyBorder="1" applyAlignment="1">
      <alignment horizontal="right"/>
    </xf>
    <xf numFmtId="1" fontId="15" fillId="6" borderId="1" xfId="6" applyNumberFormat="1" applyBorder="1" applyAlignment="1">
      <alignment horizontal="right"/>
    </xf>
    <xf numFmtId="9" fontId="0" fillId="4" borderId="1" xfId="389" applyFont="1" applyFill="1" applyBorder="1"/>
    <xf numFmtId="174" fontId="0" fillId="4" borderId="0" xfId="0" applyNumberFormat="1" applyFill="1"/>
    <xf numFmtId="10" fontId="0" fillId="4" borderId="1" xfId="0" applyNumberFormat="1" applyFill="1" applyBorder="1"/>
    <xf numFmtId="10" fontId="0" fillId="4" borderId="46" xfId="0" applyNumberFormat="1" applyFont="1" applyFill="1" applyBorder="1"/>
    <xf numFmtId="10" fontId="0" fillId="4" borderId="56" xfId="0" applyNumberFormat="1" applyFont="1" applyFill="1" applyBorder="1"/>
    <xf numFmtId="10" fontId="0" fillId="4" borderId="49" xfId="0" applyNumberFormat="1" applyFont="1" applyFill="1" applyBorder="1"/>
    <xf numFmtId="10" fontId="0" fillId="4" borderId="47" xfId="0" applyNumberFormat="1" applyFill="1" applyBorder="1"/>
    <xf numFmtId="0" fontId="2" fillId="4" borderId="39" xfId="0" applyFont="1" applyFill="1" applyBorder="1"/>
    <xf numFmtId="0" fontId="2" fillId="4" borderId="30" xfId="0" applyFont="1" applyFill="1" applyBorder="1"/>
    <xf numFmtId="0" fontId="0" fillId="4" borderId="26" xfId="0" applyFill="1" applyBorder="1"/>
    <xf numFmtId="9" fontId="0" fillId="4" borderId="27" xfId="0" applyNumberFormat="1" applyFill="1" applyBorder="1"/>
    <xf numFmtId="0" fontId="0" fillId="4" borderId="57" xfId="0" applyFill="1" applyBorder="1" applyAlignment="1">
      <alignment horizontal="right"/>
    </xf>
    <xf numFmtId="10" fontId="0" fillId="68" borderId="1" xfId="0" applyNumberFormat="1" applyFont="1" applyFill="1" applyBorder="1"/>
    <xf numFmtId="3" fontId="7" fillId="0" borderId="1" xfId="0" applyNumberFormat="1" applyFont="1" applyFill="1" applyBorder="1" applyProtection="1">
      <protection locked="0"/>
    </xf>
    <xf numFmtId="1" fontId="0" fillId="0" borderId="1" xfId="0" applyNumberFormat="1" applyFont="1" applyFill="1" applyBorder="1" applyProtection="1">
      <protection locked="0"/>
    </xf>
    <xf numFmtId="3" fontId="9" fillId="0" borderId="1" xfId="0" applyNumberFormat="1" applyFont="1" applyFill="1" applyBorder="1" applyProtection="1">
      <protection locked="0"/>
    </xf>
    <xf numFmtId="1" fontId="0" fillId="0" borderId="1" xfId="0" applyNumberFormat="1" applyFill="1" applyBorder="1"/>
    <xf numFmtId="1" fontId="0" fillId="0" borderId="1" xfId="0" applyNumberFormat="1" applyFont="1" applyFill="1" applyBorder="1"/>
    <xf numFmtId="9" fontId="0" fillId="0" borderId="1" xfId="389" applyFont="1" applyFill="1" applyBorder="1"/>
    <xf numFmtId="0" fontId="9" fillId="0" borderId="1" xfId="0" applyFont="1" applyFill="1" applyBorder="1"/>
    <xf numFmtId="165" fontId="0" fillId="0" borderId="1" xfId="0" applyNumberFormat="1" applyFill="1" applyBorder="1"/>
    <xf numFmtId="0" fontId="2" fillId="0" borderId="1" xfId="0" applyFont="1" applyFill="1" applyBorder="1" applyAlignment="1">
      <alignment horizontal="center"/>
    </xf>
    <xf numFmtId="10" fontId="0" fillId="4" borderId="50" xfId="0" applyNumberFormat="1" applyFill="1" applyBorder="1"/>
    <xf numFmtId="10" fontId="0" fillId="4" borderId="47" xfId="389" applyNumberFormat="1" applyFont="1" applyFill="1" applyBorder="1"/>
    <xf numFmtId="10" fontId="0" fillId="4" borderId="1" xfId="389" applyNumberFormat="1" applyFont="1" applyFill="1" applyBorder="1"/>
    <xf numFmtId="3" fontId="80" fillId="0" borderId="1" xfId="0" applyNumberFormat="1" applyFont="1" applyFill="1" applyBorder="1" applyProtection="1">
      <protection locked="0"/>
    </xf>
    <xf numFmtId="0" fontId="92" fillId="4" borderId="0" xfId="0" applyFont="1" applyFill="1"/>
    <xf numFmtId="0" fontId="0" fillId="4" borderId="0" xfId="0" applyNumberFormat="1" applyFill="1" applyBorder="1"/>
    <xf numFmtId="0" fontId="2" fillId="4" borderId="0" xfId="0" applyNumberFormat="1" applyFont="1" applyFill="1" applyBorder="1" applyAlignment="1">
      <alignment horizontal="center"/>
    </xf>
    <xf numFmtId="0" fontId="2" fillId="4" borderId="0" xfId="0" applyNumberFormat="1" applyFont="1" applyFill="1" applyBorder="1"/>
    <xf numFmtId="0" fontId="82" fillId="4" borderId="0" xfId="6" applyNumberFormat="1" applyFont="1" applyFill="1" applyBorder="1" applyProtection="1">
      <protection locked="0"/>
    </xf>
    <xf numFmtId="0" fontId="7" fillId="4" borderId="0" xfId="0" applyNumberFormat="1" applyFont="1" applyFill="1" applyBorder="1" applyProtection="1">
      <protection locked="0"/>
    </xf>
    <xf numFmtId="0" fontId="0" fillId="4" borderId="0" xfId="0" applyNumberFormat="1" applyFont="1" applyFill="1" applyBorder="1" applyProtection="1">
      <protection locked="0"/>
    </xf>
    <xf numFmtId="0" fontId="9" fillId="4" borderId="0" xfId="0" applyNumberFormat="1" applyFont="1" applyFill="1" applyBorder="1" applyProtection="1">
      <protection locked="0"/>
    </xf>
    <xf numFmtId="0" fontId="0" fillId="4" borderId="0" xfId="0" applyNumberFormat="1" applyFont="1" applyFill="1" applyBorder="1"/>
    <xf numFmtId="0" fontId="0" fillId="4" borderId="0" xfId="389" applyNumberFormat="1" applyFont="1" applyFill="1" applyBorder="1"/>
    <xf numFmtId="0" fontId="9" fillId="4" borderId="0" xfId="0" applyNumberFormat="1" applyFont="1" applyFill="1" applyBorder="1"/>
    <xf numFmtId="2" fontId="0" fillId="0" borderId="1" xfId="0" applyNumberFormat="1" applyFill="1" applyBorder="1"/>
    <xf numFmtId="1" fontId="82" fillId="4" borderId="0" xfId="6" applyNumberFormat="1" applyFont="1" applyFill="1" applyBorder="1" applyProtection="1">
      <protection locked="0"/>
    </xf>
    <xf numFmtId="3" fontId="7" fillId="4" borderId="0" xfId="0" applyNumberFormat="1" applyFont="1" applyFill="1" applyBorder="1" applyProtection="1">
      <protection locked="0"/>
    </xf>
    <xf numFmtId="1" fontId="7" fillId="4" borderId="0" xfId="0" applyNumberFormat="1" applyFont="1" applyFill="1" applyBorder="1" applyProtection="1">
      <protection locked="0"/>
    </xf>
    <xf numFmtId="1" fontId="0" fillId="4" borderId="0" xfId="0" applyNumberFormat="1" applyFont="1" applyFill="1" applyBorder="1" applyProtection="1">
      <protection locked="0"/>
    </xf>
    <xf numFmtId="3" fontId="82" fillId="4" borderId="0" xfId="6" applyNumberFormat="1" applyFont="1" applyFill="1" applyBorder="1" applyProtection="1">
      <protection locked="0"/>
    </xf>
    <xf numFmtId="3" fontId="9" fillId="71" borderId="0" xfId="0" applyNumberFormat="1" applyFont="1" applyFill="1" applyBorder="1" applyProtection="1">
      <protection locked="0"/>
    </xf>
    <xf numFmtId="1" fontId="0" fillId="4" borderId="0" xfId="0" applyNumberFormat="1" applyFont="1" applyFill="1" applyBorder="1"/>
    <xf numFmtId="0" fontId="9" fillId="4" borderId="0" xfId="0" applyFont="1" applyFill="1" applyBorder="1"/>
    <xf numFmtId="3" fontId="9" fillId="4" borderId="0" xfId="0" applyNumberFormat="1" applyFont="1" applyFill="1" applyBorder="1" applyProtection="1">
      <protection locked="0"/>
    </xf>
    <xf numFmtId="3" fontId="0" fillId="4" borderId="0" xfId="0" applyNumberFormat="1" applyFill="1" applyBorder="1"/>
    <xf numFmtId="9" fontId="0" fillId="4" borderId="27" xfId="0" applyNumberFormat="1" applyFill="1" applyBorder="1" applyAlignment="1">
      <alignment horizontal="right"/>
    </xf>
    <xf numFmtId="10" fontId="0" fillId="0" borderId="0" xfId="0" applyNumberFormat="1"/>
    <xf numFmtId="0" fontId="0" fillId="0" borderId="0" xfId="0" applyAlignment="1"/>
    <xf numFmtId="3" fontId="0" fillId="0" borderId="33" xfId="0" applyNumberFormat="1" applyBorder="1"/>
    <xf numFmtId="1" fontId="0" fillId="0" borderId="0" xfId="0" applyNumberFormat="1"/>
    <xf numFmtId="2" fontId="0" fillId="0" borderId="0" xfId="0" applyNumberFormat="1"/>
    <xf numFmtId="0" fontId="92" fillId="0" borderId="0" xfId="0" applyFont="1" applyFill="1"/>
    <xf numFmtId="173" fontId="2" fillId="66" borderId="1" xfId="0" applyNumberFormat="1" applyFont="1" applyFill="1" applyBorder="1" applyAlignment="1" applyProtection="1">
      <protection locked="0"/>
    </xf>
    <xf numFmtId="2" fontId="15" fillId="0" borderId="54" xfId="6" applyNumberFormat="1" applyFill="1" applyBorder="1"/>
    <xf numFmtId="2" fontId="0" fillId="0" borderId="4" xfId="0" applyNumberFormat="1" applyFill="1" applyBorder="1"/>
    <xf numFmtId="1" fontId="0" fillId="4" borderId="1" xfId="0" applyNumberFormat="1" applyFont="1" applyFill="1" applyBorder="1"/>
    <xf numFmtId="0" fontId="0" fillId="4" borderId="57" xfId="0" applyFill="1" applyBorder="1"/>
    <xf numFmtId="2" fontId="15" fillId="66" borderId="1" xfId="6" applyNumberFormat="1" applyFill="1" applyBorder="1"/>
    <xf numFmtId="10" fontId="15" fillId="66" borderId="1" xfId="6" applyNumberFormat="1" applyFill="1" applyBorder="1"/>
    <xf numFmtId="0" fontId="82" fillId="0" borderId="1" xfId="0" applyFont="1" applyFill="1" applyBorder="1"/>
    <xf numFmtId="1" fontId="82" fillId="0" borderId="1" xfId="6" applyNumberFormat="1" applyFont="1" applyFill="1" applyBorder="1" applyProtection="1">
      <protection locked="0"/>
    </xf>
    <xf numFmtId="1" fontId="7" fillId="0" borderId="1" xfId="0" applyNumberFormat="1" applyFont="1" applyFill="1" applyBorder="1" applyProtection="1">
      <protection locked="0"/>
    </xf>
    <xf numFmtId="3" fontId="82" fillId="0" borderId="1" xfId="6" applyNumberFormat="1" applyFont="1" applyFill="1" applyBorder="1" applyProtection="1">
      <protection locked="0"/>
    </xf>
    <xf numFmtId="0" fontId="94" fillId="0" borderId="0" xfId="0" applyFont="1"/>
    <xf numFmtId="0" fontId="2" fillId="0" borderId="0" xfId="0" applyFont="1" applyFill="1"/>
    <xf numFmtId="165" fontId="0" fillId="0" borderId="0" xfId="0" applyNumberFormat="1"/>
    <xf numFmtId="9" fontId="0" fillId="4" borderId="46" xfId="0" applyNumberFormat="1" applyFont="1" applyFill="1" applyBorder="1"/>
    <xf numFmtId="9" fontId="0" fillId="4" borderId="47" xfId="0" applyNumberFormat="1" applyFill="1" applyBorder="1"/>
    <xf numFmtId="9" fontId="0" fillId="4" borderId="47" xfId="389" applyNumberFormat="1" applyFont="1" applyFill="1" applyBorder="1"/>
    <xf numFmtId="9" fontId="0" fillId="4" borderId="1" xfId="0" applyNumberFormat="1" applyFill="1" applyBorder="1"/>
    <xf numFmtId="9" fontId="0" fillId="4" borderId="50" xfId="0" applyNumberFormat="1" applyFill="1" applyBorder="1"/>
    <xf numFmtId="0" fontId="0" fillId="0" borderId="0" xfId="0" applyAlignment="1">
      <alignment horizontal="right"/>
    </xf>
    <xf numFmtId="0" fontId="0" fillId="0" borderId="0" xfId="0" applyNumberFormat="1"/>
    <xf numFmtId="2" fontId="0" fillId="0" borderId="0" xfId="389" applyNumberFormat="1" applyFont="1"/>
    <xf numFmtId="0" fontId="0" fillId="0" borderId="0" xfId="0" applyFill="1" applyBorder="1"/>
    <xf numFmtId="0" fontId="92" fillId="0" borderId="0" xfId="0" applyNumberFormat="1" applyFont="1" applyFill="1"/>
    <xf numFmtId="3" fontId="9" fillId="4" borderId="1" xfId="0" applyNumberFormat="1" applyFont="1" applyFill="1" applyBorder="1" applyProtection="1">
      <protection locked="0"/>
    </xf>
    <xf numFmtId="1" fontId="82" fillId="37" borderId="1" xfId="6" applyNumberFormat="1" applyFont="1" applyFill="1" applyBorder="1" applyAlignment="1">
      <alignment horizontal="center"/>
    </xf>
    <xf numFmtId="2" fontId="2" fillId="69" borderId="1" xfId="0" applyNumberFormat="1" applyFont="1" applyFill="1" applyBorder="1"/>
    <xf numFmtId="1" fontId="0" fillId="68" borderId="1" xfId="0" applyNumberFormat="1" applyFont="1" applyFill="1" applyBorder="1" applyAlignment="1">
      <alignment horizontal="center"/>
    </xf>
    <xf numFmtId="2" fontId="2" fillId="0" borderId="0" xfId="0" applyNumberFormat="1" applyFont="1"/>
    <xf numFmtId="175" fontId="0" fillId="4" borderId="0" xfId="461" applyNumberFormat="1" applyFont="1" applyFill="1"/>
    <xf numFmtId="175" fontId="0" fillId="0" borderId="0" xfId="461" applyNumberFormat="1" applyFont="1" applyFill="1"/>
    <xf numFmtId="3" fontId="7" fillId="70" borderId="1" xfId="0" applyNumberFormat="1" applyFont="1" applyFill="1" applyBorder="1" applyProtection="1">
      <protection locked="0"/>
    </xf>
    <xf numFmtId="1" fontId="0" fillId="70" borderId="1" xfId="0" applyNumberFormat="1" applyFont="1" applyFill="1" applyBorder="1" applyProtection="1">
      <protection locked="0"/>
    </xf>
    <xf numFmtId="1" fontId="0" fillId="70" borderId="1" xfId="0" applyNumberFormat="1" applyFont="1" applyFill="1" applyBorder="1"/>
    <xf numFmtId="2" fontId="15" fillId="6" borderId="1" xfId="6" applyNumberFormat="1" applyBorder="1" applyProtection="1">
      <protection locked="0"/>
    </xf>
    <xf numFmtId="15" fontId="95" fillId="0" borderId="0" xfId="462" applyNumberFormat="1" applyFont="1" applyAlignment="1">
      <alignment horizontal="left" vertical="center"/>
    </xf>
    <xf numFmtId="0" fontId="25" fillId="0" borderId="2" xfId="462" applyFont="1" applyBorder="1" applyAlignment="1">
      <alignment horizontal="left" vertical="center"/>
    </xf>
    <xf numFmtId="0" fontId="25" fillId="0" borderId="3" xfId="462" applyFont="1" applyBorder="1" applyAlignment="1">
      <alignment horizontal="center" vertical="center"/>
    </xf>
    <xf numFmtId="0" fontId="25" fillId="0" borderId="4" xfId="462" applyFont="1" applyBorder="1" applyAlignment="1">
      <alignment horizontal="center" vertical="center"/>
    </xf>
    <xf numFmtId="0" fontId="96" fillId="0" borderId="0" xfId="463"/>
    <xf numFmtId="0" fontId="2" fillId="0" borderId="0" xfId="462" applyFont="1"/>
    <xf numFmtId="0" fontId="84" fillId="0" borderId="1" xfId="462" applyFont="1" applyBorder="1" applyAlignment="1">
      <alignment horizontal="left"/>
    </xf>
    <xf numFmtId="0" fontId="97" fillId="0" borderId="1" xfId="462" applyFont="1" applyBorder="1" applyAlignment="1">
      <alignment horizontal="right" vertical="center"/>
    </xf>
    <xf numFmtId="2" fontId="97" fillId="0" borderId="1" xfId="462" applyNumberFormat="1" applyFont="1" applyBorder="1" applyAlignment="1">
      <alignment horizontal="right" vertical="center"/>
    </xf>
    <xf numFmtId="0" fontId="88" fillId="73" borderId="0" xfId="462" applyFont="1" applyFill="1"/>
    <xf numFmtId="0" fontId="89" fillId="73" borderId="1" xfId="462" applyFont="1" applyFill="1" applyBorder="1" applyAlignment="1">
      <alignment horizontal="left"/>
    </xf>
    <xf numFmtId="0" fontId="2" fillId="0" borderId="1" xfId="462" applyFont="1" applyBorder="1" applyAlignment="1">
      <alignment wrapText="1"/>
    </xf>
    <xf numFmtId="2" fontId="98" fillId="0" borderId="1" xfId="462" applyNumberFormat="1" applyFont="1" applyBorder="1" applyAlignment="1">
      <alignment horizontal="center" vertical="center"/>
    </xf>
    <xf numFmtId="0" fontId="6" fillId="0" borderId="33" xfId="462" applyBorder="1"/>
    <xf numFmtId="0" fontId="2" fillId="4" borderId="1" xfId="462" applyFont="1" applyFill="1" applyBorder="1"/>
    <xf numFmtId="0" fontId="2" fillId="2" borderId="1" xfId="462" applyFont="1" applyFill="1" applyBorder="1"/>
    <xf numFmtId="0" fontId="2" fillId="3" borderId="0" xfId="462" applyFont="1" applyFill="1"/>
    <xf numFmtId="0" fontId="2" fillId="0" borderId="1" xfId="462" applyFont="1" applyBorder="1"/>
    <xf numFmtId="2" fontId="2" fillId="3" borderId="1" xfId="462" applyNumberFormat="1" applyFont="1" applyFill="1" applyBorder="1"/>
    <xf numFmtId="2" fontId="82" fillId="3" borderId="1" xfId="462" applyNumberFormat="1" applyFont="1" applyFill="1" applyBorder="1"/>
    <xf numFmtId="2" fontId="82" fillId="0" borderId="1" xfId="462" applyNumberFormat="1" applyFont="1" applyFill="1" applyBorder="1"/>
    <xf numFmtId="2" fontId="82" fillId="0" borderId="1" xfId="6" applyNumberFormat="1" applyFont="1" applyFill="1" applyBorder="1"/>
    <xf numFmtId="0" fontId="2" fillId="0" borderId="0" xfId="462" applyFont="1" applyFill="1"/>
    <xf numFmtId="2" fontId="2" fillId="68" borderId="1" xfId="462" applyNumberFormat="1" applyFont="1" applyFill="1" applyBorder="1"/>
    <xf numFmtId="10" fontId="82" fillId="3" borderId="1" xfId="462" applyNumberFormat="1" applyFont="1" applyFill="1" applyBorder="1"/>
    <xf numFmtId="10" fontId="82" fillId="0" borderId="1" xfId="462" applyNumberFormat="1" applyFont="1" applyFill="1" applyBorder="1"/>
    <xf numFmtId="0" fontId="2" fillId="0" borderId="1" xfId="462" applyFont="1" applyBorder="1" applyAlignment="1"/>
    <xf numFmtId="3" fontId="82" fillId="3" borderId="1" xfId="462" applyNumberFormat="1" applyFont="1" applyFill="1" applyBorder="1"/>
    <xf numFmtId="3" fontId="82" fillId="3" borderId="1" xfId="6" applyNumberFormat="1" applyFont="1" applyFill="1" applyBorder="1"/>
    <xf numFmtId="1" fontId="82" fillId="0" borderId="1" xfId="6" applyNumberFormat="1" applyFont="1" applyFill="1" applyBorder="1"/>
    <xf numFmtId="0" fontId="2" fillId="0" borderId="1" xfId="462" applyFont="1" applyFill="1" applyBorder="1" applyAlignment="1"/>
    <xf numFmtId="0" fontId="2" fillId="4" borderId="1" xfId="462" applyFont="1" applyFill="1" applyBorder="1" applyAlignment="1">
      <alignment horizontal="left"/>
    </xf>
    <xf numFmtId="166" fontId="82" fillId="3" borderId="1" xfId="6" applyNumberFormat="1" applyFont="1" applyFill="1" applyBorder="1"/>
    <xf numFmtId="166" fontId="82" fillId="0" borderId="1" xfId="6" applyNumberFormat="1" applyFont="1" applyFill="1" applyBorder="1"/>
    <xf numFmtId="2" fontId="2" fillId="0" borderId="0" xfId="462" applyNumberFormat="1" applyFont="1" applyFill="1" applyBorder="1"/>
    <xf numFmtId="0" fontId="2" fillId="0" borderId="32" xfId="462" applyFont="1" applyFill="1" applyBorder="1" applyAlignment="1"/>
    <xf numFmtId="165" fontId="82" fillId="3" borderId="32" xfId="6" applyNumberFormat="1" applyFont="1" applyFill="1" applyBorder="1"/>
    <xf numFmtId="165" fontId="82" fillId="0" borderId="1" xfId="6" applyNumberFormat="1" applyFont="1" applyFill="1" applyBorder="1"/>
    <xf numFmtId="0" fontId="2" fillId="0" borderId="0" xfId="462" applyFont="1" applyBorder="1" applyAlignment="1">
      <alignment horizontal="left"/>
    </xf>
    <xf numFmtId="0" fontId="92" fillId="0" borderId="2" xfId="462" applyFont="1" applyBorder="1" applyAlignment="1">
      <alignment horizontal="left"/>
    </xf>
    <xf numFmtId="0" fontId="2" fillId="0" borderId="58" xfId="462" applyFont="1" applyBorder="1"/>
    <xf numFmtId="0" fontId="6" fillId="0" borderId="58" xfId="462" applyBorder="1"/>
    <xf numFmtId="10" fontId="1" fillId="0" borderId="58" xfId="462" applyNumberFormat="1" applyFont="1" applyFill="1" applyBorder="1"/>
    <xf numFmtId="2" fontId="1" fillId="0" borderId="58" xfId="462" applyNumberFormat="1" applyFont="1" applyFill="1" applyBorder="1"/>
    <xf numFmtId="0" fontId="6" fillId="0" borderId="1" xfId="462" applyBorder="1" applyAlignment="1">
      <alignment horizontal="left"/>
    </xf>
    <xf numFmtId="0" fontId="2" fillId="0" borderId="33" xfId="462" applyFont="1" applyBorder="1"/>
    <xf numFmtId="2" fontId="87" fillId="0" borderId="59" xfId="462" applyNumberFormat="1" applyFont="1" applyBorder="1" applyAlignment="1">
      <alignment horizontal="left"/>
    </xf>
    <xf numFmtId="2" fontId="87" fillId="0" borderId="60" xfId="462" applyNumberFormat="1" applyFont="1" applyBorder="1" applyAlignment="1">
      <alignment horizontal="center"/>
    </xf>
    <xf numFmtId="2" fontId="87" fillId="0" borderId="61" xfId="462" applyNumberFormat="1" applyFont="1" applyBorder="1" applyAlignment="1">
      <alignment horizontal="center"/>
    </xf>
    <xf numFmtId="0" fontId="83" fillId="0" borderId="26" xfId="462" applyFont="1" applyBorder="1" applyAlignment="1">
      <alignment horizontal="center" vertical="center"/>
    </xf>
    <xf numFmtId="0" fontId="2" fillId="0" borderId="4" xfId="462" applyFont="1" applyBorder="1" applyAlignment="1"/>
    <xf numFmtId="0" fontId="2" fillId="0" borderId="1" xfId="462" applyFont="1" applyBorder="1" applyAlignment="1">
      <alignment horizontal="left"/>
    </xf>
    <xf numFmtId="0" fontId="2" fillId="2" borderId="1" xfId="462" applyFont="1" applyFill="1" applyBorder="1" applyAlignment="1">
      <alignment horizontal="center"/>
    </xf>
    <xf numFmtId="0" fontId="83" fillId="0" borderId="27" xfId="462" applyFont="1" applyBorder="1" applyAlignment="1">
      <alignment horizontal="center" vertical="center"/>
    </xf>
    <xf numFmtId="10" fontId="82" fillId="0" borderId="1" xfId="6" applyNumberFormat="1" applyFont="1" applyFill="1" applyBorder="1"/>
    <xf numFmtId="2" fontId="82" fillId="0" borderId="1" xfId="464" applyNumberFormat="1" applyFont="1" applyFill="1" applyBorder="1" applyProtection="1">
      <protection locked="0"/>
    </xf>
    <xf numFmtId="1" fontId="82" fillId="0" borderId="1" xfId="464" applyNumberFormat="1" applyFont="1" applyFill="1" applyBorder="1" applyProtection="1">
      <protection locked="0"/>
    </xf>
    <xf numFmtId="2" fontId="96" fillId="0" borderId="0" xfId="463" applyNumberFormat="1"/>
    <xf numFmtId="2" fontId="2" fillId="0" borderId="4" xfId="462" applyNumberFormat="1" applyFont="1" applyBorder="1" applyAlignment="1"/>
    <xf numFmtId="0" fontId="2" fillId="0" borderId="4" xfId="462" applyFont="1" applyFill="1" applyBorder="1" applyAlignment="1"/>
    <xf numFmtId="3" fontId="82" fillId="0" borderId="1" xfId="6" applyNumberFormat="1" applyFont="1" applyFill="1" applyBorder="1"/>
    <xf numFmtId="3" fontId="82" fillId="0" borderId="1" xfId="6" applyNumberFormat="1" applyFont="1" applyFill="1" applyBorder="1" applyAlignment="1">
      <alignment horizontal="right"/>
    </xf>
    <xf numFmtId="0" fontId="2" fillId="0" borderId="4" xfId="462" applyFont="1" applyBorder="1" applyAlignment="1">
      <alignment horizontal="right"/>
    </xf>
    <xf numFmtId="10" fontId="1" fillId="0" borderId="1" xfId="462" applyNumberFormat="1" applyFont="1" applyFill="1" applyBorder="1"/>
    <xf numFmtId="9" fontId="1" fillId="0" borderId="1" xfId="464" applyFont="1" applyFill="1" applyBorder="1"/>
    <xf numFmtId="0" fontId="2" fillId="4" borderId="4" xfId="462" applyFont="1" applyFill="1" applyBorder="1" applyAlignment="1">
      <alignment horizontal="left" wrapText="1"/>
    </xf>
    <xf numFmtId="0" fontId="2" fillId="0" borderId="1" xfId="462" applyFont="1" applyFill="1" applyBorder="1"/>
    <xf numFmtId="165" fontId="82" fillId="0" borderId="32" xfId="6" applyNumberFormat="1" applyFont="1" applyFill="1" applyBorder="1"/>
    <xf numFmtId="0" fontId="2" fillId="75" borderId="4" xfId="462" applyFont="1" applyFill="1" applyBorder="1" applyAlignment="1"/>
    <xf numFmtId="0" fontId="2" fillId="4" borderId="4" xfId="462" applyFont="1" applyFill="1" applyBorder="1" applyAlignment="1"/>
    <xf numFmtId="0" fontId="99" fillId="0" borderId="62" xfId="462" applyFont="1" applyBorder="1" applyAlignment="1"/>
    <xf numFmtId="0" fontId="2" fillId="0" borderId="3" xfId="462" applyFont="1" applyBorder="1"/>
    <xf numFmtId="10" fontId="6" fillId="4" borderId="3" xfId="462" applyNumberFormat="1" applyFont="1" applyFill="1" applyBorder="1"/>
    <xf numFmtId="2" fontId="92" fillId="4" borderId="3" xfId="462" applyNumberFormat="1" applyFont="1" applyFill="1" applyBorder="1"/>
    <xf numFmtId="2" fontId="92" fillId="4" borderId="4" xfId="462" applyNumberFormat="1" applyFont="1" applyFill="1" applyBorder="1"/>
    <xf numFmtId="0" fontId="100" fillId="0" borderId="1" xfId="462" applyFont="1" applyFill="1" applyBorder="1" applyAlignment="1">
      <alignment horizontal="center"/>
    </xf>
    <xf numFmtId="165" fontId="82" fillId="0" borderId="1" xfId="6" applyNumberFormat="1" applyFont="1" applyFill="1" applyBorder="1" applyAlignment="1">
      <alignment horizontal="center"/>
    </xf>
    <xf numFmtId="1" fontId="82" fillId="0" borderId="1" xfId="6" applyNumberFormat="1" applyFont="1" applyFill="1" applyBorder="1" applyAlignment="1"/>
    <xf numFmtId="1" fontId="82" fillId="0" borderId="1" xfId="6" applyNumberFormat="1" applyFont="1" applyFill="1" applyBorder="1" applyAlignment="1">
      <alignment horizontal="center"/>
    </xf>
    <xf numFmtId="1" fontId="82" fillId="0" borderId="1" xfId="464" applyNumberFormat="1" applyFont="1" applyFill="1" applyBorder="1" applyAlignment="1" applyProtection="1">
      <protection locked="0"/>
    </xf>
    <xf numFmtId="0" fontId="83" fillId="0" borderId="57" xfId="462" applyFont="1" applyBorder="1" applyAlignment="1">
      <alignment horizontal="center" vertical="center"/>
    </xf>
    <xf numFmtId="0" fontId="2" fillId="0" borderId="4" xfId="462" applyFont="1" applyBorder="1" applyAlignment="1">
      <alignment horizontal="left"/>
    </xf>
    <xf numFmtId="0" fontId="6" fillId="0" borderId="0" xfId="462" applyFill="1"/>
    <xf numFmtId="173" fontId="0" fillId="0" borderId="2" xfId="464" applyNumberFormat="1" applyFont="1" applyBorder="1"/>
    <xf numFmtId="173" fontId="96" fillId="0" borderId="1" xfId="464" applyNumberFormat="1" applyFont="1" applyFill="1" applyBorder="1"/>
    <xf numFmtId="0" fontId="6" fillId="0" borderId="0" xfId="462"/>
    <xf numFmtId="0" fontId="6" fillId="0" borderId="1" xfId="462" applyBorder="1"/>
    <xf numFmtId="1" fontId="87" fillId="4" borderId="2" xfId="462" applyNumberFormat="1" applyFont="1" applyFill="1" applyBorder="1" applyAlignment="1">
      <alignment horizontal="left"/>
    </xf>
    <xf numFmtId="1" fontId="87" fillId="4" borderId="3" xfId="462" applyNumberFormat="1" applyFont="1" applyFill="1" applyBorder="1" applyAlignment="1">
      <alignment horizontal="center"/>
    </xf>
    <xf numFmtId="1" fontId="87" fillId="4" borderId="4" xfId="462" applyNumberFormat="1" applyFont="1" applyFill="1" applyBorder="1" applyAlignment="1">
      <alignment horizontal="center"/>
    </xf>
    <xf numFmtId="0" fontId="2" fillId="4" borderId="4" xfId="462" applyFont="1" applyFill="1" applyBorder="1" applyAlignment="1">
      <alignment horizontal="left"/>
    </xf>
    <xf numFmtId="0" fontId="2" fillId="0" borderId="4" xfId="462" applyFont="1" applyFill="1" applyBorder="1" applyAlignment="1">
      <alignment horizontal="left"/>
    </xf>
    <xf numFmtId="1" fontId="82" fillId="0" borderId="1" xfId="6" applyNumberFormat="1" applyFont="1" applyFill="1" applyBorder="1" applyAlignment="1" applyProtection="1">
      <alignment horizontal="center"/>
      <protection locked="0"/>
    </xf>
    <xf numFmtId="1" fontId="82" fillId="0" borderId="1" xfId="462" applyNumberFormat="1" applyFont="1" applyFill="1" applyBorder="1" applyAlignment="1" applyProtection="1">
      <alignment horizontal="center"/>
      <protection locked="0"/>
    </xf>
    <xf numFmtId="0" fontId="2" fillId="75" borderId="4" xfId="462" applyFont="1" applyFill="1" applyBorder="1" applyAlignment="1">
      <alignment horizontal="left"/>
    </xf>
    <xf numFmtId="9" fontId="82" fillId="0" borderId="1" xfId="464" applyFont="1" applyFill="1" applyBorder="1" applyProtection="1">
      <protection locked="0"/>
    </xf>
    <xf numFmtId="2" fontId="82" fillId="0" borderId="1" xfId="462" applyNumberFormat="1" applyFont="1" applyFill="1" applyBorder="1" applyAlignment="1">
      <alignment horizontal="center"/>
    </xf>
    <xf numFmtId="0" fontId="6" fillId="0" borderId="0" xfId="462" applyBorder="1"/>
    <xf numFmtId="0" fontId="92" fillId="0" borderId="0" xfId="462" applyFont="1"/>
    <xf numFmtId="0" fontId="87" fillId="0" borderId="2" xfId="462" applyFont="1" applyBorder="1" applyAlignment="1">
      <alignment horizontal="left"/>
    </xf>
    <xf numFmtId="0" fontId="87" fillId="0" borderId="3" xfId="462" applyFont="1" applyBorder="1" applyAlignment="1">
      <alignment horizontal="center"/>
    </xf>
    <xf numFmtId="0" fontId="87" fillId="0" borderId="4" xfId="462" applyFont="1" applyBorder="1" applyAlignment="1">
      <alignment horizontal="center"/>
    </xf>
    <xf numFmtId="0" fontId="2" fillId="0" borderId="4" xfId="462" applyFont="1" applyBorder="1"/>
    <xf numFmtId="0" fontId="2" fillId="0" borderId="4" xfId="462" applyFont="1" applyFill="1" applyBorder="1"/>
    <xf numFmtId="3" fontId="6" fillId="0" borderId="1" xfId="462" applyNumberFormat="1" applyFont="1" applyBorder="1" applyAlignment="1">
      <alignment horizontal="center"/>
    </xf>
    <xf numFmtId="0" fontId="6" fillId="0" borderId="1" xfId="462" applyFill="1" applyBorder="1"/>
    <xf numFmtId="0" fontId="2" fillId="4" borderId="4" xfId="462" applyFont="1" applyFill="1" applyBorder="1"/>
    <xf numFmtId="0" fontId="99" fillId="4" borderId="62" xfId="462" applyFont="1" applyFill="1" applyBorder="1"/>
    <xf numFmtId="3" fontId="92" fillId="4" borderId="3" xfId="462" applyNumberFormat="1" applyFont="1" applyFill="1" applyBorder="1"/>
    <xf numFmtId="3" fontId="101" fillId="0" borderId="3" xfId="462" applyNumberFormat="1" applyFont="1" applyFill="1" applyBorder="1"/>
    <xf numFmtId="3" fontId="101" fillId="0" borderId="4" xfId="462" applyNumberFormat="1" applyFont="1" applyFill="1" applyBorder="1"/>
    <xf numFmtId="3" fontId="82" fillId="0" borderId="1" xfId="462" applyNumberFormat="1" applyFont="1" applyFill="1" applyBorder="1"/>
    <xf numFmtId="0" fontId="6" fillId="0" borderId="1" xfId="462" applyBorder="1" applyAlignment="1">
      <alignment horizontal="right"/>
    </xf>
    <xf numFmtId="2" fontId="82" fillId="0" borderId="1" xfId="6" applyNumberFormat="1" applyFont="1" applyFill="1" applyBorder="1" applyAlignment="1">
      <alignment horizontal="right"/>
    </xf>
    <xf numFmtId="0" fontId="6" fillId="0" borderId="4" xfId="462" applyBorder="1"/>
    <xf numFmtId="0" fontId="2" fillId="4" borderId="1" xfId="462" applyFont="1" applyFill="1" applyBorder="1" applyAlignment="1">
      <alignment horizontal="right"/>
    </xf>
    <xf numFmtId="164" fontId="6" fillId="0" borderId="1" xfId="462" applyNumberFormat="1" applyFont="1" applyBorder="1" applyAlignment="1">
      <alignment horizontal="center"/>
    </xf>
    <xf numFmtId="0" fontId="99" fillId="4" borderId="4" xfId="462" applyFont="1" applyFill="1" applyBorder="1" applyAlignment="1">
      <alignment horizontal="left"/>
    </xf>
    <xf numFmtId="2" fontId="6" fillId="4" borderId="1" xfId="462" applyNumberFormat="1" applyFont="1" applyFill="1" applyBorder="1"/>
    <xf numFmtId="2" fontId="6" fillId="0" borderId="0" xfId="462" applyNumberFormat="1" applyFont="1"/>
    <xf numFmtId="9" fontId="96" fillId="0" borderId="0" xfId="465"/>
    <xf numFmtId="2" fontId="6" fillId="0" borderId="0" xfId="462" applyNumberFormat="1"/>
    <xf numFmtId="2" fontId="87" fillId="4" borderId="3" xfId="462" applyNumberFormat="1" applyFont="1" applyFill="1" applyBorder="1" applyAlignment="1"/>
    <xf numFmtId="2" fontId="87" fillId="4" borderId="2" xfId="462" applyNumberFormat="1" applyFont="1" applyFill="1" applyBorder="1" applyAlignment="1">
      <alignment horizontal="left"/>
    </xf>
    <xf numFmtId="2" fontId="87" fillId="4" borderId="3" xfId="462" applyNumberFormat="1" applyFont="1" applyFill="1" applyBorder="1" applyAlignment="1">
      <alignment horizontal="center"/>
    </xf>
    <xf numFmtId="2" fontId="87" fillId="4" borderId="4" xfId="462" applyNumberFormat="1" applyFont="1" applyFill="1" applyBorder="1" applyAlignment="1">
      <alignment horizontal="center"/>
    </xf>
    <xf numFmtId="2" fontId="82" fillId="0" borderId="1" xfId="462" applyNumberFormat="1" applyFont="1" applyFill="1" applyBorder="1" applyProtection="1">
      <protection locked="0"/>
    </xf>
    <xf numFmtId="2" fontId="102" fillId="0" borderId="1" xfId="466" applyNumberFormat="1" applyFont="1" applyFill="1" applyBorder="1"/>
    <xf numFmtId="165" fontId="82" fillId="3" borderId="1" xfId="6" applyNumberFormat="1" applyFont="1" applyFill="1" applyBorder="1"/>
    <xf numFmtId="0" fontId="6" fillId="0" borderId="0" xfId="462" applyFont="1" applyBorder="1"/>
    <xf numFmtId="2" fontId="6" fillId="0" borderId="0" xfId="462" applyNumberFormat="1" applyBorder="1"/>
    <xf numFmtId="0" fontId="6" fillId="4" borderId="0" xfId="462" applyFill="1"/>
    <xf numFmtId="0" fontId="83" fillId="0" borderId="26" xfId="462" applyFont="1" applyBorder="1" applyAlignment="1">
      <alignment horizontal="center" vertical="center" wrapText="1"/>
    </xf>
    <xf numFmtId="0" fontId="2" fillId="0" borderId="46" xfId="462" applyFont="1" applyBorder="1" applyAlignment="1"/>
    <xf numFmtId="0" fontId="2" fillId="0" borderId="49" xfId="462" applyFont="1" applyBorder="1" applyAlignment="1"/>
    <xf numFmtId="0" fontId="83" fillId="0" borderId="27" xfId="462" applyFont="1" applyBorder="1" applyAlignment="1">
      <alignment horizontal="center" vertical="center" wrapText="1"/>
    </xf>
    <xf numFmtId="0" fontId="2" fillId="0" borderId="47" xfId="462" applyFont="1" applyBorder="1"/>
    <xf numFmtId="0" fontId="2" fillId="0" borderId="50" xfId="462" applyFont="1" applyBorder="1" applyAlignment="1">
      <alignment wrapText="1"/>
    </xf>
    <xf numFmtId="0" fontId="6" fillId="0" borderId="47" xfId="462" applyFont="1" applyBorder="1"/>
    <xf numFmtId="0" fontId="6" fillId="3" borderId="50" xfId="462" applyFill="1" applyBorder="1" applyAlignment="1">
      <alignment horizontal="center"/>
    </xf>
    <xf numFmtId="0" fontId="6" fillId="0" borderId="47" xfId="462" applyBorder="1"/>
    <xf numFmtId="0" fontId="6" fillId="0" borderId="34" xfId="462" applyBorder="1"/>
    <xf numFmtId="0" fontId="6" fillId="0" borderId="35" xfId="462" applyBorder="1"/>
    <xf numFmtId="0" fontId="2" fillId="0" borderId="47" xfId="462" applyFont="1" applyBorder="1" applyAlignment="1"/>
    <xf numFmtId="0" fontId="2" fillId="0" borderId="53" xfId="462" applyFont="1" applyBorder="1" applyAlignment="1"/>
    <xf numFmtId="0" fontId="6" fillId="0" borderId="48" xfId="462" applyBorder="1"/>
    <xf numFmtId="0" fontId="6" fillId="3" borderId="51" xfId="462" applyFill="1" applyBorder="1" applyAlignment="1">
      <alignment horizontal="center"/>
    </xf>
    <xf numFmtId="0" fontId="6" fillId="0" borderId="0" xfId="462" applyAlignment="1">
      <alignment horizontal="left"/>
    </xf>
    <xf numFmtId="0" fontId="83" fillId="0" borderId="57" xfId="462" applyFont="1" applyBorder="1" applyAlignment="1">
      <alignment horizontal="center" vertical="center" wrapText="1"/>
    </xf>
    <xf numFmtId="0" fontId="6" fillId="0" borderId="48" xfId="462" applyFont="1" applyBorder="1"/>
    <xf numFmtId="0" fontId="2" fillId="0" borderId="1" xfId="462" applyFont="1" applyBorder="1" applyAlignment="1">
      <alignment horizontal="center"/>
    </xf>
    <xf numFmtId="0" fontId="2" fillId="0" borderId="1" xfId="462" applyFont="1" applyBorder="1" applyAlignment="1">
      <alignment horizontal="center" wrapText="1"/>
    </xf>
    <xf numFmtId="2" fontId="2" fillId="3" borderId="1" xfId="462" applyNumberFormat="1" applyFont="1" applyFill="1" applyBorder="1" applyAlignment="1"/>
    <xf numFmtId="1" fontId="2" fillId="3" borderId="1" xfId="462" applyNumberFormat="1" applyFont="1" applyFill="1" applyBorder="1" applyAlignment="1"/>
    <xf numFmtId="0" fontId="2" fillId="75" borderId="1" xfId="462" applyFont="1" applyFill="1" applyBorder="1"/>
    <xf numFmtId="2" fontId="2" fillId="3" borderId="13" xfId="467" applyNumberFormat="1" applyFont="1" applyFill="1" applyAlignment="1"/>
    <xf numFmtId="3" fontId="2" fillId="3" borderId="1" xfId="462" applyNumberFormat="1" applyFont="1" applyFill="1" applyBorder="1" applyAlignment="1"/>
    <xf numFmtId="4" fontId="2" fillId="3" borderId="1" xfId="462" applyNumberFormat="1" applyFont="1" applyFill="1" applyBorder="1" applyAlignment="1"/>
    <xf numFmtId="0" fontId="6" fillId="37" borderId="1" xfId="462" applyFill="1" applyBorder="1" applyProtection="1">
      <protection locked="0"/>
    </xf>
    <xf numFmtId="0" fontId="2" fillId="0" borderId="0" xfId="462" applyFont="1" applyFill="1" applyBorder="1" applyAlignment="1">
      <alignment horizontal="center"/>
    </xf>
    <xf numFmtId="0" fontId="2" fillId="0" borderId="0" xfId="462" applyFont="1" applyFill="1" applyBorder="1" applyAlignment="1">
      <alignment horizontal="center" wrapText="1"/>
    </xf>
    <xf numFmtId="0" fontId="2" fillId="0" borderId="0" xfId="462" applyFont="1" applyFill="1" applyBorder="1"/>
    <xf numFmtId="173" fontId="2" fillId="0" borderId="0" xfId="462" applyNumberFormat="1" applyFont="1" applyFill="1" applyBorder="1" applyAlignment="1" applyProtection="1">
      <protection locked="0"/>
    </xf>
    <xf numFmtId="1" fontId="82" fillId="0" borderId="1" xfId="0" applyNumberFormat="1" applyFont="1" applyBorder="1" applyProtection="1">
      <protection locked="0"/>
    </xf>
    <xf numFmtId="1" fontId="82" fillId="0" borderId="4" xfId="0" applyNumberFormat="1" applyFont="1" applyBorder="1" applyProtection="1">
      <protection locked="0"/>
    </xf>
    <xf numFmtId="0" fontId="0" fillId="70" borderId="29" xfId="0" applyFill="1" applyBorder="1" applyAlignment="1">
      <alignment horizontal="center"/>
    </xf>
    <xf numFmtId="0" fontId="0" fillId="70" borderId="30" xfId="0" applyFill="1" applyBorder="1" applyAlignment="1">
      <alignment horizontal="center"/>
    </xf>
    <xf numFmtId="9" fontId="0" fillId="70" borderId="29" xfId="0" applyNumberFormat="1" applyFill="1" applyBorder="1" applyAlignment="1">
      <alignment horizontal="center"/>
    </xf>
    <xf numFmtId="0" fontId="22" fillId="4" borderId="44" xfId="0" applyFont="1" applyFill="1" applyBorder="1" applyAlignment="1">
      <alignment horizontal="center"/>
    </xf>
    <xf numFmtId="0" fontId="84" fillId="4" borderId="26" xfId="0" applyFont="1" applyFill="1" applyBorder="1" applyAlignment="1">
      <alignment horizontal="center" vertical="center"/>
    </xf>
    <xf numFmtId="0" fontId="84" fillId="4" borderId="27" xfId="0" applyFont="1" applyFill="1" applyBorder="1" applyAlignment="1">
      <alignment horizontal="center" vertical="center"/>
    </xf>
    <xf numFmtId="0" fontId="84" fillId="4" borderId="57" xfId="0" applyFont="1" applyFill="1" applyBorder="1" applyAlignment="1">
      <alignment horizontal="center" vertical="center"/>
    </xf>
    <xf numFmtId="0" fontId="84" fillId="0" borderId="26" xfId="0" applyFont="1" applyFill="1" applyBorder="1" applyAlignment="1">
      <alignment horizontal="center" vertical="center"/>
    </xf>
    <xf numFmtId="0" fontId="84" fillId="0" borderId="27" xfId="0" applyFont="1" applyFill="1" applyBorder="1" applyAlignment="1">
      <alignment horizontal="center" vertical="center"/>
    </xf>
    <xf numFmtId="0" fontId="84" fillId="0" borderId="57" xfId="0" applyFont="1" applyFill="1" applyBorder="1" applyAlignment="1">
      <alignment horizontal="center" vertical="center"/>
    </xf>
    <xf numFmtId="0" fontId="83" fillId="0" borderId="26" xfId="0" applyFont="1" applyBorder="1" applyAlignment="1">
      <alignment horizontal="center" vertical="center"/>
    </xf>
    <xf numFmtId="0" fontId="83" fillId="0" borderId="27" xfId="0" applyFont="1" applyBorder="1" applyAlignment="1">
      <alignment horizontal="center" vertical="center"/>
    </xf>
    <xf numFmtId="0" fontId="83" fillId="0" borderId="55" xfId="0" applyFont="1" applyBorder="1" applyAlignment="1">
      <alignment horizontal="center" vertical="center"/>
    </xf>
    <xf numFmtId="0" fontId="83" fillId="0" borderId="52" xfId="0" applyFont="1" applyBorder="1" applyAlignment="1">
      <alignment horizontal="center" vertical="center"/>
    </xf>
    <xf numFmtId="0" fontId="83" fillId="0" borderId="28" xfId="0" applyFont="1" applyBorder="1" applyAlignment="1">
      <alignment horizontal="center" vertical="center"/>
    </xf>
    <xf numFmtId="2" fontId="87" fillId="4" borderId="2" xfId="0" applyNumberFormat="1" applyFont="1" applyFill="1" applyBorder="1" applyAlignment="1">
      <alignment horizontal="center"/>
    </xf>
    <xf numFmtId="2" fontId="87" fillId="4" borderId="3" xfId="0" applyNumberFormat="1" applyFont="1" applyFill="1" applyBorder="1" applyAlignment="1">
      <alignment horizontal="center"/>
    </xf>
    <xf numFmtId="2" fontId="87" fillId="4" borderId="4" xfId="0" applyNumberFormat="1" applyFont="1" applyFill="1" applyBorder="1" applyAlignment="1">
      <alignment horizontal="center"/>
    </xf>
    <xf numFmtId="0" fontId="25" fillId="0" borderId="32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2" fontId="87" fillId="0" borderId="2" xfId="0" applyNumberFormat="1" applyFont="1" applyBorder="1" applyAlignment="1">
      <alignment horizontal="center"/>
    </xf>
    <xf numFmtId="2" fontId="87" fillId="0" borderId="3" xfId="0" applyNumberFormat="1" applyFont="1" applyBorder="1" applyAlignment="1">
      <alignment horizontal="center"/>
    </xf>
    <xf numFmtId="2" fontId="87" fillId="0" borderId="4" xfId="0" applyNumberFormat="1" applyFont="1" applyBorder="1" applyAlignment="1">
      <alignment horizontal="center"/>
    </xf>
    <xf numFmtId="1" fontId="87" fillId="4" borderId="2" xfId="0" applyNumberFormat="1" applyFont="1" applyFill="1" applyBorder="1" applyAlignment="1">
      <alignment horizontal="center"/>
    </xf>
    <xf numFmtId="1" fontId="87" fillId="4" borderId="3" xfId="0" applyNumberFormat="1" applyFont="1" applyFill="1" applyBorder="1" applyAlignment="1">
      <alignment horizontal="center"/>
    </xf>
    <xf numFmtId="1" fontId="87" fillId="4" borderId="4" xfId="0" applyNumberFormat="1" applyFont="1" applyFill="1" applyBorder="1" applyAlignment="1">
      <alignment horizontal="center"/>
    </xf>
    <xf numFmtId="0" fontId="87" fillId="0" borderId="2" xfId="0" applyFont="1" applyBorder="1" applyAlignment="1">
      <alignment horizontal="center"/>
    </xf>
    <xf numFmtId="0" fontId="87" fillId="0" borderId="3" xfId="0" applyFont="1" applyBorder="1" applyAlignment="1">
      <alignment horizontal="center"/>
    </xf>
    <xf numFmtId="0" fontId="87" fillId="0" borderId="4" xfId="0" applyFont="1" applyBorder="1" applyAlignment="1">
      <alignment horizontal="center"/>
    </xf>
    <xf numFmtId="173" fontId="0" fillId="70" borderId="1" xfId="389" applyNumberFormat="1" applyFont="1" applyFill="1" applyBorder="1"/>
    <xf numFmtId="0" fontId="79" fillId="0" borderId="1" xfId="0" applyFont="1" applyBorder="1"/>
    <xf numFmtId="0" fontId="79" fillId="0" borderId="4" xfId="0" applyFont="1" applyBorder="1"/>
  </cellXfs>
  <cellStyles count="468">
    <cellStyle name="_ColumnTitles" xfId="26"/>
    <cellStyle name="_ColumnTitles 2" xfId="27"/>
    <cellStyle name="_DateRange" xfId="28"/>
    <cellStyle name="_DateRange 2" xfId="29"/>
    <cellStyle name="_Hidden" xfId="30"/>
    <cellStyle name="_Normal" xfId="31"/>
    <cellStyle name="_Percentage" xfId="32"/>
    <cellStyle name="_PercentageBold" xfId="33"/>
    <cellStyle name="_SeriesAttributes" xfId="34"/>
    <cellStyle name="_SeriesAttributes 2" xfId="35"/>
    <cellStyle name="_SeriesData" xfId="36"/>
    <cellStyle name="_SeriesData 2" xfId="37"/>
    <cellStyle name="_SeriesDataNA" xfId="38"/>
    <cellStyle name="_SeriesDataStatistics" xfId="39"/>
    <cellStyle name="20% - Accent1 2" xfId="40"/>
    <cellStyle name="20% - Accent1 2 2" xfId="41"/>
    <cellStyle name="20% - Accent1 2 3" xfId="42"/>
    <cellStyle name="20% - Accent1 3" xfId="43"/>
    <cellStyle name="20% - Accent1 4" xfId="44"/>
    <cellStyle name="20% - Accent1 5" xfId="45"/>
    <cellStyle name="20% - Accent1 6" xfId="46"/>
    <cellStyle name="20% - Accent1 7" xfId="47"/>
    <cellStyle name="20% - Accent2 2" xfId="48"/>
    <cellStyle name="20% - Accent2 2 2" xfId="49"/>
    <cellStyle name="20% - Accent2 2 3" xfId="50"/>
    <cellStyle name="20% - Accent2 3" xfId="51"/>
    <cellStyle name="20% - Accent2 4" xfId="52"/>
    <cellStyle name="20% - Accent2 5" xfId="53"/>
    <cellStyle name="20% - Accent2 6" xfId="54"/>
    <cellStyle name="20% - Accent2 7" xfId="55"/>
    <cellStyle name="20% - Accent3 2" xfId="56"/>
    <cellStyle name="20% - Accent3 2 2" xfId="57"/>
    <cellStyle name="20% - Accent3 2 3" xfId="58"/>
    <cellStyle name="20% - Accent3 3" xfId="59"/>
    <cellStyle name="20% - Accent3 4" xfId="60"/>
    <cellStyle name="20% - Accent3 5" xfId="61"/>
    <cellStyle name="20% - Accent3 6" xfId="62"/>
    <cellStyle name="20% - Accent3 7" xfId="63"/>
    <cellStyle name="20% - Accent4 2" xfId="64"/>
    <cellStyle name="20% - Accent4 2 2" xfId="65"/>
    <cellStyle name="20% - Accent4 2 3" xfId="66"/>
    <cellStyle name="20% - Accent4 3" xfId="67"/>
    <cellStyle name="20% - Accent4 4" xfId="68"/>
    <cellStyle name="20% - Accent4 5" xfId="69"/>
    <cellStyle name="20% - Accent4 6" xfId="70"/>
    <cellStyle name="20% - Accent4 7" xfId="71"/>
    <cellStyle name="20% - Accent5 2" xfId="72"/>
    <cellStyle name="20% - Accent5 2 2" xfId="73"/>
    <cellStyle name="20% - Accent5 2 3" xfId="74"/>
    <cellStyle name="20% - Accent5 3" xfId="75"/>
    <cellStyle name="20% - Accent5 4" xfId="76"/>
    <cellStyle name="20% - Accent5 5" xfId="77"/>
    <cellStyle name="20% - Accent5 6" xfId="78"/>
    <cellStyle name="20% - Accent5 7" xfId="79"/>
    <cellStyle name="20% - Accent6 2" xfId="80"/>
    <cellStyle name="20% - Accent6 2 2" xfId="81"/>
    <cellStyle name="20% - Accent6 2 3" xfId="82"/>
    <cellStyle name="20% - Accent6 3" xfId="83"/>
    <cellStyle name="20% - Accent6 4" xfId="84"/>
    <cellStyle name="20% - Accent6 5" xfId="85"/>
    <cellStyle name="20% - Accent6 6" xfId="86"/>
    <cellStyle name="20% - Accent6 7" xfId="87"/>
    <cellStyle name="40% - Accent1 2" xfId="88"/>
    <cellStyle name="40% - Accent1 2 2" xfId="89"/>
    <cellStyle name="40% - Accent1 2 3" xfId="90"/>
    <cellStyle name="40% - Accent1 3" xfId="91"/>
    <cellStyle name="40% - Accent1 4" xfId="92"/>
    <cellStyle name="40% - Accent1 5" xfId="93"/>
    <cellStyle name="40% - Accent1 6" xfId="94"/>
    <cellStyle name="40% - Accent1 7" xfId="95"/>
    <cellStyle name="40% - Accent2 2" xfId="96"/>
    <cellStyle name="40% - Accent2 2 2" xfId="97"/>
    <cellStyle name="40% - Accent2 2 3" xfId="98"/>
    <cellStyle name="40% - Accent2 3" xfId="99"/>
    <cellStyle name="40% - Accent2 4" xfId="100"/>
    <cellStyle name="40% - Accent2 5" xfId="101"/>
    <cellStyle name="40% - Accent2 6" xfId="102"/>
    <cellStyle name="40% - Accent2 7" xfId="103"/>
    <cellStyle name="40% - Accent3 2" xfId="104"/>
    <cellStyle name="40% - Accent3 2 2" xfId="105"/>
    <cellStyle name="40% - Accent3 2 3" xfId="106"/>
    <cellStyle name="40% - Accent3 3" xfId="107"/>
    <cellStyle name="40% - Accent3 4" xfId="108"/>
    <cellStyle name="40% - Accent3 5" xfId="109"/>
    <cellStyle name="40% - Accent3 6" xfId="110"/>
    <cellStyle name="40% - Accent3 7" xfId="111"/>
    <cellStyle name="40% - Accent4 2" xfId="112"/>
    <cellStyle name="40% - Accent4 2 2" xfId="113"/>
    <cellStyle name="40% - Accent4 2 3" xfId="114"/>
    <cellStyle name="40% - Accent4 3" xfId="115"/>
    <cellStyle name="40% - Accent4 4" xfId="116"/>
    <cellStyle name="40% - Accent4 5" xfId="117"/>
    <cellStyle name="40% - Accent4 6" xfId="118"/>
    <cellStyle name="40% - Accent4 7" xfId="119"/>
    <cellStyle name="40% - Accent5 2" xfId="120"/>
    <cellStyle name="40% - Accent5 2 2" xfId="121"/>
    <cellStyle name="40% - Accent5 2 3" xfId="122"/>
    <cellStyle name="40% - Accent5 3" xfId="123"/>
    <cellStyle name="40% - Accent5 4" xfId="124"/>
    <cellStyle name="40% - Accent5 5" xfId="125"/>
    <cellStyle name="40% - Accent5 6" xfId="126"/>
    <cellStyle name="40% - Accent5 7" xfId="127"/>
    <cellStyle name="40% - Accent6 2" xfId="128"/>
    <cellStyle name="40% - Accent6 2 2" xfId="129"/>
    <cellStyle name="40% - Accent6 2 3" xfId="130"/>
    <cellStyle name="40% - Accent6 3" xfId="131"/>
    <cellStyle name="40% - Accent6 4" xfId="132"/>
    <cellStyle name="40% - Accent6 5" xfId="133"/>
    <cellStyle name="40% - Accent6 6" xfId="134"/>
    <cellStyle name="40% - Accent6 7" xfId="135"/>
    <cellStyle name="60% - Accent1 2" xfId="136"/>
    <cellStyle name="60% - Accent1 2 2" xfId="137"/>
    <cellStyle name="60% - Accent1 2 3" xfId="138"/>
    <cellStyle name="60% - Accent1 3" xfId="139"/>
    <cellStyle name="60% - Accent2 2" xfId="140"/>
    <cellStyle name="60% - Accent2 2 2" xfId="141"/>
    <cellStyle name="60% - Accent2 2 3" xfId="142"/>
    <cellStyle name="60% - Accent2 3" xfId="143"/>
    <cellStyle name="60% - Accent3 2" xfId="144"/>
    <cellStyle name="60% - Accent3 2 2" xfId="145"/>
    <cellStyle name="60% - Accent3 2 3" xfId="146"/>
    <cellStyle name="60% - Accent3 3" xfId="147"/>
    <cellStyle name="60% - Accent4 2" xfId="148"/>
    <cellStyle name="60% - Accent4 2 2" xfId="149"/>
    <cellStyle name="60% - Accent4 2 3" xfId="150"/>
    <cellStyle name="60% - Accent4 3" xfId="151"/>
    <cellStyle name="60% - Accent5 2" xfId="152"/>
    <cellStyle name="60% - Accent5 2 2" xfId="153"/>
    <cellStyle name="60% - Accent5 2 3" xfId="154"/>
    <cellStyle name="60% - Accent5 3" xfId="155"/>
    <cellStyle name="60% - Accent6 2" xfId="156"/>
    <cellStyle name="60% - Accent6 2 2" xfId="157"/>
    <cellStyle name="60% - Accent6 2 3" xfId="158"/>
    <cellStyle name="60% - Accent6 3" xfId="159"/>
    <cellStyle name="Accent1 2" xfId="160"/>
    <cellStyle name="Accent1 2 2" xfId="161"/>
    <cellStyle name="Accent1 2 3" xfId="162"/>
    <cellStyle name="Accent1 3" xfId="163"/>
    <cellStyle name="Accent2 2" xfId="164"/>
    <cellStyle name="Accent2 2 2" xfId="165"/>
    <cellStyle name="Accent2 2 3" xfId="166"/>
    <cellStyle name="Accent2 3" xfId="167"/>
    <cellStyle name="Accent3 2" xfId="168"/>
    <cellStyle name="Accent3 2 2" xfId="169"/>
    <cellStyle name="Accent3 2 3" xfId="170"/>
    <cellStyle name="Accent3 3" xfId="171"/>
    <cellStyle name="Accent4 2" xfId="172"/>
    <cellStyle name="Accent4 2 2" xfId="173"/>
    <cellStyle name="Accent4 2 3" xfId="174"/>
    <cellStyle name="Accent4 3" xfId="175"/>
    <cellStyle name="Accent5 2" xfId="176"/>
    <cellStyle name="Accent5 2 2" xfId="177"/>
    <cellStyle name="Accent5 2 3" xfId="178"/>
    <cellStyle name="Accent5 3" xfId="179"/>
    <cellStyle name="Accent6 2" xfId="180"/>
    <cellStyle name="Accent6 2 2" xfId="181"/>
    <cellStyle name="Accent6 2 3" xfId="182"/>
    <cellStyle name="Accent6 3" xfId="183"/>
    <cellStyle name="Bad" xfId="6" builtinId="27"/>
    <cellStyle name="Bad 2" xfId="184"/>
    <cellStyle name="Bad 2 2" xfId="185"/>
    <cellStyle name="Bad 2 3" xfId="186"/>
    <cellStyle name="Bad 3" xfId="187"/>
    <cellStyle name="Calculation 2" xfId="188"/>
    <cellStyle name="Calculation 2 2" xfId="189"/>
    <cellStyle name="Calculation 2 2 2" xfId="190"/>
    <cellStyle name="Calculation 2 3" xfId="191"/>
    <cellStyle name="Calculation 3" xfId="192"/>
    <cellStyle name="Check Cell 2" xfId="193"/>
    <cellStyle name="Check Cell 2 2" xfId="194"/>
    <cellStyle name="Check Cell 2 3" xfId="195"/>
    <cellStyle name="Check Cell 3" xfId="196"/>
    <cellStyle name="Comma [0] 2" xfId="197"/>
    <cellStyle name="Comma [0] 2 2" xfId="198"/>
    <cellStyle name="Comma [0] 3" xfId="199"/>
    <cellStyle name="Comma 10" xfId="200"/>
    <cellStyle name="Comma 11" xfId="201"/>
    <cellStyle name="Comma 11 2" xfId="202"/>
    <cellStyle name="Comma 12" xfId="388"/>
    <cellStyle name="Comma 2" xfId="2"/>
    <cellStyle name="Comma 2 2" xfId="203"/>
    <cellStyle name="Comma 2 2 2" xfId="204"/>
    <cellStyle name="Comma 2 3" xfId="205"/>
    <cellStyle name="Comma 2 4" xfId="206"/>
    <cellStyle name="Comma 2 5" xfId="207"/>
    <cellStyle name="Comma 2 6" xfId="208"/>
    <cellStyle name="Comma 3" xfId="209"/>
    <cellStyle name="Comma 3 2" xfId="210"/>
    <cellStyle name="Comma 3 3" xfId="211"/>
    <cellStyle name="Comma 3 4" xfId="212"/>
    <cellStyle name="Comma 4" xfId="213"/>
    <cellStyle name="Comma 4 2" xfId="214"/>
    <cellStyle name="Comma 5" xfId="215"/>
    <cellStyle name="Comma 5 2" xfId="216"/>
    <cellStyle name="Comma 5 3" xfId="217"/>
    <cellStyle name="Comma 5 4" xfId="218"/>
    <cellStyle name="Comma 6" xfId="219"/>
    <cellStyle name="Comma 7" xfId="220"/>
    <cellStyle name="Comma 8" xfId="221"/>
    <cellStyle name="Comma 9" xfId="222"/>
    <cellStyle name="Comma0" xfId="223"/>
    <cellStyle name="Currency" xfId="461" builtinId="4"/>
    <cellStyle name="Currency 2" xfId="224"/>
    <cellStyle name="Currency 3" xfId="225"/>
    <cellStyle name="Currency0" xfId="226"/>
    <cellStyle name="Date" xfId="227"/>
    <cellStyle name="DateTime" xfId="9"/>
    <cellStyle name="Explanatory Text 2" xfId="228"/>
    <cellStyle name="Explanatory Text 2 2" xfId="229"/>
    <cellStyle name="Explanatory Text 2 3" xfId="230"/>
    <cellStyle name="Explanatory Text 3" xfId="231"/>
    <cellStyle name="Fixed" xfId="232"/>
    <cellStyle name="Followed Hyperlink" xfId="391" builtinId="9" hidden="1"/>
    <cellStyle name="Followed Hyperlink" xfId="392" builtinId="9" hidden="1"/>
    <cellStyle name="Followed Hyperlink" xfId="393" builtinId="9" hidden="1"/>
    <cellStyle name="Followed Hyperlink" xfId="394" builtinId="9" hidden="1"/>
    <cellStyle name="Followed Hyperlink" xfId="395" builtinId="9" hidden="1"/>
    <cellStyle name="Followed Hyperlink" xfId="396" builtinId="9" hidden="1"/>
    <cellStyle name="Followed Hyperlink" xfId="397" builtinId="9" hidden="1"/>
    <cellStyle name="Followed Hyperlink" xfId="398" builtinId="9" hidden="1"/>
    <cellStyle name="Followed Hyperlink" xfId="399" builtinId="9" hidden="1"/>
    <cellStyle name="Followed Hyperlink" xfId="400" builtinId="9" hidden="1"/>
    <cellStyle name="Followed Hyperlink" xfId="401" builtinId="9" hidden="1"/>
    <cellStyle name="Followed Hyperlink" xfId="402" builtinId="9" hidden="1"/>
    <cellStyle name="Followed Hyperlink" xfId="403" builtinId="9" hidden="1"/>
    <cellStyle name="Followed Hyperlink" xfId="404" builtinId="9" hidden="1"/>
    <cellStyle name="Followed Hyperlink" xfId="405" builtinId="9" hidden="1"/>
    <cellStyle name="Followed Hyperlink" xfId="406" builtinId="9" hidden="1"/>
    <cellStyle name="Followed Hyperlink" xfId="407" builtinId="9" hidden="1"/>
    <cellStyle name="Followed Hyperlink" xfId="408" builtinId="9" hidden="1"/>
    <cellStyle name="Followed Hyperlink" xfId="409" builtinId="9" hidden="1"/>
    <cellStyle name="Followed Hyperlink" xfId="410" builtinId="9" hidden="1"/>
    <cellStyle name="Followed Hyperlink" xfId="411" builtinId="9" hidden="1"/>
    <cellStyle name="Followed Hyperlink" xfId="412" builtinId="9" hidden="1"/>
    <cellStyle name="Followed Hyperlink" xfId="413" builtinId="9" hidden="1"/>
    <cellStyle name="Followed Hyperlink" xfId="414" builtinId="9" hidden="1"/>
    <cellStyle name="Followed Hyperlink" xfId="415" builtinId="9" hidden="1"/>
    <cellStyle name="Followed Hyperlink" xfId="416" builtinId="9" hidden="1"/>
    <cellStyle name="Followed Hyperlink" xfId="417" builtinId="9" hidden="1"/>
    <cellStyle name="Followed Hyperlink" xfId="418" builtinId="9" hidden="1"/>
    <cellStyle name="Followed Hyperlink" xfId="419" builtinId="9" hidden="1"/>
    <cellStyle name="Followed Hyperlink" xfId="420" builtinId="9" hidden="1"/>
    <cellStyle name="Followed Hyperlink" xfId="421" builtinId="9" hidden="1"/>
    <cellStyle name="Followed Hyperlink" xfId="422" builtinId="9" hidden="1"/>
    <cellStyle name="Followed Hyperlink" xfId="423" builtinId="9" hidden="1"/>
    <cellStyle name="Followed Hyperlink" xfId="424" builtinId="9" hidden="1"/>
    <cellStyle name="Followed Hyperlink" xfId="425" builtinId="9" hidden="1"/>
    <cellStyle name="Followed Hyperlink" xfId="426" builtinId="9" hidden="1"/>
    <cellStyle name="Followed Hyperlink" xfId="427" builtinId="9" hidden="1"/>
    <cellStyle name="Followed Hyperlink" xfId="428" builtinId="9" hidden="1"/>
    <cellStyle name="Followed Hyperlink" xfId="429" builtinId="9" hidden="1"/>
    <cellStyle name="Followed Hyperlink" xfId="430" builtinId="9" hidden="1"/>
    <cellStyle name="Followed Hyperlink" xfId="431" builtinId="9" hidden="1"/>
    <cellStyle name="Followed Hyperlink" xfId="432" builtinId="9" hidden="1"/>
    <cellStyle name="Followed Hyperlink" xfId="433" builtinId="9" hidden="1"/>
    <cellStyle name="Followed Hyperlink" xfId="434" builtinId="9" hidden="1"/>
    <cellStyle name="Followed Hyperlink" xfId="435" builtinId="9" hidden="1"/>
    <cellStyle name="Followed Hyperlink" xfId="436" builtinId="9" hidden="1"/>
    <cellStyle name="Followed Hyperlink" xfId="437" builtinId="9" hidden="1"/>
    <cellStyle name="Followed Hyperlink" xfId="438" builtinId="9" hidden="1"/>
    <cellStyle name="Followed Hyperlink" xfId="439" builtinId="9" hidden="1"/>
    <cellStyle name="Followed Hyperlink" xfId="440" builtinId="9" hidden="1"/>
    <cellStyle name="Followed Hyperlink" xfId="441" builtinId="9" hidden="1"/>
    <cellStyle name="Followed Hyperlink" xfId="442" builtinId="9" hidden="1"/>
    <cellStyle name="Followed Hyperlink" xfId="443" builtinId="9" hidden="1"/>
    <cellStyle name="Followed Hyperlink" xfId="444" builtinId="9" hidden="1"/>
    <cellStyle name="Followed Hyperlink" xfId="445" builtinId="9" hidden="1"/>
    <cellStyle name="Followed Hyperlink" xfId="446" builtinId="9" hidden="1"/>
    <cellStyle name="Followed Hyperlink" xfId="447" builtinId="9" hidden="1"/>
    <cellStyle name="Followed Hyperlink" xfId="448" builtinId="9" hidden="1"/>
    <cellStyle name="Followed Hyperlink" xfId="449" builtinId="9" hidden="1"/>
    <cellStyle name="Followed Hyperlink" xfId="450" builtinId="9" hidden="1"/>
    <cellStyle name="Followed Hyperlink" xfId="451" builtinId="9" hidden="1"/>
    <cellStyle name="Followed Hyperlink" xfId="452" builtinId="9" hidden="1"/>
    <cellStyle name="Followed Hyperlink" xfId="453" builtinId="9" hidden="1"/>
    <cellStyle name="Followed Hyperlink" xfId="454" builtinId="9" hidden="1"/>
    <cellStyle name="Followed Hyperlink" xfId="455" builtinId="9" hidden="1"/>
    <cellStyle name="Followed Hyperlink" xfId="456" builtinId="9" hidden="1"/>
    <cellStyle name="Followed Hyperlink" xfId="457" builtinId="9" hidden="1"/>
    <cellStyle name="Followed Hyperlink" xfId="458" builtinId="9" hidden="1"/>
    <cellStyle name="Followed Hyperlink" xfId="459" builtinId="9" hidden="1"/>
    <cellStyle name="Followed Hyperlink" xfId="460" builtinId="9" hidden="1"/>
    <cellStyle name="Followed Hyperlink 2" xfId="233"/>
    <cellStyle name="Good 2" xfId="234"/>
    <cellStyle name="Good 2 2" xfId="235"/>
    <cellStyle name="Good 2 3" xfId="236"/>
    <cellStyle name="Good 3" xfId="237"/>
    <cellStyle name="Heading 1 2" xfId="238"/>
    <cellStyle name="Heading 1 2 2" xfId="239"/>
    <cellStyle name="Heading 1 2 3" xfId="240"/>
    <cellStyle name="Heading 1 3" xfId="241"/>
    <cellStyle name="Heading 2 2" xfId="242"/>
    <cellStyle name="Heading 2 2 2" xfId="243"/>
    <cellStyle name="Heading 2 2 3" xfId="244"/>
    <cellStyle name="Heading 2 3" xfId="245"/>
    <cellStyle name="Heading 3 2" xfId="246"/>
    <cellStyle name="Heading 3 2 2" xfId="247"/>
    <cellStyle name="Heading 3 2 3" xfId="248"/>
    <cellStyle name="Heading 3 3" xfId="249"/>
    <cellStyle name="Heading 4 2" xfId="250"/>
    <cellStyle name="Heading 4 2 2" xfId="251"/>
    <cellStyle name="Heading 4 2 3" xfId="252"/>
    <cellStyle name="Heading 4 3" xfId="253"/>
    <cellStyle name="Hyperlink" xfId="390" builtinId="8"/>
    <cellStyle name="Hyperlink 2" xfId="8"/>
    <cellStyle name="Hyperlink 3" xfId="254"/>
    <cellStyle name="Hyperlink 4" xfId="255"/>
    <cellStyle name="Hyperlink 4 2" xfId="256"/>
    <cellStyle name="Hyperlink 5" xfId="257"/>
    <cellStyle name="Input 2" xfId="258"/>
    <cellStyle name="Input 2 2" xfId="259"/>
    <cellStyle name="Input 2 2 2" xfId="260"/>
    <cellStyle name="Input 2 3" xfId="261"/>
    <cellStyle name="Input 3" xfId="262"/>
    <cellStyle name="Linked Cell 2" xfId="263"/>
    <cellStyle name="Linked Cell 2 2" xfId="264"/>
    <cellStyle name="Linked Cell 2 3" xfId="265"/>
    <cellStyle name="Linked Cell 3" xfId="266"/>
    <cellStyle name="Neutral 2" xfId="267"/>
    <cellStyle name="Neutral 2 2" xfId="268"/>
    <cellStyle name="Neutral 2 3" xfId="269"/>
    <cellStyle name="Neutral 3" xfId="270"/>
    <cellStyle name="Normal" xfId="0" builtinId="0"/>
    <cellStyle name="Normal 10" xfId="271"/>
    <cellStyle name="Normal 11" xfId="272"/>
    <cellStyle name="Normal 11 2" xfId="462"/>
    <cellStyle name="Normal 12" xfId="273"/>
    <cellStyle name="Normal 13" xfId="274"/>
    <cellStyle name="Normal 14" xfId="275"/>
    <cellStyle name="Normal 15" xfId="276"/>
    <cellStyle name="Normal 15 2" xfId="277"/>
    <cellStyle name="Normal 16" xfId="278"/>
    <cellStyle name="Normal 16 2" xfId="279"/>
    <cellStyle name="Normal 16 3" xfId="280"/>
    <cellStyle name="Normal 17" xfId="281"/>
    <cellStyle name="Normal 17 2" xfId="282"/>
    <cellStyle name="Normal 18" xfId="283"/>
    <cellStyle name="Normal 19" xfId="284"/>
    <cellStyle name="Normal 2" xfId="3"/>
    <cellStyle name="Normal 2 2" xfId="285"/>
    <cellStyle name="Normal 2 2 2" xfId="286"/>
    <cellStyle name="Normal 2 2 2 2" xfId="287"/>
    <cellStyle name="Normal 2 3" xfId="1"/>
    <cellStyle name="Normal 2 3 2" xfId="288"/>
    <cellStyle name="Normal 2 4" xfId="289"/>
    <cellStyle name="Normal 2 4 2" xfId="290"/>
    <cellStyle name="Normal 2 4 2 2" xfId="291"/>
    <cellStyle name="Normal 2 4 3" xfId="292"/>
    <cellStyle name="Normal 2 5" xfId="293"/>
    <cellStyle name="Normal 2 6" xfId="294"/>
    <cellStyle name="Normal 20" xfId="387"/>
    <cellStyle name="Normal 21" xfId="463"/>
    <cellStyle name="Normal 3" xfId="4"/>
    <cellStyle name="Normal 3 2" xfId="7"/>
    <cellStyle name="Normal 3 2 2" xfId="295"/>
    <cellStyle name="Normal 3 3" xfId="296"/>
    <cellStyle name="Normal 3 4" xfId="297"/>
    <cellStyle name="Normal 3 5" xfId="298"/>
    <cellStyle name="Normal 4" xfId="5"/>
    <cellStyle name="Normal 4 2" xfId="299"/>
    <cellStyle name="Normal 4 2 2" xfId="300"/>
    <cellStyle name="Normal 4 2 3" xfId="301"/>
    <cellStyle name="Normal 4 3" xfId="302"/>
    <cellStyle name="Normal 4 4" xfId="303"/>
    <cellStyle name="Normal 4 5" xfId="304"/>
    <cellStyle name="Normal 4 6" xfId="305"/>
    <cellStyle name="Normal 5" xfId="306"/>
    <cellStyle name="Normal 5 2" xfId="307"/>
    <cellStyle name="Normal 5 2 2" xfId="308"/>
    <cellStyle name="Normal 5 3" xfId="309"/>
    <cellStyle name="Normal 6" xfId="310"/>
    <cellStyle name="Normal 6 2" xfId="311"/>
    <cellStyle name="Normal 6 2 2" xfId="312"/>
    <cellStyle name="Normal 6 3" xfId="313"/>
    <cellStyle name="Normal 6 4" xfId="314"/>
    <cellStyle name="Normal 6 5" xfId="315"/>
    <cellStyle name="Normal 7" xfId="316"/>
    <cellStyle name="Normal 7 2" xfId="317"/>
    <cellStyle name="Normal 8" xfId="318"/>
    <cellStyle name="Normal 8 2" xfId="319"/>
    <cellStyle name="Normal 9" xfId="320"/>
    <cellStyle name="Normal 9 2" xfId="321"/>
    <cellStyle name="Note 2" xfId="322"/>
    <cellStyle name="Note 2 2" xfId="323"/>
    <cellStyle name="Note 2 2 2" xfId="324"/>
    <cellStyle name="Note 2 2 2 2" xfId="325"/>
    <cellStyle name="Note 2 3" xfId="326"/>
    <cellStyle name="Note 2 3 2" xfId="327"/>
    <cellStyle name="Note 3" xfId="328"/>
    <cellStyle name="Note 3 2" xfId="329"/>
    <cellStyle name="Note 4" xfId="330"/>
    <cellStyle name="Note 4 2" xfId="331"/>
    <cellStyle name="Note 5" xfId="332"/>
    <cellStyle name="Note 6" xfId="333"/>
    <cellStyle name="Note 7" xfId="334"/>
    <cellStyle name="Note 8" xfId="335"/>
    <cellStyle name="Note 9" xfId="336"/>
    <cellStyle name="Output 2" xfId="337"/>
    <cellStyle name="Output 2 2" xfId="338"/>
    <cellStyle name="Output 2 2 2" xfId="339"/>
    <cellStyle name="Output 2 3" xfId="340"/>
    <cellStyle name="Output 3" xfId="341"/>
    <cellStyle name="Percent" xfId="389" builtinId="5"/>
    <cellStyle name="Percent 2" xfId="342"/>
    <cellStyle name="Percent 2 2" xfId="343"/>
    <cellStyle name="Percent 2 2 2" xfId="344"/>
    <cellStyle name="Percent 2 3" xfId="345"/>
    <cellStyle name="Percent 2 4" xfId="346"/>
    <cellStyle name="Percent 2 5" xfId="347"/>
    <cellStyle name="Percent 3" xfId="348"/>
    <cellStyle name="Percent 3 2" xfId="349"/>
    <cellStyle name="Percent 3 3" xfId="350"/>
    <cellStyle name="Percent 4" xfId="351"/>
    <cellStyle name="Percent 4 2" xfId="352"/>
    <cellStyle name="Percent 5" xfId="353"/>
    <cellStyle name="Percent 6" xfId="354"/>
    <cellStyle name="Percent 6 2" xfId="355"/>
    <cellStyle name="Percent 7" xfId="356"/>
    <cellStyle name="Percent 7 2" xfId="464"/>
    <cellStyle name="Percent 8" xfId="357"/>
    <cellStyle name="Percent 8 2" xfId="358"/>
    <cellStyle name="Percent 9" xfId="465"/>
    <cellStyle name="Random_bit_of_data" xfId="466"/>
    <cellStyle name="Style 21" xfId="10"/>
    <cellStyle name="Style 21 2" xfId="359"/>
    <cellStyle name="Style 21 2 2" xfId="360"/>
    <cellStyle name="Style 21 3" xfId="361"/>
    <cellStyle name="Style 22" xfId="11"/>
    <cellStyle name="Style 22 2" xfId="362"/>
    <cellStyle name="Style 22 3" xfId="363"/>
    <cellStyle name="Style 23" xfId="12"/>
    <cellStyle name="Style 23 2" xfId="364"/>
    <cellStyle name="Style 23 2 2" xfId="365"/>
    <cellStyle name="Style 23 2 3" xfId="366"/>
    <cellStyle name="Style 23 3" xfId="367"/>
    <cellStyle name="Style 23 3 2" xfId="368"/>
    <cellStyle name="Style 23 4" xfId="369"/>
    <cellStyle name="Style 24" xfId="13"/>
    <cellStyle name="Style 24 2" xfId="370"/>
    <cellStyle name="Style 24 3" xfId="371"/>
    <cellStyle name="Style 25" xfId="14"/>
    <cellStyle name="Style 25 2" xfId="372"/>
    <cellStyle name="Style 25 3" xfId="373"/>
    <cellStyle name="Style 26" xfId="15"/>
    <cellStyle name="Style 26 2" xfId="374"/>
    <cellStyle name="Style 26 3" xfId="375"/>
    <cellStyle name="Style 27" xfId="16"/>
    <cellStyle name="Style 28" xfId="17"/>
    <cellStyle name="Style 29" xfId="18"/>
    <cellStyle name="Style 30" xfId="19"/>
    <cellStyle name="Style 31" xfId="20"/>
    <cellStyle name="Style 32" xfId="21"/>
    <cellStyle name="Style 33" xfId="22"/>
    <cellStyle name="Style 34" xfId="23"/>
    <cellStyle name="Style 35" xfId="24"/>
    <cellStyle name="Style 36" xfId="25"/>
    <cellStyle name="Title 2" xfId="376"/>
    <cellStyle name="Title 2 2" xfId="377"/>
    <cellStyle name="Total 2" xfId="378"/>
    <cellStyle name="Total 2 2" xfId="379"/>
    <cellStyle name="Total 2 2 2" xfId="380"/>
    <cellStyle name="Total 2 3" xfId="381"/>
    <cellStyle name="Total 2 3 2" xfId="467"/>
    <cellStyle name="Total 3" xfId="382"/>
    <cellStyle name="Warning Text 2" xfId="383"/>
    <cellStyle name="Warning Text 2 2" xfId="384"/>
    <cellStyle name="Warning Text 2 3" xfId="385"/>
    <cellStyle name="Warning Text 3" xfId="386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99FF33"/>
      <color rgb="FFFF33CC"/>
      <color rgb="FFB000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externalLink" Target="externalLinks/externalLink1.xml"/><Relationship Id="rId13" Type="http://schemas.openxmlformats.org/officeDocument/2006/relationships/externalLink" Target="externalLinks/externalLink2.xml"/><Relationship Id="rId14" Type="http://schemas.openxmlformats.org/officeDocument/2006/relationships/externalLink" Target="externalLinks/externalLink3.xml"/><Relationship Id="rId15" Type="http://schemas.openxmlformats.org/officeDocument/2006/relationships/externalLink" Target="externalLinks/externalLink4.xml"/><Relationship Id="rId16" Type="http://schemas.openxmlformats.org/officeDocument/2006/relationships/externalLink" Target="externalLinks/externalLink5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11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12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_rels/chart17.xml.rels><?xml version="1.0" encoding="UTF-8" standalone="yes"?>
<Relationships xmlns="http://schemas.openxmlformats.org/package/2006/relationships"><Relationship Id="rId1" Type="http://schemas.microsoft.com/office/2011/relationships/chartStyle" Target="style9.xml"/><Relationship Id="rId2" Type="http://schemas.microsoft.com/office/2011/relationships/chartColorStyle" Target="colors9.xml"/></Relationships>
</file>

<file path=xl/charts/_rels/chart18.xml.rels><?xml version="1.0" encoding="UTF-8" standalone="yes"?>
<Relationships xmlns="http://schemas.openxmlformats.org/package/2006/relationships"><Relationship Id="rId1" Type="http://schemas.microsoft.com/office/2011/relationships/chartStyle" Target="style10.xml"/><Relationship Id="rId2" Type="http://schemas.microsoft.com/office/2011/relationships/chartColorStyle" Target="colors10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9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819647768244216"/>
          <c:y val="0.24764852728893"/>
          <c:w val="0.861194323803695"/>
          <c:h val="0.603131037576311"/>
        </c:manualLayout>
      </c:layout>
      <c:areaChart>
        <c:grouping val="stacked"/>
        <c:varyColors val="0"/>
        <c:ser>
          <c:idx val="6"/>
          <c:order val="0"/>
          <c:tx>
            <c:v>CARBOB</c:v>
          </c:tx>
          <c:spPr>
            <a:solidFill>
              <a:schemeClr val="bg2">
                <a:lumMod val="25000"/>
              </a:schemeClr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Calculations!$D$26:$T$26</c:f>
              <c:numCache>
                <c:formatCode>#,##0</c:formatCode>
                <c:ptCount val="17"/>
                <c:pt idx="0">
                  <c:v>13093.0</c:v>
                </c:pt>
                <c:pt idx="1">
                  <c:v>13324.0</c:v>
                </c:pt>
                <c:pt idx="2">
                  <c:v>13967.0</c:v>
                </c:pt>
                <c:pt idx="3">
                  <c:v>14216.71652245123</c:v>
                </c:pt>
                <c:pt idx="4">
                  <c:v>14239.7234465519</c:v>
                </c:pt>
                <c:pt idx="5">
                  <c:v>14015.37993690202</c:v>
                </c:pt>
                <c:pt idx="6">
                  <c:v>13764.62975812775</c:v>
                </c:pt>
                <c:pt idx="7">
                  <c:v>13479.95201344698</c:v>
                </c:pt>
                <c:pt idx="8">
                  <c:v>13150.65891285297</c:v>
                </c:pt>
                <c:pt idx="9">
                  <c:v>12780.07480655019</c:v>
                </c:pt>
                <c:pt idx="10">
                  <c:v>12394.4945402848</c:v>
                </c:pt>
                <c:pt idx="11">
                  <c:v>11975.3818458654</c:v>
                </c:pt>
                <c:pt idx="12">
                  <c:v>11547.86180062206</c:v>
                </c:pt>
                <c:pt idx="13">
                  <c:v>11131.0615627377</c:v>
                </c:pt>
                <c:pt idx="14">
                  <c:v>10740.05664684395</c:v>
                </c:pt>
                <c:pt idx="15">
                  <c:v>10357.32811976386</c:v>
                </c:pt>
                <c:pt idx="16">
                  <c:v>9980.161255378747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CD4-4E27-A074-9793F018AC47}"/>
            </c:ext>
          </c:extLst>
        </c:ser>
        <c:ser>
          <c:idx val="0"/>
          <c:order val="1"/>
          <c:tx>
            <c:v>Cellulosic Ethanol</c:v>
          </c:tx>
          <c:spPr>
            <a:solidFill>
              <a:schemeClr val="accent3">
                <a:lumMod val="20000"/>
                <a:lumOff val="80000"/>
              </a:schemeClr>
            </a:solidFill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Calculations!$D$19:$T$19</c:f>
              <c:numCache>
                <c:formatCode>#,##0</c:formatCode>
                <c:ptCount val="17"/>
                <c:pt idx="0" formatCode="0">
                  <c:v>0.0</c:v>
                </c:pt>
                <c:pt idx="1">
                  <c:v>0.0</c:v>
                </c:pt>
                <c:pt idx="2">
                  <c:v>0.0</c:v>
                </c:pt>
                <c:pt idx="3" formatCode="0">
                  <c:v>0.222329492712829</c:v>
                </c:pt>
                <c:pt idx="4" formatCode="0">
                  <c:v>11.65713651438888</c:v>
                </c:pt>
                <c:pt idx="5" formatCode="0">
                  <c:v>25.26375958190742</c:v>
                </c:pt>
                <c:pt idx="6" formatCode="0">
                  <c:v>44.39906462770256</c:v>
                </c:pt>
                <c:pt idx="7" formatCode="0">
                  <c:v>72.36595696126167</c:v>
                </c:pt>
                <c:pt idx="8" formatCode="0">
                  <c:v>98.96905885385813</c:v>
                </c:pt>
                <c:pt idx="9" formatCode="0">
                  <c:v>126.736192690012</c:v>
                </c:pt>
                <c:pt idx="10" formatCode="0">
                  <c:v>160.2979309015995</c:v>
                </c:pt>
                <c:pt idx="11" formatCode="0">
                  <c:v>200.3846432240764</c:v>
                </c:pt>
                <c:pt idx="12" formatCode="0">
                  <c:v>247.7298665800024</c:v>
                </c:pt>
                <c:pt idx="13" formatCode="0">
                  <c:v>303.0564555459175</c:v>
                </c:pt>
                <c:pt idx="14" formatCode="0">
                  <c:v>367.0626050942185</c:v>
                </c:pt>
                <c:pt idx="15" formatCode="0">
                  <c:v>440.4082237328726</c:v>
                </c:pt>
                <c:pt idx="16" formatCode="0">
                  <c:v>523.7020977224665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CD4-4E27-A074-9793F018AC47}"/>
            </c:ext>
          </c:extLst>
        </c:ser>
        <c:ser>
          <c:idx val="1"/>
          <c:order val="2"/>
          <c:tx>
            <c:v>Sugar Ethanol</c:v>
          </c:tx>
          <c:spPr>
            <a:solidFill>
              <a:schemeClr val="bg2">
                <a:lumMod val="75000"/>
              </a:schemeClr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Calculations!$D$20:$T$20</c:f>
              <c:numCache>
                <c:formatCode>#,##0</c:formatCode>
                <c:ptCount val="17"/>
                <c:pt idx="0" formatCode="0">
                  <c:v>8.8</c:v>
                </c:pt>
                <c:pt idx="1">
                  <c:v>41.9</c:v>
                </c:pt>
                <c:pt idx="2">
                  <c:v>31.9</c:v>
                </c:pt>
                <c:pt idx="3" formatCode="0">
                  <c:v>88.67459805490438</c:v>
                </c:pt>
                <c:pt idx="4" formatCode="0">
                  <c:v>115.3181407519924</c:v>
                </c:pt>
                <c:pt idx="5" formatCode="0">
                  <c:v>140.1724635886047</c:v>
                </c:pt>
                <c:pt idx="6" formatCode="0">
                  <c:v>196.5389291247094</c:v>
                </c:pt>
                <c:pt idx="7" formatCode="0">
                  <c:v>198.2910991410662</c:v>
                </c:pt>
                <c:pt idx="8" formatCode="0">
                  <c:v>199.1352418388225</c:v>
                </c:pt>
                <c:pt idx="9" formatCode="0">
                  <c:v>198.6495472992611</c:v>
                </c:pt>
                <c:pt idx="10" formatCode="0">
                  <c:v>195.416101992883</c:v>
                </c:pt>
                <c:pt idx="11" formatCode="0">
                  <c:v>189.5240883203365</c:v>
                </c:pt>
                <c:pt idx="12" formatCode="0">
                  <c:v>181.1120172378735</c:v>
                </c:pt>
                <c:pt idx="13" formatCode="0">
                  <c:v>170.2768465814163</c:v>
                </c:pt>
                <c:pt idx="14" formatCode="0">
                  <c:v>157.0675933490162</c:v>
                </c:pt>
                <c:pt idx="15" formatCode="0">
                  <c:v>140.8797242323094</c:v>
                </c:pt>
                <c:pt idx="16" formatCode="0">
                  <c:v>120.2781647845928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CD4-4E27-A074-9793F018AC47}"/>
            </c:ext>
          </c:extLst>
        </c:ser>
        <c:ser>
          <c:idx val="2"/>
          <c:order val="3"/>
          <c:tx>
            <c:v>Starch Ethanol</c:v>
          </c:tx>
          <c:spPr>
            <a:solidFill>
              <a:srgbClr val="00B050"/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Calculations!$D$21:$T$21</c:f>
              <c:numCache>
                <c:formatCode>#,##0</c:formatCode>
                <c:ptCount val="17"/>
                <c:pt idx="0">
                  <c:v>1476.2</c:v>
                </c:pt>
                <c:pt idx="1">
                  <c:v>1465.1</c:v>
                </c:pt>
                <c:pt idx="2">
                  <c:v>1565.1</c:v>
                </c:pt>
                <c:pt idx="3">
                  <c:v>1535.408595746812</c:v>
                </c:pt>
                <c:pt idx="4">
                  <c:v>1506.674552297265</c:v>
                </c:pt>
                <c:pt idx="5">
                  <c:v>1449.841430761559</c:v>
                </c:pt>
                <c:pt idx="6">
                  <c:v>1352.825595447945</c:v>
                </c:pt>
                <c:pt idx="7">
                  <c:v>1295.008098396258</c:v>
                </c:pt>
                <c:pt idx="8">
                  <c:v>1234.039724742197</c:v>
                </c:pt>
                <c:pt idx="9">
                  <c:v>1168.21135675651</c:v>
                </c:pt>
                <c:pt idx="10">
                  <c:v>1097.409126313777</c:v>
                </c:pt>
                <c:pt idx="11">
                  <c:v>1018.685048724277</c:v>
                </c:pt>
                <c:pt idx="12">
                  <c:v>934.1410540868251</c:v>
                </c:pt>
                <c:pt idx="13">
                  <c:v>845.278873175188</c:v>
                </c:pt>
                <c:pt idx="14">
                  <c:v>753.1845556307143</c:v>
                </c:pt>
                <c:pt idx="15">
                  <c:v>655.783244077252</c:v>
                </c:pt>
                <c:pt idx="16">
                  <c:v>553.5953735286987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CD4-4E27-A074-9793F018AC47}"/>
            </c:ext>
          </c:extLst>
        </c:ser>
        <c:ser>
          <c:idx val="3"/>
          <c:order val="4"/>
          <c:tx>
            <c:v>Renewable Gasoline</c:v>
          </c:tx>
          <c:spPr>
            <a:solidFill>
              <a:srgbClr val="92D050"/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Calculations!$D$22:$T$22</c:f>
              <c:numCache>
                <c:formatCode>#,##0</c:formatCode>
                <c:ptCount val="1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 formatCode="0">
                  <c:v>0.0</c:v>
                </c:pt>
                <c:pt idx="4" formatCode="0">
                  <c:v>0.152926816479085</c:v>
                </c:pt>
                <c:pt idx="5" formatCode="0">
                  <c:v>0.700941308402903</c:v>
                </c:pt>
                <c:pt idx="6" formatCode="0">
                  <c:v>1.59160026778308</c:v>
                </c:pt>
                <c:pt idx="7" formatCode="0">
                  <c:v>2.867087704968973</c:v>
                </c:pt>
                <c:pt idx="8" formatCode="0">
                  <c:v>4.301298115120176</c:v>
                </c:pt>
                <c:pt idx="9" formatCode="0">
                  <c:v>6.189221959470647</c:v>
                </c:pt>
                <c:pt idx="10" formatCode="0">
                  <c:v>8.740100046103221</c:v>
                </c:pt>
                <c:pt idx="11" formatCode="0">
                  <c:v>12.12462365000046</c:v>
                </c:pt>
                <c:pt idx="12" formatCode="0">
                  <c:v>16.53855385430727</c:v>
                </c:pt>
                <c:pt idx="13" formatCode="0">
                  <c:v>22.2018550368102</c:v>
                </c:pt>
                <c:pt idx="14" formatCode="0">
                  <c:v>29.35679632906148</c:v>
                </c:pt>
                <c:pt idx="15" formatCode="0">
                  <c:v>38.26502399106324</c:v>
                </c:pt>
                <c:pt idx="16" formatCode="0">
                  <c:v>49.20366887123378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CD4-4E27-A074-9793F018AC47}"/>
            </c:ext>
          </c:extLst>
        </c:ser>
        <c:ser>
          <c:idx val="4"/>
          <c:order val="5"/>
          <c:tx>
            <c:v>Hydrogen (GGE)</c:v>
          </c:tx>
          <c:spPr>
            <a:solidFill>
              <a:srgbClr val="00B0F0"/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'Intermediate Calculations'!$B$4:$R$4</c:f>
              <c:numCache>
                <c:formatCode>0.0</c:formatCode>
                <c:ptCount val="17"/>
                <c:pt idx="0">
                  <c:v>0.0353182171363989</c:v>
                </c:pt>
                <c:pt idx="1">
                  <c:v>0.376727649454922</c:v>
                </c:pt>
                <c:pt idx="2">
                  <c:v>0.0</c:v>
                </c:pt>
                <c:pt idx="3">
                  <c:v>7.115625117464958</c:v>
                </c:pt>
                <c:pt idx="4">
                  <c:v>8.25389980568716</c:v>
                </c:pt>
                <c:pt idx="5">
                  <c:v>9.363249876213144</c:v>
                </c:pt>
                <c:pt idx="6">
                  <c:v>10.49067282908167</c:v>
                </c:pt>
                <c:pt idx="7">
                  <c:v>14.5447858921689</c:v>
                </c:pt>
                <c:pt idx="8">
                  <c:v>21.21077769023846</c:v>
                </c:pt>
                <c:pt idx="9">
                  <c:v>30.22838754187902</c:v>
                </c:pt>
                <c:pt idx="10">
                  <c:v>41.7872447918665</c:v>
                </c:pt>
                <c:pt idx="11">
                  <c:v>55.55654549599225</c:v>
                </c:pt>
                <c:pt idx="12">
                  <c:v>71.22820861273266</c:v>
                </c:pt>
                <c:pt idx="13">
                  <c:v>89.10000565665538</c:v>
                </c:pt>
                <c:pt idx="14">
                  <c:v>109.1042464960448</c:v>
                </c:pt>
                <c:pt idx="15">
                  <c:v>131.080502006865</c:v>
                </c:pt>
                <c:pt idx="16">
                  <c:v>154.510541279787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8CD4-4E27-A074-9793F018AC47}"/>
            </c:ext>
          </c:extLst>
        </c:ser>
        <c:ser>
          <c:idx val="5"/>
          <c:order val="6"/>
          <c:tx>
            <c:v>Electricity (GGE)</c:v>
          </c:tx>
          <c:spPr>
            <a:solidFill>
              <a:srgbClr val="FFC000"/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'Intermediate Calculations'!$B$3:$R$3</c:f>
              <c:numCache>
                <c:formatCode>0.0</c:formatCode>
                <c:ptCount val="17"/>
                <c:pt idx="0">
                  <c:v>8.453768453768454</c:v>
                </c:pt>
                <c:pt idx="1">
                  <c:v>12.96037296037296</c:v>
                </c:pt>
                <c:pt idx="2">
                  <c:v>22.06682206682207</c:v>
                </c:pt>
                <c:pt idx="3">
                  <c:v>40.24153050965496</c:v>
                </c:pt>
                <c:pt idx="4">
                  <c:v>47.03619923502663</c:v>
                </c:pt>
                <c:pt idx="5">
                  <c:v>53.84345333721844</c:v>
                </c:pt>
                <c:pt idx="6">
                  <c:v>60.84352410872818</c:v>
                </c:pt>
                <c:pt idx="7">
                  <c:v>77.36311778987544</c:v>
                </c:pt>
                <c:pt idx="8">
                  <c:v>102.4388887066989</c:v>
                </c:pt>
                <c:pt idx="9">
                  <c:v>134.9656438805865</c:v>
                </c:pt>
                <c:pt idx="10">
                  <c:v>175.7132860086289</c:v>
                </c:pt>
                <c:pt idx="11">
                  <c:v>222.7477875589122</c:v>
                </c:pt>
                <c:pt idx="12">
                  <c:v>274.5850303472153</c:v>
                </c:pt>
                <c:pt idx="13">
                  <c:v>332.9563395335714</c:v>
                </c:pt>
                <c:pt idx="14">
                  <c:v>397.880230812358</c:v>
                </c:pt>
                <c:pt idx="15">
                  <c:v>467.6397188585497</c:v>
                </c:pt>
                <c:pt idx="16">
                  <c:v>540.4964051665846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8CD4-4E27-A074-9793F018A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86257264"/>
        <c:axId val="-1186253264"/>
      </c:areaChart>
      <c:catAx>
        <c:axId val="-1186257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186253264"/>
        <c:crosses val="autoZero"/>
        <c:auto val="1"/>
        <c:lblAlgn val="ctr"/>
        <c:lblOffset val="100"/>
        <c:noMultiLvlLbl val="0"/>
      </c:catAx>
      <c:valAx>
        <c:axId val="-1186253264"/>
        <c:scaling>
          <c:orientation val="minMax"/>
          <c:max val="18000.0"/>
          <c:min val="0.0"/>
        </c:scaling>
        <c:delete val="0"/>
        <c:axPos val="l"/>
        <c:numFmt formatCode="#,##0" sourceLinked="1"/>
        <c:majorTickMark val="out"/>
        <c:minorTickMark val="none"/>
        <c:tickLblPos val="nextTo"/>
        <c:crossAx val="-118625726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03865833755521"/>
          <c:y val="0.0157576790150735"/>
          <c:w val="0.879581692913386"/>
          <c:h val="0.189322087704458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'Figures I'!$A$15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I'!$B$15:$P$15</c:f>
              <c:numCache>
                <c:formatCode>0.00</c:formatCode>
                <c:ptCount val="15"/>
                <c:pt idx="0">
                  <c:v>0.0</c:v>
                </c:pt>
                <c:pt idx="1">
                  <c:v>0.112726224800575</c:v>
                </c:pt>
                <c:pt idx="2">
                  <c:v>0.127245370202912</c:v>
                </c:pt>
                <c:pt idx="3">
                  <c:v>0.144406980886443</c:v>
                </c:pt>
                <c:pt idx="4">
                  <c:v>0.15754323813564</c:v>
                </c:pt>
                <c:pt idx="5">
                  <c:v>0.212530950641459</c:v>
                </c:pt>
                <c:pt idx="6">
                  <c:v>0.301339210880789</c:v>
                </c:pt>
                <c:pt idx="7">
                  <c:v>0.417200349883988</c:v>
                </c:pt>
                <c:pt idx="8">
                  <c:v>0.559795488748225</c:v>
                </c:pt>
                <c:pt idx="9">
                  <c:v>0.718520771791662</c:v>
                </c:pt>
                <c:pt idx="10">
                  <c:v>0.888213085606277</c:v>
                </c:pt>
                <c:pt idx="11">
                  <c:v>1.069804293286675</c:v>
                </c:pt>
                <c:pt idx="12">
                  <c:v>1.2594558262756</c:v>
                </c:pt>
                <c:pt idx="13">
                  <c:v>1.452426940216837</c:v>
                </c:pt>
                <c:pt idx="14">
                  <c:v>1.640475254784474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4A-4224-8388-3CA9B2BF6FF6}"/>
            </c:ext>
          </c:extLst>
        </c:ser>
        <c:ser>
          <c:idx val="1"/>
          <c:order val="1"/>
          <c:tx>
            <c:strRef>
              <c:f>'Figures I'!$A$16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I'!$B$16:$P$16</c:f>
              <c:numCache>
                <c:formatCode>0.00</c:formatCode>
                <c:ptCount val="15"/>
                <c:pt idx="0">
                  <c:v>0.913647</c:v>
                </c:pt>
                <c:pt idx="1">
                  <c:v>1.498946113129246</c:v>
                </c:pt>
                <c:pt idx="2">
                  <c:v>1.700006692720208</c:v>
                </c:pt>
                <c:pt idx="3">
                  <c:v>1.970423266201056</c:v>
                </c:pt>
                <c:pt idx="4">
                  <c:v>2.237293081028844</c:v>
                </c:pt>
                <c:pt idx="5">
                  <c:v>2.726235359139777</c:v>
                </c:pt>
                <c:pt idx="6">
                  <c:v>3.471155071063833</c:v>
                </c:pt>
                <c:pt idx="7">
                  <c:v>4.434361741777884</c:v>
                </c:pt>
                <c:pt idx="8">
                  <c:v>5.724246572803547</c:v>
                </c:pt>
                <c:pt idx="9">
                  <c:v>7.210945112744047</c:v>
                </c:pt>
                <c:pt idx="10">
                  <c:v>8.851420651165948</c:v>
                </c:pt>
                <c:pt idx="11">
                  <c:v>10.69037253562159</c:v>
                </c:pt>
                <c:pt idx="12">
                  <c:v>12.69153597306007</c:v>
                </c:pt>
                <c:pt idx="13">
                  <c:v>14.87693130535334</c:v>
                </c:pt>
                <c:pt idx="14">
                  <c:v>17.17152727420476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44A-4224-8388-3CA9B2BF6FF6}"/>
            </c:ext>
          </c:extLst>
        </c:ser>
        <c:ser>
          <c:idx val="2"/>
          <c:order val="2"/>
          <c:tx>
            <c:strRef>
              <c:f>'Figures I'!$A$17</c:f>
              <c:strCache>
                <c:ptCount val="1"/>
                <c:pt idx="0">
                  <c:v>Renewable Diesel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I'!$B$17:$P$17</c:f>
              <c:numCache>
                <c:formatCode>0.00</c:formatCode>
                <c:ptCount val="15"/>
                <c:pt idx="0">
                  <c:v>2.072349</c:v>
                </c:pt>
                <c:pt idx="1">
                  <c:v>3.22109438</c:v>
                </c:pt>
                <c:pt idx="2">
                  <c:v>4.452535039727692</c:v>
                </c:pt>
                <c:pt idx="3">
                  <c:v>5.296369023249484</c:v>
                </c:pt>
                <c:pt idx="4">
                  <c:v>6.40315486171641</c:v>
                </c:pt>
                <c:pt idx="5">
                  <c:v>6.955766837221809</c:v>
                </c:pt>
                <c:pt idx="6">
                  <c:v>7.479917532644449</c:v>
                </c:pt>
                <c:pt idx="7">
                  <c:v>7.664091767564561</c:v>
                </c:pt>
                <c:pt idx="8">
                  <c:v>7.535896747334844</c:v>
                </c:pt>
                <c:pt idx="9">
                  <c:v>7.394799361062046</c:v>
                </c:pt>
                <c:pt idx="10">
                  <c:v>6.977626445843453</c:v>
                </c:pt>
                <c:pt idx="11">
                  <c:v>6.5951995080588</c:v>
                </c:pt>
                <c:pt idx="12">
                  <c:v>6.249322025732404</c:v>
                </c:pt>
                <c:pt idx="13">
                  <c:v>5.94154604117668</c:v>
                </c:pt>
                <c:pt idx="14">
                  <c:v>5.673072034523525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44A-4224-8388-3CA9B2BF6FF6}"/>
            </c:ext>
          </c:extLst>
        </c:ser>
        <c:ser>
          <c:idx val="3"/>
          <c:order val="3"/>
          <c:tx>
            <c:strRef>
              <c:f>'Figures I'!$A$18</c:f>
              <c:strCache>
                <c:ptCount val="1"/>
                <c:pt idx="0">
                  <c:v>Biodiesel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I'!$B$18:$P$18</c:f>
              <c:numCache>
                <c:formatCode>0.00</c:formatCode>
                <c:ptCount val="15"/>
                <c:pt idx="0">
                  <c:v>1.702156</c:v>
                </c:pt>
                <c:pt idx="1">
                  <c:v>1.549909848419496</c:v>
                </c:pt>
                <c:pt idx="2">
                  <c:v>1.782124602995631</c:v>
                </c:pt>
                <c:pt idx="3">
                  <c:v>1.890975710571823</c:v>
                </c:pt>
                <c:pt idx="4">
                  <c:v>2.053049836085413</c:v>
                </c:pt>
                <c:pt idx="5">
                  <c:v>2.392953626901318</c:v>
                </c:pt>
                <c:pt idx="6">
                  <c:v>2.715774200922402</c:v>
                </c:pt>
                <c:pt idx="7">
                  <c:v>3.01906688983169</c:v>
                </c:pt>
                <c:pt idx="8">
                  <c:v>3.2970626994151</c:v>
                </c:pt>
                <c:pt idx="9">
                  <c:v>3.526194263585663</c:v>
                </c:pt>
                <c:pt idx="10">
                  <c:v>3.403558862583605</c:v>
                </c:pt>
                <c:pt idx="11">
                  <c:v>3.273965086409459</c:v>
                </c:pt>
                <c:pt idx="12">
                  <c:v>3.148649087474388</c:v>
                </c:pt>
                <c:pt idx="13">
                  <c:v>3.023239467880906</c:v>
                </c:pt>
                <c:pt idx="14">
                  <c:v>2.904889089218163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44A-4224-8388-3CA9B2BF6FF6}"/>
            </c:ext>
          </c:extLst>
        </c:ser>
        <c:ser>
          <c:idx val="4"/>
          <c:order val="4"/>
          <c:tx>
            <c:strRef>
              <c:f>'Figures I'!$A$19</c:f>
              <c:strCache>
                <c:ptCount val="1"/>
                <c:pt idx="0">
                  <c:v>Cellulosic Ethanol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I'!$B$19:$P$19</c:f>
              <c:numCache>
                <c:formatCode>0.00</c:formatCode>
                <c:ptCount val="15"/>
                <c:pt idx="0">
                  <c:v>0.0</c:v>
                </c:pt>
                <c:pt idx="1">
                  <c:v>0.0012950510294822</c:v>
                </c:pt>
                <c:pt idx="2">
                  <c:v>0.0671007542146437</c:v>
                </c:pt>
                <c:pt idx="3">
                  <c:v>0.146731666716079</c:v>
                </c:pt>
                <c:pt idx="4">
                  <c:v>0.254976261299882</c:v>
                </c:pt>
                <c:pt idx="5">
                  <c:v>0.41079114565125</c:v>
                </c:pt>
                <c:pt idx="6">
                  <c:v>0.55514135226189</c:v>
                </c:pt>
                <c:pt idx="7">
                  <c:v>0.702221671474691</c:v>
                </c:pt>
                <c:pt idx="8">
                  <c:v>0.877037674428933</c:v>
                </c:pt>
                <c:pt idx="9">
                  <c:v>1.078950067876613</c:v>
                </c:pt>
                <c:pt idx="10">
                  <c:v>1.312077322083683</c:v>
                </c:pt>
                <c:pt idx="11">
                  <c:v>1.578112838804272</c:v>
                </c:pt>
                <c:pt idx="12">
                  <c:v>1.878315689186886</c:v>
                </c:pt>
                <c:pt idx="13">
                  <c:v>2.213445506895232</c:v>
                </c:pt>
                <c:pt idx="14">
                  <c:v>2.58370923728398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44A-4224-8388-3CA9B2BF6FF6}"/>
            </c:ext>
          </c:extLst>
        </c:ser>
        <c:ser>
          <c:idx val="5"/>
          <c:order val="5"/>
          <c:tx>
            <c:strRef>
              <c:f>'Figures I'!$A$20</c:f>
              <c:strCache>
                <c:ptCount val="1"/>
                <c:pt idx="0">
                  <c:v>Sugar Ethanol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I'!$B$20:$P$20</c:f>
              <c:numCache>
                <c:formatCode>0.00</c:formatCode>
                <c:ptCount val="15"/>
                <c:pt idx="0">
                  <c:v>0.12</c:v>
                </c:pt>
                <c:pt idx="1">
                  <c:v>0.412132947114699</c:v>
                </c:pt>
                <c:pt idx="2">
                  <c:v>0.540945924112591</c:v>
                </c:pt>
                <c:pt idx="3">
                  <c:v>0.680636440576788</c:v>
                </c:pt>
                <c:pt idx="4">
                  <c:v>0.947934266181735</c:v>
                </c:pt>
                <c:pt idx="5">
                  <c:v>0.966089635809047</c:v>
                </c:pt>
                <c:pt idx="6">
                  <c:v>0.979948089968118</c:v>
                </c:pt>
                <c:pt idx="7">
                  <c:v>0.971088009212317</c:v>
                </c:pt>
                <c:pt idx="8">
                  <c:v>0.964845189329478</c:v>
                </c:pt>
                <c:pt idx="9">
                  <c:v>0.895596362696262</c:v>
                </c:pt>
                <c:pt idx="10">
                  <c:v>0.832232289351394</c:v>
                </c:pt>
                <c:pt idx="11">
                  <c:v>0.760243166731979</c:v>
                </c:pt>
                <c:pt idx="12">
                  <c:v>0.680789201138741</c:v>
                </c:pt>
                <c:pt idx="13">
                  <c:v>0.592257514577181</c:v>
                </c:pt>
                <c:pt idx="14">
                  <c:v>0.48996719110842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D44A-4224-8388-3CA9B2BF6FF6}"/>
            </c:ext>
          </c:extLst>
        </c:ser>
        <c:ser>
          <c:idx val="6"/>
          <c:order val="6"/>
          <c:tx>
            <c:strRef>
              <c:f>'Figures I'!$A$21</c:f>
              <c:strCache>
                <c:ptCount val="1"/>
                <c:pt idx="0">
                  <c:v>Starch Ethanol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I'!$B$21:$P$21</c:f>
              <c:numCache>
                <c:formatCode>0.00</c:formatCode>
                <c:ptCount val="15"/>
                <c:pt idx="0">
                  <c:v>3.2</c:v>
                </c:pt>
                <c:pt idx="1">
                  <c:v>3.100244402725301</c:v>
                </c:pt>
                <c:pt idx="2">
                  <c:v>2.907872514418008</c:v>
                </c:pt>
                <c:pt idx="3">
                  <c:v>2.845209766088617</c:v>
                </c:pt>
                <c:pt idx="4">
                  <c:v>2.541954198293804</c:v>
                </c:pt>
                <c:pt idx="5">
                  <c:v>2.325270215932625</c:v>
                </c:pt>
                <c:pt idx="6">
                  <c:v>2.30378199967308</c:v>
                </c:pt>
                <c:pt idx="7">
                  <c:v>2.284520288158324</c:v>
                </c:pt>
                <c:pt idx="8">
                  <c:v>2.27107211576655</c:v>
                </c:pt>
                <c:pt idx="9">
                  <c:v>2.243408367476718</c:v>
                </c:pt>
                <c:pt idx="10">
                  <c:v>2.226561752427155</c:v>
                </c:pt>
                <c:pt idx="11">
                  <c:v>2.225383855100602</c:v>
                </c:pt>
                <c:pt idx="12">
                  <c:v>2.244500274738805</c:v>
                </c:pt>
                <c:pt idx="13">
                  <c:v>2.086370708617275</c:v>
                </c:pt>
                <c:pt idx="14">
                  <c:v>1.968149756025084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D44A-4224-8388-3CA9B2BF6FF6}"/>
            </c:ext>
          </c:extLst>
        </c:ser>
        <c:ser>
          <c:idx val="7"/>
          <c:order val="7"/>
          <c:tx>
            <c:strRef>
              <c:f>'Figures I'!$A$22</c:f>
              <c:strCache>
                <c:ptCount val="1"/>
                <c:pt idx="0">
                  <c:v>Biomethane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I'!$B$22:$P$22</c:f>
              <c:numCache>
                <c:formatCode>0.00</c:formatCode>
                <c:ptCount val="15"/>
                <c:pt idx="0">
                  <c:v>0.671707</c:v>
                </c:pt>
                <c:pt idx="1">
                  <c:v>1.111749006712213</c:v>
                </c:pt>
                <c:pt idx="2">
                  <c:v>1.836305855450673</c:v>
                </c:pt>
                <c:pt idx="3">
                  <c:v>1.923106777375514</c:v>
                </c:pt>
                <c:pt idx="4">
                  <c:v>2.095202874379765</c:v>
                </c:pt>
                <c:pt idx="5">
                  <c:v>2.253275319403511</c:v>
                </c:pt>
                <c:pt idx="6">
                  <c:v>2.410560218977666</c:v>
                </c:pt>
                <c:pt idx="7">
                  <c:v>2.740463186934511</c:v>
                </c:pt>
                <c:pt idx="8">
                  <c:v>3.264618812583091</c:v>
                </c:pt>
                <c:pt idx="9">
                  <c:v>3.278715646104752</c:v>
                </c:pt>
                <c:pt idx="10">
                  <c:v>3.666851735871894</c:v>
                </c:pt>
                <c:pt idx="11">
                  <c:v>4.187030404895861</c:v>
                </c:pt>
                <c:pt idx="12">
                  <c:v>4.896820981960635</c:v>
                </c:pt>
                <c:pt idx="13">
                  <c:v>4.947806343661242</c:v>
                </c:pt>
                <c:pt idx="14">
                  <c:v>4.969130775614164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D44A-4224-8388-3CA9B2BF6FF6}"/>
            </c:ext>
          </c:extLst>
        </c:ser>
        <c:ser>
          <c:idx val="8"/>
          <c:order val="8"/>
          <c:tx>
            <c:strRef>
              <c:f>'Figures I'!$A$23</c:f>
              <c:strCache>
                <c:ptCount val="1"/>
                <c:pt idx="0">
                  <c:v>Alternative Jet Fuel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I'!$B$23:$P$23</c:f>
              <c:numCache>
                <c:formatCode>0.00</c:formatCode>
                <c:ptCount val="1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54-45B4-AB33-9AE3F65A8BA8}"/>
            </c:ext>
          </c:extLst>
        </c:ser>
        <c:ser>
          <c:idx val="9"/>
          <c:order val="9"/>
          <c:tx>
            <c:strRef>
              <c:f>'Figures I'!$A$24</c:f>
              <c:strCache>
                <c:ptCount val="1"/>
                <c:pt idx="0">
                  <c:v>Petroleum Projects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'Figures I'!$B$14:$P$14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I'!$B$24:$P$24</c:f>
              <c:numCache>
                <c:formatCode>0.00</c:formatCode>
                <c:ptCount val="15"/>
                <c:pt idx="0">
                  <c:v>0.155</c:v>
                </c:pt>
                <c:pt idx="1">
                  <c:v>0.204215261006973</c:v>
                </c:pt>
                <c:pt idx="2">
                  <c:v>0.407698220382129</c:v>
                </c:pt>
                <c:pt idx="3">
                  <c:v>1.017530554468009</c:v>
                </c:pt>
                <c:pt idx="4">
                  <c:v>1.911189884254321</c:v>
                </c:pt>
                <c:pt idx="5">
                  <c:v>2.146817049472278</c:v>
                </c:pt>
                <c:pt idx="6">
                  <c:v>2.308769963242588</c:v>
                </c:pt>
                <c:pt idx="7">
                  <c:v>2.58551687134767</c:v>
                </c:pt>
                <c:pt idx="8">
                  <c:v>2.850559701266066</c:v>
                </c:pt>
                <c:pt idx="9">
                  <c:v>3.117785160168064</c:v>
                </c:pt>
                <c:pt idx="10">
                  <c:v>3.376532939958763</c:v>
                </c:pt>
                <c:pt idx="11">
                  <c:v>3.516362978165733</c:v>
                </c:pt>
                <c:pt idx="12">
                  <c:v>3.655264590635189</c:v>
                </c:pt>
                <c:pt idx="13">
                  <c:v>3.742264679472827</c:v>
                </c:pt>
                <c:pt idx="14">
                  <c:v>3.826700078176134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354-45B4-AB33-9AE3F65A8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-707777216"/>
        <c:axId val="-707772800"/>
      </c:barChart>
      <c:catAx>
        <c:axId val="-70777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07772800"/>
        <c:crosses val="autoZero"/>
        <c:auto val="1"/>
        <c:lblAlgn val="ctr"/>
        <c:lblOffset val="100"/>
        <c:noMultiLvlLbl val="0"/>
      </c:catAx>
      <c:valAx>
        <c:axId val="-70777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Credits</a:t>
                </a:r>
                <a:r>
                  <a:rPr lang="en-US" baseline="0"/>
                  <a:t> (MMT)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0777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'Figures I'!$B$44</c:f>
              <c:strCache>
                <c:ptCount val="1"/>
                <c:pt idx="0">
                  <c:v>Main Scenario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'Figures I'!$A$45:$A$53</c:f>
              <c:strCache>
                <c:ptCount val="9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</c:strCache>
            </c:strRef>
          </c:cat>
          <c:val>
            <c:numRef>
              <c:f>'Figures I'!$B$45:$B$53</c:f>
              <c:numCache>
                <c:formatCode>0</c:formatCode>
                <c:ptCount val="9"/>
                <c:pt idx="0">
                  <c:v>228.8177421614363</c:v>
                </c:pt>
                <c:pt idx="1">
                  <c:v>1758.231213745413</c:v>
                </c:pt>
                <c:pt idx="2">
                  <c:v>13543.68471035138</c:v>
                </c:pt>
                <c:pt idx="3">
                  <c:v>6043.61810164196</c:v>
                </c:pt>
                <c:pt idx="4">
                  <c:v>424.9693754215411</c:v>
                </c:pt>
                <c:pt idx="5">
                  <c:v>703.7037037037037</c:v>
                </c:pt>
                <c:pt idx="6">
                  <c:v>9626.184145296836</c:v>
                </c:pt>
                <c:pt idx="7">
                  <c:v>3686.713286713286</c:v>
                </c:pt>
                <c:pt idx="8">
                  <c:v>2396.068376068376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3D-D026-4624-BF73-2EA4AECE60FA}"/>
            </c:ext>
          </c:extLst>
        </c:ser>
        <c:ser>
          <c:idx val="1"/>
          <c:order val="1"/>
          <c:tx>
            <c:strRef>
              <c:f>'Figures I'!$C$44</c:f>
              <c:strCache>
                <c:ptCount val="1"/>
                <c:pt idx="0">
                  <c:v>High Demand Scenario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'Figures I'!$A$45:$A$53</c:f>
              <c:strCache>
                <c:ptCount val="9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</c:strCache>
            </c:strRef>
          </c:cat>
          <c:val>
            <c:numRef>
              <c:f>'Figures I'!$C$45:$C$53</c:f>
              <c:numCache>
                <c:formatCode>0</c:formatCode>
                <c:ptCount val="9"/>
                <c:pt idx="0">
                  <c:v>228.8177421614363</c:v>
                </c:pt>
                <c:pt idx="1">
                  <c:v>1758.231213745413</c:v>
                </c:pt>
                <c:pt idx="2">
                  <c:v>14774.92877492877</c:v>
                </c:pt>
                <c:pt idx="3">
                  <c:v>6043.61810164196</c:v>
                </c:pt>
                <c:pt idx="4">
                  <c:v>442.5619680141338</c:v>
                </c:pt>
                <c:pt idx="5">
                  <c:v>633.3333333333334</c:v>
                </c:pt>
                <c:pt idx="6">
                  <c:v>11228.43925509018</c:v>
                </c:pt>
                <c:pt idx="7">
                  <c:v>3686.713286713286</c:v>
                </c:pt>
                <c:pt idx="8">
                  <c:v>2670.384615384615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3F-D026-4624-BF73-2EA4AECE6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-707743936"/>
        <c:axId val="-707739408"/>
      </c:barChart>
      <c:catAx>
        <c:axId val="-70774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07739408"/>
        <c:crosses val="autoZero"/>
        <c:auto val="1"/>
        <c:lblAlgn val="ctr"/>
        <c:lblOffset val="100"/>
        <c:noMultiLvlLbl val="0"/>
      </c:catAx>
      <c:valAx>
        <c:axId val="-70773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</a:t>
                </a:r>
                <a:r>
                  <a:rPr lang="en-US" baseline="0"/>
                  <a:t> (mm GGE)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0774393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'Figures I'!$B$55</c:f>
              <c:strCache>
                <c:ptCount val="1"/>
                <c:pt idx="0">
                  <c:v>Main Scenario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'Figures I'!$A$56:$A$65</c:f>
              <c:strCache>
                <c:ptCount val="10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  <c:pt idx="9">
                  <c:v>Petroleum Projects</c:v>
                </c:pt>
              </c:strCache>
            </c:strRef>
          </c:cat>
          <c:val>
            <c:numRef>
              <c:f>'Figures I'!$B$56:$B$65</c:f>
              <c:numCache>
                <c:formatCode>0</c:formatCode>
                <c:ptCount val="10"/>
                <c:pt idx="0">
                  <c:v>2.783638683018903</c:v>
                </c:pt>
                <c:pt idx="1">
                  <c:v>41.20001391839754</c:v>
                </c:pt>
                <c:pt idx="2">
                  <c:v>88.8769225125</c:v>
                </c:pt>
                <c:pt idx="3">
                  <c:v>39.33982309282804</c:v>
                </c:pt>
                <c:pt idx="4">
                  <c:v>2.62458833761192</c:v>
                </c:pt>
                <c:pt idx="5">
                  <c:v>3.68029265175</c:v>
                </c:pt>
                <c:pt idx="6">
                  <c:v>35.95406876086351</c:v>
                </c:pt>
                <c:pt idx="7">
                  <c:v>37.3465336602</c:v>
                </c:pt>
                <c:pt idx="8">
                  <c:v>12.9098289375</c:v>
                </c:pt>
                <c:pt idx="9">
                  <c:v>16.793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86C-408E-9C18-511F8D84595E}"/>
            </c:ext>
          </c:extLst>
        </c:ser>
        <c:ser>
          <c:idx val="1"/>
          <c:order val="1"/>
          <c:tx>
            <c:strRef>
              <c:f>'Figures I'!$C$55</c:f>
              <c:strCache>
                <c:ptCount val="1"/>
                <c:pt idx="0">
                  <c:v>High Demand Scenario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'Figures I'!$A$56:$A$65</c:f>
              <c:strCache>
                <c:ptCount val="10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  <c:pt idx="9">
                  <c:v>Petroleum Projects</c:v>
                </c:pt>
              </c:strCache>
            </c:strRef>
          </c:cat>
          <c:val>
            <c:numRef>
              <c:f>'Figures I'!$C$56:$C$65</c:f>
              <c:numCache>
                <c:formatCode>0</c:formatCode>
                <c:ptCount val="10"/>
                <c:pt idx="0">
                  <c:v>2.783638683018903</c:v>
                </c:pt>
                <c:pt idx="1">
                  <c:v>41.20001391839754</c:v>
                </c:pt>
                <c:pt idx="2">
                  <c:v>96.39301500125</c:v>
                </c:pt>
                <c:pt idx="3">
                  <c:v>39.33982309282804</c:v>
                </c:pt>
                <c:pt idx="4">
                  <c:v>2.726410629611919</c:v>
                </c:pt>
                <c:pt idx="5">
                  <c:v>3.339252773999999</c:v>
                </c:pt>
                <c:pt idx="6">
                  <c:v>44.44369371858129</c:v>
                </c:pt>
                <c:pt idx="7">
                  <c:v>38.8180157852</c:v>
                </c:pt>
                <c:pt idx="8">
                  <c:v>14.3289617625</c:v>
                </c:pt>
                <c:pt idx="9">
                  <c:v>34.643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86C-408E-9C18-511F8D845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-1200651296"/>
        <c:axId val="-1200646720"/>
      </c:barChart>
      <c:catAx>
        <c:axId val="-1200651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00646720"/>
        <c:crosses val="autoZero"/>
        <c:auto val="1"/>
        <c:lblAlgn val="ctr"/>
        <c:lblOffset val="100"/>
        <c:noMultiLvlLbl val="0"/>
      </c:catAx>
      <c:valAx>
        <c:axId val="-120064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Credits</a:t>
                </a:r>
                <a:r>
                  <a:rPr lang="en-US" baseline="0"/>
                  <a:t> (MMT)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0065129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'Figures I'!$B$44</c:f>
              <c:strCache>
                <c:ptCount val="1"/>
                <c:pt idx="0">
                  <c:v>Main Scenario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'Figures I'!$A$45:$A$53</c:f>
              <c:strCache>
                <c:ptCount val="9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</c:strCache>
            </c:strRef>
          </c:cat>
          <c:val>
            <c:numRef>
              <c:f>'Figures I'!$B$45:$B$53</c:f>
              <c:numCache>
                <c:formatCode>0</c:formatCode>
                <c:ptCount val="9"/>
                <c:pt idx="0">
                  <c:v>228.8177421614363</c:v>
                </c:pt>
                <c:pt idx="1">
                  <c:v>1758.231213745413</c:v>
                </c:pt>
                <c:pt idx="2">
                  <c:v>13543.68471035138</c:v>
                </c:pt>
                <c:pt idx="3">
                  <c:v>6043.61810164196</c:v>
                </c:pt>
                <c:pt idx="4">
                  <c:v>424.9693754215411</c:v>
                </c:pt>
                <c:pt idx="5">
                  <c:v>703.7037037037037</c:v>
                </c:pt>
                <c:pt idx="6">
                  <c:v>9626.184145296836</c:v>
                </c:pt>
                <c:pt idx="7">
                  <c:v>3686.713286713286</c:v>
                </c:pt>
                <c:pt idx="8">
                  <c:v>2396.068376068376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338-419E-9504-D3ECFFE46A8C}"/>
            </c:ext>
          </c:extLst>
        </c:ser>
        <c:ser>
          <c:idx val="2"/>
          <c:order val="1"/>
          <c:tx>
            <c:strRef>
              <c:f>'Figures I'!$D$44</c:f>
              <c:strCache>
                <c:ptCount val="1"/>
                <c:pt idx="0">
                  <c:v>High Zev Scenario</c:v>
                </c:pt>
              </c:strCache>
            </c:strRef>
          </c:tx>
          <c:invertIfNegative val="0"/>
          <c:cat>
            <c:strRef>
              <c:f>'Figures I'!$A$45:$A$53</c:f>
              <c:strCache>
                <c:ptCount val="9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</c:strCache>
            </c:strRef>
          </c:cat>
          <c:val>
            <c:numRef>
              <c:f>'Figures I'!$D$45:$D$53</c:f>
              <c:numCache>
                <c:formatCode>0</c:formatCode>
                <c:ptCount val="9"/>
                <c:pt idx="0">
                  <c:v>515.2757124945016</c:v>
                </c:pt>
                <c:pt idx="1">
                  <c:v>2327.28353756437</c:v>
                </c:pt>
                <c:pt idx="2">
                  <c:v>11752.78425278425</c:v>
                </c:pt>
                <c:pt idx="3">
                  <c:v>6043.61810164196</c:v>
                </c:pt>
                <c:pt idx="4">
                  <c:v>400.3397457919115</c:v>
                </c:pt>
                <c:pt idx="5">
                  <c:v>633.3333333333334</c:v>
                </c:pt>
                <c:pt idx="6">
                  <c:v>9534.473306421316</c:v>
                </c:pt>
                <c:pt idx="7">
                  <c:v>3686.713286713286</c:v>
                </c:pt>
                <c:pt idx="8">
                  <c:v>2004.188034188034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4338-419E-9504-D3ECFFE46A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-1188432080"/>
        <c:axId val="-1188427504"/>
      </c:barChart>
      <c:catAx>
        <c:axId val="-118843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88427504"/>
        <c:crosses val="autoZero"/>
        <c:auto val="1"/>
        <c:lblAlgn val="ctr"/>
        <c:lblOffset val="100"/>
        <c:noMultiLvlLbl val="0"/>
      </c:catAx>
      <c:valAx>
        <c:axId val="-118842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</a:t>
                </a:r>
                <a:r>
                  <a:rPr lang="en-US" baseline="0"/>
                  <a:t> (mm GGE)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88432080"/>
        <c:crosses val="autoZero"/>
        <c:crossBetween val="between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'Figures I'!$B$55</c:f>
              <c:strCache>
                <c:ptCount val="1"/>
                <c:pt idx="0">
                  <c:v>Main Scenario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'Figures I'!$A$56:$A$65</c:f>
              <c:strCache>
                <c:ptCount val="10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  <c:pt idx="9">
                  <c:v>Petroleum Projects</c:v>
                </c:pt>
              </c:strCache>
            </c:strRef>
          </c:cat>
          <c:val>
            <c:numRef>
              <c:f>'Figures I'!$B$56:$B$65</c:f>
              <c:numCache>
                <c:formatCode>0</c:formatCode>
                <c:ptCount val="10"/>
                <c:pt idx="0">
                  <c:v>2.783638683018903</c:v>
                </c:pt>
                <c:pt idx="1">
                  <c:v>41.20001391839754</c:v>
                </c:pt>
                <c:pt idx="2">
                  <c:v>88.8769225125</c:v>
                </c:pt>
                <c:pt idx="3">
                  <c:v>39.33982309282804</c:v>
                </c:pt>
                <c:pt idx="4">
                  <c:v>2.62458833761192</c:v>
                </c:pt>
                <c:pt idx="5">
                  <c:v>3.68029265175</c:v>
                </c:pt>
                <c:pt idx="6">
                  <c:v>35.95406876086351</c:v>
                </c:pt>
                <c:pt idx="7">
                  <c:v>37.3465336602</c:v>
                </c:pt>
                <c:pt idx="8">
                  <c:v>12.9098289375</c:v>
                </c:pt>
                <c:pt idx="9">
                  <c:v>16.793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582-4997-BBCA-B83D5A5EDB37}"/>
            </c:ext>
          </c:extLst>
        </c:ser>
        <c:ser>
          <c:idx val="1"/>
          <c:order val="1"/>
          <c:tx>
            <c:strRef>
              <c:f>'Figures I'!$D$55</c:f>
              <c:strCache>
                <c:ptCount val="1"/>
                <c:pt idx="0">
                  <c:v>High Zev Scenario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'Figures I'!$A$56:$A$65</c:f>
              <c:strCache>
                <c:ptCount val="10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  <c:pt idx="9">
                  <c:v>Petroleum Projects</c:v>
                </c:pt>
              </c:strCache>
            </c:strRef>
          </c:cat>
          <c:val>
            <c:numRef>
              <c:f>'Figures I'!$D$56:$D$65</c:f>
              <c:numCache>
                <c:formatCode>0</c:formatCode>
                <c:ptCount val="10"/>
                <c:pt idx="0">
                  <c:v>6.274100423434753</c:v>
                </c:pt>
                <c:pt idx="1">
                  <c:v>57.41622515643954</c:v>
                </c:pt>
                <c:pt idx="2">
                  <c:v>77.97268009125</c:v>
                </c:pt>
                <c:pt idx="3">
                  <c:v>39.33982309282804</c:v>
                </c:pt>
                <c:pt idx="4">
                  <c:v>2.48101866136192</c:v>
                </c:pt>
                <c:pt idx="5">
                  <c:v>3.339252773999999</c:v>
                </c:pt>
                <c:pt idx="6">
                  <c:v>35.56001585244104</c:v>
                </c:pt>
                <c:pt idx="7">
                  <c:v>30.4310758102</c:v>
                </c:pt>
                <c:pt idx="8">
                  <c:v>10.9158451875</c:v>
                </c:pt>
                <c:pt idx="9">
                  <c:v>15.543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1582-4997-BBCA-B83D5A5ED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-1188325120"/>
        <c:axId val="-1188320544"/>
      </c:barChart>
      <c:catAx>
        <c:axId val="-118832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88320544"/>
        <c:crosses val="autoZero"/>
        <c:auto val="1"/>
        <c:lblAlgn val="ctr"/>
        <c:lblOffset val="100"/>
        <c:noMultiLvlLbl val="0"/>
      </c:catAx>
      <c:valAx>
        <c:axId val="-118832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Credits</a:t>
                </a:r>
                <a:r>
                  <a:rPr lang="en-US" baseline="0"/>
                  <a:t> (MMT)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88325120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'Figures I'!$B$44</c:f>
              <c:strCache>
                <c:ptCount val="1"/>
                <c:pt idx="0">
                  <c:v>Main Scenario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'Figures I'!$A$45:$A$53</c:f>
              <c:strCache>
                <c:ptCount val="9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</c:strCache>
            </c:strRef>
          </c:cat>
          <c:val>
            <c:numRef>
              <c:f>'Figures I'!$B$45:$B$53</c:f>
              <c:numCache>
                <c:formatCode>0</c:formatCode>
                <c:ptCount val="9"/>
                <c:pt idx="0">
                  <c:v>228.8177421614363</c:v>
                </c:pt>
                <c:pt idx="1">
                  <c:v>1758.231213745413</c:v>
                </c:pt>
                <c:pt idx="2">
                  <c:v>13543.68471035138</c:v>
                </c:pt>
                <c:pt idx="3">
                  <c:v>6043.61810164196</c:v>
                </c:pt>
                <c:pt idx="4">
                  <c:v>424.9693754215411</c:v>
                </c:pt>
                <c:pt idx="5">
                  <c:v>703.7037037037037</c:v>
                </c:pt>
                <c:pt idx="6">
                  <c:v>9626.184145296836</c:v>
                </c:pt>
                <c:pt idx="7">
                  <c:v>3686.713286713286</c:v>
                </c:pt>
                <c:pt idx="8">
                  <c:v>2396.068376068376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1CC-44C2-97AC-574C2A30F083}"/>
            </c:ext>
          </c:extLst>
        </c:ser>
        <c:ser>
          <c:idx val="1"/>
          <c:order val="1"/>
          <c:tx>
            <c:strRef>
              <c:f>'Figures I'!$E$44</c:f>
              <c:strCache>
                <c:ptCount val="1"/>
                <c:pt idx="0">
                  <c:v>High Demand/High ZEV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'Figures I'!$A$45:$A$53</c:f>
              <c:strCache>
                <c:ptCount val="9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</c:strCache>
            </c:strRef>
          </c:cat>
          <c:val>
            <c:numRef>
              <c:f>'Figures I'!$E$45:$E$53</c:f>
              <c:numCache>
                <c:formatCode>0</c:formatCode>
                <c:ptCount val="9"/>
                <c:pt idx="0">
                  <c:v>515.2757124945016</c:v>
                </c:pt>
                <c:pt idx="1">
                  <c:v>2327.28353756437</c:v>
                </c:pt>
                <c:pt idx="2">
                  <c:v>13711.5816282483</c:v>
                </c:pt>
                <c:pt idx="3">
                  <c:v>6043.61810164196</c:v>
                </c:pt>
                <c:pt idx="4">
                  <c:v>424.9693754215411</c:v>
                </c:pt>
                <c:pt idx="5">
                  <c:v>633.3333333333334</c:v>
                </c:pt>
                <c:pt idx="6">
                  <c:v>11059.32100880725</c:v>
                </c:pt>
                <c:pt idx="7">
                  <c:v>3686.713286713286</c:v>
                </c:pt>
                <c:pt idx="8">
                  <c:v>2424.059829059829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1CC-44C2-97AC-574C2A30F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-1188785008"/>
        <c:axId val="-1188780432"/>
      </c:barChart>
      <c:catAx>
        <c:axId val="-118878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88780432"/>
        <c:crosses val="autoZero"/>
        <c:auto val="1"/>
        <c:lblAlgn val="ctr"/>
        <c:lblOffset val="100"/>
        <c:noMultiLvlLbl val="0"/>
      </c:catAx>
      <c:valAx>
        <c:axId val="-118878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</a:t>
                </a:r>
                <a:r>
                  <a:rPr lang="en-US" baseline="0"/>
                  <a:t> (mm GGE)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88785008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'Figures I'!$B$55</c:f>
              <c:strCache>
                <c:ptCount val="1"/>
                <c:pt idx="0">
                  <c:v>Main Scenario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'Figures I'!$A$56:$A$65</c:f>
              <c:strCache>
                <c:ptCount val="10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  <c:pt idx="9">
                  <c:v>Petroleum Projects</c:v>
                </c:pt>
              </c:strCache>
            </c:strRef>
          </c:cat>
          <c:val>
            <c:numRef>
              <c:f>'Figures I'!$B$56:$B$65</c:f>
              <c:numCache>
                <c:formatCode>0</c:formatCode>
                <c:ptCount val="10"/>
                <c:pt idx="0">
                  <c:v>2.783638683018903</c:v>
                </c:pt>
                <c:pt idx="1">
                  <c:v>41.20001391839754</c:v>
                </c:pt>
                <c:pt idx="2">
                  <c:v>88.8769225125</c:v>
                </c:pt>
                <c:pt idx="3">
                  <c:v>39.33982309282804</c:v>
                </c:pt>
                <c:pt idx="4">
                  <c:v>2.62458833761192</c:v>
                </c:pt>
                <c:pt idx="5">
                  <c:v>3.68029265175</c:v>
                </c:pt>
                <c:pt idx="6">
                  <c:v>35.95406876086351</c:v>
                </c:pt>
                <c:pt idx="7">
                  <c:v>37.3465336602</c:v>
                </c:pt>
                <c:pt idx="8">
                  <c:v>12.9098289375</c:v>
                </c:pt>
                <c:pt idx="9">
                  <c:v>16.793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333-4FD0-87B3-AC3F4950BB1E}"/>
            </c:ext>
          </c:extLst>
        </c:ser>
        <c:ser>
          <c:idx val="1"/>
          <c:order val="1"/>
          <c:tx>
            <c:strRef>
              <c:f>'Figures I'!$E$55</c:f>
              <c:strCache>
                <c:ptCount val="1"/>
                <c:pt idx="0">
                  <c:v>High Demand/High ZEV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'Figures I'!$A$56:$A$65</c:f>
              <c:strCache>
                <c:ptCount val="10"/>
                <c:pt idx="0">
                  <c:v>Hydrogen</c:v>
                </c:pt>
                <c:pt idx="1">
                  <c:v>Electricity</c:v>
                </c:pt>
                <c:pt idx="2">
                  <c:v>Renewable Diesel</c:v>
                </c:pt>
                <c:pt idx="3">
                  <c:v>Biodiesel</c:v>
                </c:pt>
                <c:pt idx="4">
                  <c:v>Cellulosic Ethanol</c:v>
                </c:pt>
                <c:pt idx="5">
                  <c:v>Sugar Ethanol</c:v>
                </c:pt>
                <c:pt idx="6">
                  <c:v>Starch Ethanol</c:v>
                </c:pt>
                <c:pt idx="7">
                  <c:v>Biomethane</c:v>
                </c:pt>
                <c:pt idx="8">
                  <c:v>Alternative Jet Fuel</c:v>
                </c:pt>
                <c:pt idx="9">
                  <c:v>Petroleum Projects</c:v>
                </c:pt>
              </c:strCache>
            </c:strRef>
          </c:cat>
          <c:val>
            <c:numRef>
              <c:f>'Figures I'!$E$56:$E$65</c:f>
              <c:numCache>
                <c:formatCode>0</c:formatCode>
                <c:ptCount val="10"/>
                <c:pt idx="0">
                  <c:v>6.274100423434753</c:v>
                </c:pt>
                <c:pt idx="1">
                  <c:v>57.41622515643954</c:v>
                </c:pt>
                <c:pt idx="2">
                  <c:v>89.97843215374999</c:v>
                </c:pt>
                <c:pt idx="3">
                  <c:v>39.33982309282804</c:v>
                </c:pt>
                <c:pt idx="4">
                  <c:v>2.62458833761192</c:v>
                </c:pt>
                <c:pt idx="5">
                  <c:v>3.339252773999999</c:v>
                </c:pt>
                <c:pt idx="6">
                  <c:v>43.7100711079771</c:v>
                </c:pt>
                <c:pt idx="7">
                  <c:v>36.9737893602</c:v>
                </c:pt>
                <c:pt idx="8">
                  <c:v>13.07153615625</c:v>
                </c:pt>
                <c:pt idx="9">
                  <c:v>24.393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333-4FD0-87B3-AC3F4950B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-1190118592"/>
        <c:axId val="-1190114016"/>
      </c:barChart>
      <c:catAx>
        <c:axId val="-119011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90114016"/>
        <c:crosses val="autoZero"/>
        <c:auto val="1"/>
        <c:lblAlgn val="ctr"/>
        <c:lblOffset val="100"/>
        <c:noMultiLvlLbl val="0"/>
      </c:catAx>
      <c:valAx>
        <c:axId val="-119011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Credits</a:t>
                </a:r>
                <a:r>
                  <a:rPr lang="en-US" baseline="0"/>
                  <a:t> (MMT)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90118592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052231819841"/>
          <c:y val="0.0529636712540943"/>
          <c:w val="0.881912681870908"/>
          <c:h val="0.836388531306399"/>
        </c:manualLayout>
      </c:layout>
      <c:lineChart>
        <c:grouping val="standard"/>
        <c:varyColors val="0"/>
        <c:ser>
          <c:idx val="0"/>
          <c:order val="0"/>
          <c:tx>
            <c:strRef>
              <c:f>'Figures II'!$A$3</c:f>
              <c:strCache>
                <c:ptCount val="1"/>
                <c:pt idx="0">
                  <c:v>Baseline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'Figures II'!$D$2:$O$2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  <c:extLst xmlns:c16r2="http://schemas.microsoft.com/office/drawing/2015/06/chart"/>
            </c:numRef>
          </c:cat>
          <c:val>
            <c:numRef>
              <c:f>'Figures II'!$D$3:$O$3</c:f>
              <c:numCache>
                <c:formatCode>_("$"* #,##0_);_("$"* \(#,##0\);_("$"* "-"??_);_(@_)</c:formatCode>
                <c:ptCount val="12"/>
                <c:pt idx="0">
                  <c:v>150.0</c:v>
                </c:pt>
                <c:pt idx="1">
                  <c:v>200.0</c:v>
                </c:pt>
                <c:pt idx="2">
                  <c:v>200.0</c:v>
                </c:pt>
                <c:pt idx="3">
                  <c:v>200.0</c:v>
                </c:pt>
                <c:pt idx="4">
                  <c:v>150.0</c:v>
                </c:pt>
                <c:pt idx="5">
                  <c:v>150.0</c:v>
                </c:pt>
                <c:pt idx="6">
                  <c:v>125.0</c:v>
                </c:pt>
                <c:pt idx="7">
                  <c:v>75.0</c:v>
                </c:pt>
                <c:pt idx="8">
                  <c:v>50.0</c:v>
                </c:pt>
                <c:pt idx="9">
                  <c:v>25.0</c:v>
                </c:pt>
                <c:pt idx="10">
                  <c:v>25.0</c:v>
                </c:pt>
                <c:pt idx="11">
                  <c:v>25.0</c:v>
                </c:pt>
              </c:numCache>
              <c:extLst xmlns:c16r2="http://schemas.microsoft.com/office/drawing/2015/06/chart"/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277-4EAB-AAFE-A9D019E67416}"/>
            </c:ext>
          </c:extLst>
        </c:ser>
        <c:ser>
          <c:idx val="1"/>
          <c:order val="1"/>
          <c:tx>
            <c:strRef>
              <c:f>'Figures II'!#REF!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'Figures II'!$D$2:$O$2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  <c:extLst xmlns:c15="http://schemas.microsoft.com/office/drawing/2012/chart" xmlns:c16r2="http://schemas.microsoft.com/office/drawing/2015/06/chart"/>
            </c:numRef>
          </c:cat>
          <c:val>
            <c:numRef>
              <c:f>'Figures II'!#REF!</c:f>
              <c:extLst xmlns:c15="http://schemas.microsoft.com/office/drawing/2012/chart" xmlns:c16r2="http://schemas.microsoft.com/office/drawing/2015/06/chart"/>
            </c:numRef>
          </c: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1-2277-4EAB-AAFE-A9D019E67416}"/>
            </c:ext>
          </c:extLst>
        </c:ser>
        <c:ser>
          <c:idx val="2"/>
          <c:order val="2"/>
          <c:tx>
            <c:strRef>
              <c:f>'Figures II'!$A$4</c:f>
              <c:strCache>
                <c:ptCount val="1"/>
                <c:pt idx="0">
                  <c:v>Proposed Amendments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'Figures II'!$D$2:$O$2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  <c:extLst xmlns:c16r2="http://schemas.microsoft.com/office/drawing/2015/06/chart"/>
            </c:numRef>
          </c:cat>
          <c:val>
            <c:numRef>
              <c:f>'Figures II'!$D$4:$O$4</c:f>
              <c:numCache>
                <c:formatCode>_("$"* #,##0_);_("$"* \(#,##0\);_("$"* "-"??_);_(@_)</c:formatCode>
                <c:ptCount val="12"/>
                <c:pt idx="0">
                  <c:v>125.0</c:v>
                </c:pt>
                <c:pt idx="1">
                  <c:v>125.0</c:v>
                </c:pt>
                <c:pt idx="2">
                  <c:v>125.0</c:v>
                </c:pt>
                <c:pt idx="3">
                  <c:v>125.0</c:v>
                </c:pt>
                <c:pt idx="4">
                  <c:v>125.0</c:v>
                </c:pt>
                <c:pt idx="5">
                  <c:v>125.0</c:v>
                </c:pt>
                <c:pt idx="6">
                  <c:v>115.0</c:v>
                </c:pt>
                <c:pt idx="7">
                  <c:v>115.0</c:v>
                </c:pt>
                <c:pt idx="8">
                  <c:v>115.0</c:v>
                </c:pt>
                <c:pt idx="9">
                  <c:v>125.0</c:v>
                </c:pt>
                <c:pt idx="10">
                  <c:v>125.0</c:v>
                </c:pt>
                <c:pt idx="11">
                  <c:v>135.0</c:v>
                </c:pt>
              </c:numCache>
              <c:extLst xmlns:c16r2="http://schemas.microsoft.com/office/drawing/2015/06/chart"/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277-4EAB-AAFE-A9D019E67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189295952"/>
        <c:axId val="-1189291568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3"/>
                <c:order val="3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'Figures II'!$A$5</c15:sqref>
                        </c15:formulaRef>
                      </c:ext>
                    </c:extLst>
                    <c:strCache>
                      <c:ptCount val="1"/>
                      <c:pt idx="0">
                        <c:v>25% Low ZEV Low Demand 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'Figures II'!$D$2:$O$2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2019.0</c:v>
                      </c:pt>
                      <c:pt idx="1">
                        <c:v>2020.0</c:v>
                      </c:pt>
                      <c:pt idx="2">
                        <c:v>2021.0</c:v>
                      </c:pt>
                      <c:pt idx="3">
                        <c:v>2022.0</c:v>
                      </c:pt>
                      <c:pt idx="4">
                        <c:v>2023.0</c:v>
                      </c:pt>
                      <c:pt idx="5">
                        <c:v>2024.0</c:v>
                      </c:pt>
                      <c:pt idx="6">
                        <c:v>2025.0</c:v>
                      </c:pt>
                      <c:pt idx="7">
                        <c:v>2026.0</c:v>
                      </c:pt>
                      <c:pt idx="8">
                        <c:v>2027.0</c:v>
                      </c:pt>
                      <c:pt idx="9">
                        <c:v>2028.0</c:v>
                      </c:pt>
                      <c:pt idx="10">
                        <c:v>2029.0</c:v>
                      </c:pt>
                      <c:pt idx="11">
                        <c:v>2030.0</c:v>
                      </c:pt>
                    </c:numCache>
                  </c:num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'Figures II'!$D$5:$O$5</c15:sqref>
                        </c15:formulaRef>
                      </c:ext>
                    </c:extLst>
                    <c:numCache>
                      <c:formatCode>_("$"* #,##0_);_("$"* \(#,##0\);_("$"* "-"??_);_(@_)</c:formatCode>
                      <c:ptCount val="12"/>
                      <c:pt idx="0">
                        <c:v>150.0</c:v>
                      </c:pt>
                      <c:pt idx="1">
                        <c:v>200.0</c:v>
                      </c:pt>
                      <c:pt idx="2">
                        <c:v>200.0</c:v>
                      </c:pt>
                      <c:pt idx="3">
                        <c:v>200.0</c:v>
                      </c:pt>
                      <c:pt idx="4">
                        <c:v>200.0</c:v>
                      </c:pt>
                      <c:pt idx="5">
                        <c:v>200.0</c:v>
                      </c:pt>
                      <c:pt idx="6">
                        <c:v>200.0</c:v>
                      </c:pt>
                      <c:pt idx="7">
                        <c:v>200.0</c:v>
                      </c:pt>
                      <c:pt idx="8">
                        <c:v>200.0</c:v>
                      </c:pt>
                      <c:pt idx="9">
                        <c:v>200.0</c:v>
                      </c:pt>
                      <c:pt idx="10">
                        <c:v>200.0</c:v>
                      </c:pt>
                      <c:pt idx="11">
                        <c:v>200.0</c:v>
                      </c:pt>
                    </c:numCache>
                  </c:numRef>
                </c: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3-2277-4EAB-AAFE-A9D019E67416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'Figures II'!$A$6</c15:sqref>
                        </c15:formulaRef>
                      </c:ext>
                    </c:extLst>
                    <c:strCache>
                      <c:ptCount val="1"/>
                      <c:pt idx="0">
                        <c:v>18% Low ZEV Low Demand 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'Figures II'!$D$2:$O$2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2019.0</c:v>
                      </c:pt>
                      <c:pt idx="1">
                        <c:v>2020.0</c:v>
                      </c:pt>
                      <c:pt idx="2">
                        <c:v>2021.0</c:v>
                      </c:pt>
                      <c:pt idx="3">
                        <c:v>2022.0</c:v>
                      </c:pt>
                      <c:pt idx="4">
                        <c:v>2023.0</c:v>
                      </c:pt>
                      <c:pt idx="5">
                        <c:v>2024.0</c:v>
                      </c:pt>
                      <c:pt idx="6">
                        <c:v>2025.0</c:v>
                      </c:pt>
                      <c:pt idx="7">
                        <c:v>2026.0</c:v>
                      </c:pt>
                      <c:pt idx="8">
                        <c:v>2027.0</c:v>
                      </c:pt>
                      <c:pt idx="9">
                        <c:v>2028.0</c:v>
                      </c:pt>
                      <c:pt idx="10">
                        <c:v>2029.0</c:v>
                      </c:pt>
                      <c:pt idx="11">
                        <c:v>2030.0</c:v>
                      </c:pt>
                    </c:numCache>
                  </c:numRef>
                </c:cat>
                <c:val>
                  <c:num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'Figures II'!$D$6:$O$6</c15:sqref>
                        </c15:formulaRef>
                      </c:ext>
                    </c:extLst>
                    <c:numCache>
                      <c:formatCode>_("$"* #,##0_);_("$"* \(#,##0\);_("$"* "-"??_);_(@_)</c:formatCode>
                      <c:ptCount val="12"/>
                      <c:pt idx="0">
                        <c:v>150.0</c:v>
                      </c:pt>
                      <c:pt idx="1">
                        <c:v>200.0</c:v>
                      </c:pt>
                      <c:pt idx="2">
                        <c:v>200.0</c:v>
                      </c:pt>
                      <c:pt idx="3">
                        <c:v>200.0</c:v>
                      </c:pt>
                      <c:pt idx="4">
                        <c:v>150.0</c:v>
                      </c:pt>
                      <c:pt idx="5">
                        <c:v>150.0</c:v>
                      </c:pt>
                      <c:pt idx="6">
                        <c:v>100.0</c:v>
                      </c:pt>
                      <c:pt idx="7">
                        <c:v>100.0</c:v>
                      </c:pt>
                      <c:pt idx="8">
                        <c:v>100.0</c:v>
                      </c:pt>
                      <c:pt idx="9">
                        <c:v>100.0</c:v>
                      </c:pt>
                      <c:pt idx="10">
                        <c:v>100.0</c:v>
                      </c:pt>
                      <c:pt idx="11">
                        <c:v>110.0</c:v>
                      </c:pt>
                    </c:numCache>
                  </c:numRef>
                </c:val>
                <c:smooth val="0"/>
                <c:extLst xmlns:c15="http://schemas.microsoft.com/office/drawing/2012/chart" xmlns:c16r2="http://schemas.microsoft.com/office/drawing/2015/06/chart">
                  <c:ext xmlns:c16="http://schemas.microsoft.com/office/drawing/2014/chart" uri="{C3380CC4-5D6E-409C-BE32-E72D297353CC}">
                    <c16:uniqueId val="{00000004-2277-4EAB-AAFE-A9D019E67416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'Figures II'!$A$7</c15:sqref>
                        </c15:formulaRef>
                      </c:ext>
                    </c:extLst>
                    <c:strCache>
                      <c:ptCount val="1"/>
                      <c:pt idx="0">
                        <c:v>High Zev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'Figures II'!$D$2:$O$2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2019.0</c:v>
                      </c:pt>
                      <c:pt idx="1">
                        <c:v>2020.0</c:v>
                      </c:pt>
                      <c:pt idx="2">
                        <c:v>2021.0</c:v>
                      </c:pt>
                      <c:pt idx="3">
                        <c:v>2022.0</c:v>
                      </c:pt>
                      <c:pt idx="4">
                        <c:v>2023.0</c:v>
                      </c:pt>
                      <c:pt idx="5">
                        <c:v>2024.0</c:v>
                      </c:pt>
                      <c:pt idx="6">
                        <c:v>2025.0</c:v>
                      </c:pt>
                      <c:pt idx="7">
                        <c:v>2026.0</c:v>
                      </c:pt>
                      <c:pt idx="8">
                        <c:v>2027.0</c:v>
                      </c:pt>
                      <c:pt idx="9">
                        <c:v>2028.0</c:v>
                      </c:pt>
                      <c:pt idx="10">
                        <c:v>2029.0</c:v>
                      </c:pt>
                      <c:pt idx="11">
                        <c:v>2030.0</c:v>
                      </c:pt>
                    </c:numCache>
                  </c:numRef>
                </c:cat>
                <c:val>
                  <c:num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'Figures II'!$D$7:$O$7</c15:sqref>
                        </c15:formulaRef>
                      </c:ext>
                    </c:extLst>
                    <c:numCache>
                      <c:formatCode>_("$"* #,##0_);_("$"* \(#,##0\);_("$"* "-"??_);_(@_)</c:formatCode>
                      <c:ptCount val="12"/>
                      <c:pt idx="0">
                        <c:v>125.0</c:v>
                      </c:pt>
                      <c:pt idx="1">
                        <c:v>125.0</c:v>
                      </c:pt>
                      <c:pt idx="2">
                        <c:v>125.0</c:v>
                      </c:pt>
                      <c:pt idx="3">
                        <c:v>125.0</c:v>
                      </c:pt>
                      <c:pt idx="4">
                        <c:v>100.0</c:v>
                      </c:pt>
                      <c:pt idx="5">
                        <c:v>100.0</c:v>
                      </c:pt>
                      <c:pt idx="6">
                        <c:v>100.0</c:v>
                      </c:pt>
                      <c:pt idx="7">
                        <c:v>100.0</c:v>
                      </c:pt>
                      <c:pt idx="8">
                        <c:v>85.0</c:v>
                      </c:pt>
                      <c:pt idx="9">
                        <c:v>85.0</c:v>
                      </c:pt>
                      <c:pt idx="10">
                        <c:v>85.0</c:v>
                      </c:pt>
                      <c:pt idx="11">
                        <c:v>85.0</c:v>
                      </c:pt>
                    </c:numCache>
                  </c:numRef>
                </c:val>
                <c:smooth val="0"/>
                <c:extLst xmlns:c15="http://schemas.microsoft.com/office/drawing/2012/chart" xmlns:c16r2="http://schemas.microsoft.com/office/drawing/2015/06/chart">
                  <c:ext xmlns:c16="http://schemas.microsoft.com/office/drawing/2014/chart" uri="{C3380CC4-5D6E-409C-BE32-E72D297353CC}">
                    <c16:uniqueId val="{00000005-2277-4EAB-AAFE-A9D019E67416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'Figures II'!$A$8</c15:sqref>
                        </c15:formulaRef>
                      </c:ext>
                    </c:extLst>
                    <c:strCache>
                      <c:ptCount val="1"/>
                      <c:pt idx="0">
                        <c:v>High Demand 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'Figures II'!$D$2:$O$2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2019.0</c:v>
                      </c:pt>
                      <c:pt idx="1">
                        <c:v>2020.0</c:v>
                      </c:pt>
                      <c:pt idx="2">
                        <c:v>2021.0</c:v>
                      </c:pt>
                      <c:pt idx="3">
                        <c:v>2022.0</c:v>
                      </c:pt>
                      <c:pt idx="4">
                        <c:v>2023.0</c:v>
                      </c:pt>
                      <c:pt idx="5">
                        <c:v>2024.0</c:v>
                      </c:pt>
                      <c:pt idx="6">
                        <c:v>2025.0</c:v>
                      </c:pt>
                      <c:pt idx="7">
                        <c:v>2026.0</c:v>
                      </c:pt>
                      <c:pt idx="8">
                        <c:v>2027.0</c:v>
                      </c:pt>
                      <c:pt idx="9">
                        <c:v>2028.0</c:v>
                      </c:pt>
                      <c:pt idx="10">
                        <c:v>2029.0</c:v>
                      </c:pt>
                      <c:pt idx="11">
                        <c:v>2030.0</c:v>
                      </c:pt>
                    </c:numCache>
                  </c:numRef>
                </c:cat>
                <c:val>
                  <c:num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'Figures II'!$D$8:$O$8</c15:sqref>
                        </c15:formulaRef>
                      </c:ext>
                    </c:extLst>
                    <c:numCache>
                      <c:formatCode>_("$"* #,##0_);_("$"* \(#,##0\);_("$"* "-"??_);_(@_)</c:formatCode>
                      <c:ptCount val="12"/>
                      <c:pt idx="0">
                        <c:v>150.0</c:v>
                      </c:pt>
                      <c:pt idx="1">
                        <c:v>150.0</c:v>
                      </c:pt>
                      <c:pt idx="2">
                        <c:v>150.0</c:v>
                      </c:pt>
                      <c:pt idx="3">
                        <c:v>200.0</c:v>
                      </c:pt>
                      <c:pt idx="4">
                        <c:v>200.0</c:v>
                      </c:pt>
                      <c:pt idx="5">
                        <c:v>150.0</c:v>
                      </c:pt>
                      <c:pt idx="6">
                        <c:v>150.0</c:v>
                      </c:pt>
                      <c:pt idx="7">
                        <c:v>150.0</c:v>
                      </c:pt>
                      <c:pt idx="8">
                        <c:v>150.0</c:v>
                      </c:pt>
                      <c:pt idx="9">
                        <c:v>150.0</c:v>
                      </c:pt>
                      <c:pt idx="10">
                        <c:v>175.0</c:v>
                      </c:pt>
                      <c:pt idx="11">
                        <c:v>175.0</c:v>
                      </c:pt>
                    </c:numCache>
                  </c:numRef>
                </c:val>
                <c:smooth val="0"/>
                <c:extLst xmlns:c15="http://schemas.microsoft.com/office/drawing/2012/chart" xmlns:c16r2="http://schemas.microsoft.com/office/drawing/2015/06/chart">
                  <c:ext xmlns:c16="http://schemas.microsoft.com/office/drawing/2014/chart" uri="{C3380CC4-5D6E-409C-BE32-E72D297353CC}">
                    <c16:uniqueId val="{00000006-2277-4EAB-AAFE-A9D019E67416}"/>
                  </c:ext>
                </c:extLst>
              </c15:ser>
            </c15:filteredLineSeries>
          </c:ext>
        </c:extLst>
      </c:lineChart>
      <c:catAx>
        <c:axId val="-118929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89291568"/>
        <c:crosses val="autoZero"/>
        <c:auto val="1"/>
        <c:lblAlgn val="ctr"/>
        <c:lblOffset val="100"/>
        <c:noMultiLvlLbl val="0"/>
      </c:catAx>
      <c:valAx>
        <c:axId val="-118929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$/MT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89295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40493103377473"/>
          <c:y val="0.09970676161461"/>
          <c:w val="0.510166126128945"/>
          <c:h val="0.07742033683208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438467827403"/>
          <c:y val="0.0553678971946689"/>
          <c:w val="0.879052998341125"/>
          <c:h val="0.83816395677813"/>
        </c:manualLayout>
      </c:layout>
      <c:lineChart>
        <c:grouping val="standard"/>
        <c:varyColors val="0"/>
        <c:ser>
          <c:idx val="0"/>
          <c:order val="0"/>
          <c:tx>
            <c:strRef>
              <c:f>'Figures II'!$A$28</c:f>
              <c:strCache>
                <c:ptCount val="1"/>
                <c:pt idx="0">
                  <c:v>Proposed Amendments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'Figures II'!$B$27:$M$27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'Figures II'!$B$28:$M$28</c:f>
              <c:numCache>
                <c:formatCode>0%</c:formatCode>
                <c:ptCount val="12"/>
                <c:pt idx="0">
                  <c:v>-0.0625</c:v>
                </c:pt>
                <c:pt idx="1">
                  <c:v>-0.075</c:v>
                </c:pt>
                <c:pt idx="2">
                  <c:v>-0.0875</c:v>
                </c:pt>
                <c:pt idx="3">
                  <c:v>-0.1</c:v>
                </c:pt>
                <c:pt idx="4">
                  <c:v>-0.1125</c:v>
                </c:pt>
                <c:pt idx="5">
                  <c:v>-0.125</c:v>
                </c:pt>
                <c:pt idx="6">
                  <c:v>-0.1375</c:v>
                </c:pt>
                <c:pt idx="7">
                  <c:v>-0.15</c:v>
                </c:pt>
                <c:pt idx="8">
                  <c:v>-0.1625</c:v>
                </c:pt>
                <c:pt idx="9">
                  <c:v>-0.175</c:v>
                </c:pt>
                <c:pt idx="10">
                  <c:v>-0.1875</c:v>
                </c:pt>
                <c:pt idx="11">
                  <c:v>-0.2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2D5-4EC4-B783-7FA6E39DE0C6}"/>
            </c:ext>
          </c:extLst>
        </c:ser>
        <c:ser>
          <c:idx val="1"/>
          <c:order val="1"/>
          <c:tx>
            <c:strRef>
              <c:f>'Figures II'!$A$29</c:f>
              <c:strCache>
                <c:ptCount val="1"/>
                <c:pt idx="0">
                  <c:v>Alternative 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'Figures II'!$B$27:$M$27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'Figures II'!$B$29:$M$29</c:f>
              <c:numCache>
                <c:formatCode>0%</c:formatCode>
                <c:ptCount val="12"/>
                <c:pt idx="0">
                  <c:v>-0.0666666666666667</c:v>
                </c:pt>
                <c:pt idx="1">
                  <c:v>-0.0833333333333333</c:v>
                </c:pt>
                <c:pt idx="2">
                  <c:v>-0.1</c:v>
                </c:pt>
                <c:pt idx="3">
                  <c:v>-0.116666666666667</c:v>
                </c:pt>
                <c:pt idx="4">
                  <c:v>-0.133333333333333</c:v>
                </c:pt>
                <c:pt idx="5">
                  <c:v>-0.15</c:v>
                </c:pt>
                <c:pt idx="6">
                  <c:v>-0.166666666666667</c:v>
                </c:pt>
                <c:pt idx="7">
                  <c:v>-0.183333333333333</c:v>
                </c:pt>
                <c:pt idx="8">
                  <c:v>-0.2</c:v>
                </c:pt>
                <c:pt idx="9">
                  <c:v>-0.216666666666667</c:v>
                </c:pt>
                <c:pt idx="10">
                  <c:v>-0.233333333333333</c:v>
                </c:pt>
                <c:pt idx="11">
                  <c:v>-0.25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2D5-4EC4-B783-7FA6E39DE0C6}"/>
            </c:ext>
          </c:extLst>
        </c:ser>
        <c:ser>
          <c:idx val="2"/>
          <c:order val="2"/>
          <c:tx>
            <c:strRef>
              <c:f>'Figures II'!$A$30</c:f>
              <c:strCache>
                <c:ptCount val="1"/>
                <c:pt idx="0">
                  <c:v>Alternative 2</c:v>
                </c:pt>
              </c:strCache>
            </c:strRef>
          </c:tx>
          <c:spPr>
            <a:ln w="47625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'Figures II'!$B$27:$M$27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'Figures II'!$B$30:$M$30</c:f>
              <c:numCache>
                <c:formatCode>0%</c:formatCode>
                <c:ptCount val="12"/>
                <c:pt idx="0">
                  <c:v>-0.075</c:v>
                </c:pt>
                <c:pt idx="1">
                  <c:v>-0.1</c:v>
                </c:pt>
                <c:pt idx="2">
                  <c:v>-0.1</c:v>
                </c:pt>
                <c:pt idx="3">
                  <c:v>-0.1</c:v>
                </c:pt>
                <c:pt idx="4">
                  <c:v>-0.11</c:v>
                </c:pt>
                <c:pt idx="5">
                  <c:v>-0.12</c:v>
                </c:pt>
                <c:pt idx="6">
                  <c:v>-0.13</c:v>
                </c:pt>
                <c:pt idx="7">
                  <c:v>-0.14</c:v>
                </c:pt>
                <c:pt idx="8">
                  <c:v>-0.15</c:v>
                </c:pt>
                <c:pt idx="9">
                  <c:v>-0.16</c:v>
                </c:pt>
                <c:pt idx="10">
                  <c:v>-0.17</c:v>
                </c:pt>
                <c:pt idx="11">
                  <c:v>-0.18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2D5-4EC4-B783-7FA6E39DE0C6}"/>
            </c:ext>
          </c:extLst>
        </c:ser>
        <c:ser>
          <c:idx val="3"/>
          <c:order val="3"/>
          <c:tx>
            <c:strRef>
              <c:f>'Figures II'!$A$31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'Figures II'!$B$27:$M$27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'Figures II'!$B$31:$M$31</c:f>
              <c:numCache>
                <c:formatCode>0%</c:formatCode>
                <c:ptCount val="12"/>
                <c:pt idx="0">
                  <c:v>-0.075</c:v>
                </c:pt>
                <c:pt idx="1">
                  <c:v>-0.1</c:v>
                </c:pt>
                <c:pt idx="2">
                  <c:v>-0.1</c:v>
                </c:pt>
                <c:pt idx="3">
                  <c:v>-0.1</c:v>
                </c:pt>
                <c:pt idx="4">
                  <c:v>-0.1</c:v>
                </c:pt>
                <c:pt idx="5">
                  <c:v>-0.1</c:v>
                </c:pt>
                <c:pt idx="6">
                  <c:v>-0.1</c:v>
                </c:pt>
                <c:pt idx="7">
                  <c:v>-0.1</c:v>
                </c:pt>
                <c:pt idx="8">
                  <c:v>-0.1</c:v>
                </c:pt>
                <c:pt idx="9">
                  <c:v>-0.1</c:v>
                </c:pt>
                <c:pt idx="10">
                  <c:v>-0.1</c:v>
                </c:pt>
                <c:pt idx="11">
                  <c:v>-0.1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2D5-4EC4-B783-7FA6E39DE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189228176"/>
        <c:axId val="-1189222992"/>
      </c:lineChart>
      <c:catAx>
        <c:axId val="-1189228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89222992"/>
        <c:crosses val="autoZero"/>
        <c:auto val="1"/>
        <c:lblAlgn val="ctr"/>
        <c:lblOffset val="100"/>
        <c:noMultiLvlLbl val="0"/>
      </c:catAx>
      <c:valAx>
        <c:axId val="-118922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CI % reduction Target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89228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8234455195349"/>
          <c:y val="0.66145386372158"/>
          <c:w val="0.51431502181919"/>
          <c:h val="0.0961218938541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819647768244216"/>
          <c:y val="0.24764852728893"/>
          <c:w val="0.861194323803695"/>
          <c:h val="0.603131037576311"/>
        </c:manualLayout>
      </c:layout>
      <c:areaChart>
        <c:grouping val="stacked"/>
        <c:varyColors val="0"/>
        <c:ser>
          <c:idx val="6"/>
          <c:order val="0"/>
          <c:tx>
            <c:v>ULSD</c:v>
          </c:tx>
          <c:spPr>
            <a:solidFill>
              <a:schemeClr val="tx1">
                <a:lumMod val="65000"/>
                <a:lumOff val="35000"/>
              </a:schemeClr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Calculations!$D$38:$T$38</c:f>
              <c:numCache>
                <c:formatCode>#,##0</c:formatCode>
                <c:ptCount val="17"/>
                <c:pt idx="0">
                  <c:v>3444.0</c:v>
                </c:pt>
                <c:pt idx="1">
                  <c:v>3475.0</c:v>
                </c:pt>
                <c:pt idx="2">
                  <c:v>3421.0</c:v>
                </c:pt>
                <c:pt idx="3">
                  <c:v>3159.305389440571</c:v>
                </c:pt>
                <c:pt idx="4">
                  <c:v>2980.867734263093</c:v>
                </c:pt>
                <c:pt idx="5">
                  <c:v>2807.866277433459</c:v>
                </c:pt>
                <c:pt idx="6">
                  <c:v>2617.796334256688</c:v>
                </c:pt>
                <c:pt idx="7">
                  <c:v>2472.803628017585</c:v>
                </c:pt>
                <c:pt idx="8">
                  <c:v>2332.767641068789</c:v>
                </c:pt>
                <c:pt idx="9">
                  <c:v>2231.185349354206</c:v>
                </c:pt>
                <c:pt idx="10">
                  <c:v>2152.27681087463</c:v>
                </c:pt>
                <c:pt idx="11">
                  <c:v>2053.54584817496</c:v>
                </c:pt>
                <c:pt idx="12">
                  <c:v>2049.849307434357</c:v>
                </c:pt>
                <c:pt idx="13">
                  <c:v>2030.820061912936</c:v>
                </c:pt>
                <c:pt idx="14">
                  <c:v>2010.22770957082</c:v>
                </c:pt>
                <c:pt idx="15">
                  <c:v>1975.09707208242</c:v>
                </c:pt>
                <c:pt idx="16">
                  <c:v>1934.563841600523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6D-4F5F-A275-3B94849B07CE}"/>
            </c:ext>
          </c:extLst>
        </c:ser>
        <c:ser>
          <c:idx val="0"/>
          <c:order val="1"/>
          <c:tx>
            <c:v>Biodiesel</c:v>
          </c:tx>
          <c:spPr>
            <a:solidFill>
              <a:schemeClr val="accent4">
                <a:lumMod val="20000"/>
                <a:lumOff val="80000"/>
              </a:schemeClr>
            </a:solidFill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Calculations!$D$29:$T$29</c:f>
              <c:numCache>
                <c:formatCode>#,##0</c:formatCode>
                <c:ptCount val="17"/>
                <c:pt idx="0" formatCode="0">
                  <c:v>67.0</c:v>
                </c:pt>
                <c:pt idx="1">
                  <c:v>126.0</c:v>
                </c:pt>
                <c:pt idx="2">
                  <c:v>163.0</c:v>
                </c:pt>
                <c:pt idx="3" formatCode="0">
                  <c:v>182.2064680570404</c:v>
                </c:pt>
                <c:pt idx="4" formatCode="0">
                  <c:v>209.5054947102333</c:v>
                </c:pt>
                <c:pt idx="5" formatCode="0">
                  <c:v>236.1353512501891</c:v>
                </c:pt>
                <c:pt idx="6" formatCode="0">
                  <c:v>262.2112858601237</c:v>
                </c:pt>
                <c:pt idx="7" formatCode="0">
                  <c:v>312.7434161423128</c:v>
                </c:pt>
                <c:pt idx="8" formatCode="0">
                  <c:v>363.4003556874757</c:v>
                </c:pt>
                <c:pt idx="9" formatCode="0">
                  <c:v>413.8561370243773</c:v>
                </c:pt>
                <c:pt idx="10" formatCode="0">
                  <c:v>463.2850168987629</c:v>
                </c:pt>
                <c:pt idx="11" formatCode="0">
                  <c:v>510.0833592573394</c:v>
                </c:pt>
                <c:pt idx="12" formatCode="0">
                  <c:v>507.2936311921891</c:v>
                </c:pt>
                <c:pt idx="13" formatCode="0">
                  <c:v>503.2595646950161</c:v>
                </c:pt>
                <c:pt idx="14" formatCode="0">
                  <c:v>499.6434857000034</c:v>
                </c:pt>
                <c:pt idx="15" formatCode="0">
                  <c:v>495.7704372442033</c:v>
                </c:pt>
                <c:pt idx="16" formatCode="0">
                  <c:v>492.8272887265368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6D-4F5F-A275-3B94849B07CE}"/>
            </c:ext>
          </c:extLst>
        </c:ser>
        <c:ser>
          <c:idx val="1"/>
          <c:order val="2"/>
          <c:tx>
            <c:v>Renewable Diesel</c:v>
          </c:tx>
          <c:spPr>
            <a:solidFill>
              <a:srgbClr val="7030A0"/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Calculations!$D$30:$T$30</c:f>
              <c:numCache>
                <c:formatCode>#,##0</c:formatCode>
                <c:ptCount val="17"/>
                <c:pt idx="0" formatCode="0">
                  <c:v>113.0</c:v>
                </c:pt>
                <c:pt idx="1">
                  <c:v>165.0</c:v>
                </c:pt>
                <c:pt idx="2">
                  <c:v>249.0</c:v>
                </c:pt>
                <c:pt idx="3" formatCode="0">
                  <c:v>363.0119552641727</c:v>
                </c:pt>
                <c:pt idx="4" formatCode="0">
                  <c:v>501.7932602936616</c:v>
                </c:pt>
                <c:pt idx="5" formatCode="0">
                  <c:v>633.459314212137</c:v>
                </c:pt>
                <c:pt idx="6" formatCode="0">
                  <c:v>782.9932684887161</c:v>
                </c:pt>
                <c:pt idx="7" formatCode="0">
                  <c:v>870.0629226834041</c:v>
                </c:pt>
                <c:pt idx="8" formatCode="0">
                  <c:v>957.5738622509458</c:v>
                </c:pt>
                <c:pt idx="9" formatCode="0">
                  <c:v>1004.719973130429</c:v>
                </c:pt>
                <c:pt idx="10" formatCode="0">
                  <c:v>1012.229078487143</c:v>
                </c:pt>
                <c:pt idx="11" formatCode="0">
                  <c:v>1022.024497992363</c:v>
                </c:pt>
                <c:pt idx="12" formatCode="0">
                  <c:v>993.1105848567415</c:v>
                </c:pt>
                <c:pt idx="13" formatCode="0">
                  <c:v>967.5174098055384</c:v>
                </c:pt>
                <c:pt idx="14" formatCode="0">
                  <c:v>945.833673952867</c:v>
                </c:pt>
                <c:pt idx="15" formatCode="0">
                  <c:v>928.6858547584013</c:v>
                </c:pt>
                <c:pt idx="16" formatCode="0">
                  <c:v>916.72841791971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E6D-4F5F-A275-3B94849B07CE}"/>
            </c:ext>
          </c:extLst>
        </c:ser>
        <c:ser>
          <c:idx val="2"/>
          <c:order val="3"/>
          <c:tx>
            <c:v>Conventional Natural Gas</c:v>
          </c:tx>
          <c:spPr>
            <a:solidFill>
              <a:schemeClr val="accent2">
                <a:lumMod val="50000"/>
              </a:schemeClr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Calculations!$D$32:$T$32</c:f>
              <c:numCache>
                <c:formatCode>0</c:formatCode>
                <c:ptCount val="17"/>
                <c:pt idx="0">
                  <c:v>97.0</c:v>
                </c:pt>
                <c:pt idx="1">
                  <c:v>69.0</c:v>
                </c:pt>
                <c:pt idx="2">
                  <c:v>55.0</c:v>
                </c:pt>
                <c:pt idx="3">
                  <c:v>70.30230818817019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E6D-4F5F-A275-3B94849B07CE}"/>
            </c:ext>
          </c:extLst>
        </c:ser>
        <c:ser>
          <c:idx val="3"/>
          <c:order val="4"/>
          <c:tx>
            <c:v>Biomethane</c:v>
          </c:tx>
          <c:spPr>
            <a:solidFill>
              <a:srgbClr val="FF33CC"/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Calculations!$D$33:$T$33</c:f>
              <c:numCache>
                <c:formatCode>0</c:formatCode>
                <c:ptCount val="17"/>
                <c:pt idx="0">
                  <c:v>29.0</c:v>
                </c:pt>
                <c:pt idx="1">
                  <c:v>68.0</c:v>
                </c:pt>
                <c:pt idx="2">
                  <c:v>87.0</c:v>
                </c:pt>
                <c:pt idx="3">
                  <c:v>171.8778898632718</c:v>
                </c:pt>
                <c:pt idx="4">
                  <c:v>273.664544558048</c:v>
                </c:pt>
                <c:pt idx="5">
                  <c:v>306.6351848032647</c:v>
                </c:pt>
                <c:pt idx="6">
                  <c:v>340.5992866274129</c:v>
                </c:pt>
                <c:pt idx="7">
                  <c:v>372.1351007335721</c:v>
                </c:pt>
                <c:pt idx="8">
                  <c:v>402.0234032894011</c:v>
                </c:pt>
                <c:pt idx="9">
                  <c:v>429.7355559149202</c:v>
                </c:pt>
                <c:pt idx="10">
                  <c:v>454.4414507143721</c:v>
                </c:pt>
                <c:pt idx="11">
                  <c:v>472.3536200439273</c:v>
                </c:pt>
                <c:pt idx="12">
                  <c:v>494.9089151367324</c:v>
                </c:pt>
                <c:pt idx="13">
                  <c:v>515.6021163911936</c:v>
                </c:pt>
                <c:pt idx="14">
                  <c:v>534.8829179275135</c:v>
                </c:pt>
                <c:pt idx="15">
                  <c:v>553.9561243235146</c:v>
                </c:pt>
                <c:pt idx="16">
                  <c:v>573.4579155976136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E6D-4F5F-A275-3B94849B07CE}"/>
            </c:ext>
          </c:extLst>
        </c:ser>
        <c:ser>
          <c:idx val="4"/>
          <c:order val="5"/>
          <c:tx>
            <c:v>Hydrogen (DGE)</c:v>
          </c:tx>
          <c:spPr>
            <a:solidFill>
              <a:srgbClr val="00B0F0"/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'Intermediate Calculations'!$B$6:$R$6</c:f>
              <c:numCache>
                <c:formatCode>0.0</c:formatCode>
                <c:ptCount val="1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BE6D-4F5F-A275-3B94849B07CE}"/>
            </c:ext>
          </c:extLst>
        </c:ser>
        <c:ser>
          <c:idx val="5"/>
          <c:order val="6"/>
          <c:tx>
            <c:v>Electricity (DGE)</c:v>
          </c:tx>
          <c:spPr>
            <a:solidFill>
              <a:srgbClr val="FFC000"/>
            </a:solidFill>
            <a:ln w="25400">
              <a:noFill/>
            </a:ln>
          </c:spPr>
          <c:cat>
            <c:numRef>
              <c:f>Calculations!$D$15:$T$15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'Intermediate Calculations'!$B$5:$R$5</c:f>
              <c:numCache>
                <c:formatCode>0.0</c:formatCode>
                <c:ptCount val="17"/>
                <c:pt idx="0">
                  <c:v>0.0</c:v>
                </c:pt>
                <c:pt idx="1">
                  <c:v>32.12612478619766</c:v>
                </c:pt>
                <c:pt idx="2">
                  <c:v>33.0095932178181</c:v>
                </c:pt>
                <c:pt idx="3">
                  <c:v>33.00960095714453</c:v>
                </c:pt>
                <c:pt idx="4">
                  <c:v>33.00960095714453</c:v>
                </c:pt>
                <c:pt idx="5">
                  <c:v>33.00960095714453</c:v>
                </c:pt>
                <c:pt idx="6">
                  <c:v>33.27731866369618</c:v>
                </c:pt>
                <c:pt idx="7">
                  <c:v>33.67889522352364</c:v>
                </c:pt>
                <c:pt idx="8">
                  <c:v>34.34818948990277</c:v>
                </c:pt>
                <c:pt idx="9">
                  <c:v>35.28806380106869</c:v>
                </c:pt>
                <c:pt idx="10">
                  <c:v>39.88543329992756</c:v>
                </c:pt>
                <c:pt idx="11">
                  <c:v>46.25245208490547</c:v>
                </c:pt>
                <c:pt idx="12">
                  <c:v>54.07317926060568</c:v>
                </c:pt>
                <c:pt idx="13">
                  <c:v>63.22767799200184</c:v>
                </c:pt>
                <c:pt idx="14">
                  <c:v>72.38908387602751</c:v>
                </c:pt>
                <c:pt idx="15">
                  <c:v>84.37095014978789</c:v>
                </c:pt>
                <c:pt idx="16">
                  <c:v>98.18947020400492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BE6D-4F5F-A275-3B94849B0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00787104"/>
        <c:axId val="-1200783104"/>
      </c:areaChart>
      <c:catAx>
        <c:axId val="-120078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200783104"/>
        <c:crosses val="autoZero"/>
        <c:auto val="1"/>
        <c:lblAlgn val="ctr"/>
        <c:lblOffset val="100"/>
        <c:noMultiLvlLbl val="0"/>
      </c:catAx>
      <c:valAx>
        <c:axId val="-1200783104"/>
        <c:scaling>
          <c:orientation val="minMax"/>
          <c:max val="5000.0"/>
          <c:min val="0.0"/>
        </c:scaling>
        <c:delete val="0"/>
        <c:axPos val="l"/>
        <c:numFmt formatCode="#,##0" sourceLinked="1"/>
        <c:majorTickMark val="out"/>
        <c:minorTickMark val="none"/>
        <c:tickLblPos val="nextTo"/>
        <c:crossAx val="-120078710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0864887722368037"/>
          <c:y val="0.0157576790150735"/>
          <c:w val="0.8832072944007"/>
          <c:h val="0.189322087704458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7235188146469"/>
          <c:y val="0.0514005540974045"/>
          <c:w val="0.798367440573784"/>
          <c:h val="0.795235491396909"/>
        </c:manualLayout>
      </c:layout>
      <c:lineChart>
        <c:grouping val="standard"/>
        <c:varyColors val="0"/>
        <c:ser>
          <c:idx val="0"/>
          <c:order val="0"/>
          <c:tx>
            <c:v>Target</c:v>
          </c:tx>
          <c:spPr>
            <a:ln w="15875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'Intermediate Calculations'!$B$2:$R$2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'Intermediate Calculations'!$B$9:$I$9</c:f>
              <c:numCache>
                <c:formatCode>0.00%</c:formatCode>
                <c:ptCount val="8"/>
                <c:pt idx="0">
                  <c:v>-0.01</c:v>
                </c:pt>
                <c:pt idx="1">
                  <c:v>-0.01</c:v>
                </c:pt>
                <c:pt idx="2">
                  <c:v>-0.02</c:v>
                </c:pt>
                <c:pt idx="3">
                  <c:v>-0.035</c:v>
                </c:pt>
                <c:pt idx="4">
                  <c:v>-0.05</c:v>
                </c:pt>
                <c:pt idx="5">
                  <c:v>-0.064</c:v>
                </c:pt>
                <c:pt idx="6">
                  <c:v>-0.078</c:v>
                </c:pt>
                <c:pt idx="7">
                  <c:v>-0.092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533-41D5-AE8C-9675524796F6}"/>
            </c:ext>
          </c:extLst>
        </c:ser>
        <c:ser>
          <c:idx val="1"/>
          <c:order val="1"/>
          <c:tx>
            <c:v>Proposed Target</c:v>
          </c:tx>
          <c:spPr>
            <a:ln w="22225"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'Intermediate Calculations'!$B$2:$R$2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('Intermediate Calculations'!$B$1:$H$1,'Intermediate Calculations'!$I$9:$R$9)</c:f>
              <c:numCache>
                <c:formatCode>General</c:formatCode>
                <c:ptCount val="17"/>
                <c:pt idx="7" formatCode="0.00%">
                  <c:v>-0.092</c:v>
                </c:pt>
                <c:pt idx="8" formatCode="0.00%">
                  <c:v>-0.106</c:v>
                </c:pt>
                <c:pt idx="9" formatCode="0.00%">
                  <c:v>-0.12</c:v>
                </c:pt>
                <c:pt idx="10" formatCode="0.00%">
                  <c:v>-0.134</c:v>
                </c:pt>
                <c:pt idx="11" formatCode="0.00%">
                  <c:v>-0.15</c:v>
                </c:pt>
                <c:pt idx="12" formatCode="0.00%">
                  <c:v>-0.166</c:v>
                </c:pt>
                <c:pt idx="13" formatCode="0.00%">
                  <c:v>-0.182</c:v>
                </c:pt>
                <c:pt idx="14" formatCode="0.00%">
                  <c:v>-0.198</c:v>
                </c:pt>
                <c:pt idx="15" formatCode="0.00%">
                  <c:v>-0.214</c:v>
                </c:pt>
                <c:pt idx="16" formatCode="0.00%">
                  <c:v>-0.23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533-41D5-AE8C-967552479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00752720"/>
        <c:axId val="-1200748720"/>
      </c:lineChart>
      <c:catAx>
        <c:axId val="-120075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200748720"/>
        <c:crossesAt val="-0.3"/>
        <c:auto val="1"/>
        <c:lblAlgn val="ctr"/>
        <c:lblOffset val="100"/>
        <c:noMultiLvlLbl val="0"/>
      </c:catAx>
      <c:valAx>
        <c:axId val="-1200748720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crossAx val="-1200752720"/>
        <c:crosses val="autoZero"/>
        <c:crossBetween val="midCat"/>
      </c:valAx>
      <c:spPr>
        <a:ln w="31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65174179705686"/>
          <c:y val="0.101467993584135"/>
          <c:w val="0.455991201613937"/>
          <c:h val="0.20060950714494"/>
        </c:manualLayout>
      </c:layout>
      <c:overlay val="0"/>
      <c:spPr>
        <a:noFill/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238049789231"/>
          <c:y val="0.0652894429862934"/>
          <c:w val="0.796971022561574"/>
          <c:h val="0.795235491396909"/>
        </c:manualLayout>
      </c:layout>
      <c:areaChart>
        <c:grouping val="standard"/>
        <c:varyColors val="0"/>
        <c:ser>
          <c:idx val="0"/>
          <c:order val="0"/>
          <c:tx>
            <c:v>Credit Bank</c:v>
          </c:tx>
          <c:spPr>
            <a:solidFill>
              <a:srgbClr val="00B0F0"/>
            </a:solidFill>
          </c:spPr>
          <c:cat>
            <c:numRef>
              <c:f>'Intermediate Calculations'!$B$2:$R$2</c:f>
              <c:numCache>
                <c:formatCode>General</c:formatCode>
                <c:ptCount val="17"/>
                <c:pt idx="0">
                  <c:v>2014.0</c:v>
                </c:pt>
                <c:pt idx="1">
                  <c:v>2015.0</c:v>
                </c:pt>
                <c:pt idx="2">
                  <c:v>2016.0</c:v>
                </c:pt>
                <c:pt idx="3">
                  <c:v>2017.0</c:v>
                </c:pt>
                <c:pt idx="4">
                  <c:v>2018.0</c:v>
                </c:pt>
                <c:pt idx="5">
                  <c:v>2019.0</c:v>
                </c:pt>
                <c:pt idx="6">
                  <c:v>2020.0</c:v>
                </c:pt>
                <c:pt idx="7">
                  <c:v>2021.0</c:v>
                </c:pt>
                <c:pt idx="8">
                  <c:v>2022.0</c:v>
                </c:pt>
                <c:pt idx="9">
                  <c:v>2023.0</c:v>
                </c:pt>
                <c:pt idx="10">
                  <c:v>2024.0</c:v>
                </c:pt>
                <c:pt idx="11">
                  <c:v>2025.0</c:v>
                </c:pt>
                <c:pt idx="12">
                  <c:v>2026.0</c:v>
                </c:pt>
                <c:pt idx="13">
                  <c:v>2027.0</c:v>
                </c:pt>
                <c:pt idx="14">
                  <c:v>2028.0</c:v>
                </c:pt>
                <c:pt idx="15">
                  <c:v>2029.0</c:v>
                </c:pt>
                <c:pt idx="16">
                  <c:v>2030.0</c:v>
                </c:pt>
              </c:numCache>
            </c:numRef>
          </c:cat>
          <c:val>
            <c:numRef>
              <c:f>'Intermediate Calculations'!$B$11:$R$11</c:f>
              <c:numCache>
                <c:formatCode>0.0</c:formatCode>
                <c:ptCount val="17"/>
                <c:pt idx="0" formatCode="0.00">
                  <c:v>0.0</c:v>
                </c:pt>
                <c:pt idx="1">
                  <c:v>7.43</c:v>
                </c:pt>
                <c:pt idx="2">
                  <c:v>10.008917</c:v>
                </c:pt>
                <c:pt idx="3">
                  <c:v>10.01</c:v>
                </c:pt>
                <c:pt idx="4">
                  <c:v>11.79829505601587</c:v>
                </c:pt>
                <c:pt idx="5">
                  <c:v>12.028862868886</c:v>
                </c:pt>
                <c:pt idx="6">
                  <c:v>11.8401424804853</c:v>
                </c:pt>
                <c:pt idx="7">
                  <c:v>10.52643725805921</c:v>
                </c:pt>
                <c:pt idx="8">
                  <c:v>8.697675428346162</c:v>
                </c:pt>
                <c:pt idx="9">
                  <c:v>7.359964929721375</c:v>
                </c:pt>
                <c:pt idx="10">
                  <c:v>6.899169332896672</c:v>
                </c:pt>
                <c:pt idx="11">
                  <c:v>6.843643497922975</c:v>
                </c:pt>
                <c:pt idx="12">
                  <c:v>7.143592227268005</c:v>
                </c:pt>
                <c:pt idx="13">
                  <c:v>8.277229140680166</c:v>
                </c:pt>
                <c:pt idx="14">
                  <c:v>10.8036013889048</c:v>
                </c:pt>
                <c:pt idx="15">
                  <c:v>14.27608891657487</c:v>
                </c:pt>
                <c:pt idx="16">
                  <c:v>19.04848642713884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B8F-401C-B98E-EAC51BFF2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00694848"/>
        <c:axId val="-1200690560"/>
      </c:areaChart>
      <c:barChart>
        <c:barDir val="col"/>
        <c:grouping val="clustered"/>
        <c:varyColors val="0"/>
        <c:ser>
          <c:idx val="1"/>
          <c:order val="1"/>
          <c:tx>
            <c:v>Net Credits</c:v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val>
            <c:numRef>
              <c:f>'Intermediate Calculations'!$B$10:$R$10</c:f>
              <c:numCache>
                <c:formatCode>0.0</c:formatCode>
                <c:ptCount val="17"/>
                <c:pt idx="0" formatCode="General">
                  <c:v>0.0</c:v>
                </c:pt>
                <c:pt idx="1">
                  <c:v>2.910000000000001</c:v>
                </c:pt>
                <c:pt idx="2">
                  <c:v>2.578916999999999</c:v>
                </c:pt>
                <c:pt idx="3">
                  <c:v>1.669236509720424</c:v>
                </c:pt>
                <c:pt idx="4">
                  <c:v>1.788295056015872</c:v>
                </c:pt>
                <c:pt idx="5">
                  <c:v>0.230567812870129</c:v>
                </c:pt>
                <c:pt idx="6">
                  <c:v>-0.1887203884007</c:v>
                </c:pt>
                <c:pt idx="7">
                  <c:v>-1.313705222426087</c:v>
                </c:pt>
                <c:pt idx="8">
                  <c:v>-1.828761829713052</c:v>
                </c:pt>
                <c:pt idx="9">
                  <c:v>-1.337710498624787</c:v>
                </c:pt>
                <c:pt idx="10">
                  <c:v>-0.460795596824703</c:v>
                </c:pt>
                <c:pt idx="11">
                  <c:v>-0.0555258349736967</c:v>
                </c:pt>
                <c:pt idx="12">
                  <c:v>0.299948729345029</c:v>
                </c:pt>
                <c:pt idx="13">
                  <c:v>1.133636913412161</c:v>
                </c:pt>
                <c:pt idx="14">
                  <c:v>2.526372248224625</c:v>
                </c:pt>
                <c:pt idx="15">
                  <c:v>3.472487527670076</c:v>
                </c:pt>
                <c:pt idx="16">
                  <c:v>4.77239751056397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B8F-401C-B98E-EAC51BFF2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-1200694848"/>
        <c:axId val="-1200690560"/>
      </c:barChart>
      <c:catAx>
        <c:axId val="-1200694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>
            <a:solidFill>
              <a:schemeClr val="tx1"/>
            </a:solidFill>
          </a:ln>
        </c:spPr>
        <c:crossAx val="-1200690560"/>
        <c:crossesAt val="0.0"/>
        <c:auto val="1"/>
        <c:lblAlgn val="ctr"/>
        <c:lblOffset val="100"/>
        <c:noMultiLvlLbl val="0"/>
      </c:catAx>
      <c:valAx>
        <c:axId val="-1200690560"/>
        <c:scaling>
          <c:orientation val="minMax"/>
          <c:max val="25.0"/>
          <c:min val="-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Millions of Credits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120069484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91764654418198"/>
          <c:y val="0.101467993584135"/>
          <c:w val="0.215369442456057"/>
          <c:h val="0.1674343832021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zero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'GHG Calculations'!$A$32</c:f>
              <c:strCache>
                <c:ptCount val="1"/>
                <c:pt idx="0">
                  <c:v>Proposed Amendments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'GHG Calculations'!$B$29:$M$29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Calculations'!$B$32:$M$32</c:f>
              <c:numCache>
                <c:formatCode>0.0</c:formatCode>
                <c:ptCount val="12"/>
                <c:pt idx="0">
                  <c:v>0.319484200942308</c:v>
                </c:pt>
                <c:pt idx="1">
                  <c:v>0.451105595523293</c:v>
                </c:pt>
                <c:pt idx="2">
                  <c:v>1.221556592988398</c:v>
                </c:pt>
                <c:pt idx="3">
                  <c:v>2.382959272457127</c:v>
                </c:pt>
                <c:pt idx="4">
                  <c:v>3.310958809220168</c:v>
                </c:pt>
                <c:pt idx="5">
                  <c:v>4.038298619690507</c:v>
                </c:pt>
                <c:pt idx="6">
                  <c:v>5.43420296074161</c:v>
                </c:pt>
                <c:pt idx="7">
                  <c:v>8.011805508763561</c:v>
                </c:pt>
                <c:pt idx="8">
                  <c:v>9.432424102916227</c:v>
                </c:pt>
                <c:pt idx="9">
                  <c:v>11.19606015290565</c:v>
                </c:pt>
                <c:pt idx="10">
                  <c:v>11.68183655124267</c:v>
                </c:pt>
                <c:pt idx="11">
                  <c:v>12.36790377050379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D87-4A7F-846C-252BB5784E1C}"/>
            </c:ext>
          </c:extLst>
        </c:ser>
        <c:ser>
          <c:idx val="0"/>
          <c:order val="1"/>
          <c:tx>
            <c:strRef>
              <c:f>'GHG Calculations'!$A$30</c:f>
              <c:strCache>
                <c:ptCount val="1"/>
                <c:pt idx="0">
                  <c:v>Alternative 1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'GHG Calculations'!$B$29:$M$29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  <c:extLst xmlns:c15="http://schemas.microsoft.com/office/drawing/2012/chart" xmlns:c16r2="http://schemas.microsoft.com/office/drawing/2015/06/chart"/>
            </c:numRef>
          </c:cat>
          <c:val>
            <c:numRef>
              <c:f>'GHG Calculations'!$B$30:$M$30</c:f>
              <c:numCache>
                <c:formatCode>0.0</c:formatCode>
                <c:ptCount val="12"/>
                <c:pt idx="0">
                  <c:v>0.417461085780393</c:v>
                </c:pt>
                <c:pt idx="1">
                  <c:v>0.744734866558764</c:v>
                </c:pt>
                <c:pt idx="2">
                  <c:v>1.985281222352688</c:v>
                </c:pt>
                <c:pt idx="3">
                  <c:v>3.724148298581221</c:v>
                </c:pt>
                <c:pt idx="4">
                  <c:v>5.316780721253218</c:v>
                </c:pt>
                <c:pt idx="5">
                  <c:v>6.989501479792554</c:v>
                </c:pt>
                <c:pt idx="6">
                  <c:v>8.581581932152618</c:v>
                </c:pt>
                <c:pt idx="7">
                  <c:v>11.48646145584256</c:v>
                </c:pt>
                <c:pt idx="8">
                  <c:v>13.8640107463801</c:v>
                </c:pt>
                <c:pt idx="9">
                  <c:v>15.9900502492544</c:v>
                </c:pt>
                <c:pt idx="10">
                  <c:v>17.80050082472629</c:v>
                </c:pt>
                <c:pt idx="11">
                  <c:v>18.83252782112228</c:v>
                </c:pt>
              </c:numCache>
              <c:extLst xmlns:c15="http://schemas.microsoft.com/office/drawing/2012/chart" xmlns:c16r2="http://schemas.microsoft.com/office/drawing/2015/06/chart"/>
            </c:numRef>
          </c:val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0-FD87-4A7F-846C-252BB5784E1C}"/>
            </c:ext>
          </c:extLst>
        </c:ser>
        <c:ser>
          <c:idx val="1"/>
          <c:order val="2"/>
          <c:tx>
            <c:strRef>
              <c:f>'GHG Calculations'!$A$31</c:f>
              <c:strCache>
                <c:ptCount val="1"/>
                <c:pt idx="0">
                  <c:v>Alternative 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'GHG Calculations'!$B$29:$M$29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Calculations'!$B$31:$M$31</c:f>
              <c:numCache>
                <c:formatCode>0.0</c:formatCode>
                <c:ptCount val="12"/>
                <c:pt idx="0">
                  <c:v>0.413414855456562</c:v>
                </c:pt>
                <c:pt idx="1">
                  <c:v>0.731993408629708</c:v>
                </c:pt>
                <c:pt idx="2">
                  <c:v>1.805600914180561</c:v>
                </c:pt>
                <c:pt idx="3">
                  <c:v>3.282959272457127</c:v>
                </c:pt>
                <c:pt idx="4">
                  <c:v>4.517728607639241</c:v>
                </c:pt>
                <c:pt idx="5">
                  <c:v>5.55183821652866</c:v>
                </c:pt>
                <c:pt idx="6">
                  <c:v>6.656696984048833</c:v>
                </c:pt>
                <c:pt idx="7">
                  <c:v>8.180108523439863</c:v>
                </c:pt>
                <c:pt idx="8">
                  <c:v>9.194134362761603</c:v>
                </c:pt>
                <c:pt idx="9">
                  <c:v>9.830577272420098</c:v>
                </c:pt>
                <c:pt idx="10">
                  <c:v>10.03955831267619</c:v>
                </c:pt>
                <c:pt idx="11">
                  <c:v>10.73334909865639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D87-4A7F-846C-252BB5784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07850064"/>
        <c:axId val="-707845904"/>
        <c:extLst xmlns:c16r2="http://schemas.microsoft.com/office/drawing/2015/06/chart"/>
      </c:barChart>
      <c:catAx>
        <c:axId val="-70785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07845904"/>
        <c:crosses val="autoZero"/>
        <c:auto val="1"/>
        <c:lblAlgn val="ctr"/>
        <c:lblOffset val="100"/>
        <c:noMultiLvlLbl val="0"/>
      </c:catAx>
      <c:valAx>
        <c:axId val="-70784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MMT CO2e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0785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'GHG Calculations'!$A$20</c:f>
              <c:strCache>
                <c:ptCount val="1"/>
                <c:pt idx="0">
                  <c:v>Proposed Amendments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'GHG Calculations'!$B$19:$M$19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Calculations'!$B$20:$M$20</c:f>
              <c:numCache>
                <c:formatCode>0.0</c:formatCode>
                <c:ptCount val="12"/>
                <c:pt idx="0">
                  <c:v>4.30452171856337</c:v>
                </c:pt>
                <c:pt idx="1">
                  <c:v>5.628318448179194</c:v>
                </c:pt>
                <c:pt idx="2">
                  <c:v>7.638286604058058</c:v>
                </c:pt>
                <c:pt idx="3">
                  <c:v>9.651706609543443</c:v>
                </c:pt>
                <c:pt idx="4">
                  <c:v>11.20938545918849</c:v>
                </c:pt>
                <c:pt idx="5">
                  <c:v>12.48519717226022</c:v>
                </c:pt>
                <c:pt idx="6">
                  <c:v>14.00975299213014</c:v>
                </c:pt>
                <c:pt idx="7">
                  <c:v>15.1501261267111</c:v>
                </c:pt>
                <c:pt idx="8">
                  <c:v>15.80625315304169</c:v>
                </c:pt>
                <c:pt idx="9">
                  <c:v>16.94192727814218</c:v>
                </c:pt>
                <c:pt idx="10">
                  <c:v>17.1396389158112</c:v>
                </c:pt>
                <c:pt idx="11">
                  <c:v>17.83429411875358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4F-47FB-8A1D-CD9892CD8F52}"/>
            </c:ext>
          </c:extLst>
        </c:ser>
        <c:ser>
          <c:idx val="1"/>
          <c:order val="1"/>
          <c:tx>
            <c:strRef>
              <c:f>'GHG Calculations'!$A$21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'GHG Calculations'!$B$19:$M$19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Calculations'!$B$21:$M$21</c:f>
              <c:numCache>
                <c:formatCode>0.0</c:formatCode>
                <c:ptCount val="12"/>
                <c:pt idx="0">
                  <c:v>3.985037517621061</c:v>
                </c:pt>
                <c:pt idx="1">
                  <c:v>5.177212852655901</c:v>
                </c:pt>
                <c:pt idx="2">
                  <c:v>6.41673001106966</c:v>
                </c:pt>
                <c:pt idx="3">
                  <c:v>7.268747337086317</c:v>
                </c:pt>
                <c:pt idx="4">
                  <c:v>7.898426649968317</c:v>
                </c:pt>
                <c:pt idx="5">
                  <c:v>8.446898552569713</c:v>
                </c:pt>
                <c:pt idx="6">
                  <c:v>8.57555003138853</c:v>
                </c:pt>
                <c:pt idx="7">
                  <c:v>7.138320617947535</c:v>
                </c:pt>
                <c:pt idx="8">
                  <c:v>6.373829050125462</c:v>
                </c:pt>
                <c:pt idx="9">
                  <c:v>5.745867125236532</c:v>
                </c:pt>
                <c:pt idx="10">
                  <c:v>5.457802364568536</c:v>
                </c:pt>
                <c:pt idx="11">
                  <c:v>5.466390348249798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54F-47FB-8A1D-CD9892CD8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04707536"/>
        <c:axId val="-704703056"/>
      </c:barChart>
      <c:catAx>
        <c:axId val="-704707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04703056"/>
        <c:crosses val="autoZero"/>
        <c:auto val="1"/>
        <c:lblAlgn val="ctr"/>
        <c:lblOffset val="100"/>
        <c:noMultiLvlLbl val="0"/>
      </c:catAx>
      <c:valAx>
        <c:axId val="-70470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MMT CO2e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04707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'GHG Calculations'!$P$20</c:f>
              <c:strCache>
                <c:ptCount val="1"/>
                <c:pt idx="0">
                  <c:v>Proposed Amendments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'GHG Calculations'!$Q$19:$AB$19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Calculations'!$Q$20:$AB$20</c:f>
              <c:numCache>
                <c:formatCode>0.00</c:formatCode>
                <c:ptCount val="12"/>
                <c:pt idx="0">
                  <c:v>13.14489773149455</c:v>
                </c:pt>
                <c:pt idx="1">
                  <c:v>15.25859987733324</c:v>
                </c:pt>
                <c:pt idx="2">
                  <c:v>18.04815193872065</c:v>
                </c:pt>
                <c:pt idx="3">
                  <c:v>20.82397307556922</c:v>
                </c:pt>
                <c:pt idx="4">
                  <c:v>22.78314942802022</c:v>
                </c:pt>
                <c:pt idx="5">
                  <c:v>24.5175600490828</c:v>
                </c:pt>
                <c:pt idx="6">
                  <c:v>26.24333142373991</c:v>
                </c:pt>
                <c:pt idx="7">
                  <c:v>27.05356325746693</c:v>
                </c:pt>
                <c:pt idx="8">
                  <c:v>27.64622290920138</c:v>
                </c:pt>
                <c:pt idx="9">
                  <c:v>29.08351448869235</c:v>
                </c:pt>
                <c:pt idx="10">
                  <c:v>29.18406701550615</c:v>
                </c:pt>
                <c:pt idx="11">
                  <c:v>30.06965935151165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049-44CE-9487-BC24AE8B3CED}"/>
            </c:ext>
          </c:extLst>
        </c:ser>
        <c:ser>
          <c:idx val="1"/>
          <c:order val="1"/>
          <c:tx>
            <c:strRef>
              <c:f>'GHG Calculations'!$P$21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'GHG Calculations'!$Q$19:$AB$19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Calculations'!$Q$21:$AB$21</c:f>
              <c:numCache>
                <c:formatCode>0.00</c:formatCode>
                <c:ptCount val="12"/>
                <c:pt idx="0">
                  <c:v>12.4847605685047</c:v>
                </c:pt>
                <c:pt idx="1">
                  <c:v>14.06447292853396</c:v>
                </c:pt>
                <c:pt idx="2">
                  <c:v>16.41981948192892</c:v>
                </c:pt>
                <c:pt idx="3">
                  <c:v>18.43472763671518</c:v>
                </c:pt>
                <c:pt idx="4">
                  <c:v>19.91555051946646</c:v>
                </c:pt>
                <c:pt idx="5">
                  <c:v>21.41501234000711</c:v>
                </c:pt>
                <c:pt idx="6">
                  <c:v>22.26697557346192</c:v>
                </c:pt>
                <c:pt idx="7">
                  <c:v>19.61389899692856</c:v>
                </c:pt>
                <c:pt idx="8">
                  <c:v>18.45327518537361</c:v>
                </c:pt>
                <c:pt idx="9">
                  <c:v>17.52225765533758</c:v>
                </c:pt>
                <c:pt idx="10">
                  <c:v>17.65763172627988</c:v>
                </c:pt>
                <c:pt idx="11">
                  <c:v>18.06389910048368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049-44CE-9487-BC24AE8B3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04725536"/>
        <c:axId val="-704721056"/>
      </c:barChart>
      <c:catAx>
        <c:axId val="-70472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04721056"/>
        <c:crosses val="autoZero"/>
        <c:auto val="1"/>
        <c:lblAlgn val="ctr"/>
        <c:lblOffset val="100"/>
        <c:noMultiLvlLbl val="0"/>
      </c:catAx>
      <c:valAx>
        <c:axId val="-70472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0472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'GHG Calculations'!$A$53</c:f>
              <c:strCache>
                <c:ptCount val="1"/>
                <c:pt idx="0">
                  <c:v>Proposed Amendments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'GHG Calculations'!$B$52:$M$52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Calculations'!$B$53:$M$53</c:f>
              <c:numCache>
                <c:formatCode>0.0</c:formatCode>
                <c:ptCount val="12"/>
                <c:pt idx="0">
                  <c:v>4.30452171856337</c:v>
                </c:pt>
                <c:pt idx="1">
                  <c:v>5.628318448179194</c:v>
                </c:pt>
                <c:pt idx="2">
                  <c:v>7.638286604058058</c:v>
                </c:pt>
                <c:pt idx="3">
                  <c:v>9.651706609543443</c:v>
                </c:pt>
                <c:pt idx="4">
                  <c:v>11.20938545918849</c:v>
                </c:pt>
                <c:pt idx="5">
                  <c:v>12.48519717226022</c:v>
                </c:pt>
                <c:pt idx="6">
                  <c:v>14.00975299213014</c:v>
                </c:pt>
                <c:pt idx="7">
                  <c:v>15.1501261267111</c:v>
                </c:pt>
                <c:pt idx="8">
                  <c:v>15.80625315304169</c:v>
                </c:pt>
                <c:pt idx="9">
                  <c:v>16.94192727814218</c:v>
                </c:pt>
                <c:pt idx="10">
                  <c:v>17.1396389158112</c:v>
                </c:pt>
                <c:pt idx="11">
                  <c:v>17.83429411875358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852-4270-85A0-20015D45C1C4}"/>
            </c:ext>
          </c:extLst>
        </c:ser>
        <c:ser>
          <c:idx val="1"/>
          <c:order val="1"/>
          <c:tx>
            <c:strRef>
              <c:f>'GHG Calculations'!$A$54</c:f>
              <c:strCache>
                <c:ptCount val="1"/>
                <c:pt idx="0">
                  <c:v>Business As Usual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'GHG Calculations'!$B$52:$M$52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Calculations'!$B$54:$M$54</c:f>
              <c:numCache>
                <c:formatCode>0.0</c:formatCode>
                <c:ptCount val="12"/>
                <c:pt idx="0">
                  <c:v>3.985037517621061</c:v>
                </c:pt>
                <c:pt idx="1">
                  <c:v>5.177212852655901</c:v>
                </c:pt>
                <c:pt idx="2">
                  <c:v>6.41673001106966</c:v>
                </c:pt>
                <c:pt idx="3">
                  <c:v>7.268747337086317</c:v>
                </c:pt>
                <c:pt idx="4">
                  <c:v>7.898426649968317</c:v>
                </c:pt>
                <c:pt idx="5">
                  <c:v>8.446898552569713</c:v>
                </c:pt>
                <c:pt idx="6">
                  <c:v>8.57555003138853</c:v>
                </c:pt>
                <c:pt idx="7">
                  <c:v>7.138320617947535</c:v>
                </c:pt>
                <c:pt idx="8">
                  <c:v>6.373829050125462</c:v>
                </c:pt>
                <c:pt idx="9">
                  <c:v>5.745867125236532</c:v>
                </c:pt>
                <c:pt idx="10">
                  <c:v>5.457802364568536</c:v>
                </c:pt>
                <c:pt idx="11">
                  <c:v>5.466390348249798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852-4270-85A0-20015D45C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-704942352"/>
        <c:axId val="-704937744"/>
      </c:barChart>
      <c:lineChart>
        <c:grouping val="standard"/>
        <c:varyColors val="0"/>
        <c:ser>
          <c:idx val="2"/>
          <c:order val="2"/>
          <c:tx>
            <c:strRef>
              <c:f>'GHG Calculations'!$A$55</c:f>
              <c:strCache>
                <c:ptCount val="1"/>
                <c:pt idx="0">
                  <c:v>Current Conditions Baseline (2016)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'GHG Calculations'!$B$52:$M$52</c:f>
              <c:numCache>
                <c:formatCode>General</c:formatCode>
                <c:ptCount val="12"/>
                <c:pt idx="0">
                  <c:v>2019.0</c:v>
                </c:pt>
                <c:pt idx="1">
                  <c:v>2020.0</c:v>
                </c:pt>
                <c:pt idx="2">
                  <c:v>2021.0</c:v>
                </c:pt>
                <c:pt idx="3">
                  <c:v>2022.0</c:v>
                </c:pt>
                <c:pt idx="4">
                  <c:v>2023.0</c:v>
                </c:pt>
                <c:pt idx="5">
                  <c:v>2024.0</c:v>
                </c:pt>
                <c:pt idx="6">
                  <c:v>2025.0</c:v>
                </c:pt>
                <c:pt idx="7">
                  <c:v>2026.0</c:v>
                </c:pt>
                <c:pt idx="8">
                  <c:v>2027.0</c:v>
                </c:pt>
                <c:pt idx="9">
                  <c:v>2028.0</c:v>
                </c:pt>
                <c:pt idx="10">
                  <c:v>2029.0</c:v>
                </c:pt>
                <c:pt idx="11">
                  <c:v>2030.0</c:v>
                </c:pt>
              </c:numCache>
            </c:numRef>
          </c:cat>
          <c:val>
            <c:numRef>
              <c:f>'GHG Calculations'!$B$55:$M$55</c:f>
              <c:numCache>
                <c:formatCode>0.0</c:formatCode>
                <c:ptCount val="12"/>
                <c:pt idx="0">
                  <c:v>2.56253112953297</c:v>
                </c:pt>
                <c:pt idx="1">
                  <c:v>2.56253112953297</c:v>
                </c:pt>
                <c:pt idx="2">
                  <c:v>2.56253112953297</c:v>
                </c:pt>
                <c:pt idx="3">
                  <c:v>2.56253112953297</c:v>
                </c:pt>
                <c:pt idx="4">
                  <c:v>2.56253112953297</c:v>
                </c:pt>
                <c:pt idx="5">
                  <c:v>2.56253112953297</c:v>
                </c:pt>
                <c:pt idx="6">
                  <c:v>2.56253112953297</c:v>
                </c:pt>
                <c:pt idx="7">
                  <c:v>2.56253112953297</c:v>
                </c:pt>
                <c:pt idx="8">
                  <c:v>2.56253112953297</c:v>
                </c:pt>
                <c:pt idx="9">
                  <c:v>2.56253112953297</c:v>
                </c:pt>
                <c:pt idx="10">
                  <c:v>2.56253112953297</c:v>
                </c:pt>
                <c:pt idx="11">
                  <c:v>2.56253112953297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852-4270-85A0-20015D45C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04942352"/>
        <c:axId val="-704937744"/>
      </c:lineChart>
      <c:catAx>
        <c:axId val="-70494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04937744"/>
        <c:crosses val="autoZero"/>
        <c:auto val="1"/>
        <c:lblAlgn val="ctr"/>
        <c:lblOffset val="100"/>
        <c:noMultiLvlLbl val="0"/>
      </c:catAx>
      <c:valAx>
        <c:axId val="-704937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GHG Emission Reductions (MMT CO2e)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0494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'Figures I'!$A$3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I'!$B$3:$P$3</c:f>
              <c:numCache>
                <c:formatCode>0</c:formatCode>
                <c:ptCount val="15"/>
                <c:pt idx="0">
                  <c:v>0.0</c:v>
                </c:pt>
                <c:pt idx="1">
                  <c:v>7.115625117464958</c:v>
                </c:pt>
                <c:pt idx="2">
                  <c:v>8.25389980568716</c:v>
                </c:pt>
                <c:pt idx="3">
                  <c:v>9.363249876213144</c:v>
                </c:pt>
                <c:pt idx="4">
                  <c:v>10.49067282908167</c:v>
                </c:pt>
                <c:pt idx="5">
                  <c:v>14.5447858921689</c:v>
                </c:pt>
                <c:pt idx="6">
                  <c:v>21.21077769023846</c:v>
                </c:pt>
                <c:pt idx="7">
                  <c:v>30.22838754187902</c:v>
                </c:pt>
                <c:pt idx="8">
                  <c:v>41.7872447918665</c:v>
                </c:pt>
                <c:pt idx="9">
                  <c:v>55.55654549599225</c:v>
                </c:pt>
                <c:pt idx="10">
                  <c:v>71.22820861273266</c:v>
                </c:pt>
                <c:pt idx="11">
                  <c:v>89.10000565665538</c:v>
                </c:pt>
                <c:pt idx="12">
                  <c:v>109.1042464960448</c:v>
                </c:pt>
                <c:pt idx="13">
                  <c:v>131.080502006865</c:v>
                </c:pt>
                <c:pt idx="14">
                  <c:v>154.510541279787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20-4AAE-8AC1-D8BE948AB14B}"/>
            </c:ext>
          </c:extLst>
        </c:ser>
        <c:ser>
          <c:idx val="1"/>
          <c:order val="1"/>
          <c:tx>
            <c:strRef>
              <c:f>'Figures I'!$A$4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I'!$B$4:$P$4</c:f>
              <c:numCache>
                <c:formatCode>0</c:formatCode>
                <c:ptCount val="15"/>
                <c:pt idx="0">
                  <c:v>60.38851454700013</c:v>
                </c:pt>
                <c:pt idx="1">
                  <c:v>78.56323623580203</c:v>
                </c:pt>
                <c:pt idx="2">
                  <c:v>85.35790655423058</c:v>
                </c:pt>
                <c:pt idx="3">
                  <c:v>92.16516225242997</c:v>
                </c:pt>
                <c:pt idx="4">
                  <c:v>99.4760350488241</c:v>
                </c:pt>
                <c:pt idx="5">
                  <c:v>116.4618331786082</c:v>
                </c:pt>
                <c:pt idx="6">
                  <c:v>142.3146109337928</c:v>
                </c:pt>
                <c:pt idx="7">
                  <c:v>175.9324980388552</c:v>
                </c:pt>
                <c:pt idx="8">
                  <c:v>222.0173544295602</c:v>
                </c:pt>
                <c:pt idx="9">
                  <c:v>276.4435031703315</c:v>
                </c:pt>
                <c:pt idx="10">
                  <c:v>337.3600418028464</c:v>
                </c:pt>
                <c:pt idx="11">
                  <c:v>406.3590581309312</c:v>
                </c:pt>
                <c:pt idx="12">
                  <c:v>481.9186767792046</c:v>
                </c:pt>
                <c:pt idx="13">
                  <c:v>565.588238468305</c:v>
                </c:pt>
                <c:pt idx="14">
                  <c:v>654.4872178431804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20-4AAE-8AC1-D8BE948AB14B}"/>
            </c:ext>
          </c:extLst>
        </c:ser>
        <c:ser>
          <c:idx val="2"/>
          <c:order val="2"/>
          <c:tx>
            <c:strRef>
              <c:f>'Figures I'!$A$5</c:f>
              <c:strCache>
                <c:ptCount val="1"/>
                <c:pt idx="0">
                  <c:v>Renewable Diesel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I'!$B$5:$P$5</c:f>
              <c:numCache>
                <c:formatCode>0</c:formatCode>
                <c:ptCount val="15"/>
                <c:pt idx="0">
                  <c:v>278.7088837088837</c:v>
                </c:pt>
                <c:pt idx="1">
                  <c:v>406.3239229905897</c:v>
                </c:pt>
                <c:pt idx="2">
                  <c:v>561.6636121650112</c:v>
                </c:pt>
                <c:pt idx="3">
                  <c:v>709.0391097954207</c:v>
                </c:pt>
                <c:pt idx="4">
                  <c:v>876.4143767552624</c:v>
                </c:pt>
                <c:pt idx="5">
                  <c:v>973.872553966186</c:v>
                </c:pt>
                <c:pt idx="6">
                  <c:v>1071.824667537211</c:v>
                </c:pt>
                <c:pt idx="7">
                  <c:v>1124.595912253821</c:v>
                </c:pt>
                <c:pt idx="8">
                  <c:v>1133.000949890858</c:v>
                </c:pt>
                <c:pt idx="9">
                  <c:v>1143.965088187083</c:v>
                </c:pt>
                <c:pt idx="10">
                  <c:v>1111.601375521683</c:v>
                </c:pt>
                <c:pt idx="11">
                  <c:v>1082.954607453061</c:v>
                </c:pt>
                <c:pt idx="12">
                  <c:v>1058.683724665365</c:v>
                </c:pt>
                <c:pt idx="13">
                  <c:v>1039.489951389336</c:v>
                </c:pt>
                <c:pt idx="14">
                  <c:v>1026.105839448247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020-4AAE-8AC1-D8BE948AB14B}"/>
            </c:ext>
          </c:extLst>
        </c:ser>
        <c:ser>
          <c:idx val="3"/>
          <c:order val="3"/>
          <c:tx>
            <c:strRef>
              <c:f>'Figures I'!$A$6</c:f>
              <c:strCache>
                <c:ptCount val="1"/>
                <c:pt idx="0">
                  <c:v>Biodiesel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I'!$B$6:$P$6</c:f>
              <c:numCache>
                <c:formatCode>0</c:formatCode>
                <c:ptCount val="15"/>
                <c:pt idx="0">
                  <c:v>177.4972523545296</c:v>
                </c:pt>
                <c:pt idx="1">
                  <c:v>198.4119474929328</c:v>
                </c:pt>
                <c:pt idx="2">
                  <c:v>228.138954995355</c:v>
                </c:pt>
                <c:pt idx="3">
                  <c:v>257.1372762618424</c:v>
                </c:pt>
                <c:pt idx="4">
                  <c:v>285.5324096719024</c:v>
                </c:pt>
                <c:pt idx="5">
                  <c:v>340.5588776517164</c:v>
                </c:pt>
                <c:pt idx="6">
                  <c:v>395.721255455127</c:v>
                </c:pt>
                <c:pt idx="7">
                  <c:v>450.664583999305</c:v>
                </c:pt>
                <c:pt idx="8">
                  <c:v>504.4896782610567</c:v>
                </c:pt>
                <c:pt idx="9">
                  <c:v>555.4502744781974</c:v>
                </c:pt>
                <c:pt idx="10">
                  <c:v>552.4124274451882</c:v>
                </c:pt>
                <c:pt idx="11">
                  <c:v>548.0195702730185</c:v>
                </c:pt>
                <c:pt idx="12">
                  <c:v>544.0818764944192</c:v>
                </c:pt>
                <c:pt idx="13">
                  <c:v>539.8643583401832</c:v>
                </c:pt>
                <c:pt idx="14">
                  <c:v>536.659445609158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020-4AAE-8AC1-D8BE948AB14B}"/>
            </c:ext>
          </c:extLst>
        </c:ser>
        <c:ser>
          <c:idx val="4"/>
          <c:order val="4"/>
          <c:tx>
            <c:strRef>
              <c:f>'Figures I'!$A$7</c:f>
              <c:strCache>
                <c:ptCount val="1"/>
                <c:pt idx="0">
                  <c:v>Cellulosic Ethanol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I'!$B$7:$P$7</c:f>
              <c:numCache>
                <c:formatCode>0</c:formatCode>
                <c:ptCount val="15"/>
                <c:pt idx="0">
                  <c:v>0.0</c:v>
                </c:pt>
                <c:pt idx="1">
                  <c:v>0.156454087464584</c:v>
                </c:pt>
                <c:pt idx="2">
                  <c:v>8.203170139755137</c:v>
                </c:pt>
                <c:pt idx="3">
                  <c:v>17.77820118726819</c:v>
                </c:pt>
                <c:pt idx="4">
                  <c:v>31.24378621949439</c:v>
                </c:pt>
                <c:pt idx="5">
                  <c:v>50.92419193570267</c:v>
                </c:pt>
                <c:pt idx="6">
                  <c:v>69.6448932675298</c:v>
                </c:pt>
                <c:pt idx="7">
                  <c:v>89.18472818926773</c:v>
                </c:pt>
                <c:pt idx="8">
                  <c:v>112.8022476714959</c:v>
                </c:pt>
                <c:pt idx="9">
                  <c:v>141.0114156021279</c:v>
                </c:pt>
                <c:pt idx="10">
                  <c:v>174.328424630372</c:v>
                </c:pt>
                <c:pt idx="11">
                  <c:v>213.261950198979</c:v>
                </c:pt>
                <c:pt idx="12">
                  <c:v>258.3033146959316</c:v>
                </c:pt>
                <c:pt idx="13">
                  <c:v>309.9168981823919</c:v>
                </c:pt>
                <c:pt idx="14">
                  <c:v>368.5311058046987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020-4AAE-8AC1-D8BE948AB14B}"/>
            </c:ext>
          </c:extLst>
        </c:ser>
        <c:ser>
          <c:idx val="5"/>
          <c:order val="5"/>
          <c:tx>
            <c:strRef>
              <c:f>'Figures I'!$A$8</c:f>
              <c:strCache>
                <c:ptCount val="1"/>
                <c:pt idx="0">
                  <c:v>Sugar Ethanol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I'!$B$8:$P$8</c:f>
              <c:numCache>
                <c:formatCode>0</c:formatCode>
                <c:ptCount val="15"/>
                <c:pt idx="0">
                  <c:v>22.44814814814815</c:v>
                </c:pt>
                <c:pt idx="1">
                  <c:v>62.40064307567345</c:v>
                </c:pt>
                <c:pt idx="2">
                  <c:v>81.14980275140204</c:v>
                </c:pt>
                <c:pt idx="3">
                  <c:v>98.6398817845737</c:v>
                </c:pt>
                <c:pt idx="4">
                  <c:v>138.3051723470177</c:v>
                </c:pt>
                <c:pt idx="5">
                  <c:v>139.5381808770466</c:v>
                </c:pt>
                <c:pt idx="6">
                  <c:v>140.1322072199121</c:v>
                </c:pt>
                <c:pt idx="7">
                  <c:v>139.7904221735541</c:v>
                </c:pt>
                <c:pt idx="8">
                  <c:v>137.5150347357325</c:v>
                </c:pt>
                <c:pt idx="9">
                  <c:v>133.3688028920887</c:v>
                </c:pt>
                <c:pt idx="10">
                  <c:v>127.4491973155406</c:v>
                </c:pt>
                <c:pt idx="11">
                  <c:v>119.82444759433</c:v>
                </c:pt>
                <c:pt idx="12">
                  <c:v>110.52904717153</c:v>
                </c:pt>
                <c:pt idx="13">
                  <c:v>99.13758371903257</c:v>
                </c:pt>
                <c:pt idx="14">
                  <c:v>84.64019003360232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1020-4AAE-8AC1-D8BE948AB14B}"/>
            </c:ext>
          </c:extLst>
        </c:ser>
        <c:ser>
          <c:idx val="6"/>
          <c:order val="6"/>
          <c:tx>
            <c:strRef>
              <c:f>'Figures I'!$A$9</c:f>
              <c:strCache>
                <c:ptCount val="1"/>
                <c:pt idx="0">
                  <c:v>Starch Ethanol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I'!$B$9:$P$9</c:f>
              <c:numCache>
                <c:formatCode>0</c:formatCode>
                <c:ptCount val="15"/>
                <c:pt idx="0">
                  <c:v>1101.366666666667</c:v>
                </c:pt>
                <c:pt idx="1">
                  <c:v>1080.472715525534</c:v>
                </c:pt>
                <c:pt idx="2">
                  <c:v>1060.252462727705</c:v>
                </c:pt>
                <c:pt idx="3">
                  <c:v>1020.258784609986</c:v>
                </c:pt>
                <c:pt idx="4">
                  <c:v>951.9883819818873</c:v>
                </c:pt>
                <c:pt idx="5">
                  <c:v>911.301995167737</c:v>
                </c:pt>
                <c:pt idx="6">
                  <c:v>868.3983248185828</c:v>
                </c:pt>
                <c:pt idx="7">
                  <c:v>822.0746584582851</c:v>
                </c:pt>
                <c:pt idx="8">
                  <c:v>772.2508666652506</c:v>
                </c:pt>
                <c:pt idx="9">
                  <c:v>716.8524416948617</c:v>
                </c:pt>
                <c:pt idx="10">
                  <c:v>657.3585195425807</c:v>
                </c:pt>
                <c:pt idx="11">
                  <c:v>594.8258737158732</c:v>
                </c:pt>
                <c:pt idx="12">
                  <c:v>530.018761369762</c:v>
                </c:pt>
                <c:pt idx="13">
                  <c:v>461.4770976839922</c:v>
                </c:pt>
                <c:pt idx="14">
                  <c:v>389.5671147053806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1020-4AAE-8AC1-D8BE948AB14B}"/>
            </c:ext>
          </c:extLst>
        </c:ser>
        <c:ser>
          <c:idx val="7"/>
          <c:order val="7"/>
          <c:tx>
            <c:strRef>
              <c:f>'Figures I'!$A$10</c:f>
              <c:strCache>
                <c:ptCount val="1"/>
                <c:pt idx="0">
                  <c:v>Biomethane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I'!$B$10:$P$10</c:f>
              <c:numCache>
                <c:formatCode>0</c:formatCode>
                <c:ptCount val="15"/>
                <c:pt idx="0">
                  <c:v>101.000518000518</c:v>
                </c:pt>
                <c:pt idx="1">
                  <c:v>199.5374242416832</c:v>
                </c:pt>
                <c:pt idx="2">
                  <c:v>317.7041466521688</c:v>
                </c:pt>
                <c:pt idx="3">
                  <c:v>355.9806034748769</c:v>
                </c:pt>
                <c:pt idx="4">
                  <c:v>395.4103951721334</c:v>
                </c:pt>
                <c:pt idx="5">
                  <c:v>432.0211257501808</c:v>
                </c:pt>
                <c:pt idx="6">
                  <c:v>466.719218167364</c:v>
                </c:pt>
                <c:pt idx="7">
                  <c:v>498.8909626511208</c:v>
                </c:pt>
                <c:pt idx="8">
                  <c:v>527.572665782281</c:v>
                </c:pt>
                <c:pt idx="9">
                  <c:v>548.3673598144428</c:v>
                </c:pt>
                <c:pt idx="10">
                  <c:v>574.5523769182112</c:v>
                </c:pt>
                <c:pt idx="11">
                  <c:v>598.575641812344</c:v>
                </c:pt>
                <c:pt idx="12">
                  <c:v>620.9592158656026</c:v>
                </c:pt>
                <c:pt idx="13">
                  <c:v>643.1017874279807</c:v>
                </c:pt>
                <c:pt idx="14">
                  <c:v>665.7419141017966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52-4253-B7C6-252432FCA372}"/>
            </c:ext>
          </c:extLst>
        </c:ser>
        <c:ser>
          <c:idx val="8"/>
          <c:order val="8"/>
          <c:tx>
            <c:strRef>
              <c:f>'Figures I'!$A$11</c:f>
              <c:strCache>
                <c:ptCount val="1"/>
                <c:pt idx="0">
                  <c:v>Alternative Jet Fuel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'Figures I'!$B$2:$P$2</c:f>
              <c:numCache>
                <c:formatCode>General</c:formatCode>
                <c:ptCount val="15"/>
                <c:pt idx="0">
                  <c:v>2016.0</c:v>
                </c:pt>
                <c:pt idx="1">
                  <c:v>2017.0</c:v>
                </c:pt>
                <c:pt idx="2">
                  <c:v>2018.0</c:v>
                </c:pt>
                <c:pt idx="3">
                  <c:v>2019.0</c:v>
                </c:pt>
                <c:pt idx="4">
                  <c:v>2020.0</c:v>
                </c:pt>
                <c:pt idx="5">
                  <c:v>2021.0</c:v>
                </c:pt>
                <c:pt idx="6">
                  <c:v>2022.0</c:v>
                </c:pt>
                <c:pt idx="7">
                  <c:v>2023.0</c:v>
                </c:pt>
                <c:pt idx="8">
                  <c:v>2024.0</c:v>
                </c:pt>
                <c:pt idx="9">
                  <c:v>2025.0</c:v>
                </c:pt>
                <c:pt idx="10">
                  <c:v>2026.0</c:v>
                </c:pt>
                <c:pt idx="11">
                  <c:v>2027.0</c:v>
                </c:pt>
                <c:pt idx="12">
                  <c:v>2028.0</c:v>
                </c:pt>
                <c:pt idx="13">
                  <c:v>2029.0</c:v>
                </c:pt>
                <c:pt idx="14">
                  <c:v>2030.0</c:v>
                </c:pt>
              </c:numCache>
            </c:numRef>
          </c:cat>
          <c:val>
            <c:numRef>
              <c:f>'Figures I'!$B$11:$P$11</c:f>
              <c:numCache>
                <c:formatCode>0</c:formatCode>
                <c:ptCount val="1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952-4253-B7C6-252432FCA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-707564176"/>
        <c:axId val="-707559792"/>
      </c:barChart>
      <c:catAx>
        <c:axId val="-70756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07559792"/>
        <c:crosses val="autoZero"/>
        <c:auto val="1"/>
        <c:lblAlgn val="ctr"/>
        <c:lblOffset val="100"/>
        <c:noMultiLvlLbl val="0"/>
      </c:catAx>
      <c:valAx>
        <c:axId val="-70755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</a:t>
                </a:r>
                <a:r>
                  <a:rPr lang="en-US" baseline="0"/>
                  <a:t> (mm GGE)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07564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4" Type="http://schemas.openxmlformats.org/officeDocument/2006/relationships/chart" Target="../charts/chart8.xml"/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4" Type="http://schemas.openxmlformats.org/officeDocument/2006/relationships/chart" Target="../charts/chart12.xml"/><Relationship Id="rId5" Type="http://schemas.openxmlformats.org/officeDocument/2006/relationships/chart" Target="../charts/chart13.xml"/><Relationship Id="rId6" Type="http://schemas.openxmlformats.org/officeDocument/2006/relationships/chart" Target="../charts/chart14.xml"/><Relationship Id="rId7" Type="http://schemas.openxmlformats.org/officeDocument/2006/relationships/chart" Target="../charts/chart15.xml"/><Relationship Id="rId8" Type="http://schemas.openxmlformats.org/officeDocument/2006/relationships/chart" Target="../charts/chart16.xml"/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Relationship Id="rId2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8</xdr:row>
      <xdr:rowOff>71436</xdr:rowOff>
    </xdr:from>
    <xdr:to>
      <xdr:col>8</xdr:col>
      <xdr:colOff>150494</xdr:colOff>
      <xdr:row>27</xdr:row>
      <xdr:rowOff>18096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533400</xdr:colOff>
      <xdr:row>8</xdr:row>
      <xdr:rowOff>38099</xdr:rowOff>
    </xdr:from>
    <xdr:to>
      <xdr:col>17</xdr:col>
      <xdr:colOff>350520</xdr:colOff>
      <xdr:row>26</xdr:row>
      <xdr:rowOff>175259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76200</xdr:colOff>
      <xdr:row>38</xdr:row>
      <xdr:rowOff>90487</xdr:rowOff>
    </xdr:from>
    <xdr:to>
      <xdr:col>8</xdr:col>
      <xdr:colOff>66261</xdr:colOff>
      <xdr:row>52</xdr:row>
      <xdr:rowOff>166687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436494</xdr:colOff>
      <xdr:row>37</xdr:row>
      <xdr:rowOff>182217</xdr:rowOff>
    </xdr:from>
    <xdr:to>
      <xdr:col>18</xdr:col>
      <xdr:colOff>182218</xdr:colOff>
      <xdr:row>52</xdr:row>
      <xdr:rowOff>120304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1704975</xdr:colOff>
      <xdr:row>32</xdr:row>
      <xdr:rowOff>161925</xdr:rowOff>
    </xdr:from>
    <xdr:to>
      <xdr:col>6</xdr:col>
      <xdr:colOff>142875</xdr:colOff>
      <xdr:row>47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104775</xdr:colOff>
      <xdr:row>33</xdr:row>
      <xdr:rowOff>47625</xdr:rowOff>
    </xdr:from>
    <xdr:to>
      <xdr:col>13</xdr:col>
      <xdr:colOff>104775</xdr:colOff>
      <xdr:row>47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57150</xdr:colOff>
      <xdr:row>22</xdr:row>
      <xdr:rowOff>171450</xdr:rowOff>
    </xdr:from>
    <xdr:to>
      <xdr:col>22</xdr:col>
      <xdr:colOff>57150</xdr:colOff>
      <xdr:row>37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1552575</xdr:colOff>
      <xdr:row>56</xdr:row>
      <xdr:rowOff>85725</xdr:rowOff>
    </xdr:from>
    <xdr:to>
      <xdr:col>8</xdr:col>
      <xdr:colOff>9525</xdr:colOff>
      <xdr:row>72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133349</xdr:colOff>
      <xdr:row>26</xdr:row>
      <xdr:rowOff>180975</xdr:rowOff>
    </xdr:from>
    <xdr:to>
      <xdr:col>7</xdr:col>
      <xdr:colOff>342899</xdr:colOff>
      <xdr:row>41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100011</xdr:colOff>
      <xdr:row>27</xdr:row>
      <xdr:rowOff>9525</xdr:rowOff>
    </xdr:from>
    <xdr:to>
      <xdr:col>18</xdr:col>
      <xdr:colOff>438150</xdr:colOff>
      <xdr:row>41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552450</xdr:colOff>
      <xdr:row>42</xdr:row>
      <xdr:rowOff>28574</xdr:rowOff>
    </xdr:from>
    <xdr:to>
      <xdr:col>16</xdr:col>
      <xdr:colOff>247650</xdr:colOff>
      <xdr:row>56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476250</xdr:colOff>
      <xdr:row>57</xdr:row>
      <xdr:rowOff>9525</xdr:rowOff>
    </xdr:from>
    <xdr:to>
      <xdr:col>16</xdr:col>
      <xdr:colOff>266699</xdr:colOff>
      <xdr:row>71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380998</xdr:colOff>
      <xdr:row>42</xdr:row>
      <xdr:rowOff>9524</xdr:rowOff>
    </xdr:from>
    <xdr:to>
      <xdr:col>27</xdr:col>
      <xdr:colOff>76198</xdr:colOff>
      <xdr:row>56</xdr:row>
      <xdr:rowOff>85724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371475</xdr:colOff>
      <xdr:row>57</xdr:row>
      <xdr:rowOff>0</xdr:rowOff>
    </xdr:from>
    <xdr:to>
      <xdr:col>27</xdr:col>
      <xdr:colOff>66675</xdr:colOff>
      <xdr:row>71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247650</xdr:colOff>
      <xdr:row>42</xdr:row>
      <xdr:rowOff>66675</xdr:rowOff>
    </xdr:from>
    <xdr:to>
      <xdr:col>38</xdr:col>
      <xdr:colOff>285750</xdr:colOff>
      <xdr:row>56</xdr:row>
      <xdr:rowOff>142875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27</xdr:col>
      <xdr:colOff>209549</xdr:colOff>
      <xdr:row>57</xdr:row>
      <xdr:rowOff>38100</xdr:rowOff>
    </xdr:from>
    <xdr:to>
      <xdr:col>38</xdr:col>
      <xdr:colOff>314325</xdr:colOff>
      <xdr:row>71</xdr:row>
      <xdr:rowOff>114300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685799</xdr:colOff>
      <xdr:row>8</xdr:row>
      <xdr:rowOff>66675</xdr:rowOff>
    </xdr:from>
    <xdr:to>
      <xdr:col>10</xdr:col>
      <xdr:colOff>0</xdr:colOff>
      <xdr:row>23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1900236</xdr:colOff>
      <xdr:row>31</xdr:row>
      <xdr:rowOff>190499</xdr:rowOff>
    </xdr:from>
    <xdr:to>
      <xdr:col>13</xdr:col>
      <xdr:colOff>9524</xdr:colOff>
      <xdr:row>51</xdr:row>
      <xdr:rowOff>47624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chris/Dropbox/Cerulogy/NextGen/CARB%20compliance%20model/Cerulogy-ICCT-E4tech%20model/California%20LCFS%20credit%20supply%20model_v0_17_7%20CM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C_MINER/International/Intl%202011/111212%202012%20Intl%20forecast%20tabl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chris/Downloads/ca-greet2.0-tier1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USERDATA/Work/Mid%20Year%20FY06%20OMB%20Trust%20Fund%20Update/FY06%20Midterm%20OMB%20Update%20International%20Market%20Foreca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n2.faa.gov/Terminal%20Area%20Forecast%20Central%20File/International/FAA%20Forecast/Intl%202011/111115%20Intl%20forecast%20with%20INS%20data%20-%20SAS%20inpu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VISION User Guide"/>
      <sheetName val="FrontCover"/>
      <sheetName val="PDFs"/>
      <sheetName val="Pick'n Mix"/>
      <sheetName val="Steady_Progress"/>
      <sheetName val="Calc sheet tidy clone"/>
      <sheetName val="Baseline compliance"/>
      <sheetName val="Calc sheet values"/>
      <sheetName val="Dummy_Calculation_Sheet"/>
      <sheetName val="Calculation_Sheet"/>
      <sheetName val="Scenario Summary"/>
      <sheetName val="Intermediate Calculations"/>
      <sheetName val="Compare scenarios"/>
      <sheetName val="Calculation Sheet DICS"/>
      <sheetName val="DICS Summary"/>
      <sheetName val="Demand Reduction DICS"/>
      <sheetName val="Supply DICS"/>
      <sheetName val="Intermediate DICS"/>
      <sheetName val="Scenario Input"/>
      <sheetName val="Scenario_Results"/>
      <sheetName val="Model Input"/>
      <sheetName val="Model Results"/>
      <sheetName val="Scenario_Results_Vision"/>
      <sheetName val="Scenario table"/>
      <sheetName val="Cellulosic scenarios"/>
      <sheetName val="Cellulosic Global"/>
      <sheetName val="Gompertz"/>
      <sheetName val="Gompertz Global"/>
      <sheetName val="CI LCFS Lookup Tables 2012"/>
      <sheetName val="CA LCFS 2A-2B 2014"/>
      <sheetName val="AEO 2013"/>
      <sheetName val="Historical fuel supply"/>
      <sheetName val="Compliance curves"/>
      <sheetName val="Dashboard graphs"/>
      <sheetName val="Vehicles"/>
      <sheetName val="All vehicles"/>
      <sheetName val="Graphs"/>
      <sheetName val="Other credits"/>
      <sheetName val="CIs"/>
      <sheetName val="MDHD EVs"/>
      <sheetName val="EV input CIs"/>
      <sheetName val="EV VMT and energy use"/>
      <sheetName val="Smart and green charging"/>
      <sheetName val="CEC ZEV Stock Share"/>
      <sheetName val="E85_uptake"/>
      <sheetName val="Feedstock scenarios"/>
      <sheetName val="HVO"/>
      <sheetName val="FFVs"/>
      <sheetName val="HDV"/>
      <sheetName val="Key data"/>
      <sheetName val="Sheets_n_issues"/>
      <sheetName val="Light Vehicle MPG (gge)"/>
      <sheetName val="Hydrogen Results"/>
      <sheetName val="Feedstock Energy Results"/>
      <sheetName val="Fuel Energy Results"/>
      <sheetName val="LDV C &amp; Energy by Vehicle Tech"/>
      <sheetName val="Fuel $ Data"/>
      <sheetName val="Carbon Coefficients"/>
      <sheetName val="Population-GDP data"/>
      <sheetName val="Util Mix"/>
      <sheetName val="Auto-LT data"/>
      <sheetName val="LV VMT Data"/>
      <sheetName val="Upstream Energy Use Rates"/>
      <sheetName val="auto ICE"/>
      <sheetName val="auto EV A"/>
      <sheetName val="auto EV B"/>
      <sheetName val="auto ETOH"/>
      <sheetName val="auto Dsl"/>
      <sheetName val="auto CNG"/>
      <sheetName val="auto SI HEV Gas"/>
      <sheetName val="auto SI HEV E85"/>
      <sheetName val="auto D HEV"/>
      <sheetName val="auto SI PHEV A"/>
      <sheetName val="auto SI PHEV B"/>
      <sheetName val="auto D PHEV"/>
      <sheetName val="auto FCV"/>
      <sheetName val="LT ICE"/>
      <sheetName val="LT EV A"/>
      <sheetName val="LT EV B"/>
      <sheetName val="LT ETOH"/>
      <sheetName val="LT Dsl"/>
      <sheetName val="LT CNG"/>
      <sheetName val="LT SI HEV GAS"/>
      <sheetName val="LT SI HEV E85"/>
      <sheetName val="LT D HEV"/>
      <sheetName val="LT SI PHEV A"/>
      <sheetName val="LT SI PHEV B"/>
      <sheetName val="LT D PHEV"/>
      <sheetName val="LT FCV"/>
      <sheetName val="Lt Veh Energy by Fuel Type"/>
      <sheetName val="Lt Veh Incremental Cost Summary"/>
      <sheetName val="Hvy Trk Data"/>
      <sheetName val="Class 3-6G"/>
      <sheetName val="Class 3-6D"/>
      <sheetName val="Class 3-6 NG"/>
      <sheetName val="Class 3-6 HEV"/>
      <sheetName val="Class 7&amp;8SU"/>
      <sheetName val="Class 7&amp;8SU NG"/>
      <sheetName val="Class 7&amp;8SU HEV"/>
      <sheetName val="Class 7&amp;8C_Dsl"/>
      <sheetName val="Class 7&amp;8C_NG"/>
      <sheetName val="HVY TRK ENERGY"/>
    </sheetNames>
    <sheetDataSet>
      <sheetData sheetId="0"/>
      <sheetData sheetId="1"/>
      <sheetData sheetId="2">
        <row r="2">
          <cell r="E2">
            <v>1</v>
          </cell>
        </row>
        <row r="4">
          <cell r="E4" t="str">
            <v>Medium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151">
          <cell r="C151">
            <v>3.4</v>
          </cell>
        </row>
        <row r="152">
          <cell r="C152">
            <v>2.5</v>
          </cell>
        </row>
        <row r="158">
          <cell r="C158">
            <v>2.7</v>
          </cell>
        </row>
        <row r="159">
          <cell r="C159">
            <v>1.9</v>
          </cell>
        </row>
        <row r="176">
          <cell r="C176">
            <v>129.65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4">
          <cell r="D4">
            <v>0.13150000000000001</v>
          </cell>
        </row>
        <row r="5">
          <cell r="D5">
            <v>8.2500000000000004E-2</v>
          </cell>
        </row>
        <row r="79">
          <cell r="E79">
            <v>2015</v>
          </cell>
          <cell r="F79">
            <v>2016</v>
          </cell>
          <cell r="G79">
            <v>2017</v>
          </cell>
          <cell r="H79">
            <v>2018</v>
          </cell>
          <cell r="I79">
            <v>2019</v>
          </cell>
          <cell r="J79">
            <v>2020</v>
          </cell>
          <cell r="K79">
            <v>2021</v>
          </cell>
          <cell r="L79">
            <v>2022</v>
          </cell>
          <cell r="M79">
            <v>2023</v>
          </cell>
          <cell r="N79">
            <v>2024</v>
          </cell>
          <cell r="O79">
            <v>2025</v>
          </cell>
          <cell r="P79">
            <v>2026</v>
          </cell>
          <cell r="Q79">
            <v>2027</v>
          </cell>
          <cell r="R79">
            <v>2028</v>
          </cell>
          <cell r="S79">
            <v>2029</v>
          </cell>
          <cell r="T79">
            <v>2030</v>
          </cell>
        </row>
        <row r="80">
          <cell r="A80" t="str">
            <v>2G ethanolLow</v>
          </cell>
          <cell r="E80">
            <v>1.5340077414083519</v>
          </cell>
          <cell r="F80">
            <v>1.5340077414083519</v>
          </cell>
          <cell r="G80">
            <v>1.5340077414083519</v>
          </cell>
          <cell r="H80">
            <v>1.5340077414083519</v>
          </cell>
          <cell r="I80">
            <v>1.5340077414083519</v>
          </cell>
          <cell r="J80">
            <v>1.5340077414083519</v>
          </cell>
          <cell r="K80">
            <v>1.5340077414083519</v>
          </cell>
          <cell r="L80">
            <v>1.5340077414083519</v>
          </cell>
          <cell r="M80">
            <v>1.5340077414083519</v>
          </cell>
          <cell r="N80">
            <v>1.5340077414083519</v>
          </cell>
          <cell r="O80">
            <v>1.5340077414083519</v>
          </cell>
          <cell r="P80">
            <v>1.5340077414083519</v>
          </cell>
          <cell r="Q80">
            <v>1.5340077414083519</v>
          </cell>
          <cell r="R80">
            <v>1.5340077414083519</v>
          </cell>
          <cell r="S80">
            <v>1.5340077414083519</v>
          </cell>
          <cell r="T80">
            <v>1.5340077414083519</v>
          </cell>
        </row>
        <row r="81">
          <cell r="A81" t="str">
            <v>Drop-in biodieselLow</v>
          </cell>
          <cell r="E81">
            <v>0.36817210854832128</v>
          </cell>
          <cell r="F81">
            <v>0.68779537936961965</v>
          </cell>
          <cell r="G81">
            <v>0.78192685401490725</v>
          </cell>
          <cell r="H81">
            <v>0.89772975497724505</v>
          </cell>
          <cell r="I81">
            <v>1.0401679285080245</v>
          </cell>
          <cell r="J81">
            <v>1.2154159150662931</v>
          </cell>
          <cell r="K81">
            <v>1.4028313784115085</v>
          </cell>
          <cell r="L81">
            <v>1.6276572927733086</v>
          </cell>
          <cell r="M81">
            <v>1.8975210316599274</v>
          </cell>
          <cell r="N81">
            <v>2.2213211974976401</v>
          </cell>
          <cell r="O81">
            <v>2.6099540381553554</v>
          </cell>
          <cell r="P81">
            <v>3.0762529122342306</v>
          </cell>
          <cell r="Q81">
            <v>3.6357752403026513</v>
          </cell>
          <cell r="R81">
            <v>4.3072867825792924</v>
          </cell>
          <cell r="S81">
            <v>5.1130643124850295</v>
          </cell>
          <cell r="T81">
            <v>6.0799852414298412</v>
          </cell>
        </row>
        <row r="82">
          <cell r="A82" t="str">
            <v>Drop-in biogasolineLow</v>
          </cell>
          <cell r="E82">
            <v>0.10571224147431163</v>
          </cell>
          <cell r="F82">
            <v>0.19748478915342468</v>
          </cell>
          <cell r="G82">
            <v>0.22451249969149675</v>
          </cell>
          <cell r="H82">
            <v>0.25776266706084205</v>
          </cell>
          <cell r="I82">
            <v>0.29866054673678016</v>
          </cell>
          <cell r="J82">
            <v>0.34897901748129379</v>
          </cell>
          <cell r="K82">
            <v>0.40279110225677361</v>
          </cell>
          <cell r="L82">
            <v>0.4673447465901498</v>
          </cell>
          <cell r="M82">
            <v>0.54482997718740089</v>
          </cell>
          <cell r="N82">
            <v>0.63780182520550233</v>
          </cell>
          <cell r="O82">
            <v>0.74938890022442395</v>
          </cell>
          <cell r="P82">
            <v>0.88327600908279635</v>
          </cell>
          <cell r="Q82">
            <v>1.0439301110142438</v>
          </cell>
          <cell r="R82">
            <v>1.236739366962047</v>
          </cell>
          <cell r="S82">
            <v>1.4681000454008106</v>
          </cell>
          <cell r="T82">
            <v>1.7457293832944609</v>
          </cell>
        </row>
        <row r="83">
          <cell r="A83" t="str">
            <v>Renewable natural gasLow</v>
          </cell>
          <cell r="E83">
            <v>4.530060899413531</v>
          </cell>
          <cell r="F83">
            <v>5.1308244654396802</v>
          </cell>
          <cell r="G83">
            <v>5.6418456965368016</v>
          </cell>
          <cell r="H83">
            <v>6.115349531891261</v>
          </cell>
          <cell r="I83">
            <v>6.5848491753722378</v>
          </cell>
          <cell r="J83">
            <v>7.0405618212582812</v>
          </cell>
          <cell r="K83">
            <v>7.4608166878594115</v>
          </cell>
          <cell r="L83">
            <v>7.8632275596859902</v>
          </cell>
          <cell r="M83">
            <v>8.2383710398103229</v>
          </cell>
          <cell r="N83">
            <v>8.5701919010956811</v>
          </cell>
          <cell r="O83">
            <v>8.830247533526439</v>
          </cell>
          <cell r="P83">
            <v>9.1509721881260493</v>
          </cell>
          <cell r="Q83">
            <v>9.449546850701136</v>
          </cell>
          <cell r="R83">
            <v>9.7330491101315282</v>
          </cell>
          <cell r="S83">
            <v>10.033178627710305</v>
          </cell>
          <cell r="T83">
            <v>10.351981936706467</v>
          </cell>
        </row>
        <row r="84">
          <cell r="A84" t="str">
            <v>PropaneLow</v>
          </cell>
        </row>
        <row r="85">
          <cell r="A85" t="str">
            <v>HVOLow</v>
          </cell>
          <cell r="E85">
            <v>22.187550000000002</v>
          </cell>
          <cell r="F85">
            <v>33.483029999999999</v>
          </cell>
          <cell r="G85">
            <v>33.492635</v>
          </cell>
          <cell r="H85">
            <v>33.50224</v>
          </cell>
          <cell r="I85">
            <v>33.511845000000001</v>
          </cell>
          <cell r="J85">
            <v>33.521450000000009</v>
          </cell>
          <cell r="K85">
            <v>33.531055000000009</v>
          </cell>
          <cell r="L85">
            <v>33.54066000000001</v>
          </cell>
          <cell r="M85">
            <v>33.55026500000001</v>
          </cell>
          <cell r="N85">
            <v>33.559870000000011</v>
          </cell>
          <cell r="O85">
            <v>33.569475000000011</v>
          </cell>
          <cell r="P85">
            <v>33.579080000000019</v>
          </cell>
          <cell r="Q85">
            <v>33.588685000000019</v>
          </cell>
          <cell r="R85">
            <v>33.59829000000002</v>
          </cell>
          <cell r="S85">
            <v>33.607895000000021</v>
          </cell>
          <cell r="T85">
            <v>33.6175</v>
          </cell>
        </row>
        <row r="86">
          <cell r="A86" t="str">
            <v>2G ethanolLow-med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5.7661153935072255E-3</v>
          </cell>
          <cell r="L86">
            <v>0.36145146987852728</v>
          </cell>
          <cell r="M86">
            <v>1.2122210645517564</v>
          </cell>
          <cell r="N86">
            <v>2.2216438062986335</v>
          </cell>
          <cell r="O86">
            <v>4.083395350338769</v>
          </cell>
          <cell r="P86">
            <v>6.1396527405544878</v>
          </cell>
          <cell r="Q86">
            <v>7.9500249116051522</v>
          </cell>
          <cell r="R86">
            <v>10.16167103717795</v>
          </cell>
          <cell r="S86">
            <v>12.830228699493013</v>
          </cell>
          <cell r="T86">
            <v>16.012556096924236</v>
          </cell>
        </row>
        <row r="87">
          <cell r="A87" t="str">
            <v>Drop-in biodieselLow-med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6.3662863739899031E-2</v>
          </cell>
          <cell r="M87">
            <v>0.29179925427025011</v>
          </cell>
          <cell r="N87">
            <v>0.6625772595620506</v>
          </cell>
          <cell r="O87">
            <v>1.1935579259033506</v>
          </cell>
          <cell r="P87">
            <v>1.781751240835125</v>
          </cell>
          <cell r="Q87">
            <v>2.5154445163600627</v>
          </cell>
          <cell r="R87">
            <v>3.4890000258580942</v>
          </cell>
          <cell r="S87">
            <v>4.7589761647098552</v>
          </cell>
          <cell r="T87">
            <v>6.3890873266765409</v>
          </cell>
        </row>
        <row r="88">
          <cell r="A88" t="str">
            <v>Drop-in biogasolineLow-med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1.8279342373745084E-2</v>
          </cell>
          <cell r="M88">
            <v>8.3783514593398958E-2</v>
          </cell>
          <cell r="N88">
            <v>0.19024398000811163</v>
          </cell>
          <cell r="O88">
            <v>0.34270299337494142</v>
          </cell>
          <cell r="P88">
            <v>0.51413416370031473</v>
          </cell>
          <cell r="Q88">
            <v>0.73979770081552654</v>
          </cell>
          <cell r="R88">
            <v>1.044704158510718</v>
          </cell>
          <cell r="S88">
            <v>1.4492562648845548</v>
          </cell>
          <cell r="T88">
            <v>1.9768533422053487</v>
          </cell>
        </row>
        <row r="89">
          <cell r="A89" t="str">
            <v>Renewable natural gasLow-med</v>
          </cell>
          <cell r="E89">
            <v>9.0601217988270619</v>
          </cell>
          <cell r="F89">
            <v>10.26164893087936</v>
          </cell>
          <cell r="G89">
            <v>11.283691393073603</v>
          </cell>
          <cell r="H89">
            <v>12.230699063782522</v>
          </cell>
          <cell r="I89">
            <v>13.169698350744476</v>
          </cell>
          <cell r="J89">
            <v>14.081123642516562</v>
          </cell>
          <cell r="K89">
            <v>14.921633375718823</v>
          </cell>
          <cell r="L89">
            <v>15.72645511937198</v>
          </cell>
          <cell r="M89">
            <v>16.476742079620646</v>
          </cell>
          <cell r="N89">
            <v>17.140383802191362</v>
          </cell>
          <cell r="O89">
            <v>17.660495067052878</v>
          </cell>
          <cell r="P89">
            <v>18.301944376252099</v>
          </cell>
          <cell r="Q89">
            <v>18.899093701402272</v>
          </cell>
          <cell r="R89">
            <v>19.466098220263056</v>
          </cell>
          <cell r="S89">
            <v>20.066357255420609</v>
          </cell>
          <cell r="T89">
            <v>20.703963873412935</v>
          </cell>
        </row>
        <row r="90">
          <cell r="A90" t="str">
            <v>PropaneLow-med</v>
          </cell>
        </row>
        <row r="91">
          <cell r="A91" t="str">
            <v>HVOLow-med</v>
          </cell>
          <cell r="E91">
            <v>22.187550000000002</v>
          </cell>
          <cell r="F91">
            <v>33.483029999999999</v>
          </cell>
          <cell r="G91">
            <v>35.413634999999999</v>
          </cell>
          <cell r="H91">
            <v>37.344239999999999</v>
          </cell>
          <cell r="I91">
            <v>39.274844999999985</v>
          </cell>
          <cell r="J91">
            <v>41.205449999999985</v>
          </cell>
          <cell r="K91">
            <v>43.136054999999985</v>
          </cell>
          <cell r="L91">
            <v>45.066659999999985</v>
          </cell>
          <cell r="M91">
            <v>46.997264999999977</v>
          </cell>
          <cell r="N91">
            <v>48.92786999999997</v>
          </cell>
          <cell r="O91">
            <v>50.85847499999997</v>
          </cell>
          <cell r="P91">
            <v>52.78907999999997</v>
          </cell>
          <cell r="Q91">
            <v>54.719684999999963</v>
          </cell>
          <cell r="R91">
            <v>56.650289999999963</v>
          </cell>
          <cell r="S91">
            <v>58.580894999999956</v>
          </cell>
          <cell r="T91">
            <v>60.511499999999998</v>
          </cell>
        </row>
        <row r="92">
          <cell r="A92" t="str">
            <v>2G ethanolMedium</v>
          </cell>
          <cell r="E92">
            <v>0</v>
          </cell>
          <cell r="F92">
            <v>0</v>
          </cell>
          <cell r="G92">
            <v>7.4135769345092875E-3</v>
          </cell>
          <cell r="H92">
            <v>0.32064301625708391</v>
          </cell>
          <cell r="I92">
            <v>0.92369970992229289</v>
          </cell>
          <cell r="J92">
            <v>1.6269996338739889</v>
          </cell>
          <cell r="K92">
            <v>2.9449622247632874</v>
          </cell>
          <cell r="L92">
            <v>4.4057000224411773</v>
          </cell>
          <cell r="M92">
            <v>4.8638894229775591</v>
          </cell>
          <cell r="N92">
            <v>5.3705406733114174</v>
          </cell>
          <cell r="O92">
            <v>5.930896394884078</v>
          </cell>
          <cell r="P92">
            <v>6.550782936750231</v>
          </cell>
          <cell r="Q92">
            <v>7.2366776681596638</v>
          </cell>
          <cell r="R92">
            <v>7.9957843383701999</v>
          </cell>
          <cell r="S92">
            <v>8.8361175111109738</v>
          </cell>
          <cell r="T92">
            <v>9.7665972119613915</v>
          </cell>
        </row>
        <row r="93">
          <cell r="A93" t="str">
            <v>Drop-in biodieselMedium</v>
          </cell>
          <cell r="E93">
            <v>0</v>
          </cell>
          <cell r="F93">
            <v>0</v>
          </cell>
          <cell r="G93">
            <v>0</v>
          </cell>
          <cell r="H93">
            <v>7.1322062860386587E-2</v>
          </cell>
          <cell r="I93">
            <v>0.23641518860972974</v>
          </cell>
          <cell r="J93">
            <v>0.50327370179820574</v>
          </cell>
          <cell r="K93">
            <v>0.88273833290617998</v>
          </cell>
          <cell r="L93">
            <v>1.3536009429372371</v>
          </cell>
          <cell r="M93">
            <v>1.4930356844112909</v>
          </cell>
          <cell r="N93">
            <v>1.6470250971097988</v>
          </cell>
          <cell r="O93">
            <v>1.817116327716765</v>
          </cell>
          <cell r="P93">
            <v>2.0050249895188252</v>
          </cell>
          <cell r="Q93">
            <v>2.2126540718556496</v>
          </cell>
          <cell r="R93">
            <v>2.4421150499338977</v>
          </cell>
          <cell r="S93">
            <v>2.6957514614538725</v>
          </cell>
          <cell r="T93">
            <v>2.9761652501048328</v>
          </cell>
        </row>
        <row r="94">
          <cell r="A94" t="str">
            <v>Drop-in biogasolineMedium</v>
          </cell>
          <cell r="E94">
            <v>0</v>
          </cell>
          <cell r="F94">
            <v>0</v>
          </cell>
          <cell r="G94">
            <v>0</v>
          </cell>
          <cell r="H94">
            <v>2.0478507079939961E-2</v>
          </cell>
          <cell r="I94">
            <v>6.7881240664993417E-2</v>
          </cell>
          <cell r="J94">
            <v>0.14450358910112829</v>
          </cell>
          <cell r="K94">
            <v>0.25345822141375485</v>
          </cell>
          <cell r="L94">
            <v>0.38865570318142878</v>
          </cell>
          <cell r="M94">
            <v>0.4286912156995607</v>
          </cell>
          <cell r="N94">
            <v>0.47290577079950424</v>
          </cell>
          <cell r="O94">
            <v>0.52174359643894019</v>
          </cell>
          <cell r="P94">
            <v>0.57569729192624264</v>
          </cell>
          <cell r="Q94">
            <v>0.63531325733878641</v>
          </cell>
          <cell r="R94">
            <v>0.70119775472557277</v>
          </cell>
          <cell r="S94">
            <v>0.77402367759897373</v>
          </cell>
          <cell r="T94">
            <v>0.85453811486984133</v>
          </cell>
        </row>
        <row r="95">
          <cell r="A95" t="str">
            <v>Renewable natural gasMedium</v>
          </cell>
          <cell r="E95">
            <v>13.590182698240593</v>
          </cell>
          <cell r="F95">
            <v>15.392473396319041</v>
          </cell>
          <cell r="G95">
            <v>16.925537089610405</v>
          </cell>
          <cell r="H95">
            <v>18.346048595673782</v>
          </cell>
          <cell r="I95">
            <v>19.754547526116713</v>
          </cell>
          <cell r="J95">
            <v>21.121685463774845</v>
          </cell>
          <cell r="K95">
            <v>22.382450063578233</v>
          </cell>
          <cell r="L95">
            <v>23.589682679057972</v>
          </cell>
          <cell r="M95">
            <v>24.715113119430967</v>
          </cell>
          <cell r="N95">
            <v>25.710575703287041</v>
          </cell>
          <cell r="O95">
            <v>26.490742600579317</v>
          </cell>
          <cell r="P95">
            <v>27.45291656437815</v>
          </cell>
          <cell r="Q95">
            <v>28.348640552103408</v>
          </cell>
          <cell r="R95">
            <v>29.199147330394585</v>
          </cell>
          <cell r="S95">
            <v>30.099535883130912</v>
          </cell>
          <cell r="T95">
            <v>31.055945810119404</v>
          </cell>
        </row>
        <row r="96">
          <cell r="A96" t="str">
            <v>PropaneMedium</v>
          </cell>
          <cell r="F96">
            <v>0</v>
          </cell>
          <cell r="G96">
            <v>0</v>
          </cell>
          <cell r="H96">
            <v>0</v>
          </cell>
          <cell r="I96">
            <v>3.7409553999999998</v>
          </cell>
          <cell r="J96">
            <v>3.7409553999999998</v>
          </cell>
          <cell r="K96">
            <v>3.7409553999999998</v>
          </cell>
          <cell r="L96">
            <v>3.7409553999999998</v>
          </cell>
          <cell r="M96">
            <v>3.7409553999999998</v>
          </cell>
          <cell r="N96">
            <v>3.7409553999999998</v>
          </cell>
          <cell r="O96">
            <v>3.7409553999999998</v>
          </cell>
          <cell r="P96">
            <v>3.7409553999999998</v>
          </cell>
          <cell r="Q96">
            <v>3.7409553999999998</v>
          </cell>
          <cell r="R96">
            <v>3.7409553999999998</v>
          </cell>
          <cell r="S96">
            <v>3.7409553999999998</v>
          </cell>
          <cell r="T96">
            <v>3.7409553999999998</v>
          </cell>
        </row>
        <row r="97">
          <cell r="A97" t="str">
            <v>HVOMedium</v>
          </cell>
          <cell r="E97">
            <v>22.187550000000002</v>
          </cell>
          <cell r="F97">
            <v>33.483029999999999</v>
          </cell>
          <cell r="G97">
            <v>47.064499999999995</v>
          </cell>
          <cell r="H97">
            <v>64.993833333333342</v>
          </cell>
          <cell r="I97">
            <v>81.836200833333336</v>
          </cell>
          <cell r="J97">
            <v>100.85249999999999</v>
          </cell>
          <cell r="K97">
            <v>111.61009999999999</v>
          </cell>
          <cell r="L97">
            <v>122.3677</v>
          </cell>
          <cell r="M97">
            <v>127.7465</v>
          </cell>
          <cell r="N97">
            <v>127.7465</v>
          </cell>
          <cell r="O97">
            <v>127.7465</v>
          </cell>
          <cell r="P97">
            <v>122.3677</v>
          </cell>
          <cell r="Q97">
            <v>116.9889</v>
          </cell>
          <cell r="R97">
            <v>111.61009999999999</v>
          </cell>
          <cell r="S97">
            <v>106.2313</v>
          </cell>
          <cell r="T97">
            <v>100.85249999999999</v>
          </cell>
        </row>
        <row r="98">
          <cell r="A98" t="str">
            <v>2G ethanolMed-high</v>
          </cell>
          <cell r="E98">
            <v>0</v>
          </cell>
          <cell r="F98">
            <v>0</v>
          </cell>
          <cell r="G98">
            <v>5.7661153935072255E-3</v>
          </cell>
          <cell r="H98">
            <v>0.36145146987852728</v>
          </cell>
          <cell r="I98">
            <v>1.2122210645517564</v>
          </cell>
          <cell r="J98">
            <v>2.2216438062986335</v>
          </cell>
          <cell r="K98">
            <v>4.083395350338769</v>
          </cell>
          <cell r="L98">
            <v>6.1396527405544878</v>
          </cell>
          <cell r="M98">
            <v>7.9500249116051522</v>
          </cell>
          <cell r="N98">
            <v>10.16167103717795</v>
          </cell>
          <cell r="O98">
            <v>12.830228699493013</v>
          </cell>
          <cell r="P98">
            <v>16.012556096924236</v>
          </cell>
          <cell r="Q98">
            <v>19.765728740620943</v>
          </cell>
          <cell r="R98">
            <v>24.145994656160777</v>
          </cell>
          <cell r="S98">
            <v>29.207724318546983</v>
          </cell>
          <cell r="T98">
            <v>35.002390121699605</v>
          </cell>
        </row>
        <row r="99">
          <cell r="A99" t="str">
            <v>Drop-in biodieselMed-high</v>
          </cell>
          <cell r="E99">
            <v>0</v>
          </cell>
          <cell r="F99">
            <v>0</v>
          </cell>
          <cell r="G99">
            <v>0</v>
          </cell>
          <cell r="H99">
            <v>6.3662863739899031E-2</v>
          </cell>
          <cell r="I99">
            <v>0.29179925427025011</v>
          </cell>
          <cell r="J99">
            <v>0.6625772595620506</v>
          </cell>
          <cell r="K99">
            <v>1.1935579259033506</v>
          </cell>
          <cell r="L99">
            <v>1.781751240835125</v>
          </cell>
          <cell r="M99">
            <v>2.5154445163600627</v>
          </cell>
          <cell r="N99">
            <v>3.4890000258580942</v>
          </cell>
          <cell r="O99">
            <v>4.7589761647098552</v>
          </cell>
          <cell r="P99">
            <v>6.3890873266765409</v>
          </cell>
          <cell r="Q99">
            <v>8.4497321812880575</v>
          </cell>
          <cell r="R99">
            <v>11.017235827989245</v>
          </cell>
          <cell r="S99">
            <v>14.172821069426723</v>
          </cell>
          <cell r="T99">
            <v>18.001339383290407</v>
          </cell>
        </row>
        <row r="100">
          <cell r="A100" t="str">
            <v>Drop-in biogasolineMed-high</v>
          </cell>
          <cell r="E100">
            <v>0</v>
          </cell>
          <cell r="F100">
            <v>0</v>
          </cell>
          <cell r="G100">
            <v>0</v>
          </cell>
          <cell r="H100">
            <v>1.5912628347098431E-2</v>
          </cell>
          <cell r="I100">
            <v>6.6284807621734471E-2</v>
          </cell>
          <cell r="J100">
            <v>0.14797374621190218</v>
          </cell>
          <cell r="K100">
            <v>0.26499919319348147</v>
          </cell>
          <cell r="L100">
            <v>0.41246387789520622</v>
          </cell>
          <cell r="M100">
            <v>0.47049799827562899</v>
          </cell>
          <cell r="N100">
            <v>0.54038087459926509</v>
          </cell>
          <cell r="O100">
            <v>0.62495913570448258</v>
          </cell>
          <cell r="P100">
            <v>0.72765027369172652</v>
          </cell>
          <cell r="Q100">
            <v>0.85250097305752182</v>
          </cell>
          <cell r="R100">
            <v>1.0042372960821653</v>
          </cell>
          <cell r="S100">
            <v>1.1883035334722176</v>
          </cell>
          <cell r="T100">
            <v>5.8813145401785736</v>
          </cell>
        </row>
        <row r="101">
          <cell r="A101" t="str">
            <v>Renewable natural gasMed-high</v>
          </cell>
          <cell r="E101">
            <v>14.4</v>
          </cell>
          <cell r="F101">
            <v>18.2</v>
          </cell>
          <cell r="G101">
            <v>22.567382786147206</v>
          </cell>
          <cell r="H101">
            <v>24.461398127565044</v>
          </cell>
          <cell r="I101">
            <v>26.339396701488951</v>
          </cell>
          <cell r="J101">
            <v>28.162247285033125</v>
          </cell>
          <cell r="K101">
            <v>29.843266751437646</v>
          </cell>
          <cell r="L101">
            <v>31.452910238743961</v>
          </cell>
          <cell r="M101">
            <v>32.953484159241292</v>
          </cell>
          <cell r="N101">
            <v>34.280767604382724</v>
          </cell>
          <cell r="O101">
            <v>35.320990134105756</v>
          </cell>
          <cell r="P101">
            <v>36.603888752504197</v>
          </cell>
          <cell r="Q101">
            <v>37.798187402804544</v>
          </cell>
          <cell r="R101">
            <v>38.932196440526113</v>
          </cell>
          <cell r="S101">
            <v>40.132714510841218</v>
          </cell>
          <cell r="T101">
            <v>41.40792774682587</v>
          </cell>
        </row>
        <row r="102">
          <cell r="A102" t="str">
            <v>PropaneMed-high</v>
          </cell>
        </row>
        <row r="103">
          <cell r="A103" t="str">
            <v>HVOMed-high</v>
          </cell>
          <cell r="E103">
            <v>22.187550000000002</v>
          </cell>
          <cell r="F103">
            <v>33.483029999999999</v>
          </cell>
          <cell r="G103">
            <v>47.064499999999995</v>
          </cell>
          <cell r="H103">
            <v>64.993833333333342</v>
          </cell>
          <cell r="I103">
            <v>81.836200833333336</v>
          </cell>
          <cell r="J103">
            <v>100.85249999999998</v>
          </cell>
          <cell r="K103">
            <v>111.61009999999997</v>
          </cell>
          <cell r="L103">
            <v>122.36769999999999</v>
          </cell>
          <cell r="M103">
            <v>127.74649999999998</v>
          </cell>
          <cell r="N103">
            <v>127.74649999999998</v>
          </cell>
          <cell r="O103">
            <v>127.74649999999998</v>
          </cell>
          <cell r="P103">
            <v>122.36769999999999</v>
          </cell>
          <cell r="Q103">
            <v>116.98889999999999</v>
          </cell>
          <cell r="R103">
            <v>111.61009999999997</v>
          </cell>
          <cell r="S103">
            <v>106.23129999999999</v>
          </cell>
          <cell r="T103">
            <v>100.85249999999998</v>
          </cell>
        </row>
        <row r="104">
          <cell r="A104" t="str">
            <v>2G ethanolHigh</v>
          </cell>
          <cell r="E104">
            <v>0</v>
          </cell>
          <cell r="F104">
            <v>0</v>
          </cell>
          <cell r="G104">
            <v>1.8122076951022709E-2</v>
          </cell>
          <cell r="H104">
            <v>0.95017319728783756</v>
          </cell>
          <cell r="I104">
            <v>2.059249043521274</v>
          </cell>
          <cell r="J104">
            <v>3.6189677578040356</v>
          </cell>
          <cell r="K104">
            <v>5.89854915191244</v>
          </cell>
          <cell r="L104">
            <v>8.0669679871779767</v>
          </cell>
          <cell r="M104">
            <v>10.330267066162882</v>
          </cell>
          <cell r="N104">
            <v>13.065884347789375</v>
          </cell>
          <cell r="O104">
            <v>16.333352269194471</v>
          </cell>
          <cell r="P104">
            <v>20.192461424935995</v>
          </cell>
          <cell r="Q104">
            <v>24.702131691547734</v>
          </cell>
          <cell r="R104">
            <v>29.919272941229757</v>
          </cell>
          <cell r="S104">
            <v>35.89767431646645</v>
          </cell>
          <cell r="T104">
            <v>42.686957985358255</v>
          </cell>
        </row>
        <row r="105">
          <cell r="A105" t="str">
            <v>Drop-in biodieselHigh</v>
          </cell>
          <cell r="E105">
            <v>0</v>
          </cell>
          <cell r="F105">
            <v>0</v>
          </cell>
          <cell r="G105">
            <v>0</v>
          </cell>
          <cell r="H105">
            <v>0.20872095130191104</v>
          </cell>
          <cell r="I105">
            <v>0.65985688509758689</v>
          </cell>
          <cell r="J105">
            <v>1.3410664186299779</v>
          </cell>
          <cell r="K105">
            <v>2.0756129213239665</v>
          </cell>
          <cell r="L105">
            <v>2.9446778429357838</v>
          </cell>
          <cell r="M105">
            <v>4.060997699493214</v>
          </cell>
          <cell r="N105">
            <v>5.509791664120316</v>
          </cell>
          <cell r="O105">
            <v>7.360566154025971</v>
          </cell>
          <cell r="P105">
            <v>9.6896740669284274</v>
          </cell>
          <cell r="Q105">
            <v>12.579405357795077</v>
          </cell>
          <cell r="R105">
            <v>16.116791164321974</v>
          </cell>
          <cell r="S105">
            <v>20.392158503903666</v>
          </cell>
          <cell r="T105">
            <v>25.49748624219184</v>
          </cell>
        </row>
        <row r="106">
          <cell r="A106" t="str">
            <v>Drop-in biogasolineHigh</v>
          </cell>
          <cell r="E106">
            <v>0</v>
          </cell>
          <cell r="F106">
            <v>0</v>
          </cell>
          <cell r="G106">
            <v>0</v>
          </cell>
          <cell r="H106">
            <v>5.9929470735233019E-2</v>
          </cell>
          <cell r="I106">
            <v>0.18946288639561118</v>
          </cell>
          <cell r="J106">
            <v>0.385056699808905</v>
          </cell>
          <cell r="K106">
            <v>0.59596500998228863</v>
          </cell>
          <cell r="L106">
            <v>0.84929368824151952</v>
          </cell>
          <cell r="M106">
            <v>1.1916525921904444</v>
          </cell>
          <cell r="N106">
            <v>1.6434674269614025</v>
          </cell>
          <cell r="O106">
            <v>2.2298037677621654</v>
          </cell>
          <cell r="P106">
            <v>2.9786845756912257</v>
          </cell>
          <cell r="Q106">
            <v>3.9208199763688816</v>
          </cell>
          <cell r="R106">
            <v>5.0892085699835476</v>
          </cell>
          <cell r="S106">
            <v>6.518619855786004</v>
          </cell>
          <cell r="T106">
            <v>8.2449744058132133</v>
          </cell>
        </row>
        <row r="107">
          <cell r="A107" t="str">
            <v>Renewable natural gasHigh</v>
          </cell>
          <cell r="E107">
            <v>14.4</v>
          </cell>
          <cell r="F107">
            <v>20.523297861758721</v>
          </cell>
          <cell r="G107">
            <v>22.567382786147206</v>
          </cell>
          <cell r="H107">
            <v>24.461398127565044</v>
          </cell>
          <cell r="I107">
            <v>26.339396701488951</v>
          </cell>
          <cell r="J107">
            <v>28.162247285033125</v>
          </cell>
          <cell r="K107">
            <v>29.843266751437646</v>
          </cell>
          <cell r="L107">
            <v>31.452910238743961</v>
          </cell>
          <cell r="M107">
            <v>32.953484159241292</v>
          </cell>
          <cell r="N107">
            <v>34.280767604382724</v>
          </cell>
          <cell r="O107">
            <v>35.320990134105756</v>
          </cell>
          <cell r="P107">
            <v>36.603888752504197</v>
          </cell>
          <cell r="Q107">
            <v>37.798187402804544</v>
          </cell>
          <cell r="R107">
            <v>38.932196440526113</v>
          </cell>
          <cell r="S107">
            <v>40.132714510841218</v>
          </cell>
          <cell r="T107">
            <v>41.40792774682587</v>
          </cell>
        </row>
        <row r="108">
          <cell r="A108" t="str">
            <v>PropaneHigh</v>
          </cell>
          <cell r="E108">
            <v>8.3641136946251482</v>
          </cell>
          <cell r="F108">
            <v>8.6026921137195167</v>
          </cell>
          <cell r="G108">
            <v>8.6086137204638575</v>
          </cell>
          <cell r="H108">
            <v>8.7055410729633333</v>
          </cell>
          <cell r="I108">
            <v>8.8102600132843101</v>
          </cell>
          <cell r="J108">
            <v>8.9056290482194846</v>
          </cell>
          <cell r="K108">
            <v>9.0245286783755922</v>
          </cell>
          <cell r="L108">
            <v>9.1682055578040771</v>
          </cell>
          <cell r="M108">
            <v>9.2853910386394549</v>
          </cell>
          <cell r="N108">
            <v>9.4133289106685041</v>
          </cell>
          <cell r="O108">
            <v>9.5356568394660748</v>
          </cell>
          <cell r="P108">
            <v>9.6949168945375597</v>
          </cell>
          <cell r="Q108">
            <v>9.8719417698420688</v>
          </cell>
          <cell r="R108">
            <v>10.024812722899922</v>
          </cell>
          <cell r="S108">
            <v>10.174099545559885</v>
          </cell>
          <cell r="T108">
            <v>10.32151638714269</v>
          </cell>
        </row>
        <row r="109">
          <cell r="A109" t="str">
            <v>HVOHigh</v>
          </cell>
          <cell r="E109">
            <v>22.187550000000002</v>
          </cell>
          <cell r="F109">
            <v>33.483029999999999</v>
          </cell>
          <cell r="G109">
            <v>47.064499999999995</v>
          </cell>
          <cell r="H109">
            <v>64.993833333333342</v>
          </cell>
          <cell r="I109">
            <v>81.836200833333336</v>
          </cell>
          <cell r="J109">
            <v>100.85249999999999</v>
          </cell>
          <cell r="K109">
            <v>111.61009999999999</v>
          </cell>
          <cell r="L109">
            <v>122.3677</v>
          </cell>
          <cell r="M109">
            <v>127.7465</v>
          </cell>
          <cell r="N109">
            <v>127.7465</v>
          </cell>
          <cell r="O109">
            <v>127.7465</v>
          </cell>
          <cell r="P109">
            <v>122.3677</v>
          </cell>
          <cell r="Q109">
            <v>116.9889</v>
          </cell>
          <cell r="R109">
            <v>111.61009999999999</v>
          </cell>
          <cell r="S109">
            <v>106.2313</v>
          </cell>
          <cell r="T109">
            <v>100.85249999999999</v>
          </cell>
        </row>
        <row r="113">
          <cell r="C113" t="str">
            <v>Feedstock type</v>
          </cell>
          <cell r="D113" t="str">
            <v>Feedstock number</v>
          </cell>
          <cell r="E113">
            <v>2015</v>
          </cell>
          <cell r="F113">
            <v>2016</v>
          </cell>
          <cell r="G113">
            <v>2017</v>
          </cell>
          <cell r="H113">
            <v>2018</v>
          </cell>
          <cell r="I113">
            <v>2019</v>
          </cell>
          <cell r="J113">
            <v>2020</v>
          </cell>
          <cell r="K113">
            <v>2021</v>
          </cell>
          <cell r="L113">
            <v>2022</v>
          </cell>
          <cell r="M113">
            <v>2023</v>
          </cell>
          <cell r="N113">
            <v>2024</v>
          </cell>
          <cell r="O113">
            <v>2025</v>
          </cell>
          <cell r="P113">
            <v>2026</v>
          </cell>
          <cell r="Q113">
            <v>2027</v>
          </cell>
          <cell r="R113">
            <v>2028</v>
          </cell>
          <cell r="S113">
            <v>2029</v>
          </cell>
          <cell r="T113">
            <v>2030</v>
          </cell>
        </row>
        <row r="114">
          <cell r="A114" t="str">
            <v>1G Ethanol feedstocksLowfeedstock 1</v>
          </cell>
          <cell r="C114" t="str">
            <v>Corn</v>
          </cell>
          <cell r="D114" t="str">
            <v>feedstock 1</v>
          </cell>
          <cell r="E114">
            <v>0.97</v>
          </cell>
          <cell r="F114">
            <v>0.96447619047619049</v>
          </cell>
          <cell r="G114">
            <v>0.958952380952381</v>
          </cell>
          <cell r="H114">
            <v>0.9534285714285714</v>
          </cell>
          <cell r="I114">
            <v>0.94790476190476192</v>
          </cell>
          <cell r="J114">
            <v>0.94238095238095232</v>
          </cell>
          <cell r="K114">
            <v>0.93685714285714283</v>
          </cell>
          <cell r="L114">
            <v>0.93133333333333335</v>
          </cell>
          <cell r="M114">
            <v>0.92741666666666667</v>
          </cell>
          <cell r="N114">
            <v>0.92349999999999999</v>
          </cell>
          <cell r="O114">
            <v>0.91958333333333331</v>
          </cell>
          <cell r="P114">
            <v>0.91566666666666663</v>
          </cell>
          <cell r="Q114">
            <v>0.91175000000000006</v>
          </cell>
          <cell r="R114">
            <v>0.90783333333333327</v>
          </cell>
          <cell r="S114">
            <v>0.9039166666666667</v>
          </cell>
          <cell r="T114">
            <v>0.9</v>
          </cell>
        </row>
        <row r="115">
          <cell r="A115" t="str">
            <v>1G Ethanol feedstocksLowfeedstock 2</v>
          </cell>
          <cell r="C115" t="str">
            <v>Sugarcane</v>
          </cell>
          <cell r="D115" t="str">
            <v>feedstock 2</v>
          </cell>
          <cell r="E115">
            <v>0.02</v>
          </cell>
          <cell r="F115">
            <v>2.2857142857142857E-2</v>
          </cell>
          <cell r="G115">
            <v>2.5714285714285714E-2</v>
          </cell>
          <cell r="H115">
            <v>2.8571428571428571E-2</v>
          </cell>
          <cell r="I115">
            <v>3.1428571428571431E-2</v>
          </cell>
          <cell r="J115">
            <v>3.4285714285714287E-2</v>
          </cell>
          <cell r="K115">
            <v>3.7142857142857144E-2</v>
          </cell>
          <cell r="L115">
            <v>0.04</v>
          </cell>
          <cell r="M115">
            <v>4.1250000000000002E-2</v>
          </cell>
          <cell r="N115">
            <v>4.2500000000000003E-2</v>
          </cell>
          <cell r="O115">
            <v>4.3750000000000004E-2</v>
          </cell>
          <cell r="P115">
            <v>4.5000000000000005E-2</v>
          </cell>
          <cell r="Q115">
            <v>4.6250000000000006E-2</v>
          </cell>
          <cell r="R115">
            <v>4.7500000000000007E-2</v>
          </cell>
          <cell r="S115">
            <v>4.8750000000000009E-2</v>
          </cell>
          <cell r="T115">
            <v>0.05</v>
          </cell>
        </row>
        <row r="116">
          <cell r="A116" t="str">
            <v>1G Ethanol feedstocksLowfeedstock 3</v>
          </cell>
          <cell r="C116" t="str">
            <v>Sorghum</v>
          </cell>
          <cell r="D116" t="str">
            <v>feedstock 3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</row>
        <row r="117">
          <cell r="A117" t="str">
            <v>1G Ethanol feedstocksLowfeedstock 4</v>
          </cell>
          <cell r="C117" t="str">
            <v>Molasses</v>
          </cell>
          <cell r="D117" t="str">
            <v>feedstock 4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</row>
        <row r="118">
          <cell r="A118" t="str">
            <v>1G Ethanol feedstocksLowfeedstock 5</v>
          </cell>
          <cell r="C118" t="str">
            <v>Wheat</v>
          </cell>
          <cell r="D118" t="str">
            <v>feedstock 5</v>
          </cell>
          <cell r="E118">
            <v>0.01</v>
          </cell>
          <cell r="F118">
            <v>1.2666666666666666E-2</v>
          </cell>
          <cell r="G118">
            <v>1.5333333333333332E-2</v>
          </cell>
          <cell r="H118">
            <v>1.7999999999999999E-2</v>
          </cell>
          <cell r="I118">
            <v>2.0666666666666667E-2</v>
          </cell>
          <cell r="J118">
            <v>2.3333333333333334E-2</v>
          </cell>
          <cell r="K118">
            <v>2.6000000000000002E-2</v>
          </cell>
          <cell r="L118">
            <v>2.866666666666667E-2</v>
          </cell>
          <cell r="M118">
            <v>3.1333333333333338E-2</v>
          </cell>
          <cell r="N118">
            <v>3.4000000000000002E-2</v>
          </cell>
          <cell r="O118">
            <v>3.6666666666666667E-2</v>
          </cell>
          <cell r="P118">
            <v>3.9333333333333331E-2</v>
          </cell>
          <cell r="Q118">
            <v>4.1999999999999996E-2</v>
          </cell>
          <cell r="R118">
            <v>4.466666666666666E-2</v>
          </cell>
          <cell r="S118">
            <v>4.7333333333333324E-2</v>
          </cell>
          <cell r="T118">
            <v>0.05</v>
          </cell>
        </row>
        <row r="119">
          <cell r="A119" t="str">
            <v>1G Ethanol feedstocksLowfeedstock 6</v>
          </cell>
          <cell r="C119" t="str">
            <v>feedstock 6</v>
          </cell>
          <cell r="D119" t="str">
            <v>feedstock 6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</row>
        <row r="120">
          <cell r="A120" t="str">
            <v>1G Ethanol feedstocksLow-medfeedstock 1</v>
          </cell>
          <cell r="C120" t="str">
            <v>Corn</v>
          </cell>
          <cell r="D120" t="str">
            <v>feedstock 1</v>
          </cell>
          <cell r="E120">
            <v>0.97</v>
          </cell>
          <cell r="F120">
            <v>0.95028571428571429</v>
          </cell>
          <cell r="G120">
            <v>0.9305714285714286</v>
          </cell>
          <cell r="H120">
            <v>0.91085714285714281</v>
          </cell>
          <cell r="I120">
            <v>0.89114285714285713</v>
          </cell>
          <cell r="J120">
            <v>0.87142857142857144</v>
          </cell>
          <cell r="K120">
            <v>0.85171428571428576</v>
          </cell>
          <cell r="L120">
            <v>0.83200000000000007</v>
          </cell>
          <cell r="M120">
            <v>0.80674999999999997</v>
          </cell>
          <cell r="N120">
            <v>0.78150000000000008</v>
          </cell>
          <cell r="O120">
            <v>0.75625000000000009</v>
          </cell>
          <cell r="P120">
            <v>0.73100000000000009</v>
          </cell>
          <cell r="Q120">
            <v>0.70574999999999999</v>
          </cell>
          <cell r="R120">
            <v>0.6805000000000001</v>
          </cell>
          <cell r="S120">
            <v>0.65525000000000011</v>
          </cell>
          <cell r="T120">
            <v>0.63</v>
          </cell>
        </row>
        <row r="121">
          <cell r="A121" t="str">
            <v>1G Ethanol feedstocksLow-medfeedstock 2</v>
          </cell>
          <cell r="C121" t="str">
            <v>Sugarcane</v>
          </cell>
          <cell r="D121" t="str">
            <v>feedstock 2</v>
          </cell>
          <cell r="E121">
            <v>0.02</v>
          </cell>
          <cell r="F121">
            <v>2.5714285714285714E-2</v>
          </cell>
          <cell r="G121">
            <v>3.1428571428571431E-2</v>
          </cell>
          <cell r="H121">
            <v>3.7142857142857144E-2</v>
          </cell>
          <cell r="I121">
            <v>4.2857142857142858E-2</v>
          </cell>
          <cell r="J121">
            <v>4.8571428571428571E-2</v>
          </cell>
          <cell r="K121">
            <v>5.4285714285714284E-2</v>
          </cell>
          <cell r="L121">
            <v>0.06</v>
          </cell>
          <cell r="M121">
            <v>7.1249999999999994E-2</v>
          </cell>
          <cell r="N121">
            <v>8.249999999999999E-2</v>
          </cell>
          <cell r="O121">
            <v>9.3749999999999986E-2</v>
          </cell>
          <cell r="P121">
            <v>0.10499999999999998</v>
          </cell>
          <cell r="Q121">
            <v>0.11624999999999998</v>
          </cell>
          <cell r="R121">
            <v>0.12749999999999997</v>
          </cell>
          <cell r="S121">
            <v>0.13874999999999998</v>
          </cell>
          <cell r="T121">
            <v>0.15</v>
          </cell>
        </row>
        <row r="122">
          <cell r="A122" t="str">
            <v>1G Ethanol feedstocksLow-medfeedstock 3</v>
          </cell>
          <cell r="C122" t="str">
            <v>Sorghum</v>
          </cell>
          <cell r="D122" t="str">
            <v>feedstock 3</v>
          </cell>
          <cell r="E122">
            <v>0</v>
          </cell>
          <cell r="F122">
            <v>6.6666666666666671E-3</v>
          </cell>
          <cell r="G122">
            <v>1.3333333333333334E-2</v>
          </cell>
          <cell r="H122">
            <v>0.02</v>
          </cell>
          <cell r="I122">
            <v>2.6666666666666668E-2</v>
          </cell>
          <cell r="J122">
            <v>3.3333333333333333E-2</v>
          </cell>
          <cell r="K122">
            <v>0.04</v>
          </cell>
          <cell r="L122">
            <v>4.6666666666666669E-2</v>
          </cell>
          <cell r="M122">
            <v>5.3333333333333337E-2</v>
          </cell>
          <cell r="N122">
            <v>6.0000000000000005E-2</v>
          </cell>
          <cell r="O122">
            <v>6.6666666666666666E-2</v>
          </cell>
          <cell r="P122">
            <v>7.3333333333333334E-2</v>
          </cell>
          <cell r="Q122">
            <v>0.08</v>
          </cell>
          <cell r="R122">
            <v>8.666666666666667E-2</v>
          </cell>
          <cell r="S122">
            <v>9.3333333333333338E-2</v>
          </cell>
          <cell r="T122">
            <v>0.1</v>
          </cell>
        </row>
        <row r="123">
          <cell r="A123" t="str">
            <v>1G Ethanol feedstocksLow-medfeedstock 4</v>
          </cell>
          <cell r="C123" t="str">
            <v>Molasses</v>
          </cell>
          <cell r="D123" t="str">
            <v>feedstock 4</v>
          </cell>
          <cell r="E123">
            <v>0</v>
          </cell>
          <cell r="F123">
            <v>6.6666666666666671E-3</v>
          </cell>
          <cell r="G123">
            <v>1.3333333333333334E-2</v>
          </cell>
          <cell r="H123">
            <v>0.02</v>
          </cell>
          <cell r="I123">
            <v>2.6666666666666668E-2</v>
          </cell>
          <cell r="J123">
            <v>3.3333333333333333E-2</v>
          </cell>
          <cell r="K123">
            <v>0.04</v>
          </cell>
          <cell r="L123">
            <v>4.6666666666666669E-2</v>
          </cell>
          <cell r="M123">
            <v>5.3333333333333337E-2</v>
          </cell>
          <cell r="N123">
            <v>6.0000000000000005E-2</v>
          </cell>
          <cell r="O123">
            <v>6.6666666666666666E-2</v>
          </cell>
          <cell r="P123">
            <v>7.3333333333333334E-2</v>
          </cell>
          <cell r="Q123">
            <v>0.08</v>
          </cell>
          <cell r="R123">
            <v>8.666666666666667E-2</v>
          </cell>
          <cell r="S123">
            <v>9.3333333333333338E-2</v>
          </cell>
          <cell r="T123">
            <v>0.1</v>
          </cell>
        </row>
        <row r="124">
          <cell r="A124" t="str">
            <v>1G Ethanol feedstocksLow-medfeedstock 5</v>
          </cell>
          <cell r="C124" t="str">
            <v>Wheat</v>
          </cell>
          <cell r="D124" t="str">
            <v>feedstock 5</v>
          </cell>
          <cell r="E124">
            <v>0.01</v>
          </cell>
          <cell r="F124">
            <v>1.0666666666666666E-2</v>
          </cell>
          <cell r="G124">
            <v>1.1333333333333332E-2</v>
          </cell>
          <cell r="H124">
            <v>1.1999999999999999E-2</v>
          </cell>
          <cell r="I124">
            <v>1.2666666666666665E-2</v>
          </cell>
          <cell r="J124">
            <v>1.3333333333333331E-2</v>
          </cell>
          <cell r="K124">
            <v>1.3999999999999997E-2</v>
          </cell>
          <cell r="L124">
            <v>1.4666666666666663E-2</v>
          </cell>
          <cell r="M124">
            <v>1.5333333333333329E-2</v>
          </cell>
          <cell r="N124">
            <v>1.5999999999999997E-2</v>
          </cell>
          <cell r="O124">
            <v>1.6666666666666663E-2</v>
          </cell>
          <cell r="P124">
            <v>1.7333333333333329E-2</v>
          </cell>
          <cell r="Q124">
            <v>1.7999999999999995E-2</v>
          </cell>
          <cell r="R124">
            <v>1.8666666666666661E-2</v>
          </cell>
          <cell r="S124">
            <v>1.9333333333333327E-2</v>
          </cell>
          <cell r="T124">
            <v>0.02</v>
          </cell>
        </row>
        <row r="125">
          <cell r="A125" t="str">
            <v>1G Ethanol feedstocksLow-medfeedstock 6</v>
          </cell>
          <cell r="C125" t="str">
            <v>feedstock 6</v>
          </cell>
          <cell r="D125" t="str">
            <v>feedstock 6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A126" t="str">
            <v>1G Ethanol feedstocksMediumfeedstock 1</v>
          </cell>
          <cell r="C126" t="str">
            <v>Corn</v>
          </cell>
          <cell r="D126" t="str">
            <v>feedstock 1</v>
          </cell>
          <cell r="E126">
            <v>0.98</v>
          </cell>
          <cell r="F126">
            <v>0.95690476190476192</v>
          </cell>
          <cell r="G126">
            <v>0.93380952380952387</v>
          </cell>
          <cell r="H126">
            <v>0.9107142857142857</v>
          </cell>
          <cell r="I126">
            <v>0.88761904761904764</v>
          </cell>
          <cell r="J126">
            <v>0.84166666666666667</v>
          </cell>
          <cell r="K126">
            <v>0.83</v>
          </cell>
          <cell r="L126">
            <v>0.81833333333333336</v>
          </cell>
          <cell r="M126">
            <v>0.80666666666666664</v>
          </cell>
          <cell r="N126">
            <v>0.79499999999999993</v>
          </cell>
          <cell r="O126">
            <v>0.78333333333333333</v>
          </cell>
          <cell r="P126">
            <v>0.77166666666666672</v>
          </cell>
          <cell r="Q126">
            <v>0.76</v>
          </cell>
          <cell r="R126">
            <v>0.74833333333333329</v>
          </cell>
          <cell r="S126">
            <v>0.73666666666666669</v>
          </cell>
          <cell r="T126">
            <v>0.72499999999999998</v>
          </cell>
        </row>
        <row r="127">
          <cell r="A127" t="str">
            <v>1G Ethanol feedstocksMediumfeedstock 2</v>
          </cell>
          <cell r="C127" t="str">
            <v>Sugarcane</v>
          </cell>
          <cell r="D127" t="str">
            <v>feedstock 2</v>
          </cell>
          <cell r="E127">
            <v>0.02</v>
          </cell>
          <cell r="F127">
            <v>3.1428571428571431E-2</v>
          </cell>
          <cell r="G127">
            <v>4.2857142857142858E-2</v>
          </cell>
          <cell r="H127">
            <v>5.4285714285714284E-2</v>
          </cell>
          <cell r="I127">
            <v>6.5714285714285711E-2</v>
          </cell>
          <cell r="J127">
            <v>0.1</v>
          </cell>
          <cell r="K127">
            <v>0.1</v>
          </cell>
          <cell r="L127">
            <v>0.1</v>
          </cell>
          <cell r="M127">
            <v>0.1</v>
          </cell>
          <cell r="N127">
            <v>0.1</v>
          </cell>
          <cell r="O127">
            <v>0.1</v>
          </cell>
          <cell r="P127">
            <v>0.1</v>
          </cell>
          <cell r="Q127">
            <v>0.1</v>
          </cell>
          <cell r="R127">
            <v>0.1</v>
          </cell>
          <cell r="S127">
            <v>0.1</v>
          </cell>
          <cell r="T127">
            <v>0.1</v>
          </cell>
        </row>
        <row r="128">
          <cell r="A128" t="str">
            <v>1G Ethanol feedstocksMediumfeedstock 3</v>
          </cell>
          <cell r="C128" t="str">
            <v>Sorghum</v>
          </cell>
          <cell r="D128" t="str">
            <v>feedstock 3</v>
          </cell>
          <cell r="E128">
            <v>0</v>
          </cell>
          <cell r="F128">
            <v>5.0000000000000001E-3</v>
          </cell>
          <cell r="G128">
            <v>0.01</v>
          </cell>
          <cell r="H128">
            <v>1.4999999999999999E-2</v>
          </cell>
          <cell r="I128">
            <v>0.02</v>
          </cell>
          <cell r="J128">
            <v>2.5000000000000001E-2</v>
          </cell>
          <cell r="K128">
            <v>3.0000000000000002E-2</v>
          </cell>
          <cell r="L128">
            <v>3.5000000000000003E-2</v>
          </cell>
          <cell r="M128">
            <v>0.04</v>
          </cell>
          <cell r="N128">
            <v>4.4999999999999998E-2</v>
          </cell>
          <cell r="O128">
            <v>4.9999999999999996E-2</v>
          </cell>
          <cell r="P128">
            <v>5.4999999999999993E-2</v>
          </cell>
          <cell r="Q128">
            <v>5.9999999999999991E-2</v>
          </cell>
          <cell r="R128">
            <v>6.4999999999999988E-2</v>
          </cell>
          <cell r="S128">
            <v>6.9999999999999993E-2</v>
          </cell>
          <cell r="T128">
            <v>7.4999999999999997E-2</v>
          </cell>
        </row>
        <row r="129">
          <cell r="A129" t="str">
            <v>1G Ethanol feedstocksMediumfeedstock 4</v>
          </cell>
          <cell r="C129" t="str">
            <v>Molasses</v>
          </cell>
          <cell r="D129" t="str">
            <v>feedstock 4</v>
          </cell>
          <cell r="E129">
            <v>0</v>
          </cell>
          <cell r="F129">
            <v>6.6666666666666671E-3</v>
          </cell>
          <cell r="G129">
            <v>1.3333333333333334E-2</v>
          </cell>
          <cell r="H129">
            <v>0.02</v>
          </cell>
          <cell r="I129">
            <v>2.6666666666666668E-2</v>
          </cell>
          <cell r="J129">
            <v>3.3333333333333333E-2</v>
          </cell>
          <cell r="K129">
            <v>0.04</v>
          </cell>
          <cell r="L129">
            <v>4.6666666666666669E-2</v>
          </cell>
          <cell r="M129">
            <v>5.3333333333333337E-2</v>
          </cell>
          <cell r="N129">
            <v>6.0000000000000005E-2</v>
          </cell>
          <cell r="O129">
            <v>6.6666666666666666E-2</v>
          </cell>
          <cell r="P129">
            <v>7.3333333333333334E-2</v>
          </cell>
          <cell r="Q129">
            <v>0.08</v>
          </cell>
          <cell r="R129">
            <v>8.666666666666667E-2</v>
          </cell>
          <cell r="S129">
            <v>9.3333333333333338E-2</v>
          </cell>
          <cell r="T129">
            <v>0.1</v>
          </cell>
        </row>
        <row r="130">
          <cell r="A130" t="str">
            <v>1G Ethanol feedstocksMediumfeedstock 5</v>
          </cell>
          <cell r="C130" t="str">
            <v>Wheat</v>
          </cell>
          <cell r="D130" t="str">
            <v>feedstock 5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</row>
        <row r="131">
          <cell r="A131" t="str">
            <v>1G Ethanol feedstocksMediumfeedstock 6</v>
          </cell>
          <cell r="C131" t="str">
            <v>feedstock 6</v>
          </cell>
          <cell r="D131" t="str">
            <v>feedstock 6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</row>
        <row r="132">
          <cell r="A132" t="str">
            <v>1G Ethanol feedstocksMed-highfeedstock 1</v>
          </cell>
          <cell r="C132" t="str">
            <v>Corn</v>
          </cell>
          <cell r="D132" t="str">
            <v>feedstock 1</v>
          </cell>
          <cell r="E132">
            <v>0.97</v>
          </cell>
          <cell r="F132">
            <v>0.90828571428571436</v>
          </cell>
          <cell r="G132">
            <v>0.84657142857142853</v>
          </cell>
          <cell r="H132">
            <v>0.78485714285714281</v>
          </cell>
          <cell r="I132">
            <v>0.72314285714285709</v>
          </cell>
          <cell r="J132">
            <v>0.66142857142857148</v>
          </cell>
          <cell r="K132">
            <v>0.59971428571428576</v>
          </cell>
          <cell r="L132">
            <v>0.53800000000000003</v>
          </cell>
          <cell r="M132">
            <v>0.51449999999999996</v>
          </cell>
          <cell r="N132">
            <v>0.49099999999999999</v>
          </cell>
          <cell r="O132">
            <v>0.46750000000000003</v>
          </cell>
          <cell r="P132">
            <v>0.44399999999999995</v>
          </cell>
          <cell r="Q132">
            <v>0.42049999999999998</v>
          </cell>
          <cell r="R132">
            <v>0.39700000000000002</v>
          </cell>
          <cell r="S132">
            <v>0.37349999999999994</v>
          </cell>
          <cell r="T132">
            <v>0.35000000000000009</v>
          </cell>
        </row>
        <row r="133">
          <cell r="A133" t="str">
            <v>1G Ethanol feedstocksMed-highfeedstock 2</v>
          </cell>
          <cell r="C133" t="str">
            <v>Sugarcane</v>
          </cell>
          <cell r="D133" t="str">
            <v>feedstock 2</v>
          </cell>
          <cell r="E133">
            <v>0.02</v>
          </cell>
          <cell r="F133">
            <v>5.2857142857142853E-2</v>
          </cell>
          <cell r="G133">
            <v>8.5714285714285715E-2</v>
          </cell>
          <cell r="H133">
            <v>0.11857142857142858</v>
          </cell>
          <cell r="I133">
            <v>0.15142857142857144</v>
          </cell>
          <cell r="J133">
            <v>0.1842857142857143</v>
          </cell>
          <cell r="K133">
            <v>0.21714285714285717</v>
          </cell>
          <cell r="L133">
            <v>0.25</v>
          </cell>
          <cell r="M133">
            <v>0.26250000000000001</v>
          </cell>
          <cell r="N133">
            <v>0.27500000000000002</v>
          </cell>
          <cell r="O133">
            <v>0.28750000000000003</v>
          </cell>
          <cell r="P133">
            <v>0.30000000000000004</v>
          </cell>
          <cell r="Q133">
            <v>0.31250000000000006</v>
          </cell>
          <cell r="R133">
            <v>0.32500000000000007</v>
          </cell>
          <cell r="S133">
            <v>0.33750000000000008</v>
          </cell>
          <cell r="T133">
            <v>0.35</v>
          </cell>
        </row>
        <row r="134">
          <cell r="A134" t="str">
            <v>1G Ethanol feedstocksMed-highfeedstock 3</v>
          </cell>
          <cell r="C134" t="str">
            <v>Sorghum</v>
          </cell>
          <cell r="D134" t="str">
            <v>feedstock 3</v>
          </cell>
          <cell r="E134">
            <v>0</v>
          </cell>
          <cell r="F134">
            <v>1.1666666666666665E-2</v>
          </cell>
          <cell r="G134">
            <v>2.3333333333333331E-2</v>
          </cell>
          <cell r="H134">
            <v>3.4999999999999996E-2</v>
          </cell>
          <cell r="I134">
            <v>4.6666666666666662E-2</v>
          </cell>
          <cell r="J134">
            <v>5.8333333333333327E-2</v>
          </cell>
          <cell r="K134">
            <v>6.9999999999999993E-2</v>
          </cell>
          <cell r="L134">
            <v>8.1666666666666665E-2</v>
          </cell>
          <cell r="M134">
            <v>9.3333333333333324E-2</v>
          </cell>
          <cell r="N134">
            <v>0.10499999999999998</v>
          </cell>
          <cell r="O134">
            <v>0.11666666666666664</v>
          </cell>
          <cell r="P134">
            <v>0.1283333333333333</v>
          </cell>
          <cell r="Q134">
            <v>0.13999999999999996</v>
          </cell>
          <cell r="R134">
            <v>0.15166666666666662</v>
          </cell>
          <cell r="S134">
            <v>0.16333333333333327</v>
          </cell>
          <cell r="T134">
            <v>0.17499999999999999</v>
          </cell>
        </row>
        <row r="135">
          <cell r="A135" t="str">
            <v>1G Ethanol feedstocksMed-highfeedstock 4</v>
          </cell>
          <cell r="C135" t="str">
            <v>Molasses</v>
          </cell>
          <cell r="D135" t="str">
            <v>feedstock 4</v>
          </cell>
          <cell r="E135">
            <v>0</v>
          </cell>
          <cell r="F135">
            <v>1.7857142857142856E-2</v>
          </cell>
          <cell r="G135">
            <v>3.5714285714285712E-2</v>
          </cell>
          <cell r="H135">
            <v>5.3571428571428568E-2</v>
          </cell>
          <cell r="I135">
            <v>7.1428571428571425E-2</v>
          </cell>
          <cell r="J135">
            <v>8.9285714285714274E-2</v>
          </cell>
          <cell r="K135">
            <v>0.10714285714285712</v>
          </cell>
          <cell r="L135">
            <v>0.125</v>
          </cell>
          <cell r="M135">
            <v>0.125</v>
          </cell>
          <cell r="N135">
            <v>0.125</v>
          </cell>
          <cell r="O135">
            <v>0.125</v>
          </cell>
          <cell r="P135">
            <v>0.125</v>
          </cell>
          <cell r="Q135">
            <v>0.125</v>
          </cell>
          <cell r="R135">
            <v>0.125</v>
          </cell>
          <cell r="S135">
            <v>0.125</v>
          </cell>
          <cell r="T135">
            <v>0.125</v>
          </cell>
        </row>
        <row r="136">
          <cell r="A136" t="str">
            <v>1G Ethanol feedstocksMed-highfeedstock 5</v>
          </cell>
          <cell r="C136" t="str">
            <v>Wheat</v>
          </cell>
          <cell r="D136" t="str">
            <v>feedstock 5</v>
          </cell>
          <cell r="E136">
            <v>0.01</v>
          </cell>
          <cell r="F136">
            <v>9.3333333333333341E-3</v>
          </cell>
          <cell r="G136">
            <v>8.666666666666668E-3</v>
          </cell>
          <cell r="H136">
            <v>8.0000000000000019E-3</v>
          </cell>
          <cell r="I136">
            <v>7.3333333333333349E-3</v>
          </cell>
          <cell r="J136">
            <v>6.666666666666668E-3</v>
          </cell>
          <cell r="K136">
            <v>6.000000000000001E-3</v>
          </cell>
          <cell r="L136">
            <v>5.333333333333334E-3</v>
          </cell>
          <cell r="M136">
            <v>4.6666666666666671E-3</v>
          </cell>
          <cell r="N136">
            <v>4.0000000000000001E-3</v>
          </cell>
          <cell r="O136">
            <v>3.3333333333333335E-3</v>
          </cell>
          <cell r="P136">
            <v>2.666666666666667E-3</v>
          </cell>
          <cell r="Q136">
            <v>2.0000000000000005E-3</v>
          </cell>
          <cell r="R136">
            <v>1.3333333333333339E-3</v>
          </cell>
          <cell r="S136">
            <v>6.6666666666666729E-4</v>
          </cell>
          <cell r="T136">
            <v>0</v>
          </cell>
        </row>
        <row r="137">
          <cell r="A137" t="str">
            <v>1G Ethanol feedstocksMed-highfeedstock 6</v>
          </cell>
          <cell r="C137" t="str">
            <v>feedstock 6</v>
          </cell>
          <cell r="D137" t="str">
            <v>feedstock 6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</row>
        <row r="138">
          <cell r="A138" t="str">
            <v>1G Ethanol feedstocksHighfeedstock 1</v>
          </cell>
          <cell r="C138" t="str">
            <v>Corn</v>
          </cell>
          <cell r="D138" t="str">
            <v>feedstock 1</v>
          </cell>
          <cell r="E138">
            <v>0.97</v>
          </cell>
          <cell r="F138">
            <v>0.93314285714285716</v>
          </cell>
          <cell r="G138">
            <v>0.89628571428571424</v>
          </cell>
          <cell r="H138">
            <v>0.85942857142857143</v>
          </cell>
          <cell r="I138">
            <v>0.82257142857142851</v>
          </cell>
          <cell r="J138">
            <v>0.7628571428571429</v>
          </cell>
          <cell r="K138">
            <v>0.73742857142857143</v>
          </cell>
          <cell r="L138">
            <v>0.71199999999999997</v>
          </cell>
          <cell r="M138">
            <v>0.70174999999999998</v>
          </cell>
          <cell r="N138">
            <v>0.6915</v>
          </cell>
          <cell r="O138">
            <v>0.68125000000000002</v>
          </cell>
          <cell r="P138">
            <v>0.66999999999999993</v>
          </cell>
          <cell r="Q138">
            <v>0.65874999999999995</v>
          </cell>
          <cell r="R138">
            <v>0.64749999999999996</v>
          </cell>
          <cell r="S138">
            <v>0.63624999999999998</v>
          </cell>
          <cell r="T138">
            <v>0.625</v>
          </cell>
        </row>
        <row r="139">
          <cell r="A139" t="str">
            <v>1G Ethanol feedstocksHighfeedstock 2</v>
          </cell>
          <cell r="C139" t="str">
            <v>Sugarcane</v>
          </cell>
          <cell r="D139" t="str">
            <v>feedstock 2</v>
          </cell>
          <cell r="E139">
            <v>0.02</v>
          </cell>
          <cell r="F139">
            <v>3.1428571428571431E-2</v>
          </cell>
          <cell r="G139">
            <v>4.2857142857142858E-2</v>
          </cell>
          <cell r="H139">
            <v>5.4285714285714284E-2</v>
          </cell>
          <cell r="I139">
            <v>6.5714285714285711E-2</v>
          </cell>
          <cell r="J139">
            <v>0.1</v>
          </cell>
          <cell r="K139">
            <v>0.1</v>
          </cell>
          <cell r="L139">
            <v>0.1</v>
          </cell>
          <cell r="M139">
            <v>0.1</v>
          </cell>
          <cell r="N139">
            <v>0.1</v>
          </cell>
          <cell r="O139">
            <v>0.1</v>
          </cell>
          <cell r="P139">
            <v>0.1</v>
          </cell>
          <cell r="Q139">
            <v>0.1</v>
          </cell>
          <cell r="R139">
            <v>0.1</v>
          </cell>
          <cell r="S139">
            <v>0.1</v>
          </cell>
          <cell r="T139">
            <v>0.1</v>
          </cell>
        </row>
        <row r="140">
          <cell r="A140" t="str">
            <v>1G Ethanol feedstocksHighfeedstock 3</v>
          </cell>
          <cell r="C140" t="str">
            <v>Sorghum</v>
          </cell>
          <cell r="D140" t="str">
            <v>feedstock 3</v>
          </cell>
          <cell r="E140">
            <v>0</v>
          </cell>
          <cell r="F140">
            <v>5.0000000000000001E-3</v>
          </cell>
          <cell r="G140">
            <v>0.01</v>
          </cell>
          <cell r="H140">
            <v>1.4999999999999999E-2</v>
          </cell>
          <cell r="I140">
            <v>0.02</v>
          </cell>
          <cell r="J140">
            <v>2.5000000000000001E-2</v>
          </cell>
          <cell r="K140">
            <v>3.0000000000000002E-2</v>
          </cell>
          <cell r="L140">
            <v>3.5000000000000003E-2</v>
          </cell>
          <cell r="M140">
            <v>0.04</v>
          </cell>
          <cell r="N140">
            <v>4.4999999999999998E-2</v>
          </cell>
          <cell r="O140">
            <v>4.9999999999999996E-2</v>
          </cell>
          <cell r="P140">
            <v>5.4999999999999993E-2</v>
          </cell>
          <cell r="Q140">
            <v>5.9999999999999991E-2</v>
          </cell>
          <cell r="R140">
            <v>6.4999999999999988E-2</v>
          </cell>
          <cell r="S140">
            <v>6.9999999999999993E-2</v>
          </cell>
          <cell r="T140">
            <v>7.4999999999999997E-2</v>
          </cell>
        </row>
        <row r="141">
          <cell r="A141" t="str">
            <v>1G Ethanol feedstocksHighfeedstock 4</v>
          </cell>
          <cell r="C141" t="str">
            <v>Molasses</v>
          </cell>
          <cell r="D141" t="str">
            <v>feedstock 4</v>
          </cell>
          <cell r="E141">
            <v>0</v>
          </cell>
          <cell r="F141">
            <v>2.1428571428571429E-2</v>
          </cell>
          <cell r="G141">
            <v>4.2857142857142858E-2</v>
          </cell>
          <cell r="H141">
            <v>6.4285714285714279E-2</v>
          </cell>
          <cell r="I141">
            <v>8.5714285714285715E-2</v>
          </cell>
          <cell r="J141">
            <v>0.10714285714285715</v>
          </cell>
          <cell r="K141">
            <v>0.12857142857142859</v>
          </cell>
          <cell r="L141">
            <v>0.15</v>
          </cell>
          <cell r="M141">
            <v>0.15625</v>
          </cell>
          <cell r="N141">
            <v>0.16250000000000001</v>
          </cell>
          <cell r="O141">
            <v>0.16875000000000001</v>
          </cell>
          <cell r="P141">
            <v>0.17500000000000002</v>
          </cell>
          <cell r="Q141">
            <v>0.18125000000000002</v>
          </cell>
          <cell r="R141">
            <v>0.18750000000000003</v>
          </cell>
          <cell r="S141">
            <v>0.19375000000000003</v>
          </cell>
          <cell r="T141">
            <v>0.2</v>
          </cell>
        </row>
        <row r="142">
          <cell r="A142" t="str">
            <v>1G Ethanol feedstocksHighfeedstock 5</v>
          </cell>
          <cell r="C142" t="str">
            <v>Wheat</v>
          </cell>
          <cell r="D142" t="str">
            <v>feedstock 5</v>
          </cell>
          <cell r="E142">
            <v>0.01</v>
          </cell>
          <cell r="F142">
            <v>9.0000000000000011E-3</v>
          </cell>
          <cell r="G142">
            <v>8.0000000000000002E-3</v>
          </cell>
          <cell r="H142">
            <v>7.0000000000000001E-3</v>
          </cell>
          <cell r="I142">
            <v>6.0000000000000001E-3</v>
          </cell>
          <cell r="J142">
            <v>5.0000000000000001E-3</v>
          </cell>
          <cell r="K142">
            <v>4.0000000000000001E-3</v>
          </cell>
          <cell r="L142">
            <v>3.0000000000000001E-3</v>
          </cell>
          <cell r="M142">
            <v>2E-3</v>
          </cell>
          <cell r="N142">
            <v>1E-3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</row>
        <row r="143">
          <cell r="A143" t="str">
            <v>1G Ethanol feedstocksHighfeedstock 6</v>
          </cell>
          <cell r="C143" t="str">
            <v>feedstock 6</v>
          </cell>
          <cell r="D143" t="str">
            <v>feedstock 6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</row>
        <row r="146">
          <cell r="C146" t="str">
            <v>2G ethanol feedstocks</v>
          </cell>
          <cell r="D146" t="str">
            <v>%</v>
          </cell>
          <cell r="E146" t="str">
            <v>Make sure each scenario sums up to 100%</v>
          </cell>
        </row>
        <row r="147">
          <cell r="C147" t="str">
            <v>Feedstock type</v>
          </cell>
          <cell r="E147">
            <v>2015</v>
          </cell>
          <cell r="F147">
            <v>2016</v>
          </cell>
          <cell r="G147">
            <v>2017</v>
          </cell>
          <cell r="H147">
            <v>2018</v>
          </cell>
          <cell r="I147">
            <v>2019</v>
          </cell>
          <cell r="J147">
            <v>2020</v>
          </cell>
          <cell r="K147">
            <v>2021</v>
          </cell>
          <cell r="L147">
            <v>2022</v>
          </cell>
          <cell r="M147">
            <v>2023</v>
          </cell>
          <cell r="N147">
            <v>2024</v>
          </cell>
          <cell r="O147">
            <v>2025</v>
          </cell>
          <cell r="P147">
            <v>2026</v>
          </cell>
          <cell r="Q147">
            <v>2027</v>
          </cell>
          <cell r="R147">
            <v>2028</v>
          </cell>
          <cell r="S147">
            <v>2029</v>
          </cell>
          <cell r="T147">
            <v>2030</v>
          </cell>
        </row>
        <row r="148">
          <cell r="A148" t="str">
            <v>2G ethanol feedstocksLowfeedstock 1</v>
          </cell>
          <cell r="C148" t="str">
            <v>Corn stover</v>
          </cell>
          <cell r="D148" t="str">
            <v>feedstock 1</v>
          </cell>
          <cell r="E148">
            <v>0.5</v>
          </cell>
          <cell r="F148">
            <v>0.5</v>
          </cell>
          <cell r="G148">
            <v>0.5</v>
          </cell>
          <cell r="H148">
            <v>0.5</v>
          </cell>
          <cell r="I148">
            <v>0.5</v>
          </cell>
          <cell r="J148">
            <v>0.5</v>
          </cell>
          <cell r="K148">
            <v>0.5</v>
          </cell>
          <cell r="L148">
            <v>0.5</v>
          </cell>
          <cell r="M148">
            <v>0.5</v>
          </cell>
          <cell r="N148">
            <v>0.5</v>
          </cell>
          <cell r="O148">
            <v>0.5</v>
          </cell>
          <cell r="P148">
            <v>0.5</v>
          </cell>
          <cell r="Q148">
            <v>0.5</v>
          </cell>
          <cell r="R148">
            <v>0.5</v>
          </cell>
          <cell r="S148">
            <v>0.5</v>
          </cell>
          <cell r="T148">
            <v>0.5</v>
          </cell>
        </row>
        <row r="149">
          <cell r="A149" t="str">
            <v>2G ethanol feedstocksLowfeedstock 2</v>
          </cell>
          <cell r="C149" t="str">
            <v>Bagasse</v>
          </cell>
          <cell r="D149" t="str">
            <v>feedstock 2</v>
          </cell>
          <cell r="E149">
            <v>0.05</v>
          </cell>
          <cell r="F149">
            <v>0.05</v>
          </cell>
          <cell r="G149">
            <v>0.05</v>
          </cell>
          <cell r="H149">
            <v>0.05</v>
          </cell>
          <cell r="I149">
            <v>0.05</v>
          </cell>
          <cell r="J149">
            <v>0.05</v>
          </cell>
          <cell r="K149">
            <v>0.05</v>
          </cell>
          <cell r="L149">
            <v>0.05</v>
          </cell>
          <cell r="M149">
            <v>0.05</v>
          </cell>
          <cell r="N149">
            <v>0.05</v>
          </cell>
          <cell r="O149">
            <v>0.05</v>
          </cell>
          <cell r="P149">
            <v>0.05</v>
          </cell>
          <cell r="Q149">
            <v>0.05</v>
          </cell>
          <cell r="R149">
            <v>0.05</v>
          </cell>
          <cell r="S149">
            <v>0.05</v>
          </cell>
          <cell r="T149">
            <v>0.05</v>
          </cell>
        </row>
        <row r="150">
          <cell r="A150" t="str">
            <v>2G ethanol feedstocksLowfeedstock 3</v>
          </cell>
          <cell r="C150" t="str">
            <v>Woody residues</v>
          </cell>
          <cell r="D150" t="str">
            <v>feedstock 3</v>
          </cell>
          <cell r="E150">
            <v>0.05</v>
          </cell>
          <cell r="F150">
            <v>0.05</v>
          </cell>
          <cell r="G150">
            <v>0.05</v>
          </cell>
          <cell r="H150">
            <v>0.05</v>
          </cell>
          <cell r="I150">
            <v>0.05</v>
          </cell>
          <cell r="J150">
            <v>0.05</v>
          </cell>
          <cell r="K150">
            <v>0.05</v>
          </cell>
          <cell r="L150">
            <v>0.05</v>
          </cell>
          <cell r="M150">
            <v>0.05</v>
          </cell>
          <cell r="N150">
            <v>0.05</v>
          </cell>
          <cell r="O150">
            <v>0.05</v>
          </cell>
          <cell r="P150">
            <v>0.05</v>
          </cell>
          <cell r="Q150">
            <v>0.05</v>
          </cell>
          <cell r="R150">
            <v>0.05</v>
          </cell>
          <cell r="S150">
            <v>0.05</v>
          </cell>
          <cell r="T150">
            <v>0.05</v>
          </cell>
        </row>
        <row r="151">
          <cell r="A151" t="str">
            <v>2G ethanol feedstocksLowfeedstock 4</v>
          </cell>
          <cell r="C151" t="str">
            <v>Short rotation coppice</v>
          </cell>
          <cell r="D151" t="str">
            <v>feedstock 4</v>
          </cell>
          <cell r="E151">
            <v>0.05</v>
          </cell>
          <cell r="F151">
            <v>0.05</v>
          </cell>
          <cell r="G151">
            <v>0.05</v>
          </cell>
          <cell r="H151">
            <v>0.05</v>
          </cell>
          <cell r="I151">
            <v>0.05</v>
          </cell>
          <cell r="J151">
            <v>0.05</v>
          </cell>
          <cell r="K151">
            <v>0.05</v>
          </cell>
          <cell r="L151">
            <v>0.05</v>
          </cell>
          <cell r="M151">
            <v>0.05</v>
          </cell>
          <cell r="N151">
            <v>0.05</v>
          </cell>
          <cell r="O151">
            <v>0.05</v>
          </cell>
          <cell r="P151">
            <v>0.05</v>
          </cell>
          <cell r="Q151">
            <v>0.05</v>
          </cell>
          <cell r="R151">
            <v>0.05</v>
          </cell>
          <cell r="S151">
            <v>0.05</v>
          </cell>
          <cell r="T151">
            <v>0.05</v>
          </cell>
        </row>
        <row r="152">
          <cell r="A152" t="str">
            <v>2G ethanol feedstocksLowfeedstock 5</v>
          </cell>
          <cell r="C152" t="str">
            <v>Annual grasses</v>
          </cell>
          <cell r="D152" t="str">
            <v>feedstock 5</v>
          </cell>
          <cell r="E152">
            <v>0.1</v>
          </cell>
          <cell r="F152">
            <v>0.1</v>
          </cell>
          <cell r="G152">
            <v>0.1</v>
          </cell>
          <cell r="H152">
            <v>0.1</v>
          </cell>
          <cell r="I152">
            <v>0.1</v>
          </cell>
          <cell r="J152">
            <v>0.1</v>
          </cell>
          <cell r="K152">
            <v>0.1</v>
          </cell>
          <cell r="L152">
            <v>0.1</v>
          </cell>
          <cell r="M152">
            <v>0.1</v>
          </cell>
          <cell r="N152">
            <v>0.1</v>
          </cell>
          <cell r="O152">
            <v>0.1</v>
          </cell>
          <cell r="P152">
            <v>0.1</v>
          </cell>
          <cell r="Q152">
            <v>0.1</v>
          </cell>
          <cell r="R152">
            <v>0.1</v>
          </cell>
          <cell r="S152">
            <v>0.1</v>
          </cell>
          <cell r="T152">
            <v>0.1</v>
          </cell>
        </row>
        <row r="153">
          <cell r="A153" t="str">
            <v>2G ethanol feedstocksLowfeedstock 6</v>
          </cell>
          <cell r="C153" t="str">
            <v>Perennial grasses</v>
          </cell>
          <cell r="D153" t="str">
            <v>feedstock 6</v>
          </cell>
          <cell r="E153">
            <v>0.25</v>
          </cell>
          <cell r="F153">
            <v>0.25</v>
          </cell>
          <cell r="G153">
            <v>0.25</v>
          </cell>
          <cell r="H153">
            <v>0.25</v>
          </cell>
          <cell r="I153">
            <v>0.25</v>
          </cell>
          <cell r="J153">
            <v>0.25</v>
          </cell>
          <cell r="K153">
            <v>0.25</v>
          </cell>
          <cell r="L153">
            <v>0.25</v>
          </cell>
          <cell r="M153">
            <v>0.25</v>
          </cell>
          <cell r="N153">
            <v>0.25</v>
          </cell>
          <cell r="O153">
            <v>0.25</v>
          </cell>
          <cell r="P153">
            <v>0.25</v>
          </cell>
          <cell r="Q153">
            <v>0.25</v>
          </cell>
          <cell r="R153">
            <v>0.25</v>
          </cell>
          <cell r="S153">
            <v>0.25</v>
          </cell>
          <cell r="T153">
            <v>0.25</v>
          </cell>
        </row>
        <row r="154">
          <cell r="A154" t="str">
            <v>2G ethanol feedstocksLow-medfeedstock 1</v>
          </cell>
          <cell r="C154" t="str">
            <v>Corn stover</v>
          </cell>
          <cell r="D154" t="str">
            <v>feedstock 1</v>
          </cell>
          <cell r="E154">
            <v>0.5</v>
          </cell>
          <cell r="F154">
            <v>0.5</v>
          </cell>
          <cell r="G154">
            <v>0.5</v>
          </cell>
          <cell r="H154">
            <v>0.5</v>
          </cell>
          <cell r="I154">
            <v>0.5</v>
          </cell>
          <cell r="J154">
            <v>0.5</v>
          </cell>
          <cell r="K154">
            <v>0.5</v>
          </cell>
          <cell r="L154">
            <v>0.5</v>
          </cell>
          <cell r="M154">
            <v>0.5</v>
          </cell>
          <cell r="N154">
            <v>0.5</v>
          </cell>
          <cell r="O154">
            <v>0.5</v>
          </cell>
          <cell r="P154">
            <v>0.5</v>
          </cell>
          <cell r="Q154">
            <v>0.5</v>
          </cell>
          <cell r="R154">
            <v>0.5</v>
          </cell>
          <cell r="S154">
            <v>0.5</v>
          </cell>
          <cell r="T154">
            <v>0.5</v>
          </cell>
        </row>
        <row r="155">
          <cell r="A155" t="str">
            <v>2G ethanol feedstocksLow-medfeedstock 2</v>
          </cell>
          <cell r="C155" t="str">
            <v>Bagasse</v>
          </cell>
          <cell r="D155" t="str">
            <v>feedstock 2</v>
          </cell>
          <cell r="E155">
            <v>0.05</v>
          </cell>
          <cell r="F155">
            <v>0.05</v>
          </cell>
          <cell r="G155">
            <v>0.05</v>
          </cell>
          <cell r="H155">
            <v>0.05</v>
          </cell>
          <cell r="I155">
            <v>0.05</v>
          </cell>
          <cell r="J155">
            <v>0.05</v>
          </cell>
          <cell r="K155">
            <v>0.05</v>
          </cell>
          <cell r="L155">
            <v>0.05</v>
          </cell>
          <cell r="M155">
            <v>0.05</v>
          </cell>
          <cell r="N155">
            <v>0.05</v>
          </cell>
          <cell r="O155">
            <v>0.05</v>
          </cell>
          <cell r="P155">
            <v>0.05</v>
          </cell>
          <cell r="Q155">
            <v>0.05</v>
          </cell>
          <cell r="R155">
            <v>0.05</v>
          </cell>
          <cell r="S155">
            <v>0.05</v>
          </cell>
          <cell r="T155">
            <v>0.05</v>
          </cell>
        </row>
        <row r="156">
          <cell r="A156" t="str">
            <v>2G ethanol feedstocksLow-medfeedstock 3</v>
          </cell>
          <cell r="C156" t="str">
            <v>Woody residues</v>
          </cell>
          <cell r="D156" t="str">
            <v>feedstock 3</v>
          </cell>
          <cell r="E156">
            <v>0.05</v>
          </cell>
          <cell r="F156">
            <v>0.05</v>
          </cell>
          <cell r="G156">
            <v>0.05</v>
          </cell>
          <cell r="H156">
            <v>0.05</v>
          </cell>
          <cell r="I156">
            <v>0.05</v>
          </cell>
          <cell r="J156">
            <v>0.05</v>
          </cell>
          <cell r="K156">
            <v>0.05</v>
          </cell>
          <cell r="L156">
            <v>0.05</v>
          </cell>
          <cell r="M156">
            <v>0.05</v>
          </cell>
          <cell r="N156">
            <v>0.05</v>
          </cell>
          <cell r="O156">
            <v>0.05</v>
          </cell>
          <cell r="P156">
            <v>0.05</v>
          </cell>
          <cell r="Q156">
            <v>0.05</v>
          </cell>
          <cell r="R156">
            <v>0.05</v>
          </cell>
          <cell r="S156">
            <v>0.05</v>
          </cell>
          <cell r="T156">
            <v>0.05</v>
          </cell>
        </row>
        <row r="157">
          <cell r="A157" t="str">
            <v>2G ethanol feedstocksLow-medfeedstock 4</v>
          </cell>
          <cell r="C157" t="str">
            <v>Short rotation coppice</v>
          </cell>
          <cell r="D157" t="str">
            <v>feedstock 4</v>
          </cell>
          <cell r="E157">
            <v>0.05</v>
          </cell>
          <cell r="F157">
            <v>0.05</v>
          </cell>
          <cell r="G157">
            <v>0.05</v>
          </cell>
          <cell r="H157">
            <v>0.05</v>
          </cell>
          <cell r="I157">
            <v>0.05</v>
          </cell>
          <cell r="J157">
            <v>0.05</v>
          </cell>
          <cell r="K157">
            <v>0.05</v>
          </cell>
          <cell r="L157">
            <v>0.05</v>
          </cell>
          <cell r="M157">
            <v>0.05</v>
          </cell>
          <cell r="N157">
            <v>0.05</v>
          </cell>
          <cell r="O157">
            <v>0.05</v>
          </cell>
          <cell r="P157">
            <v>0.05</v>
          </cell>
          <cell r="Q157">
            <v>0.05</v>
          </cell>
          <cell r="R157">
            <v>0.05</v>
          </cell>
          <cell r="S157">
            <v>0.05</v>
          </cell>
          <cell r="T157">
            <v>0.05</v>
          </cell>
        </row>
        <row r="158">
          <cell r="A158" t="str">
            <v>2G ethanol feedstocksLow-medfeedstock 5</v>
          </cell>
          <cell r="C158" t="str">
            <v>Annual grasses</v>
          </cell>
          <cell r="D158" t="str">
            <v>feedstock 5</v>
          </cell>
          <cell r="E158">
            <v>0.1</v>
          </cell>
          <cell r="F158">
            <v>0.1</v>
          </cell>
          <cell r="G158">
            <v>0.1</v>
          </cell>
          <cell r="H158">
            <v>0.1</v>
          </cell>
          <cell r="I158">
            <v>0.1</v>
          </cell>
          <cell r="J158">
            <v>0.1</v>
          </cell>
          <cell r="K158">
            <v>0.1</v>
          </cell>
          <cell r="L158">
            <v>0.1</v>
          </cell>
          <cell r="M158">
            <v>0.1</v>
          </cell>
          <cell r="N158">
            <v>0.1</v>
          </cell>
          <cell r="O158">
            <v>0.1</v>
          </cell>
          <cell r="P158">
            <v>0.1</v>
          </cell>
          <cell r="Q158">
            <v>0.1</v>
          </cell>
          <cell r="R158">
            <v>0.1</v>
          </cell>
          <cell r="S158">
            <v>0.1</v>
          </cell>
          <cell r="T158">
            <v>0.1</v>
          </cell>
        </row>
        <row r="159">
          <cell r="A159" t="str">
            <v>2G ethanol feedstocksLow-medfeedstock 6</v>
          </cell>
          <cell r="C159" t="str">
            <v>Perennial grasses</v>
          </cell>
          <cell r="D159" t="str">
            <v>feedstock 6</v>
          </cell>
          <cell r="E159">
            <v>0.25</v>
          </cell>
          <cell r="F159">
            <v>0.25</v>
          </cell>
          <cell r="G159">
            <v>0.25</v>
          </cell>
          <cell r="H159">
            <v>0.25</v>
          </cell>
          <cell r="I159">
            <v>0.25</v>
          </cell>
          <cell r="J159">
            <v>0.25</v>
          </cell>
          <cell r="K159">
            <v>0.25</v>
          </cell>
          <cell r="L159">
            <v>0.25</v>
          </cell>
          <cell r="M159">
            <v>0.25</v>
          </cell>
          <cell r="N159">
            <v>0.25</v>
          </cell>
          <cell r="O159">
            <v>0.25</v>
          </cell>
          <cell r="P159">
            <v>0.25</v>
          </cell>
          <cell r="Q159">
            <v>0.25</v>
          </cell>
          <cell r="R159">
            <v>0.25</v>
          </cell>
          <cell r="S159">
            <v>0.25</v>
          </cell>
          <cell r="T159">
            <v>0.25</v>
          </cell>
        </row>
        <row r="160">
          <cell r="A160" t="str">
            <v>2G ethanol feedstocksMediumfeedstock 1</v>
          </cell>
          <cell r="C160" t="str">
            <v>Corn stover</v>
          </cell>
          <cell r="D160" t="str">
            <v>feedstock 1</v>
          </cell>
          <cell r="E160">
            <v>0.5</v>
          </cell>
          <cell r="F160">
            <v>0.5</v>
          </cell>
          <cell r="G160">
            <v>0.5</v>
          </cell>
          <cell r="H160">
            <v>0.5</v>
          </cell>
          <cell r="I160">
            <v>0.5</v>
          </cell>
          <cell r="J160">
            <v>0.5</v>
          </cell>
          <cell r="K160">
            <v>0.5</v>
          </cell>
          <cell r="L160">
            <v>0.5</v>
          </cell>
          <cell r="M160">
            <v>0.5</v>
          </cell>
          <cell r="N160">
            <v>0.5</v>
          </cell>
          <cell r="O160">
            <v>0.5</v>
          </cell>
          <cell r="P160">
            <v>0.5</v>
          </cell>
          <cell r="Q160">
            <v>0.5</v>
          </cell>
          <cell r="R160">
            <v>0.5</v>
          </cell>
          <cell r="S160">
            <v>0.5</v>
          </cell>
          <cell r="T160">
            <v>0.5</v>
          </cell>
        </row>
        <row r="161">
          <cell r="A161" t="str">
            <v>2G ethanol feedstocksMediumfeedstock 2</v>
          </cell>
          <cell r="C161" t="str">
            <v>Bagasse</v>
          </cell>
          <cell r="D161" t="str">
            <v>feedstock 2</v>
          </cell>
          <cell r="E161">
            <v>0.05</v>
          </cell>
          <cell r="F161">
            <v>0.05</v>
          </cell>
          <cell r="G161">
            <v>0.05</v>
          </cell>
          <cell r="H161">
            <v>0.05</v>
          </cell>
          <cell r="I161">
            <v>0.05</v>
          </cell>
          <cell r="J161">
            <v>0.05</v>
          </cell>
          <cell r="K161">
            <v>0.05</v>
          </cell>
          <cell r="L161">
            <v>0.05</v>
          </cell>
          <cell r="M161">
            <v>0.05</v>
          </cell>
          <cell r="N161">
            <v>0.05</v>
          </cell>
          <cell r="O161">
            <v>0.05</v>
          </cell>
          <cell r="P161">
            <v>0.05</v>
          </cell>
          <cell r="Q161">
            <v>0.05</v>
          </cell>
          <cell r="R161">
            <v>0.05</v>
          </cell>
          <cell r="S161">
            <v>0.05</v>
          </cell>
          <cell r="T161">
            <v>0.05</v>
          </cell>
        </row>
        <row r="162">
          <cell r="A162" t="str">
            <v>2G ethanol feedstocksMediumfeedstock 3</v>
          </cell>
          <cell r="C162" t="str">
            <v>Woody residues</v>
          </cell>
          <cell r="D162" t="str">
            <v>feedstock 3</v>
          </cell>
          <cell r="E162">
            <v>0.05</v>
          </cell>
          <cell r="F162">
            <v>0.05</v>
          </cell>
          <cell r="G162">
            <v>0.05</v>
          </cell>
          <cell r="H162">
            <v>0.05</v>
          </cell>
          <cell r="I162">
            <v>0.05</v>
          </cell>
          <cell r="J162">
            <v>0.05</v>
          </cell>
          <cell r="K162">
            <v>0.05</v>
          </cell>
          <cell r="L162">
            <v>0.05</v>
          </cell>
          <cell r="M162">
            <v>0.05</v>
          </cell>
          <cell r="N162">
            <v>0.05</v>
          </cell>
          <cell r="O162">
            <v>0.05</v>
          </cell>
          <cell r="P162">
            <v>0.05</v>
          </cell>
          <cell r="Q162">
            <v>0.05</v>
          </cell>
          <cell r="R162">
            <v>0.05</v>
          </cell>
          <cell r="S162">
            <v>0.05</v>
          </cell>
          <cell r="T162">
            <v>0.05</v>
          </cell>
        </row>
        <row r="163">
          <cell r="A163" t="str">
            <v>2G ethanol feedstocksMediumfeedstock 4</v>
          </cell>
          <cell r="C163" t="str">
            <v>Short rotation coppice</v>
          </cell>
          <cell r="D163" t="str">
            <v>feedstock 4</v>
          </cell>
          <cell r="E163">
            <v>0.05</v>
          </cell>
          <cell r="F163">
            <v>0.05</v>
          </cell>
          <cell r="G163">
            <v>0.05</v>
          </cell>
          <cell r="H163">
            <v>0.05</v>
          </cell>
          <cell r="I163">
            <v>0.05</v>
          </cell>
          <cell r="J163">
            <v>0.05</v>
          </cell>
          <cell r="K163">
            <v>0.05</v>
          </cell>
          <cell r="L163">
            <v>0.05</v>
          </cell>
          <cell r="M163">
            <v>0.05</v>
          </cell>
          <cell r="N163">
            <v>0.05</v>
          </cell>
          <cell r="O163">
            <v>0.05</v>
          </cell>
          <cell r="P163">
            <v>0.05</v>
          </cell>
          <cell r="Q163">
            <v>0.05</v>
          </cell>
          <cell r="R163">
            <v>0.05</v>
          </cell>
          <cell r="S163">
            <v>0.05</v>
          </cell>
          <cell r="T163">
            <v>0.05</v>
          </cell>
        </row>
        <row r="164">
          <cell r="A164" t="str">
            <v>2G ethanol feedstocksMediumfeedstock 5</v>
          </cell>
          <cell r="C164" t="str">
            <v>Annual grasses</v>
          </cell>
          <cell r="D164" t="str">
            <v>feedstock 5</v>
          </cell>
          <cell r="E164">
            <v>0.1</v>
          </cell>
          <cell r="F164">
            <v>0.1</v>
          </cell>
          <cell r="G164">
            <v>0.1</v>
          </cell>
          <cell r="H164">
            <v>0.1</v>
          </cell>
          <cell r="I164">
            <v>0.1</v>
          </cell>
          <cell r="J164">
            <v>0.1</v>
          </cell>
          <cell r="K164">
            <v>0.1</v>
          </cell>
          <cell r="L164">
            <v>0.1</v>
          </cell>
          <cell r="M164">
            <v>0.1</v>
          </cell>
          <cell r="N164">
            <v>0.1</v>
          </cell>
          <cell r="O164">
            <v>0.1</v>
          </cell>
          <cell r="P164">
            <v>0.1</v>
          </cell>
          <cell r="Q164">
            <v>0.1</v>
          </cell>
          <cell r="R164">
            <v>0.1</v>
          </cell>
          <cell r="S164">
            <v>0.1</v>
          </cell>
          <cell r="T164">
            <v>0.1</v>
          </cell>
        </row>
        <row r="165">
          <cell r="A165" t="str">
            <v>2G ethanol feedstocksMediumfeedstock 6</v>
          </cell>
          <cell r="C165" t="str">
            <v>Perennial grasses</v>
          </cell>
          <cell r="D165" t="str">
            <v>feedstock 6</v>
          </cell>
          <cell r="E165">
            <v>0.25</v>
          </cell>
          <cell r="F165">
            <v>0.25</v>
          </cell>
          <cell r="G165">
            <v>0.25</v>
          </cell>
          <cell r="H165">
            <v>0.25</v>
          </cell>
          <cell r="I165">
            <v>0.25</v>
          </cell>
          <cell r="J165">
            <v>0.25</v>
          </cell>
          <cell r="K165">
            <v>0.25</v>
          </cell>
          <cell r="L165">
            <v>0.25</v>
          </cell>
          <cell r="M165">
            <v>0.25</v>
          </cell>
          <cell r="N165">
            <v>0.25</v>
          </cell>
          <cell r="O165">
            <v>0.25</v>
          </cell>
          <cell r="P165">
            <v>0.25</v>
          </cell>
          <cell r="Q165">
            <v>0.25</v>
          </cell>
          <cell r="R165">
            <v>0.25</v>
          </cell>
          <cell r="S165">
            <v>0.25</v>
          </cell>
          <cell r="T165">
            <v>0.25</v>
          </cell>
        </row>
        <row r="166">
          <cell r="A166" t="str">
            <v>2G ethanol feedstocksMed-highfeedstock 1</v>
          </cell>
          <cell r="C166" t="str">
            <v>Corn stover</v>
          </cell>
          <cell r="D166" t="str">
            <v>feedstock 1</v>
          </cell>
          <cell r="E166">
            <v>0.5</v>
          </cell>
          <cell r="F166">
            <v>0.5</v>
          </cell>
          <cell r="G166">
            <v>0.5</v>
          </cell>
          <cell r="H166">
            <v>0.5</v>
          </cell>
          <cell r="I166">
            <v>0.5</v>
          </cell>
          <cell r="J166">
            <v>0.5</v>
          </cell>
          <cell r="K166">
            <v>0.5</v>
          </cell>
          <cell r="L166">
            <v>0.5</v>
          </cell>
          <cell r="M166">
            <v>0.5</v>
          </cell>
          <cell r="N166">
            <v>0.5</v>
          </cell>
          <cell r="O166">
            <v>0.5</v>
          </cell>
          <cell r="P166">
            <v>0.5</v>
          </cell>
          <cell r="Q166">
            <v>0.5</v>
          </cell>
          <cell r="R166">
            <v>0.5</v>
          </cell>
          <cell r="S166">
            <v>0.5</v>
          </cell>
          <cell r="T166">
            <v>0.5</v>
          </cell>
        </row>
        <row r="167">
          <cell r="A167" t="str">
            <v>2G ethanol feedstocksMed-highfeedstock 2</v>
          </cell>
          <cell r="C167" t="str">
            <v>Bagasse</v>
          </cell>
          <cell r="D167" t="str">
            <v>feedstock 2</v>
          </cell>
          <cell r="E167">
            <v>0.05</v>
          </cell>
          <cell r="F167">
            <v>0.05</v>
          </cell>
          <cell r="G167">
            <v>0.05</v>
          </cell>
          <cell r="H167">
            <v>0.05</v>
          </cell>
          <cell r="I167">
            <v>0.05</v>
          </cell>
          <cell r="J167">
            <v>0.05</v>
          </cell>
          <cell r="K167">
            <v>0.05</v>
          </cell>
          <cell r="L167">
            <v>0.05</v>
          </cell>
          <cell r="M167">
            <v>0.05</v>
          </cell>
          <cell r="N167">
            <v>0.05</v>
          </cell>
          <cell r="O167">
            <v>0.05</v>
          </cell>
          <cell r="P167">
            <v>0.05</v>
          </cell>
          <cell r="Q167">
            <v>0.05</v>
          </cell>
          <cell r="R167">
            <v>0.05</v>
          </cell>
          <cell r="S167">
            <v>0.05</v>
          </cell>
          <cell r="T167">
            <v>0.05</v>
          </cell>
        </row>
        <row r="168">
          <cell r="A168" t="str">
            <v>2G ethanol feedstocksMed-highfeedstock 3</v>
          </cell>
          <cell r="C168" t="str">
            <v>Woody residues</v>
          </cell>
          <cell r="D168" t="str">
            <v>feedstock 3</v>
          </cell>
          <cell r="E168">
            <v>0.05</v>
          </cell>
          <cell r="F168">
            <v>0.05</v>
          </cell>
          <cell r="G168">
            <v>0.05</v>
          </cell>
          <cell r="H168">
            <v>0.05</v>
          </cell>
          <cell r="I168">
            <v>0.05</v>
          </cell>
          <cell r="J168">
            <v>0.05</v>
          </cell>
          <cell r="K168">
            <v>0.05</v>
          </cell>
          <cell r="L168">
            <v>0.05</v>
          </cell>
          <cell r="M168">
            <v>0.05</v>
          </cell>
          <cell r="N168">
            <v>0.05</v>
          </cell>
          <cell r="O168">
            <v>0.05</v>
          </cell>
          <cell r="P168">
            <v>0.05</v>
          </cell>
          <cell r="Q168">
            <v>0.05</v>
          </cell>
          <cell r="R168">
            <v>0.05</v>
          </cell>
          <cell r="S168">
            <v>0.05</v>
          </cell>
          <cell r="T168">
            <v>0.05</v>
          </cell>
        </row>
        <row r="169">
          <cell r="A169" t="str">
            <v>2G ethanol feedstocksMed-highfeedstock 4</v>
          </cell>
          <cell r="C169" t="str">
            <v>Short rotation coppice</v>
          </cell>
          <cell r="D169" t="str">
            <v>feedstock 4</v>
          </cell>
          <cell r="E169">
            <v>0.05</v>
          </cell>
          <cell r="F169">
            <v>0.05</v>
          </cell>
          <cell r="G169">
            <v>0.05</v>
          </cell>
          <cell r="H169">
            <v>0.05</v>
          </cell>
          <cell r="I169">
            <v>0.05</v>
          </cell>
          <cell r="J169">
            <v>0.05</v>
          </cell>
          <cell r="K169">
            <v>0.05</v>
          </cell>
          <cell r="L169">
            <v>0.05</v>
          </cell>
          <cell r="M169">
            <v>0.05</v>
          </cell>
          <cell r="N169">
            <v>0.05</v>
          </cell>
          <cell r="O169">
            <v>0.05</v>
          </cell>
          <cell r="P169">
            <v>0.05</v>
          </cell>
          <cell r="Q169">
            <v>0.05</v>
          </cell>
          <cell r="R169">
            <v>0.05</v>
          </cell>
          <cell r="S169">
            <v>0.05</v>
          </cell>
          <cell r="T169">
            <v>0.05</v>
          </cell>
        </row>
        <row r="170">
          <cell r="A170" t="str">
            <v>2G ethanol feedstocksMed-highfeedstock 5</v>
          </cell>
          <cell r="C170" t="str">
            <v>Annual grasses</v>
          </cell>
          <cell r="D170" t="str">
            <v>feedstock 5</v>
          </cell>
          <cell r="E170">
            <v>0.1</v>
          </cell>
          <cell r="F170">
            <v>0.1</v>
          </cell>
          <cell r="G170">
            <v>0.1</v>
          </cell>
          <cell r="H170">
            <v>0.1</v>
          </cell>
          <cell r="I170">
            <v>0.1</v>
          </cell>
          <cell r="J170">
            <v>0.1</v>
          </cell>
          <cell r="K170">
            <v>0.1</v>
          </cell>
          <cell r="L170">
            <v>0.1</v>
          </cell>
          <cell r="M170">
            <v>0.1</v>
          </cell>
          <cell r="N170">
            <v>0.1</v>
          </cell>
          <cell r="O170">
            <v>0.1</v>
          </cell>
          <cell r="P170">
            <v>0.1</v>
          </cell>
          <cell r="Q170">
            <v>0.1</v>
          </cell>
          <cell r="R170">
            <v>0.1</v>
          </cell>
          <cell r="S170">
            <v>0.1</v>
          </cell>
          <cell r="T170">
            <v>0.1</v>
          </cell>
        </row>
        <row r="171">
          <cell r="A171" t="str">
            <v>2G ethanol feedstocksMed-highfeedstock 6</v>
          </cell>
          <cell r="C171" t="str">
            <v>Perennial grasses</v>
          </cell>
          <cell r="D171" t="str">
            <v>feedstock 6</v>
          </cell>
          <cell r="E171">
            <v>0.25</v>
          </cell>
          <cell r="F171">
            <v>0.25</v>
          </cell>
          <cell r="G171">
            <v>0.25</v>
          </cell>
          <cell r="H171">
            <v>0.25</v>
          </cell>
          <cell r="I171">
            <v>0.25</v>
          </cell>
          <cell r="J171">
            <v>0.25</v>
          </cell>
          <cell r="K171">
            <v>0.25</v>
          </cell>
          <cell r="L171">
            <v>0.25</v>
          </cell>
          <cell r="M171">
            <v>0.25</v>
          </cell>
          <cell r="N171">
            <v>0.25</v>
          </cell>
          <cell r="O171">
            <v>0.25</v>
          </cell>
          <cell r="P171">
            <v>0.25</v>
          </cell>
          <cell r="Q171">
            <v>0.25</v>
          </cell>
          <cell r="R171">
            <v>0.25</v>
          </cell>
          <cell r="S171">
            <v>0.25</v>
          </cell>
          <cell r="T171">
            <v>0.25</v>
          </cell>
        </row>
        <row r="172">
          <cell r="A172" t="str">
            <v>2G ethanol feedstocksHighfeedstock 1</v>
          </cell>
          <cell r="C172" t="str">
            <v>Corn stover</v>
          </cell>
          <cell r="D172" t="str">
            <v>feedstock 1</v>
          </cell>
          <cell r="E172">
            <v>0.5</v>
          </cell>
          <cell r="F172">
            <v>0.49</v>
          </cell>
          <cell r="G172">
            <v>0.48</v>
          </cell>
          <cell r="H172">
            <v>0.47</v>
          </cell>
          <cell r="I172">
            <v>0.45999999999999996</v>
          </cell>
          <cell r="J172">
            <v>0.44999999999999996</v>
          </cell>
          <cell r="K172">
            <v>0.43999999999999995</v>
          </cell>
          <cell r="L172">
            <v>0.43000000000000005</v>
          </cell>
          <cell r="M172">
            <v>0.42000000000000004</v>
          </cell>
          <cell r="N172">
            <v>0.41000000000000003</v>
          </cell>
          <cell r="O172">
            <v>0.4</v>
          </cell>
          <cell r="P172">
            <v>0.39</v>
          </cell>
          <cell r="Q172">
            <v>0.38</v>
          </cell>
          <cell r="R172">
            <v>0.37</v>
          </cell>
          <cell r="S172">
            <v>0.36</v>
          </cell>
          <cell r="T172">
            <v>0.35</v>
          </cell>
        </row>
        <row r="173">
          <cell r="A173" t="str">
            <v>2G ethanol feedstocksHighfeedstock 2</v>
          </cell>
          <cell r="C173" t="str">
            <v>Bagasse</v>
          </cell>
          <cell r="D173" t="str">
            <v>feedstock 2</v>
          </cell>
          <cell r="E173">
            <v>0.05</v>
          </cell>
          <cell r="F173">
            <v>0.06</v>
          </cell>
          <cell r="G173">
            <v>7.0000000000000007E-2</v>
          </cell>
          <cell r="H173">
            <v>0.08</v>
          </cell>
          <cell r="I173">
            <v>0.09</v>
          </cell>
          <cell r="J173">
            <v>0.1</v>
          </cell>
          <cell r="K173">
            <v>0.11</v>
          </cell>
          <cell r="L173">
            <v>0.12</v>
          </cell>
          <cell r="M173">
            <v>0.13</v>
          </cell>
          <cell r="N173">
            <v>0.14000000000000001</v>
          </cell>
          <cell r="O173">
            <v>0.15</v>
          </cell>
          <cell r="P173">
            <v>0.16</v>
          </cell>
          <cell r="Q173">
            <v>0.17</v>
          </cell>
          <cell r="R173">
            <v>0.18</v>
          </cell>
          <cell r="S173">
            <v>0.19</v>
          </cell>
          <cell r="T173">
            <v>0.2</v>
          </cell>
        </row>
        <row r="174">
          <cell r="A174" t="str">
            <v>2G ethanol feedstocksHighfeedstock 3</v>
          </cell>
          <cell r="C174" t="str">
            <v>Woody residues</v>
          </cell>
          <cell r="D174" t="str">
            <v>feedstock 3</v>
          </cell>
          <cell r="E174">
            <v>0.05</v>
          </cell>
          <cell r="F174">
            <v>0.05</v>
          </cell>
          <cell r="G174">
            <v>0.05</v>
          </cell>
          <cell r="H174">
            <v>0.05</v>
          </cell>
          <cell r="I174">
            <v>0.05</v>
          </cell>
          <cell r="J174">
            <v>0.05</v>
          </cell>
          <cell r="K174">
            <v>0.05</v>
          </cell>
          <cell r="L174">
            <v>0.05</v>
          </cell>
          <cell r="M174">
            <v>0.05</v>
          </cell>
          <cell r="N174">
            <v>0.05</v>
          </cell>
          <cell r="O174">
            <v>0.05</v>
          </cell>
          <cell r="P174">
            <v>0.05</v>
          </cell>
          <cell r="Q174">
            <v>0.05</v>
          </cell>
          <cell r="R174">
            <v>0.05</v>
          </cell>
          <cell r="S174">
            <v>0.05</v>
          </cell>
          <cell r="T174">
            <v>0.05</v>
          </cell>
        </row>
        <row r="175">
          <cell r="A175" t="str">
            <v>2G ethanol feedstocksHighfeedstock 4</v>
          </cell>
          <cell r="C175" t="str">
            <v>Short rotation coppice</v>
          </cell>
          <cell r="D175" t="str">
            <v>feedstock 4</v>
          </cell>
          <cell r="E175">
            <v>0.05</v>
          </cell>
          <cell r="F175">
            <v>0.05</v>
          </cell>
          <cell r="G175">
            <v>0.05</v>
          </cell>
          <cell r="H175">
            <v>0.05</v>
          </cell>
          <cell r="I175">
            <v>0.05</v>
          </cell>
          <cell r="J175">
            <v>0.05</v>
          </cell>
          <cell r="K175">
            <v>0.05</v>
          </cell>
          <cell r="L175">
            <v>0.05</v>
          </cell>
          <cell r="M175">
            <v>0.05</v>
          </cell>
          <cell r="N175">
            <v>0.05</v>
          </cell>
          <cell r="O175">
            <v>0.05</v>
          </cell>
          <cell r="P175">
            <v>0.05</v>
          </cell>
          <cell r="Q175">
            <v>0.05</v>
          </cell>
          <cell r="R175">
            <v>0.05</v>
          </cell>
          <cell r="S175">
            <v>0.05</v>
          </cell>
          <cell r="T175">
            <v>0.05</v>
          </cell>
        </row>
        <row r="176">
          <cell r="A176" t="str">
            <v>2G ethanol feedstocksHighfeedstock 5</v>
          </cell>
          <cell r="C176" t="str">
            <v>Annual grasses</v>
          </cell>
          <cell r="D176" t="str">
            <v>feedstock 5</v>
          </cell>
          <cell r="E176">
            <v>0.1</v>
          </cell>
          <cell r="F176">
            <v>0.1</v>
          </cell>
          <cell r="G176">
            <v>0.1</v>
          </cell>
          <cell r="H176">
            <v>0.1</v>
          </cell>
          <cell r="I176">
            <v>0.1</v>
          </cell>
          <cell r="J176">
            <v>0.1</v>
          </cell>
          <cell r="K176">
            <v>0.1</v>
          </cell>
          <cell r="L176">
            <v>0.1</v>
          </cell>
          <cell r="M176">
            <v>0.1</v>
          </cell>
          <cell r="N176">
            <v>0.1</v>
          </cell>
          <cell r="O176">
            <v>0.1</v>
          </cell>
          <cell r="P176">
            <v>0.1</v>
          </cell>
          <cell r="Q176">
            <v>0.1</v>
          </cell>
          <cell r="R176">
            <v>0.1</v>
          </cell>
          <cell r="S176">
            <v>0.1</v>
          </cell>
          <cell r="T176">
            <v>0.1</v>
          </cell>
        </row>
        <row r="177">
          <cell r="A177" t="str">
            <v>2G ethanol feedstocksHighfeedstock 6</v>
          </cell>
          <cell r="C177" t="str">
            <v>Perennial grasses</v>
          </cell>
          <cell r="D177" t="str">
            <v>feedstock 6</v>
          </cell>
          <cell r="E177">
            <v>0.25</v>
          </cell>
          <cell r="F177">
            <v>0.25</v>
          </cell>
          <cell r="G177">
            <v>0.25</v>
          </cell>
          <cell r="H177">
            <v>0.25</v>
          </cell>
          <cell r="I177">
            <v>0.25</v>
          </cell>
          <cell r="J177">
            <v>0.25</v>
          </cell>
          <cell r="K177">
            <v>0.25</v>
          </cell>
          <cell r="L177">
            <v>0.25</v>
          </cell>
          <cell r="M177">
            <v>0.25</v>
          </cell>
          <cell r="N177">
            <v>0.25</v>
          </cell>
          <cell r="O177">
            <v>0.25</v>
          </cell>
          <cell r="P177">
            <v>0.25</v>
          </cell>
          <cell r="Q177">
            <v>0.25</v>
          </cell>
          <cell r="R177">
            <v>0.25</v>
          </cell>
          <cell r="S177">
            <v>0.25</v>
          </cell>
          <cell r="T177">
            <v>0.25</v>
          </cell>
        </row>
        <row r="180">
          <cell r="C180" t="str">
            <v>1G biodiesel feedstocks</v>
          </cell>
          <cell r="D180" t="str">
            <v>%</v>
          </cell>
          <cell r="E180" t="str">
            <v>Make sure each scenario sums up to 100%</v>
          </cell>
        </row>
        <row r="181">
          <cell r="C181" t="str">
            <v>Feedstock type</v>
          </cell>
          <cell r="E181">
            <v>2015</v>
          </cell>
          <cell r="F181">
            <v>2016</v>
          </cell>
          <cell r="G181">
            <v>2017</v>
          </cell>
          <cell r="H181">
            <v>2018</v>
          </cell>
          <cell r="I181">
            <v>2019</v>
          </cell>
          <cell r="J181">
            <v>2020</v>
          </cell>
          <cell r="K181">
            <v>2021</v>
          </cell>
          <cell r="L181">
            <v>2022</v>
          </cell>
          <cell r="M181">
            <v>2023</v>
          </cell>
          <cell r="N181">
            <v>2024</v>
          </cell>
          <cell r="O181">
            <v>2025</v>
          </cell>
          <cell r="P181">
            <v>2026</v>
          </cell>
          <cell r="Q181">
            <v>2027</v>
          </cell>
          <cell r="R181">
            <v>2028</v>
          </cell>
          <cell r="S181">
            <v>2029</v>
          </cell>
          <cell r="T181">
            <v>2030</v>
          </cell>
        </row>
        <row r="182">
          <cell r="A182" t="str">
            <v>1G biodiesel feedstocksLowfeedstock 1</v>
          </cell>
          <cell r="C182" t="str">
            <v>Soy</v>
          </cell>
          <cell r="D182" t="str">
            <v>feedstock 1</v>
          </cell>
          <cell r="E182">
            <v>0.15278542550155752</v>
          </cell>
          <cell r="F182">
            <v>0.16926639713478697</v>
          </cell>
          <cell r="G182">
            <v>0.18574736876801645</v>
          </cell>
          <cell r="H182">
            <v>0.20222834040124582</v>
          </cell>
          <cell r="I182">
            <v>0.2187093120344753</v>
          </cell>
          <cell r="J182">
            <v>0.23519028366770478</v>
          </cell>
          <cell r="K182">
            <v>0.25167125530093426</v>
          </cell>
          <cell r="L182">
            <v>0.26815222693416363</v>
          </cell>
          <cell r="M182">
            <v>0.28463319856739322</v>
          </cell>
          <cell r="N182">
            <v>0.3011141702006227</v>
          </cell>
          <cell r="O182">
            <v>0.31759514183385218</v>
          </cell>
          <cell r="P182">
            <v>0.33407611346708166</v>
          </cell>
          <cell r="Q182">
            <v>0.35055708510031114</v>
          </cell>
          <cell r="R182">
            <v>0.36703805673354062</v>
          </cell>
          <cell r="S182">
            <v>0.3835190283667701</v>
          </cell>
          <cell r="T182">
            <v>0.39999999999999991</v>
          </cell>
        </row>
        <row r="183">
          <cell r="A183" t="str">
            <v>1G biodiesel feedstocksLowfeedstock 2</v>
          </cell>
          <cell r="C183" t="str">
            <v>Canola</v>
          </cell>
          <cell r="D183" t="str">
            <v>feedstock 2</v>
          </cell>
          <cell r="E183">
            <v>0.30689488928847636</v>
          </cell>
          <cell r="F183">
            <v>0.29976856333591129</v>
          </cell>
          <cell r="G183">
            <v>0.29264223738334622</v>
          </cell>
          <cell r="H183">
            <v>0.28551591143078114</v>
          </cell>
          <cell r="I183">
            <v>0.27838958547821607</v>
          </cell>
          <cell r="J183">
            <v>0.271263259525651</v>
          </cell>
          <cell r="K183">
            <v>0.26413693357308593</v>
          </cell>
          <cell r="L183">
            <v>0.25701060762052086</v>
          </cell>
          <cell r="M183">
            <v>0.24988428166795576</v>
          </cell>
          <cell r="N183">
            <v>0.24275795571539066</v>
          </cell>
          <cell r="O183">
            <v>0.23563162976282556</v>
          </cell>
          <cell r="P183">
            <v>0.22850530381026046</v>
          </cell>
          <cell r="Q183">
            <v>0.22137897785769536</v>
          </cell>
          <cell r="R183">
            <v>0.21425265190513026</v>
          </cell>
          <cell r="S183">
            <v>0.20712632595256517</v>
          </cell>
          <cell r="T183">
            <v>0.2</v>
          </cell>
        </row>
        <row r="184">
          <cell r="A184" t="str">
            <v>1G biodiesel feedstocksLowfeedstock 3</v>
          </cell>
          <cell r="C184" t="str">
            <v xml:space="preserve">UCO </v>
          </cell>
          <cell r="D184" t="str">
            <v>feedstock 3</v>
          </cell>
          <cell r="E184">
            <v>0.31733060877410707</v>
          </cell>
          <cell r="F184">
            <v>0.30284190152249996</v>
          </cell>
          <cell r="G184">
            <v>0.28835319427089284</v>
          </cell>
          <cell r="H184">
            <v>0.27386448701928573</v>
          </cell>
          <cell r="I184">
            <v>0.25937577976767862</v>
          </cell>
          <cell r="J184">
            <v>0.24488707251607147</v>
          </cell>
          <cell r="K184">
            <v>0.23039836526446433</v>
          </cell>
          <cell r="L184">
            <v>0.21590965801285719</v>
          </cell>
          <cell r="M184">
            <v>0.20142095076125005</v>
          </cell>
          <cell r="N184">
            <v>0.18693224350964291</v>
          </cell>
          <cell r="O184">
            <v>0.17244353625803577</v>
          </cell>
          <cell r="P184">
            <v>0.15795482900642863</v>
          </cell>
          <cell r="Q184">
            <v>0.14346612175482149</v>
          </cell>
          <cell r="R184">
            <v>0.12897741450321434</v>
          </cell>
          <cell r="S184">
            <v>0.1144887072516072</v>
          </cell>
          <cell r="T184">
            <v>0.1</v>
          </cell>
        </row>
        <row r="185">
          <cell r="A185" t="str">
            <v>1G biodiesel feedstocksLowfeedstock 4</v>
          </cell>
          <cell r="C185" t="str">
            <v>Tallow</v>
          </cell>
          <cell r="D185" t="str">
            <v>feedstock 4</v>
          </cell>
          <cell r="E185">
            <v>4.2882514699203657E-2</v>
          </cell>
          <cell r="F185">
            <v>4.6690347052590078E-2</v>
          </cell>
          <cell r="G185">
            <v>5.04981794059765E-2</v>
          </cell>
          <cell r="H185">
            <v>5.4306011759362921E-2</v>
          </cell>
          <cell r="I185">
            <v>5.8113844112749342E-2</v>
          </cell>
          <cell r="J185">
            <v>6.1921676466135764E-2</v>
          </cell>
          <cell r="K185">
            <v>6.5729508819522192E-2</v>
          </cell>
          <cell r="L185">
            <v>6.953734117290862E-2</v>
          </cell>
          <cell r="M185">
            <v>7.3345173526295049E-2</v>
          </cell>
          <cell r="N185">
            <v>7.7153005879681477E-2</v>
          </cell>
          <cell r="O185">
            <v>8.0960838233067906E-2</v>
          </cell>
          <cell r="P185">
            <v>8.4768670586454334E-2</v>
          </cell>
          <cell r="Q185">
            <v>8.8576502939840762E-2</v>
          </cell>
          <cell r="R185">
            <v>9.2384335293227191E-2</v>
          </cell>
          <cell r="S185">
            <v>9.6192167646613619E-2</v>
          </cell>
          <cell r="T185">
            <v>0.1</v>
          </cell>
        </row>
        <row r="186">
          <cell r="A186" t="str">
            <v>1G biodiesel feedstocksLowfeedstock 5</v>
          </cell>
          <cell r="C186" t="str">
            <v>Corn oil</v>
          </cell>
          <cell r="D186" t="str">
            <v>feedstock 5</v>
          </cell>
          <cell r="E186">
            <v>0.18010656173665537</v>
          </cell>
          <cell r="F186">
            <v>0.18143279095421169</v>
          </cell>
          <cell r="G186">
            <v>0.18275902017176801</v>
          </cell>
          <cell r="H186">
            <v>0.18408524938932433</v>
          </cell>
          <cell r="I186">
            <v>0.18541147860688065</v>
          </cell>
          <cell r="J186">
            <v>0.18673770782443697</v>
          </cell>
          <cell r="K186">
            <v>0.18806393704199328</v>
          </cell>
          <cell r="L186">
            <v>0.1893901662595496</v>
          </cell>
          <cell r="M186">
            <v>0.19071639547710592</v>
          </cell>
          <cell r="N186">
            <v>0.19204262469466224</v>
          </cell>
          <cell r="O186">
            <v>0.19336885391221856</v>
          </cell>
          <cell r="P186">
            <v>0.19469508312977488</v>
          </cell>
          <cell r="Q186">
            <v>0.19602131234733119</v>
          </cell>
          <cell r="R186">
            <v>0.19734754156488751</v>
          </cell>
          <cell r="S186">
            <v>0.19867377078244383</v>
          </cell>
          <cell r="T186">
            <v>0.2</v>
          </cell>
        </row>
        <row r="187">
          <cell r="A187" t="str">
            <v>1G biodiesel feedstocksLowfeedstock 6</v>
          </cell>
          <cell r="C187" t="str">
            <v>Camelina</v>
          </cell>
          <cell r="D187" t="str">
            <v>feedstock 6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</row>
        <row r="188">
          <cell r="A188" t="str">
            <v>1G biodiesel feedstocksLow-medfeedstock 1</v>
          </cell>
          <cell r="C188" t="str">
            <v>Soy</v>
          </cell>
          <cell r="D188" t="str">
            <v>feedstock 1</v>
          </cell>
          <cell r="E188">
            <v>0.15278542550155752</v>
          </cell>
          <cell r="F188">
            <v>0.16259973046812026</v>
          </cell>
          <cell r="G188">
            <v>0.17241403543468314</v>
          </cell>
          <cell r="H188">
            <v>0.18222834040124603</v>
          </cell>
          <cell r="I188">
            <v>0.1920426453678088</v>
          </cell>
          <cell r="J188">
            <v>0.20185695033437145</v>
          </cell>
          <cell r="K188">
            <v>0.21167125530093434</v>
          </cell>
          <cell r="L188">
            <v>0.22148556026749722</v>
          </cell>
          <cell r="M188">
            <v>0.23129986523405999</v>
          </cell>
          <cell r="N188">
            <v>0.24111417020062287</v>
          </cell>
          <cell r="O188">
            <v>0.25092847516718575</v>
          </cell>
          <cell r="P188">
            <v>0.26074278013374852</v>
          </cell>
          <cell r="Q188">
            <v>0.27055708510031129</v>
          </cell>
          <cell r="R188">
            <v>0.28037139006687417</v>
          </cell>
          <cell r="S188">
            <v>0.29018569503343705</v>
          </cell>
          <cell r="T188">
            <v>0.30000000000000004</v>
          </cell>
        </row>
        <row r="189">
          <cell r="A189" t="str">
            <v>1G biodiesel feedstocksLow-medfeedstock 2</v>
          </cell>
          <cell r="C189" t="str">
            <v>Canola</v>
          </cell>
          <cell r="D189" t="str">
            <v>feedstock 2</v>
          </cell>
          <cell r="E189">
            <v>0.30689488928847636</v>
          </cell>
          <cell r="F189">
            <v>0.29976856333591129</v>
          </cell>
          <cell r="G189">
            <v>0.29264223738334622</v>
          </cell>
          <cell r="H189">
            <v>0.28551591143078114</v>
          </cell>
          <cell r="I189">
            <v>0.27838958547821607</v>
          </cell>
          <cell r="J189">
            <v>0.271263259525651</v>
          </cell>
          <cell r="K189">
            <v>0.26413693357308593</v>
          </cell>
          <cell r="L189">
            <v>0.25701060762052086</v>
          </cell>
          <cell r="M189">
            <v>0.24988428166795576</v>
          </cell>
          <cell r="N189">
            <v>0.24275795571539066</v>
          </cell>
          <cell r="O189">
            <v>0.23563162976282556</v>
          </cell>
          <cell r="P189">
            <v>0.22850530381026046</v>
          </cell>
          <cell r="Q189">
            <v>0.22137897785769536</v>
          </cell>
          <cell r="R189">
            <v>0.21425265190513026</v>
          </cell>
          <cell r="S189">
            <v>0.20712632595256517</v>
          </cell>
          <cell r="T189">
            <v>0.2</v>
          </cell>
        </row>
        <row r="190">
          <cell r="A190" t="str">
            <v>1G biodiesel feedstocksLow-medfeedstock 3</v>
          </cell>
          <cell r="C190" t="str">
            <v xml:space="preserve">UCO </v>
          </cell>
          <cell r="D190" t="str">
            <v>feedstock 3</v>
          </cell>
          <cell r="E190">
            <v>0.31733060877410707</v>
          </cell>
          <cell r="F190">
            <v>0.30617523485583326</v>
          </cell>
          <cell r="G190">
            <v>0.29501986093755944</v>
          </cell>
          <cell r="H190">
            <v>0.28386448701928563</v>
          </cell>
          <cell r="I190">
            <v>0.27270911310101181</v>
          </cell>
          <cell r="J190">
            <v>0.261553739182738</v>
          </cell>
          <cell r="K190">
            <v>0.25039836526446418</v>
          </cell>
          <cell r="L190">
            <v>0.23924299134619037</v>
          </cell>
          <cell r="M190">
            <v>0.22808761742791656</v>
          </cell>
          <cell r="N190">
            <v>0.21693224350964274</v>
          </cell>
          <cell r="O190">
            <v>0.20577686959136893</v>
          </cell>
          <cell r="P190">
            <v>0.19462149567309511</v>
          </cell>
          <cell r="Q190">
            <v>0.1834661217548213</v>
          </cell>
          <cell r="R190">
            <v>0.17231074783654748</v>
          </cell>
          <cell r="S190">
            <v>0.16115537391827367</v>
          </cell>
          <cell r="T190">
            <v>0.15</v>
          </cell>
        </row>
        <row r="191">
          <cell r="A191" t="str">
            <v>1G biodiesel feedstocksLow-medfeedstock 4</v>
          </cell>
          <cell r="C191" t="str">
            <v>Tallow</v>
          </cell>
          <cell r="D191" t="str">
            <v>feedstock 4</v>
          </cell>
          <cell r="E191">
            <v>4.2882514699203657E-2</v>
          </cell>
          <cell r="F191">
            <v>5.0023680385923412E-2</v>
          </cell>
          <cell r="G191">
            <v>5.7164846072643168E-2</v>
          </cell>
          <cell r="H191">
            <v>6.430601175936293E-2</v>
          </cell>
          <cell r="I191">
            <v>7.1447177446082685E-2</v>
          </cell>
          <cell r="J191">
            <v>7.8588343132802441E-2</v>
          </cell>
          <cell r="K191">
            <v>8.5729508819522196E-2</v>
          </cell>
          <cell r="L191">
            <v>9.2870674506241951E-2</v>
          </cell>
          <cell r="M191">
            <v>0.10001184019296171</v>
          </cell>
          <cell r="N191">
            <v>0.10715300587968146</v>
          </cell>
          <cell r="O191">
            <v>0.11429417156640122</v>
          </cell>
          <cell r="P191">
            <v>0.12143533725312097</v>
          </cell>
          <cell r="Q191">
            <v>0.12857650293984074</v>
          </cell>
          <cell r="R191">
            <v>0.13571766862656051</v>
          </cell>
          <cell r="S191">
            <v>0.14285883431328028</v>
          </cell>
          <cell r="T191">
            <v>0.15</v>
          </cell>
        </row>
        <row r="192">
          <cell r="A192" t="str">
            <v>1G biodiesel feedstocksLow-medfeedstock 5</v>
          </cell>
          <cell r="C192" t="str">
            <v>Corn oil</v>
          </cell>
          <cell r="D192" t="str">
            <v>feedstock 5</v>
          </cell>
          <cell r="E192">
            <v>0.18010656173665537</v>
          </cell>
          <cell r="F192">
            <v>0.18143279095421169</v>
          </cell>
          <cell r="G192">
            <v>0.18275902017176801</v>
          </cell>
          <cell r="H192">
            <v>0.18408524938932433</v>
          </cell>
          <cell r="I192">
            <v>0.18541147860688065</v>
          </cell>
          <cell r="J192">
            <v>0.18673770782443697</v>
          </cell>
          <cell r="K192">
            <v>0.18806393704199328</v>
          </cell>
          <cell r="L192">
            <v>0.1893901662595496</v>
          </cell>
          <cell r="M192">
            <v>0.19071639547710592</v>
          </cell>
          <cell r="N192">
            <v>0.19204262469466224</v>
          </cell>
          <cell r="O192">
            <v>0.19336885391221856</v>
          </cell>
          <cell r="P192">
            <v>0.19469508312977488</v>
          </cell>
          <cell r="Q192">
            <v>0.19602131234733119</v>
          </cell>
          <cell r="R192">
            <v>0.19734754156488751</v>
          </cell>
          <cell r="S192">
            <v>0.19867377078244383</v>
          </cell>
          <cell r="T192">
            <v>0.2</v>
          </cell>
        </row>
        <row r="193">
          <cell r="A193" t="str">
            <v>1G biodiesel feedstocksLow-medfeedstock 6</v>
          </cell>
          <cell r="C193" t="str">
            <v>Camelina</v>
          </cell>
          <cell r="D193" t="str">
            <v>feedstock 6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</row>
        <row r="194">
          <cell r="A194" t="str">
            <v>1G biodiesel feedstocksMediumfeedstock 1</v>
          </cell>
          <cell r="C194" t="str">
            <v>Soy</v>
          </cell>
          <cell r="D194" t="str">
            <v>feedstock 1</v>
          </cell>
          <cell r="E194">
            <v>0.15278542550155752</v>
          </cell>
          <cell r="F194">
            <v>0.14834255950472441</v>
          </cell>
          <cell r="G194">
            <v>0.14389969350789145</v>
          </cell>
          <cell r="H194">
            <v>0.13945682751105837</v>
          </cell>
          <cell r="I194">
            <v>0.1350139615142254</v>
          </cell>
          <cell r="J194">
            <v>0.13057109551739221</v>
          </cell>
          <cell r="K194">
            <v>0.1365304142333873</v>
          </cell>
          <cell r="L194">
            <v>0.1424897329493825</v>
          </cell>
          <cell r="M194">
            <v>0.14844905166537758</v>
          </cell>
          <cell r="N194">
            <v>0.13724204428460929</v>
          </cell>
          <cell r="O194">
            <v>0.1260350369038411</v>
          </cell>
          <cell r="P194">
            <v>0.11482802952307281</v>
          </cell>
          <cell r="Q194">
            <v>0.10362102214230462</v>
          </cell>
          <cell r="R194">
            <v>9.2414014761536323E-2</v>
          </cell>
          <cell r="S194">
            <v>8.1207007380768026E-2</v>
          </cell>
          <cell r="T194">
            <v>6.9999999999999951E-2</v>
          </cell>
        </row>
        <row r="195">
          <cell r="A195" t="str">
            <v>1G biodiesel feedstocksMediumfeedstock 2</v>
          </cell>
          <cell r="C195" t="str">
            <v>Canola</v>
          </cell>
          <cell r="D195" t="str">
            <v>feedstock 2</v>
          </cell>
          <cell r="E195">
            <v>0.30689488928847636</v>
          </cell>
          <cell r="F195">
            <v>0.30643523000257794</v>
          </cell>
          <cell r="G195">
            <v>0.30597557071667952</v>
          </cell>
          <cell r="H195">
            <v>0.30551591143078111</v>
          </cell>
          <cell r="I195">
            <v>0.30505625214488269</v>
          </cell>
          <cell r="J195">
            <v>0.30459659285898427</v>
          </cell>
          <cell r="K195">
            <v>0.30413693357308585</v>
          </cell>
          <cell r="L195">
            <v>0.30367727428718744</v>
          </cell>
          <cell r="M195">
            <v>0.30321761500128902</v>
          </cell>
          <cell r="N195">
            <v>0.3027579557153906</v>
          </cell>
          <cell r="O195">
            <v>0.30229829642949219</v>
          </cell>
          <cell r="P195">
            <v>0.30183863714359377</v>
          </cell>
          <cell r="Q195">
            <v>0.30137897785769535</v>
          </cell>
          <cell r="R195">
            <v>0.30091931857179693</v>
          </cell>
          <cell r="S195">
            <v>0.30045965928589852</v>
          </cell>
          <cell r="T195">
            <v>0.3</v>
          </cell>
        </row>
        <row r="196">
          <cell r="A196" t="str">
            <v>1G biodiesel feedstocksMediumfeedstock 3</v>
          </cell>
          <cell r="C196" t="str">
            <v xml:space="preserve">UCO </v>
          </cell>
          <cell r="D196" t="str">
            <v>feedstock 3</v>
          </cell>
          <cell r="E196">
            <v>0.31733060877410707</v>
          </cell>
          <cell r="F196">
            <v>0.30016428267734369</v>
          </cell>
          <cell r="G196">
            <v>0.2829979565805803</v>
          </cell>
          <cell r="H196">
            <v>0.26583163048381692</v>
          </cell>
          <cell r="I196">
            <v>0.24866530438705353</v>
          </cell>
          <cell r="J196">
            <v>0.23149897829029015</v>
          </cell>
          <cell r="K196">
            <v>0.21433265219352676</v>
          </cell>
          <cell r="L196">
            <v>0.19716632609676338</v>
          </cell>
          <cell r="M196">
            <v>0.18</v>
          </cell>
          <cell r="N196">
            <v>0.18</v>
          </cell>
          <cell r="O196">
            <v>0.18</v>
          </cell>
          <cell r="P196">
            <v>0.18</v>
          </cell>
          <cell r="Q196">
            <v>0.18</v>
          </cell>
          <cell r="R196">
            <v>0.18</v>
          </cell>
          <cell r="S196">
            <v>0.18</v>
          </cell>
          <cell r="T196">
            <v>0.18</v>
          </cell>
        </row>
        <row r="197">
          <cell r="A197" t="str">
            <v>1G biodiesel feedstocksMediumfeedstock 4</v>
          </cell>
          <cell r="C197" t="str">
            <v>Tallow</v>
          </cell>
          <cell r="D197" t="str">
            <v>feedstock 4</v>
          </cell>
          <cell r="E197">
            <v>4.2882514699203657E-2</v>
          </cell>
          <cell r="F197">
            <v>6.430601175936293E-2</v>
          </cell>
          <cell r="G197">
            <v>8.5729508819522196E-2</v>
          </cell>
          <cell r="H197">
            <v>0.10715300587968146</v>
          </cell>
          <cell r="I197">
            <v>0.12857650293984074</v>
          </cell>
          <cell r="J197">
            <v>0.15</v>
          </cell>
          <cell r="K197">
            <v>0.15</v>
          </cell>
          <cell r="L197">
            <v>0.15</v>
          </cell>
          <cell r="M197">
            <v>0.15</v>
          </cell>
          <cell r="N197">
            <v>0.15</v>
          </cell>
          <cell r="O197">
            <v>0.15</v>
          </cell>
          <cell r="P197">
            <v>0.15</v>
          </cell>
          <cell r="Q197">
            <v>0.15</v>
          </cell>
          <cell r="R197">
            <v>0.15</v>
          </cell>
          <cell r="S197">
            <v>0.15</v>
          </cell>
          <cell r="T197">
            <v>0.15</v>
          </cell>
        </row>
        <row r="198">
          <cell r="A198" t="str">
            <v>1G biodiesel feedstocksMediumfeedstock 5</v>
          </cell>
          <cell r="C198" t="str">
            <v>Corn oil</v>
          </cell>
          <cell r="D198" t="str">
            <v>feedstock 5</v>
          </cell>
          <cell r="E198">
            <v>0.18010656173665537</v>
          </cell>
          <cell r="F198">
            <v>0.17408524938932429</v>
          </cell>
          <cell r="G198">
            <v>0.16806393704199321</v>
          </cell>
          <cell r="H198">
            <v>0.16204262469466213</v>
          </cell>
          <cell r="I198">
            <v>0.15602131234733105</v>
          </cell>
          <cell r="J198">
            <v>0.15</v>
          </cell>
          <cell r="K198">
            <v>0.155</v>
          </cell>
          <cell r="L198">
            <v>0.16</v>
          </cell>
          <cell r="M198">
            <v>0.16500000000000001</v>
          </cell>
          <cell r="N198">
            <v>0.17</v>
          </cell>
          <cell r="O198">
            <v>0.17500000000000002</v>
          </cell>
          <cell r="P198">
            <v>0.18000000000000002</v>
          </cell>
          <cell r="Q198">
            <v>0.18500000000000003</v>
          </cell>
          <cell r="R198">
            <v>0.19000000000000003</v>
          </cell>
          <cell r="S198">
            <v>0.19500000000000003</v>
          </cell>
          <cell r="T198">
            <v>0.2</v>
          </cell>
        </row>
        <row r="199">
          <cell r="A199" t="str">
            <v>1G biodiesel feedstocksMediumfeedstock 6</v>
          </cell>
          <cell r="C199" t="str">
            <v>Camelina</v>
          </cell>
          <cell r="D199" t="str">
            <v>feedstock 6</v>
          </cell>
          <cell r="E199">
            <v>0</v>
          </cell>
          <cell r="F199">
            <v>6.6666666666666671E-3</v>
          </cell>
          <cell r="G199">
            <v>1.3333333333333334E-2</v>
          </cell>
          <cell r="H199">
            <v>0.02</v>
          </cell>
          <cell r="I199">
            <v>2.6666666666666668E-2</v>
          </cell>
          <cell r="J199">
            <v>3.3333333333333333E-2</v>
          </cell>
          <cell r="K199">
            <v>0.04</v>
          </cell>
          <cell r="L199">
            <v>4.6666666666666669E-2</v>
          </cell>
          <cell r="M199">
            <v>5.3333333333333337E-2</v>
          </cell>
          <cell r="N199">
            <v>6.0000000000000005E-2</v>
          </cell>
          <cell r="O199">
            <v>6.6666666666666666E-2</v>
          </cell>
          <cell r="P199">
            <v>7.3333333333333334E-2</v>
          </cell>
          <cell r="Q199">
            <v>0.08</v>
          </cell>
          <cell r="R199">
            <v>8.666666666666667E-2</v>
          </cell>
          <cell r="S199">
            <v>9.3333333333333338E-2</v>
          </cell>
          <cell r="T199">
            <v>0.1</v>
          </cell>
        </row>
        <row r="200">
          <cell r="A200" t="str">
            <v>1G biodiesel feedstocksMed-highfeedstock 1</v>
          </cell>
          <cell r="C200" t="str">
            <v>Soy</v>
          </cell>
          <cell r="D200" t="str">
            <v>feedstock 1</v>
          </cell>
          <cell r="E200">
            <v>0.15278542550155752</v>
          </cell>
          <cell r="F200">
            <v>0.14117623340796115</v>
          </cell>
          <cell r="G200">
            <v>0.12956704131436469</v>
          </cell>
          <cell r="H200">
            <v>0.11795784922076835</v>
          </cell>
          <cell r="I200">
            <v>0.1063486571271719</v>
          </cell>
          <cell r="J200">
            <v>9.4739465033575332E-2</v>
          </cell>
          <cell r="K200">
            <v>9.5265518530217808E-2</v>
          </cell>
          <cell r="L200">
            <v>9.5791572026860283E-2</v>
          </cell>
          <cell r="M200">
            <v>9.631762552350287E-2</v>
          </cell>
          <cell r="N200">
            <v>9.6843679020145346E-2</v>
          </cell>
          <cell r="O200">
            <v>9.7369732516787821E-2</v>
          </cell>
          <cell r="P200">
            <v>9.7895786013430297E-2</v>
          </cell>
          <cell r="Q200">
            <v>9.8421839510072773E-2</v>
          </cell>
          <cell r="R200">
            <v>9.8947893006715026E-2</v>
          </cell>
          <cell r="S200">
            <v>9.9473946503357502E-2</v>
          </cell>
          <cell r="T200">
            <v>9.9999999999999978E-2</v>
          </cell>
        </row>
        <row r="201">
          <cell r="A201" t="str">
            <v>1G biodiesel feedstocksMed-highfeedstock 2</v>
          </cell>
          <cell r="C201" t="str">
            <v>Canola</v>
          </cell>
          <cell r="D201" t="str">
            <v>feedstock 2</v>
          </cell>
          <cell r="E201">
            <v>0.30689488928847636</v>
          </cell>
          <cell r="F201">
            <v>0.29310189666924458</v>
          </cell>
          <cell r="G201">
            <v>0.2793089040500128</v>
          </cell>
          <cell r="H201">
            <v>0.26551591143078102</v>
          </cell>
          <cell r="I201">
            <v>0.25172291881154923</v>
          </cell>
          <cell r="J201">
            <v>0.23792992619231748</v>
          </cell>
          <cell r="K201">
            <v>0.22413693357308573</v>
          </cell>
          <cell r="L201">
            <v>0.21034394095385398</v>
          </cell>
          <cell r="M201">
            <v>0.19655094833462222</v>
          </cell>
          <cell r="N201">
            <v>0.18275795571539047</v>
          </cell>
          <cell r="O201">
            <v>0.16896496309615872</v>
          </cell>
          <cell r="P201">
            <v>0.15517197047692696</v>
          </cell>
          <cell r="Q201">
            <v>0.14137897785769521</v>
          </cell>
          <cell r="R201">
            <v>0.12758598523846346</v>
          </cell>
          <cell r="S201">
            <v>0.1137929926192317</v>
          </cell>
          <cell r="T201">
            <v>0.1</v>
          </cell>
        </row>
        <row r="202">
          <cell r="A202" t="str">
            <v>1G biodiesel feedstocksMed-highfeedstock 3</v>
          </cell>
          <cell r="C202" t="str">
            <v xml:space="preserve">UCO </v>
          </cell>
          <cell r="D202" t="str">
            <v>feedstock 3</v>
          </cell>
          <cell r="E202">
            <v>0.31733060877410707</v>
          </cell>
          <cell r="F202">
            <v>0.30733060877410706</v>
          </cell>
          <cell r="G202">
            <v>0.29733060877410705</v>
          </cell>
          <cell r="H202">
            <v>0.28733060877410704</v>
          </cell>
          <cell r="I202">
            <v>0.27733060877410703</v>
          </cell>
          <cell r="J202">
            <v>0.26733060877410703</v>
          </cell>
          <cell r="K202">
            <v>0.26059754789669631</v>
          </cell>
          <cell r="L202">
            <v>0.2538644870192856</v>
          </cell>
          <cell r="M202">
            <v>0.24713142614187489</v>
          </cell>
          <cell r="N202">
            <v>0.24039836526446418</v>
          </cell>
          <cell r="O202">
            <v>0.23366530438705346</v>
          </cell>
          <cell r="P202">
            <v>0.22693224350964275</v>
          </cell>
          <cell r="Q202">
            <v>0.22019918263223204</v>
          </cell>
          <cell r="R202">
            <v>0.21346612175482133</v>
          </cell>
          <cell r="S202">
            <v>0.20673306087741061</v>
          </cell>
          <cell r="T202">
            <v>0.2</v>
          </cell>
        </row>
        <row r="203">
          <cell r="A203" t="str">
            <v>1G biodiesel feedstocksMed-highfeedstock 4</v>
          </cell>
          <cell r="C203" t="str">
            <v>Tallow</v>
          </cell>
          <cell r="D203" t="str">
            <v>feedstock 4</v>
          </cell>
          <cell r="E203">
            <v>4.2882514699203657E-2</v>
          </cell>
          <cell r="F203">
            <v>6.430601175936293E-2</v>
          </cell>
          <cell r="G203">
            <v>8.5729508819522196E-2</v>
          </cell>
          <cell r="H203">
            <v>0.10715300587968146</v>
          </cell>
          <cell r="I203">
            <v>0.12857650293984074</v>
          </cell>
          <cell r="J203">
            <v>0.15</v>
          </cell>
          <cell r="K203">
            <v>0.15</v>
          </cell>
          <cell r="L203">
            <v>0.15</v>
          </cell>
          <cell r="M203">
            <v>0.15</v>
          </cell>
          <cell r="N203">
            <v>0.15</v>
          </cell>
          <cell r="O203">
            <v>0.15</v>
          </cell>
          <cell r="P203">
            <v>0.15</v>
          </cell>
          <cell r="Q203">
            <v>0.15</v>
          </cell>
          <cell r="R203">
            <v>0.15</v>
          </cell>
          <cell r="S203">
            <v>0.15</v>
          </cell>
          <cell r="T203">
            <v>0.15</v>
          </cell>
        </row>
        <row r="204">
          <cell r="A204" t="str">
            <v>1G biodiesel feedstocksMed-highfeedstock 5</v>
          </cell>
          <cell r="C204" t="str">
            <v>Corn oil</v>
          </cell>
          <cell r="D204" t="str">
            <v>feedstock 5</v>
          </cell>
          <cell r="E204">
            <v>0.18010656173665537</v>
          </cell>
          <cell r="F204">
            <v>0.1840852493893243</v>
          </cell>
          <cell r="G204">
            <v>0.18806393704199323</v>
          </cell>
          <cell r="H204">
            <v>0.19204262469466216</v>
          </cell>
          <cell r="I204">
            <v>0.19602131234733108</v>
          </cell>
          <cell r="J204">
            <v>0.2</v>
          </cell>
          <cell r="K204">
            <v>0.21000000000000002</v>
          </cell>
          <cell r="L204">
            <v>0.22000000000000003</v>
          </cell>
          <cell r="M204">
            <v>0.23000000000000004</v>
          </cell>
          <cell r="N204">
            <v>0.24000000000000005</v>
          </cell>
          <cell r="O204">
            <v>0.25000000000000006</v>
          </cell>
          <cell r="P204">
            <v>0.26000000000000006</v>
          </cell>
          <cell r="Q204">
            <v>0.27000000000000007</v>
          </cell>
          <cell r="R204">
            <v>0.28000000000000008</v>
          </cell>
          <cell r="S204">
            <v>0.29000000000000009</v>
          </cell>
          <cell r="T204">
            <v>0.3</v>
          </cell>
        </row>
        <row r="205">
          <cell r="A205" t="str">
            <v>1G biodiesel feedstocksMed-highfeedstock 6</v>
          </cell>
          <cell r="C205" t="str">
            <v>Camelina</v>
          </cell>
          <cell r="D205" t="str">
            <v>feedstock 6</v>
          </cell>
          <cell r="E205">
            <v>0</v>
          </cell>
          <cell r="F205">
            <v>0.01</v>
          </cell>
          <cell r="G205">
            <v>0.02</v>
          </cell>
          <cell r="H205">
            <v>0.03</v>
          </cell>
          <cell r="I205">
            <v>0.04</v>
          </cell>
          <cell r="J205">
            <v>0.05</v>
          </cell>
          <cell r="K205">
            <v>6.0000000000000005E-2</v>
          </cell>
          <cell r="L205">
            <v>7.0000000000000007E-2</v>
          </cell>
          <cell r="M205">
            <v>0.08</v>
          </cell>
          <cell r="N205">
            <v>0.09</v>
          </cell>
          <cell r="O205">
            <v>9.9999999999999992E-2</v>
          </cell>
          <cell r="P205">
            <v>0.10999999999999999</v>
          </cell>
          <cell r="Q205">
            <v>0.11999999999999998</v>
          </cell>
          <cell r="R205">
            <v>0.12999999999999998</v>
          </cell>
          <cell r="S205">
            <v>0.13999999999999999</v>
          </cell>
          <cell r="T205">
            <v>0.15</v>
          </cell>
        </row>
        <row r="206">
          <cell r="A206" t="str">
            <v>1G biodiesel feedstocksHighfeedstock 1</v>
          </cell>
          <cell r="C206" t="str">
            <v>Soy</v>
          </cell>
          <cell r="D206" t="str">
            <v>feedstock 1</v>
          </cell>
          <cell r="E206">
            <v>0.15278542550155752</v>
          </cell>
          <cell r="F206">
            <v>0.13130902182944937</v>
          </cell>
          <cell r="G206">
            <v>0.10983261815734091</v>
          </cell>
          <cell r="H206">
            <v>8.8356214485232454E-2</v>
          </cell>
          <cell r="I206">
            <v>6.6879810813124219E-2</v>
          </cell>
          <cell r="J206">
            <v>4.5403407141015872E-2</v>
          </cell>
          <cell r="K206">
            <v>4.0863066426914285E-2</v>
          </cell>
          <cell r="L206">
            <v>3.6322725712812587E-2</v>
          </cell>
          <cell r="M206">
            <v>3.1782384998711111E-2</v>
          </cell>
          <cell r="N206">
            <v>2.7242044284609523E-2</v>
          </cell>
          <cell r="O206">
            <v>2.2701703570507936E-2</v>
          </cell>
          <cell r="P206">
            <v>1.8161362856406349E-2</v>
          </cell>
          <cell r="Q206">
            <v>1.3621022142304762E-2</v>
          </cell>
          <cell r="R206">
            <v>9.0806814282031745E-3</v>
          </cell>
          <cell r="S206">
            <v>4.5403407141015872E-3</v>
          </cell>
          <cell r="T206">
            <v>0</v>
          </cell>
        </row>
        <row r="207">
          <cell r="A207" t="str">
            <v>1G biodiesel feedstocksHighfeedstock 2</v>
          </cell>
          <cell r="C207" t="str">
            <v>Canola</v>
          </cell>
          <cell r="D207" t="str">
            <v>feedstock 2</v>
          </cell>
          <cell r="E207">
            <v>0.30689488928847636</v>
          </cell>
          <cell r="F207">
            <v>0.29310189666924458</v>
          </cell>
          <cell r="G207">
            <v>0.2793089040500128</v>
          </cell>
          <cell r="H207">
            <v>0.26551591143078102</v>
          </cell>
          <cell r="I207">
            <v>0.25172291881154923</v>
          </cell>
          <cell r="J207">
            <v>0.23792992619231748</v>
          </cell>
          <cell r="K207">
            <v>0.22413693357308573</v>
          </cell>
          <cell r="L207">
            <v>0.21034394095385398</v>
          </cell>
          <cell r="M207">
            <v>0.19655094833462222</v>
          </cell>
          <cell r="N207">
            <v>0.18275795571539047</v>
          </cell>
          <cell r="O207">
            <v>0.16896496309615872</v>
          </cell>
          <cell r="P207">
            <v>0.15517197047692696</v>
          </cell>
          <cell r="Q207">
            <v>0.14137897785769521</v>
          </cell>
          <cell r="R207">
            <v>0.12758598523846346</v>
          </cell>
          <cell r="S207">
            <v>0.1137929926192317</v>
          </cell>
          <cell r="T207">
            <v>0.1</v>
          </cell>
        </row>
        <row r="208">
          <cell r="A208" t="str">
            <v>1G biodiesel feedstocksHighfeedstock 3</v>
          </cell>
          <cell r="C208" t="str">
            <v xml:space="preserve">UCO </v>
          </cell>
          <cell r="D208" t="str">
            <v>feedstock 3</v>
          </cell>
          <cell r="E208">
            <v>0.31733060877410707</v>
          </cell>
          <cell r="F208">
            <v>0.30386448701928565</v>
          </cell>
          <cell r="G208">
            <v>0.29039836526446422</v>
          </cell>
          <cell r="H208">
            <v>0.27693224350964279</v>
          </cell>
          <cell r="I208">
            <v>0.26346612175482137</v>
          </cell>
          <cell r="J208">
            <v>0.25</v>
          </cell>
          <cell r="K208">
            <v>0.25</v>
          </cell>
          <cell r="L208">
            <v>0.25</v>
          </cell>
          <cell r="M208">
            <v>0.25</v>
          </cell>
          <cell r="N208">
            <v>0.25</v>
          </cell>
          <cell r="O208">
            <v>0.25</v>
          </cell>
          <cell r="P208">
            <v>0.25</v>
          </cell>
          <cell r="Q208">
            <v>0.25</v>
          </cell>
          <cell r="R208">
            <v>0.25</v>
          </cell>
          <cell r="S208">
            <v>0.25</v>
          </cell>
          <cell r="T208">
            <v>0.25</v>
          </cell>
        </row>
        <row r="209">
          <cell r="A209" t="str">
            <v>1G biodiesel feedstocksHighfeedstock 4</v>
          </cell>
          <cell r="C209" t="str">
            <v>Tallow</v>
          </cell>
          <cell r="D209" t="str">
            <v>feedstock 4</v>
          </cell>
          <cell r="E209">
            <v>4.2882514699203657E-2</v>
          </cell>
          <cell r="F209">
            <v>6.430601175936293E-2</v>
          </cell>
          <cell r="G209">
            <v>8.5729508819522196E-2</v>
          </cell>
          <cell r="H209">
            <v>0.10715300587968146</v>
          </cell>
          <cell r="I209">
            <v>0.12857650293984074</v>
          </cell>
          <cell r="J209">
            <v>0.15</v>
          </cell>
          <cell r="K209">
            <v>0.15</v>
          </cell>
          <cell r="L209">
            <v>0.15</v>
          </cell>
          <cell r="M209">
            <v>0.15</v>
          </cell>
          <cell r="N209">
            <v>0.15</v>
          </cell>
          <cell r="O209">
            <v>0.15</v>
          </cell>
          <cell r="P209">
            <v>0.15</v>
          </cell>
          <cell r="Q209">
            <v>0.15</v>
          </cell>
          <cell r="R209">
            <v>0.15</v>
          </cell>
          <cell r="S209">
            <v>0.15</v>
          </cell>
          <cell r="T209">
            <v>0.15</v>
          </cell>
        </row>
        <row r="210">
          <cell r="A210" t="str">
            <v>1G biodiesel feedstocksHighfeedstock 5</v>
          </cell>
          <cell r="C210" t="str">
            <v>Corn oil</v>
          </cell>
          <cell r="D210" t="str">
            <v>feedstock 5</v>
          </cell>
          <cell r="E210">
            <v>0.18010656173665537</v>
          </cell>
          <cell r="F210">
            <v>0.19408524938932431</v>
          </cell>
          <cell r="G210">
            <v>0.20806393704199325</v>
          </cell>
          <cell r="H210">
            <v>0.22204262469466218</v>
          </cell>
          <cell r="I210">
            <v>0.23602131234733112</v>
          </cell>
          <cell r="J210">
            <v>0.25</v>
          </cell>
          <cell r="K210">
            <v>0.255</v>
          </cell>
          <cell r="L210">
            <v>0.26</v>
          </cell>
          <cell r="M210">
            <v>0.26500000000000001</v>
          </cell>
          <cell r="N210">
            <v>0.27</v>
          </cell>
          <cell r="O210">
            <v>0.27500000000000002</v>
          </cell>
          <cell r="P210">
            <v>0.28000000000000003</v>
          </cell>
          <cell r="Q210">
            <v>0.28500000000000003</v>
          </cell>
          <cell r="R210">
            <v>0.29000000000000004</v>
          </cell>
          <cell r="S210">
            <v>0.29500000000000004</v>
          </cell>
          <cell r="T210">
            <v>0.3</v>
          </cell>
        </row>
        <row r="211">
          <cell r="A211" t="str">
            <v>1G biodiesel feedstocksHighfeedstock 6</v>
          </cell>
          <cell r="C211" t="str">
            <v>Camelina</v>
          </cell>
          <cell r="D211" t="str">
            <v>feedstock 6</v>
          </cell>
          <cell r="E211">
            <v>0</v>
          </cell>
          <cell r="F211">
            <v>1.3333333333333334E-2</v>
          </cell>
          <cell r="G211">
            <v>2.6666666666666668E-2</v>
          </cell>
          <cell r="H211">
            <v>0.04</v>
          </cell>
          <cell r="I211">
            <v>5.3333333333333337E-2</v>
          </cell>
          <cell r="J211">
            <v>6.6666666666666666E-2</v>
          </cell>
          <cell r="K211">
            <v>0.08</v>
          </cell>
          <cell r="L211">
            <v>9.3333333333333338E-2</v>
          </cell>
          <cell r="M211">
            <v>0.10666666666666667</v>
          </cell>
          <cell r="N211">
            <v>0.12000000000000001</v>
          </cell>
          <cell r="O211">
            <v>0.13333333333333333</v>
          </cell>
          <cell r="P211">
            <v>0.14666666666666667</v>
          </cell>
          <cell r="Q211">
            <v>0.16</v>
          </cell>
          <cell r="R211">
            <v>0.17333333333333334</v>
          </cell>
          <cell r="S211">
            <v>0.18666666666666668</v>
          </cell>
          <cell r="T211">
            <v>0.2</v>
          </cell>
        </row>
        <row r="214">
          <cell r="C214" t="str">
            <v>HVO feedstocks</v>
          </cell>
          <cell r="D214" t="str">
            <v>%</v>
          </cell>
          <cell r="E214" t="str">
            <v>Make sure each scenario sums up to 100%</v>
          </cell>
        </row>
        <row r="215">
          <cell r="C215" t="str">
            <v>Feedstock type</v>
          </cell>
          <cell r="E215">
            <v>2015</v>
          </cell>
          <cell r="F215">
            <v>2016</v>
          </cell>
          <cell r="G215">
            <v>2017</v>
          </cell>
          <cell r="H215">
            <v>2018</v>
          </cell>
          <cell r="I215">
            <v>2019</v>
          </cell>
          <cell r="J215">
            <v>2020</v>
          </cell>
          <cell r="K215">
            <v>2021</v>
          </cell>
          <cell r="L215">
            <v>2022</v>
          </cell>
          <cell r="M215">
            <v>2023</v>
          </cell>
          <cell r="N215">
            <v>2024</v>
          </cell>
          <cell r="O215">
            <v>2025</v>
          </cell>
          <cell r="P215">
            <v>2026</v>
          </cell>
          <cell r="Q215">
            <v>2027</v>
          </cell>
          <cell r="R215">
            <v>2028</v>
          </cell>
          <cell r="S215">
            <v>2029</v>
          </cell>
          <cell r="T215">
            <v>2030</v>
          </cell>
        </row>
        <row r="216">
          <cell r="A216" t="str">
            <v>HVO feedstocksLowfeedstock 1</v>
          </cell>
          <cell r="C216" t="str">
            <v>Soy</v>
          </cell>
          <cell r="D216" t="str">
            <v>feedstock 1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</row>
        <row r="217">
          <cell r="A217" t="str">
            <v>HVO feedstocksLowfeedstock 2</v>
          </cell>
          <cell r="C217" t="str">
            <v>Canola</v>
          </cell>
          <cell r="D217" t="str">
            <v>feedstock 2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</row>
        <row r="218">
          <cell r="A218" t="str">
            <v>HVO feedstocksLowfeedstock 3</v>
          </cell>
          <cell r="C218" t="str">
            <v xml:space="preserve">UCO </v>
          </cell>
          <cell r="D218" t="str">
            <v>feedstock 3</v>
          </cell>
          <cell r="E218">
            <v>0.5</v>
          </cell>
          <cell r="F218">
            <v>0.48333333333333334</v>
          </cell>
          <cell r="G218">
            <v>0.46666666666666667</v>
          </cell>
          <cell r="H218">
            <v>0.45</v>
          </cell>
          <cell r="I218">
            <v>0.43333333333333335</v>
          </cell>
          <cell r="J218">
            <v>0.41666666666666669</v>
          </cell>
          <cell r="K218">
            <v>0.4</v>
          </cell>
          <cell r="L218">
            <v>0.38333333333333336</v>
          </cell>
          <cell r="M218">
            <v>0.3666666666666667</v>
          </cell>
          <cell r="N218">
            <v>0.35000000000000003</v>
          </cell>
          <cell r="O218">
            <v>0.33333333333333337</v>
          </cell>
          <cell r="P218">
            <v>0.31666666666666671</v>
          </cell>
          <cell r="Q218">
            <v>0.30000000000000004</v>
          </cell>
          <cell r="R218">
            <v>0.28333333333333338</v>
          </cell>
          <cell r="S218">
            <v>0.26666666666666672</v>
          </cell>
          <cell r="T218">
            <v>0.25</v>
          </cell>
        </row>
        <row r="219">
          <cell r="A219" t="str">
            <v>HVO feedstocksLowfeedstock 4</v>
          </cell>
          <cell r="C219" t="str">
            <v>Tallow</v>
          </cell>
          <cell r="D219" t="str">
            <v>feedstock 4</v>
          </cell>
          <cell r="E219">
            <v>0.5</v>
          </cell>
          <cell r="F219">
            <v>0.5</v>
          </cell>
          <cell r="G219">
            <v>0.5</v>
          </cell>
          <cell r="H219">
            <v>0.5</v>
          </cell>
          <cell r="I219">
            <v>0.5</v>
          </cell>
          <cell r="J219">
            <v>0.5</v>
          </cell>
          <cell r="K219">
            <v>0.5</v>
          </cell>
          <cell r="L219">
            <v>0.5</v>
          </cell>
          <cell r="M219">
            <v>0.5</v>
          </cell>
          <cell r="N219">
            <v>0.5</v>
          </cell>
          <cell r="O219">
            <v>0.5</v>
          </cell>
          <cell r="P219">
            <v>0.5</v>
          </cell>
          <cell r="Q219">
            <v>0.5</v>
          </cell>
          <cell r="R219">
            <v>0.5</v>
          </cell>
          <cell r="S219">
            <v>0.5</v>
          </cell>
          <cell r="T219">
            <v>0.5</v>
          </cell>
        </row>
        <row r="220">
          <cell r="A220" t="str">
            <v>HVO feedstocksLowfeedstock 5</v>
          </cell>
          <cell r="C220" t="str">
            <v>Corn oil</v>
          </cell>
          <cell r="D220" t="str">
            <v>feedstock 5</v>
          </cell>
          <cell r="E220">
            <v>0</v>
          </cell>
          <cell r="F220">
            <v>1.6666666666666666E-2</v>
          </cell>
          <cell r="G220">
            <v>3.3333333333333333E-2</v>
          </cell>
          <cell r="H220">
            <v>0.05</v>
          </cell>
          <cell r="I220">
            <v>6.6666666666666666E-2</v>
          </cell>
          <cell r="J220">
            <v>8.3333333333333329E-2</v>
          </cell>
          <cell r="K220">
            <v>9.9999999999999992E-2</v>
          </cell>
          <cell r="L220">
            <v>0.11666666666666665</v>
          </cell>
          <cell r="M220">
            <v>0.13333333333333333</v>
          </cell>
          <cell r="N220">
            <v>0.15</v>
          </cell>
          <cell r="O220">
            <v>0.16666666666666666</v>
          </cell>
          <cell r="P220">
            <v>0.18333333333333332</v>
          </cell>
          <cell r="Q220">
            <v>0.19999999999999998</v>
          </cell>
          <cell r="R220">
            <v>0.21666666666666665</v>
          </cell>
          <cell r="S220">
            <v>0.23333333333333331</v>
          </cell>
          <cell r="T220">
            <v>0.25</v>
          </cell>
        </row>
        <row r="221">
          <cell r="A221" t="str">
            <v>HVO feedstocksLowfeedstock 6</v>
          </cell>
          <cell r="C221" t="str">
            <v>Camelina</v>
          </cell>
          <cell r="D221" t="str">
            <v>feedstock 6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</row>
        <row r="222">
          <cell r="A222" t="str">
            <v>HVO feedstocksLow-medfeedstock 1</v>
          </cell>
          <cell r="C222" t="str">
            <v>Soy</v>
          </cell>
          <cell r="D222" t="str">
            <v>feedstock 1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</row>
        <row r="223">
          <cell r="A223" t="str">
            <v>HVO feedstocksLow-medfeedstock 2</v>
          </cell>
          <cell r="C223" t="str">
            <v>Canola</v>
          </cell>
          <cell r="D223" t="str">
            <v>feedstock 2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</row>
        <row r="224">
          <cell r="A224" t="str">
            <v>HVO feedstocksLow-medfeedstock 3</v>
          </cell>
          <cell r="C224" t="str">
            <v xml:space="preserve">UCO </v>
          </cell>
          <cell r="D224" t="str">
            <v>feedstock 3</v>
          </cell>
          <cell r="E224">
            <v>0.5</v>
          </cell>
          <cell r="F224">
            <v>0.48</v>
          </cell>
          <cell r="G224">
            <v>0.45999999999999996</v>
          </cell>
          <cell r="H224">
            <v>0.43999999999999995</v>
          </cell>
          <cell r="I224">
            <v>0.41999999999999993</v>
          </cell>
          <cell r="J224">
            <v>0.39999999999999991</v>
          </cell>
          <cell r="K224">
            <v>0.37999999999999989</v>
          </cell>
          <cell r="L224">
            <v>0.35999999999999988</v>
          </cell>
          <cell r="M224">
            <v>0.33999999999999986</v>
          </cell>
          <cell r="N224">
            <v>0.31999999999999984</v>
          </cell>
          <cell r="O224">
            <v>0.29999999999999982</v>
          </cell>
          <cell r="P224">
            <v>0.2799999999999998</v>
          </cell>
          <cell r="Q224">
            <v>0.25999999999999979</v>
          </cell>
          <cell r="R224">
            <v>0.2399999999999998</v>
          </cell>
          <cell r="S224">
            <v>0.21999999999999981</v>
          </cell>
          <cell r="T224">
            <v>0.2</v>
          </cell>
        </row>
        <row r="225">
          <cell r="A225" t="str">
            <v>HVO feedstocksLow-medfeedstock 4</v>
          </cell>
          <cell r="C225" t="str">
            <v>Tallow</v>
          </cell>
          <cell r="D225" t="str">
            <v>feedstock 4</v>
          </cell>
          <cell r="E225">
            <v>0.5</v>
          </cell>
          <cell r="F225">
            <v>0.5</v>
          </cell>
          <cell r="G225">
            <v>0.5</v>
          </cell>
          <cell r="H225">
            <v>0.5</v>
          </cell>
          <cell r="I225">
            <v>0.5</v>
          </cell>
          <cell r="J225">
            <v>0.5</v>
          </cell>
          <cell r="K225">
            <v>0.5</v>
          </cell>
          <cell r="L225">
            <v>0.5</v>
          </cell>
          <cell r="M225">
            <v>0.5</v>
          </cell>
          <cell r="N225">
            <v>0.5</v>
          </cell>
          <cell r="O225">
            <v>0.5</v>
          </cell>
          <cell r="P225">
            <v>0.5</v>
          </cell>
          <cell r="Q225">
            <v>0.5</v>
          </cell>
          <cell r="R225">
            <v>0.5</v>
          </cell>
          <cell r="S225">
            <v>0.5</v>
          </cell>
          <cell r="T225">
            <v>0.5</v>
          </cell>
        </row>
        <row r="226">
          <cell r="A226" t="str">
            <v>HVO feedstocksLow-medfeedstock 5</v>
          </cell>
          <cell r="C226" t="str">
            <v>Corn oil</v>
          </cell>
          <cell r="D226" t="str">
            <v>feedstock 5</v>
          </cell>
          <cell r="E226">
            <v>0</v>
          </cell>
          <cell r="F226">
            <v>1.6666666666666666E-2</v>
          </cell>
          <cell r="G226">
            <v>3.3333333333333333E-2</v>
          </cell>
          <cell r="H226">
            <v>0.05</v>
          </cell>
          <cell r="I226">
            <v>6.6666666666666666E-2</v>
          </cell>
          <cell r="J226">
            <v>8.3333333333333329E-2</v>
          </cell>
          <cell r="K226">
            <v>9.9999999999999992E-2</v>
          </cell>
          <cell r="L226">
            <v>0.11666666666666665</v>
          </cell>
          <cell r="M226">
            <v>0.13333333333333333</v>
          </cell>
          <cell r="N226">
            <v>0.15</v>
          </cell>
          <cell r="O226">
            <v>0.16666666666666666</v>
          </cell>
          <cell r="P226">
            <v>0.18333333333333332</v>
          </cell>
          <cell r="Q226">
            <v>0.19999999999999998</v>
          </cell>
          <cell r="R226">
            <v>0.21666666666666665</v>
          </cell>
          <cell r="S226">
            <v>0.23333333333333331</v>
          </cell>
          <cell r="T226">
            <v>0.25</v>
          </cell>
        </row>
        <row r="227">
          <cell r="A227" t="str">
            <v>HVO feedstocksLow-medfeedstock 6</v>
          </cell>
          <cell r="C227" t="str">
            <v>Camelina</v>
          </cell>
          <cell r="D227" t="str">
            <v>feedstock 6</v>
          </cell>
          <cell r="E227">
            <v>0</v>
          </cell>
          <cell r="F227">
            <v>3.3333333333333335E-3</v>
          </cell>
          <cell r="G227">
            <v>6.6666666666666671E-3</v>
          </cell>
          <cell r="H227">
            <v>0.01</v>
          </cell>
          <cell r="I227">
            <v>1.3333333333333334E-2</v>
          </cell>
          <cell r="J227">
            <v>1.6666666666666666E-2</v>
          </cell>
          <cell r="K227">
            <v>0.02</v>
          </cell>
          <cell r="L227">
            <v>2.3333333333333334E-2</v>
          </cell>
          <cell r="M227">
            <v>2.6666666666666668E-2</v>
          </cell>
          <cell r="N227">
            <v>3.0000000000000002E-2</v>
          </cell>
          <cell r="O227">
            <v>3.3333333333333333E-2</v>
          </cell>
          <cell r="P227">
            <v>3.6666666666666667E-2</v>
          </cell>
          <cell r="Q227">
            <v>0.04</v>
          </cell>
          <cell r="R227">
            <v>4.3333333333333335E-2</v>
          </cell>
          <cell r="S227">
            <v>4.6666666666666669E-2</v>
          </cell>
          <cell r="T227">
            <v>0.05</v>
          </cell>
        </row>
        <row r="228">
          <cell r="A228" t="str">
            <v>HVO feedstocksMediumfeedstock 1</v>
          </cell>
          <cell r="C228" t="str">
            <v>Soy</v>
          </cell>
          <cell r="D228" t="str">
            <v>feedstock 1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</row>
        <row r="229">
          <cell r="A229" t="str">
            <v>HVO feedstocksMediumfeedstock 2</v>
          </cell>
          <cell r="C229" t="str">
            <v>Canola</v>
          </cell>
          <cell r="D229" t="str">
            <v>feedstock 2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</row>
        <row r="230">
          <cell r="A230" t="str">
            <v>HVO feedstocksMediumfeedstock 3</v>
          </cell>
          <cell r="C230" t="str">
            <v xml:space="preserve">UCO </v>
          </cell>
          <cell r="D230" t="str">
            <v>feedstock 3</v>
          </cell>
          <cell r="E230">
            <v>0.5</v>
          </cell>
          <cell r="F230">
            <v>0.47666666666666668</v>
          </cell>
          <cell r="G230">
            <v>0.45333333333333337</v>
          </cell>
          <cell r="H230">
            <v>0.43000000000000005</v>
          </cell>
          <cell r="I230">
            <v>0.40666666666666673</v>
          </cell>
          <cell r="J230">
            <v>0.38333333333333341</v>
          </cell>
          <cell r="K230">
            <v>0.3600000000000001</v>
          </cell>
          <cell r="L230">
            <v>0.33666666666666678</v>
          </cell>
          <cell r="M230">
            <v>0.31333333333333346</v>
          </cell>
          <cell r="N230">
            <v>0.29000000000000015</v>
          </cell>
          <cell r="O230">
            <v>0.26666666666666683</v>
          </cell>
          <cell r="P230">
            <v>0.24333333333333351</v>
          </cell>
          <cell r="Q230">
            <v>0.2200000000000002</v>
          </cell>
          <cell r="R230">
            <v>0.19666666666666688</v>
          </cell>
          <cell r="S230">
            <v>0.17333333333333356</v>
          </cell>
          <cell r="T230">
            <v>0.15</v>
          </cell>
        </row>
        <row r="231">
          <cell r="A231" t="str">
            <v>HVO feedstocksMediumfeedstock 4</v>
          </cell>
          <cell r="C231" t="str">
            <v>Tallow</v>
          </cell>
          <cell r="D231" t="str">
            <v>feedstock 4</v>
          </cell>
          <cell r="E231">
            <v>0.5</v>
          </cell>
          <cell r="F231">
            <v>0.5</v>
          </cell>
          <cell r="G231">
            <v>0.5</v>
          </cell>
          <cell r="H231">
            <v>0.5</v>
          </cell>
          <cell r="I231">
            <v>0.5</v>
          </cell>
          <cell r="J231">
            <v>0.5</v>
          </cell>
          <cell r="K231">
            <v>0.5</v>
          </cell>
          <cell r="L231">
            <v>0.5</v>
          </cell>
          <cell r="M231">
            <v>0.5</v>
          </cell>
          <cell r="N231">
            <v>0.5</v>
          </cell>
          <cell r="O231">
            <v>0.5</v>
          </cell>
          <cell r="P231">
            <v>0.5</v>
          </cell>
          <cell r="Q231">
            <v>0.5</v>
          </cell>
          <cell r="R231">
            <v>0.5</v>
          </cell>
          <cell r="S231">
            <v>0.5</v>
          </cell>
          <cell r="T231">
            <v>0.5</v>
          </cell>
        </row>
        <row r="232">
          <cell r="A232" t="str">
            <v>HVO feedstocksMediumfeedstock 5</v>
          </cell>
          <cell r="C232" t="str">
            <v>Corn oil</v>
          </cell>
          <cell r="D232" t="str">
            <v>feedstock 5</v>
          </cell>
          <cell r="E232">
            <v>0</v>
          </cell>
          <cell r="F232">
            <v>1.6666666666666666E-2</v>
          </cell>
          <cell r="G232">
            <v>3.3333333333333333E-2</v>
          </cell>
          <cell r="H232">
            <v>0.05</v>
          </cell>
          <cell r="I232">
            <v>6.6666666666666666E-2</v>
          </cell>
          <cell r="J232">
            <v>8.3333333333333329E-2</v>
          </cell>
          <cell r="K232">
            <v>9.9999999999999992E-2</v>
          </cell>
          <cell r="L232">
            <v>0.11666666666666665</v>
          </cell>
          <cell r="M232">
            <v>0.13333333333333333</v>
          </cell>
          <cell r="N232">
            <v>0.15</v>
          </cell>
          <cell r="O232">
            <v>0.16666666666666666</v>
          </cell>
          <cell r="P232">
            <v>0.18333333333333332</v>
          </cell>
          <cell r="Q232">
            <v>0.19999999999999998</v>
          </cell>
          <cell r="R232">
            <v>0.21666666666666665</v>
          </cell>
          <cell r="S232">
            <v>0.23333333333333331</v>
          </cell>
          <cell r="T232">
            <v>0.25</v>
          </cell>
        </row>
        <row r="233">
          <cell r="A233" t="str">
            <v>HVO feedstocksMediumfeedstock 6</v>
          </cell>
          <cell r="C233" t="str">
            <v>Camelina</v>
          </cell>
          <cell r="D233" t="str">
            <v>feedstock 6</v>
          </cell>
          <cell r="E233">
            <v>0</v>
          </cell>
          <cell r="F233">
            <v>6.6666666666666671E-3</v>
          </cell>
          <cell r="G233">
            <v>1.3333333333333334E-2</v>
          </cell>
          <cell r="H233">
            <v>0.02</v>
          </cell>
          <cell r="I233">
            <v>2.6666666666666668E-2</v>
          </cell>
          <cell r="J233">
            <v>3.3333333333333333E-2</v>
          </cell>
          <cell r="K233">
            <v>0.04</v>
          </cell>
          <cell r="L233">
            <v>4.6666666666666669E-2</v>
          </cell>
          <cell r="M233">
            <v>5.3333333333333337E-2</v>
          </cell>
          <cell r="N233">
            <v>6.0000000000000005E-2</v>
          </cell>
          <cell r="O233">
            <v>6.6666666666666666E-2</v>
          </cell>
          <cell r="P233">
            <v>7.3333333333333334E-2</v>
          </cell>
          <cell r="Q233">
            <v>0.08</v>
          </cell>
          <cell r="R233">
            <v>8.666666666666667E-2</v>
          </cell>
          <cell r="S233">
            <v>9.3333333333333338E-2</v>
          </cell>
          <cell r="T233">
            <v>0.1</v>
          </cell>
        </row>
        <row r="234">
          <cell r="A234" t="str">
            <v>HVO feedstocksMed-highfeedstock 1</v>
          </cell>
          <cell r="C234" t="str">
            <v>Soy</v>
          </cell>
          <cell r="D234" t="str">
            <v>feedstock 1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</row>
        <row r="235">
          <cell r="A235" t="str">
            <v>HVO feedstocksMed-highfeedstock 2</v>
          </cell>
          <cell r="C235" t="str">
            <v>Canola</v>
          </cell>
          <cell r="D235" t="str">
            <v>feedstock 2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</row>
        <row r="236">
          <cell r="A236" t="str">
            <v>HVO feedstocksMed-highfeedstock 3</v>
          </cell>
          <cell r="C236" t="str">
            <v xml:space="preserve">UCO </v>
          </cell>
          <cell r="D236" t="str">
            <v>feedstock 3</v>
          </cell>
          <cell r="E236">
            <v>0.5</v>
          </cell>
          <cell r="F236">
            <v>0.47666666666666668</v>
          </cell>
          <cell r="G236">
            <v>0.45333333333333337</v>
          </cell>
          <cell r="H236">
            <v>0.43000000000000005</v>
          </cell>
          <cell r="I236">
            <v>0.40666666666666673</v>
          </cell>
          <cell r="J236">
            <v>0.38333333333333341</v>
          </cell>
          <cell r="K236">
            <v>0.3600000000000001</v>
          </cell>
          <cell r="L236">
            <v>0.33666666666666678</v>
          </cell>
          <cell r="M236">
            <v>0.31333333333333346</v>
          </cell>
          <cell r="N236">
            <v>0.29000000000000015</v>
          </cell>
          <cell r="O236">
            <v>0.26666666666666683</v>
          </cell>
          <cell r="P236">
            <v>0.24333333333333351</v>
          </cell>
          <cell r="Q236">
            <v>0.2200000000000002</v>
          </cell>
          <cell r="R236">
            <v>0.19666666666666688</v>
          </cell>
          <cell r="S236">
            <v>0.17333333333333356</v>
          </cell>
          <cell r="T236">
            <v>0.15</v>
          </cell>
        </row>
        <row r="237">
          <cell r="A237" t="str">
            <v>HVO feedstocksMed-highfeedstock 4</v>
          </cell>
          <cell r="C237" t="str">
            <v>Tallow</v>
          </cell>
          <cell r="D237" t="str">
            <v>feedstock 4</v>
          </cell>
          <cell r="E237">
            <v>0.5</v>
          </cell>
          <cell r="F237">
            <v>0.49333333333333335</v>
          </cell>
          <cell r="G237">
            <v>0.48666666666666669</v>
          </cell>
          <cell r="H237">
            <v>0.48000000000000004</v>
          </cell>
          <cell r="I237">
            <v>0.47333333333333338</v>
          </cell>
          <cell r="J237">
            <v>0.46666666666666673</v>
          </cell>
          <cell r="K237">
            <v>0.46000000000000008</v>
          </cell>
          <cell r="L237">
            <v>0.45333333333333342</v>
          </cell>
          <cell r="M237">
            <v>0.44666666666666677</v>
          </cell>
          <cell r="N237">
            <v>0.44000000000000011</v>
          </cell>
          <cell r="O237">
            <v>0.43333333333333346</v>
          </cell>
          <cell r="P237">
            <v>0.42666666666666681</v>
          </cell>
          <cell r="Q237">
            <v>0.42000000000000015</v>
          </cell>
          <cell r="R237">
            <v>0.4133333333333335</v>
          </cell>
          <cell r="S237">
            <v>0.40666666666666684</v>
          </cell>
          <cell r="T237">
            <v>0.4</v>
          </cell>
        </row>
        <row r="238">
          <cell r="A238" t="str">
            <v>HVO feedstocksMed-highfeedstock 5</v>
          </cell>
          <cell r="C238" t="str">
            <v>Corn oil</v>
          </cell>
          <cell r="D238" t="str">
            <v>feedstock 5</v>
          </cell>
          <cell r="E238">
            <v>0</v>
          </cell>
          <cell r="F238">
            <v>1.6666666666666666E-2</v>
          </cell>
          <cell r="G238">
            <v>3.3333333333333333E-2</v>
          </cell>
          <cell r="H238">
            <v>0.05</v>
          </cell>
          <cell r="I238">
            <v>6.6666666666666666E-2</v>
          </cell>
          <cell r="J238">
            <v>8.3333333333333329E-2</v>
          </cell>
          <cell r="K238">
            <v>9.9999999999999992E-2</v>
          </cell>
          <cell r="L238">
            <v>0.11666666666666665</v>
          </cell>
          <cell r="M238">
            <v>0.13333333333333333</v>
          </cell>
          <cell r="N238">
            <v>0.15</v>
          </cell>
          <cell r="O238">
            <v>0.16666666666666666</v>
          </cell>
          <cell r="P238">
            <v>0.18333333333333332</v>
          </cell>
          <cell r="Q238">
            <v>0.19999999999999998</v>
          </cell>
          <cell r="R238">
            <v>0.21666666666666665</v>
          </cell>
          <cell r="S238">
            <v>0.23333333333333331</v>
          </cell>
          <cell r="T238">
            <v>0.25</v>
          </cell>
        </row>
        <row r="239">
          <cell r="A239" t="str">
            <v>HVO feedstocksMed-highfeedstock 6</v>
          </cell>
          <cell r="C239" t="str">
            <v>Camelina</v>
          </cell>
          <cell r="D239" t="str">
            <v>feedstock 6</v>
          </cell>
          <cell r="E239">
            <v>0</v>
          </cell>
          <cell r="F239">
            <v>1.3333333333333334E-2</v>
          </cell>
          <cell r="G239">
            <v>2.6666666666666668E-2</v>
          </cell>
          <cell r="H239">
            <v>0.04</v>
          </cell>
          <cell r="I239">
            <v>5.3333333333333337E-2</v>
          </cell>
          <cell r="J239">
            <v>6.6666666666666666E-2</v>
          </cell>
          <cell r="K239">
            <v>0.08</v>
          </cell>
          <cell r="L239">
            <v>9.3333333333333338E-2</v>
          </cell>
          <cell r="M239">
            <v>0.10666666666666667</v>
          </cell>
          <cell r="N239">
            <v>0.12000000000000001</v>
          </cell>
          <cell r="O239">
            <v>0.13333333333333333</v>
          </cell>
          <cell r="P239">
            <v>0.14666666666666667</v>
          </cell>
          <cell r="Q239">
            <v>0.16</v>
          </cell>
          <cell r="R239">
            <v>0.17333333333333334</v>
          </cell>
          <cell r="S239">
            <v>0.18666666666666668</v>
          </cell>
          <cell r="T239">
            <v>0.2</v>
          </cell>
        </row>
        <row r="240">
          <cell r="A240" t="str">
            <v>HVO feedstocksHighfeedstock 1</v>
          </cell>
          <cell r="C240" t="str">
            <v>Soy</v>
          </cell>
          <cell r="D240" t="str">
            <v>feedstock 1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</row>
        <row r="241">
          <cell r="A241" t="str">
            <v>HVO feedstocksHighfeedstock 2</v>
          </cell>
          <cell r="C241" t="str">
            <v>Canola</v>
          </cell>
          <cell r="D241" t="str">
            <v>feedstock 2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</row>
        <row r="242">
          <cell r="A242" t="str">
            <v>HVO feedstocksHighfeedstock 3</v>
          </cell>
          <cell r="C242" t="str">
            <v xml:space="preserve">UCO </v>
          </cell>
          <cell r="D242" t="str">
            <v>feedstock 3</v>
          </cell>
          <cell r="E242">
            <v>0.5</v>
          </cell>
          <cell r="F242">
            <v>0.47333333333333333</v>
          </cell>
          <cell r="G242">
            <v>0.44666666666666666</v>
          </cell>
          <cell r="H242">
            <v>0.42</v>
          </cell>
          <cell r="I242">
            <v>0.39333333333333331</v>
          </cell>
          <cell r="J242">
            <v>0.36666666666666664</v>
          </cell>
          <cell r="K242">
            <v>0.33999999999999997</v>
          </cell>
          <cell r="L242">
            <v>0.3133333333333333</v>
          </cell>
          <cell r="M242">
            <v>0.28666666666666663</v>
          </cell>
          <cell r="N242">
            <v>0.25999999999999995</v>
          </cell>
          <cell r="O242">
            <v>0.23333333333333328</v>
          </cell>
          <cell r="P242">
            <v>0.20666666666666661</v>
          </cell>
          <cell r="Q242">
            <v>0.17999999999999994</v>
          </cell>
          <cell r="R242">
            <v>0.15333333333333327</v>
          </cell>
          <cell r="S242">
            <v>0.12666666666666659</v>
          </cell>
          <cell r="T242">
            <v>0.1</v>
          </cell>
        </row>
        <row r="243">
          <cell r="A243" t="str">
            <v>HVO feedstocksHighfeedstock 4</v>
          </cell>
          <cell r="C243" t="str">
            <v>Tallow</v>
          </cell>
          <cell r="D243" t="str">
            <v>feedstock 4</v>
          </cell>
          <cell r="E243">
            <v>0.5</v>
          </cell>
          <cell r="F243">
            <v>0.5033333333333333</v>
          </cell>
          <cell r="G243">
            <v>0.5066666666666666</v>
          </cell>
          <cell r="H243">
            <v>0.5099999999999999</v>
          </cell>
          <cell r="I243">
            <v>0.5133333333333332</v>
          </cell>
          <cell r="J243">
            <v>0.5166666666666665</v>
          </cell>
          <cell r="K243">
            <v>0.5199999999999998</v>
          </cell>
          <cell r="L243">
            <v>0.5233333333333331</v>
          </cell>
          <cell r="M243">
            <v>0.52666666666666639</v>
          </cell>
          <cell r="N243">
            <v>0.52999999999999969</v>
          </cell>
          <cell r="O243">
            <v>0.53333333333333299</v>
          </cell>
          <cell r="P243">
            <v>0.53666666666666629</v>
          </cell>
          <cell r="Q243">
            <v>0.53999999999999959</v>
          </cell>
          <cell r="R243">
            <v>0.54333333333333289</v>
          </cell>
          <cell r="S243">
            <v>0.54666666666666619</v>
          </cell>
          <cell r="T243">
            <v>0.55000000000000004</v>
          </cell>
        </row>
        <row r="244">
          <cell r="A244" t="str">
            <v>HVO feedstocksHighfeedstock 5</v>
          </cell>
          <cell r="C244" t="str">
            <v>Corn oil</v>
          </cell>
          <cell r="D244" t="str">
            <v>feedstock 5</v>
          </cell>
          <cell r="E244">
            <v>0</v>
          </cell>
          <cell r="F244">
            <v>1.3333333333333334E-2</v>
          </cell>
          <cell r="G244">
            <v>2.6666666666666668E-2</v>
          </cell>
          <cell r="H244">
            <v>0.04</v>
          </cell>
          <cell r="I244">
            <v>5.3333333333333337E-2</v>
          </cell>
          <cell r="J244">
            <v>6.6666666666666666E-2</v>
          </cell>
          <cell r="K244">
            <v>0.08</v>
          </cell>
          <cell r="L244">
            <v>9.3333333333333338E-2</v>
          </cell>
          <cell r="M244">
            <v>0.10666666666666667</v>
          </cell>
          <cell r="N244">
            <v>0.12000000000000001</v>
          </cell>
          <cell r="O244">
            <v>0.13333333333333333</v>
          </cell>
          <cell r="P244">
            <v>0.14666666666666667</v>
          </cell>
          <cell r="Q244">
            <v>0.16</v>
          </cell>
          <cell r="R244">
            <v>0.17333333333333334</v>
          </cell>
          <cell r="S244">
            <v>0.18666666666666668</v>
          </cell>
          <cell r="T244">
            <v>0.2</v>
          </cell>
        </row>
        <row r="245">
          <cell r="A245" t="str">
            <v>HVO feedstocksHighfeedstock 6</v>
          </cell>
          <cell r="C245" t="str">
            <v>Camelina</v>
          </cell>
          <cell r="D245" t="str">
            <v>feedstock 6</v>
          </cell>
          <cell r="E245">
            <v>0</v>
          </cell>
          <cell r="F245">
            <v>0.01</v>
          </cell>
          <cell r="G245">
            <v>0.02</v>
          </cell>
          <cell r="H245">
            <v>0.03</v>
          </cell>
          <cell r="I245">
            <v>0.04</v>
          </cell>
          <cell r="J245">
            <v>0.05</v>
          </cell>
          <cell r="K245">
            <v>6.0000000000000005E-2</v>
          </cell>
          <cell r="L245">
            <v>7.0000000000000007E-2</v>
          </cell>
          <cell r="M245">
            <v>0.08</v>
          </cell>
          <cell r="N245">
            <v>0.09</v>
          </cell>
          <cell r="O245">
            <v>9.9999999999999992E-2</v>
          </cell>
          <cell r="P245">
            <v>0.10999999999999999</v>
          </cell>
          <cell r="Q245">
            <v>0.11999999999999998</v>
          </cell>
          <cell r="R245">
            <v>0.12999999999999998</v>
          </cell>
          <cell r="S245">
            <v>0.13999999999999999</v>
          </cell>
          <cell r="T245">
            <v>0.15</v>
          </cell>
        </row>
        <row r="248">
          <cell r="C248" t="str">
            <v>Drop-in biodiesel feedstocks</v>
          </cell>
          <cell r="D248" t="str">
            <v>%</v>
          </cell>
          <cell r="E248" t="str">
            <v>Make sure each scenario sums up to 100%</v>
          </cell>
        </row>
        <row r="249">
          <cell r="C249" t="str">
            <v>Feedstock type</v>
          </cell>
          <cell r="E249">
            <v>2015</v>
          </cell>
          <cell r="F249">
            <v>2016</v>
          </cell>
          <cell r="G249">
            <v>2017</v>
          </cell>
          <cell r="H249">
            <v>2018</v>
          </cell>
          <cell r="I249">
            <v>2019</v>
          </cell>
          <cell r="J249">
            <v>2020</v>
          </cell>
          <cell r="K249">
            <v>2021</v>
          </cell>
          <cell r="L249">
            <v>2022</v>
          </cell>
          <cell r="M249">
            <v>2023</v>
          </cell>
          <cell r="N249">
            <v>2024</v>
          </cell>
          <cell r="O249">
            <v>2025</v>
          </cell>
          <cell r="P249">
            <v>2026</v>
          </cell>
          <cell r="Q249">
            <v>2027</v>
          </cell>
          <cell r="R249">
            <v>2028</v>
          </cell>
          <cell r="S249">
            <v>2029</v>
          </cell>
          <cell r="T249">
            <v>2030</v>
          </cell>
        </row>
        <row r="250">
          <cell r="A250" t="str">
            <v>Drop-in biodiesel feedstocksLowfeedstock 1</v>
          </cell>
          <cell r="C250" t="str">
            <v>Corn stover</v>
          </cell>
          <cell r="D250" t="str">
            <v>feedstock 1</v>
          </cell>
          <cell r="E250">
            <v>9.9999999999999978E-2</v>
          </cell>
          <cell r="F250">
            <v>9.9999999999999978E-2</v>
          </cell>
          <cell r="G250">
            <v>9.9999999999999978E-2</v>
          </cell>
          <cell r="H250">
            <v>9.9999999999999978E-2</v>
          </cell>
          <cell r="I250">
            <v>9.9999999999999978E-2</v>
          </cell>
          <cell r="J250">
            <v>9.9999999999999978E-2</v>
          </cell>
          <cell r="K250">
            <v>9.9999999999999978E-2</v>
          </cell>
          <cell r="L250">
            <v>9.9999999999999978E-2</v>
          </cell>
          <cell r="M250">
            <v>9.9999999999999978E-2</v>
          </cell>
          <cell r="N250">
            <v>9.9999999999999978E-2</v>
          </cell>
          <cell r="O250">
            <v>9.9999999999999978E-2</v>
          </cell>
          <cell r="P250">
            <v>9.9999999999999978E-2</v>
          </cell>
          <cell r="Q250">
            <v>9.9999999999999978E-2</v>
          </cell>
          <cell r="R250">
            <v>9.9999999999999978E-2</v>
          </cell>
          <cell r="S250">
            <v>9.9999999999999978E-2</v>
          </cell>
          <cell r="T250">
            <v>9.9999999999999978E-2</v>
          </cell>
        </row>
        <row r="251">
          <cell r="A251" t="str">
            <v>Drop-in biodiesel feedstocksLowfeedstock 2</v>
          </cell>
          <cell r="C251" t="str">
            <v>MSW</v>
          </cell>
          <cell r="D251" t="str">
            <v>feedstock 2</v>
          </cell>
          <cell r="E251">
            <v>0.1</v>
          </cell>
          <cell r="F251">
            <v>0.1</v>
          </cell>
          <cell r="G251">
            <v>0.1</v>
          </cell>
          <cell r="H251">
            <v>0.1</v>
          </cell>
          <cell r="I251">
            <v>0.1</v>
          </cell>
          <cell r="J251">
            <v>0.1</v>
          </cell>
          <cell r="K251">
            <v>0.1</v>
          </cell>
          <cell r="L251">
            <v>0.1</v>
          </cell>
          <cell r="M251">
            <v>0.1</v>
          </cell>
          <cell r="N251">
            <v>0.1</v>
          </cell>
          <cell r="O251">
            <v>0.1</v>
          </cell>
          <cell r="P251">
            <v>0.1</v>
          </cell>
          <cell r="Q251">
            <v>0.1</v>
          </cell>
          <cell r="R251">
            <v>0.1</v>
          </cell>
          <cell r="S251">
            <v>0.1</v>
          </cell>
          <cell r="T251">
            <v>0.1</v>
          </cell>
        </row>
        <row r="252">
          <cell r="A252" t="str">
            <v>Drop-in biodiesel feedstocksLowfeedstock 3</v>
          </cell>
          <cell r="C252" t="str">
            <v>Woody residues</v>
          </cell>
          <cell r="D252" t="str">
            <v>feedstock 3</v>
          </cell>
          <cell r="E252">
            <v>0.1</v>
          </cell>
          <cell r="F252">
            <v>0.1</v>
          </cell>
          <cell r="G252">
            <v>0.1</v>
          </cell>
          <cell r="H252">
            <v>0.1</v>
          </cell>
          <cell r="I252">
            <v>0.1</v>
          </cell>
          <cell r="J252">
            <v>0.1</v>
          </cell>
          <cell r="K252">
            <v>0.1</v>
          </cell>
          <cell r="L252">
            <v>0.1</v>
          </cell>
          <cell r="M252">
            <v>0.1</v>
          </cell>
          <cell r="N252">
            <v>0.1</v>
          </cell>
          <cell r="O252">
            <v>0.1</v>
          </cell>
          <cell r="P252">
            <v>0.1</v>
          </cell>
          <cell r="Q252">
            <v>0.1</v>
          </cell>
          <cell r="R252">
            <v>0.1</v>
          </cell>
          <cell r="S252">
            <v>0.1</v>
          </cell>
          <cell r="T252">
            <v>0.1</v>
          </cell>
        </row>
        <row r="253">
          <cell r="A253" t="str">
            <v>Drop-in biodiesel feedstocksLowfeedstock 4</v>
          </cell>
          <cell r="C253" t="str">
            <v>Short rotation coppice</v>
          </cell>
          <cell r="D253" t="str">
            <v>feedstock 4</v>
          </cell>
          <cell r="E253">
            <v>0.1</v>
          </cell>
          <cell r="F253">
            <v>0.1</v>
          </cell>
          <cell r="G253">
            <v>0.1</v>
          </cell>
          <cell r="H253">
            <v>0.1</v>
          </cell>
          <cell r="I253">
            <v>0.1</v>
          </cell>
          <cell r="J253">
            <v>0.1</v>
          </cell>
          <cell r="K253">
            <v>0.1</v>
          </cell>
          <cell r="L253">
            <v>0.1</v>
          </cell>
          <cell r="M253">
            <v>0.1</v>
          </cell>
          <cell r="N253">
            <v>0.1</v>
          </cell>
          <cell r="O253">
            <v>0.1</v>
          </cell>
          <cell r="P253">
            <v>0.1</v>
          </cell>
          <cell r="Q253">
            <v>0.1</v>
          </cell>
          <cell r="R253">
            <v>0.1</v>
          </cell>
          <cell r="S253">
            <v>0.1</v>
          </cell>
          <cell r="T253">
            <v>0.1</v>
          </cell>
        </row>
        <row r="254">
          <cell r="A254" t="str">
            <v>Drop-in biodiesel feedstocksLowfeedstock 5</v>
          </cell>
          <cell r="C254" t="str">
            <v>Annual grasses</v>
          </cell>
          <cell r="D254" t="str">
            <v>feedstock 5</v>
          </cell>
          <cell r="E254">
            <v>0.1</v>
          </cell>
          <cell r="F254">
            <v>0.1</v>
          </cell>
          <cell r="G254">
            <v>0.1</v>
          </cell>
          <cell r="H254">
            <v>0.1</v>
          </cell>
          <cell r="I254">
            <v>0.1</v>
          </cell>
          <cell r="J254">
            <v>0.1</v>
          </cell>
          <cell r="K254">
            <v>0.1</v>
          </cell>
          <cell r="L254">
            <v>0.1</v>
          </cell>
          <cell r="M254">
            <v>0.1</v>
          </cell>
          <cell r="N254">
            <v>0.1</v>
          </cell>
          <cell r="O254">
            <v>0.1</v>
          </cell>
          <cell r="P254">
            <v>0.1</v>
          </cell>
          <cell r="Q254">
            <v>0.1</v>
          </cell>
          <cell r="R254">
            <v>0.1</v>
          </cell>
          <cell r="S254">
            <v>0.1</v>
          </cell>
          <cell r="T254">
            <v>0.1</v>
          </cell>
        </row>
        <row r="255">
          <cell r="A255" t="str">
            <v>Drop-in biodiesel feedstocksLowfeedstock 6</v>
          </cell>
          <cell r="C255" t="str">
            <v>Perennial grasses</v>
          </cell>
          <cell r="D255" t="str">
            <v>feedstock 6</v>
          </cell>
          <cell r="E255">
            <v>0.5</v>
          </cell>
          <cell r="F255">
            <v>0.5</v>
          </cell>
          <cell r="G255">
            <v>0.5</v>
          </cell>
          <cell r="H255">
            <v>0.5</v>
          </cell>
          <cell r="I255">
            <v>0.5</v>
          </cell>
          <cell r="J255">
            <v>0.5</v>
          </cell>
          <cell r="K255">
            <v>0.5</v>
          </cell>
          <cell r="L255">
            <v>0.5</v>
          </cell>
          <cell r="M255">
            <v>0.5</v>
          </cell>
          <cell r="N255">
            <v>0.5</v>
          </cell>
          <cell r="O255">
            <v>0.5</v>
          </cell>
          <cell r="P255">
            <v>0.5</v>
          </cell>
          <cell r="Q255">
            <v>0.5</v>
          </cell>
          <cell r="R255">
            <v>0.5</v>
          </cell>
          <cell r="S255">
            <v>0.5</v>
          </cell>
          <cell r="T255">
            <v>0.5</v>
          </cell>
        </row>
        <row r="256">
          <cell r="A256" t="str">
            <v>Drop-in biodiesel feedstocksLow-medfeedstock 1</v>
          </cell>
          <cell r="C256" t="str">
            <v>Corn stover</v>
          </cell>
          <cell r="D256" t="str">
            <v>feedstock 1</v>
          </cell>
          <cell r="E256">
            <v>9.9999999999999978E-2</v>
          </cell>
          <cell r="F256">
            <v>9.9999999999999978E-2</v>
          </cell>
          <cell r="G256">
            <v>9.9999999999999978E-2</v>
          </cell>
          <cell r="H256">
            <v>9.9999999999999978E-2</v>
          </cell>
          <cell r="I256">
            <v>9.9999999999999978E-2</v>
          </cell>
          <cell r="J256">
            <v>9.9999999999999978E-2</v>
          </cell>
          <cell r="K256">
            <v>9.9999999999999978E-2</v>
          </cell>
          <cell r="L256">
            <v>9.9999999999999978E-2</v>
          </cell>
          <cell r="M256">
            <v>9.9999999999999978E-2</v>
          </cell>
          <cell r="N256">
            <v>9.9999999999999978E-2</v>
          </cell>
          <cell r="O256">
            <v>9.9999999999999978E-2</v>
          </cell>
          <cell r="P256">
            <v>9.9999999999999978E-2</v>
          </cell>
          <cell r="Q256">
            <v>9.9999999999999978E-2</v>
          </cell>
          <cell r="R256">
            <v>9.9999999999999978E-2</v>
          </cell>
          <cell r="S256">
            <v>9.9999999999999978E-2</v>
          </cell>
          <cell r="T256">
            <v>9.9999999999999978E-2</v>
          </cell>
        </row>
        <row r="257">
          <cell r="A257" t="str">
            <v>Drop-in biodiesel feedstocksLow-medfeedstock 2</v>
          </cell>
          <cell r="C257" t="str">
            <v>MSW</v>
          </cell>
          <cell r="D257" t="str">
            <v>feedstock 2</v>
          </cell>
          <cell r="E257">
            <v>0.1</v>
          </cell>
          <cell r="F257">
            <v>0.1</v>
          </cell>
          <cell r="G257">
            <v>0.1</v>
          </cell>
          <cell r="H257">
            <v>0.1</v>
          </cell>
          <cell r="I257">
            <v>0.1</v>
          </cell>
          <cell r="J257">
            <v>0.1</v>
          </cell>
          <cell r="K257">
            <v>0.1</v>
          </cell>
          <cell r="L257">
            <v>0.1</v>
          </cell>
          <cell r="M257">
            <v>0.1</v>
          </cell>
          <cell r="N257">
            <v>0.1</v>
          </cell>
          <cell r="O257">
            <v>0.1</v>
          </cell>
          <cell r="P257">
            <v>0.1</v>
          </cell>
          <cell r="Q257">
            <v>0.1</v>
          </cell>
          <cell r="R257">
            <v>0.1</v>
          </cell>
          <cell r="S257">
            <v>0.1</v>
          </cell>
          <cell r="T257">
            <v>0.1</v>
          </cell>
        </row>
        <row r="258">
          <cell r="A258" t="str">
            <v>Drop-in biodiesel feedstocksLow-medfeedstock 3</v>
          </cell>
          <cell r="C258" t="str">
            <v>Woody residues</v>
          </cell>
          <cell r="D258" t="str">
            <v>feedstock 3</v>
          </cell>
          <cell r="E258">
            <v>0.1</v>
          </cell>
          <cell r="F258">
            <v>0.1</v>
          </cell>
          <cell r="G258">
            <v>0.1</v>
          </cell>
          <cell r="H258">
            <v>0.1</v>
          </cell>
          <cell r="I258">
            <v>0.1</v>
          </cell>
          <cell r="J258">
            <v>0.1</v>
          </cell>
          <cell r="K258">
            <v>0.1</v>
          </cell>
          <cell r="L258">
            <v>0.1</v>
          </cell>
          <cell r="M258">
            <v>0.1</v>
          </cell>
          <cell r="N258">
            <v>0.1</v>
          </cell>
          <cell r="O258">
            <v>0.1</v>
          </cell>
          <cell r="P258">
            <v>0.1</v>
          </cell>
          <cell r="Q258">
            <v>0.1</v>
          </cell>
          <cell r="R258">
            <v>0.1</v>
          </cell>
          <cell r="S258">
            <v>0.1</v>
          </cell>
          <cell r="T258">
            <v>0.1</v>
          </cell>
        </row>
        <row r="259">
          <cell r="A259" t="str">
            <v>Drop-in biodiesel feedstocksLow-medfeedstock 4</v>
          </cell>
          <cell r="C259" t="str">
            <v>Short rotation coppice</v>
          </cell>
          <cell r="D259" t="str">
            <v>feedstock 4</v>
          </cell>
          <cell r="E259">
            <v>0.1</v>
          </cell>
          <cell r="F259">
            <v>0.1</v>
          </cell>
          <cell r="G259">
            <v>0.1</v>
          </cell>
          <cell r="H259">
            <v>0.1</v>
          </cell>
          <cell r="I259">
            <v>0.1</v>
          </cell>
          <cell r="J259">
            <v>0.1</v>
          </cell>
          <cell r="K259">
            <v>0.1</v>
          </cell>
          <cell r="L259">
            <v>0.1</v>
          </cell>
          <cell r="M259">
            <v>0.1</v>
          </cell>
          <cell r="N259">
            <v>0.1</v>
          </cell>
          <cell r="O259">
            <v>0.1</v>
          </cell>
          <cell r="P259">
            <v>0.1</v>
          </cell>
          <cell r="Q259">
            <v>0.1</v>
          </cell>
          <cell r="R259">
            <v>0.1</v>
          </cell>
          <cell r="S259">
            <v>0.1</v>
          </cell>
          <cell r="T259">
            <v>0.1</v>
          </cell>
        </row>
        <row r="260">
          <cell r="A260" t="str">
            <v>Drop-in biodiesel feedstocksLow-medfeedstock 5</v>
          </cell>
          <cell r="C260" t="str">
            <v>Annual grasses</v>
          </cell>
          <cell r="D260" t="str">
            <v>feedstock 5</v>
          </cell>
          <cell r="E260">
            <v>0.1</v>
          </cell>
          <cell r="F260">
            <v>0.1</v>
          </cell>
          <cell r="G260">
            <v>0.1</v>
          </cell>
          <cell r="H260">
            <v>0.1</v>
          </cell>
          <cell r="I260">
            <v>0.1</v>
          </cell>
          <cell r="J260">
            <v>0.1</v>
          </cell>
          <cell r="K260">
            <v>0.1</v>
          </cell>
          <cell r="L260">
            <v>0.1</v>
          </cell>
          <cell r="M260">
            <v>0.1</v>
          </cell>
          <cell r="N260">
            <v>0.1</v>
          </cell>
          <cell r="O260">
            <v>0.1</v>
          </cell>
          <cell r="P260">
            <v>0.1</v>
          </cell>
          <cell r="Q260">
            <v>0.1</v>
          </cell>
          <cell r="R260">
            <v>0.1</v>
          </cell>
          <cell r="S260">
            <v>0.1</v>
          </cell>
          <cell r="T260">
            <v>0.1</v>
          </cell>
        </row>
        <row r="261">
          <cell r="A261" t="str">
            <v>Drop-in biodiesel feedstocksLow-medfeedstock 6</v>
          </cell>
          <cell r="C261" t="str">
            <v>Perennial grasses</v>
          </cell>
          <cell r="D261" t="str">
            <v>feedstock 6</v>
          </cell>
          <cell r="E261">
            <v>0.5</v>
          </cell>
          <cell r="F261">
            <v>0.5</v>
          </cell>
          <cell r="G261">
            <v>0.5</v>
          </cell>
          <cell r="H261">
            <v>0.5</v>
          </cell>
          <cell r="I261">
            <v>0.5</v>
          </cell>
          <cell r="J261">
            <v>0.5</v>
          </cell>
          <cell r="K261">
            <v>0.5</v>
          </cell>
          <cell r="L261">
            <v>0.5</v>
          </cell>
          <cell r="M261">
            <v>0.5</v>
          </cell>
          <cell r="N261">
            <v>0.5</v>
          </cell>
          <cell r="O261">
            <v>0.5</v>
          </cell>
          <cell r="P261">
            <v>0.5</v>
          </cell>
          <cell r="Q261">
            <v>0.5</v>
          </cell>
          <cell r="R261">
            <v>0.5</v>
          </cell>
          <cell r="S261">
            <v>0.5</v>
          </cell>
          <cell r="T261">
            <v>0.5</v>
          </cell>
        </row>
        <row r="262">
          <cell r="A262" t="str">
            <v>Drop-in biodiesel feedstocksMediumfeedstock 1</v>
          </cell>
          <cell r="C262" t="str">
            <v>Corn stover</v>
          </cell>
          <cell r="D262" t="str">
            <v>feedstock 1</v>
          </cell>
          <cell r="E262">
            <v>9.9999999999999978E-2</v>
          </cell>
          <cell r="F262">
            <v>9.9999999999999978E-2</v>
          </cell>
          <cell r="G262">
            <v>9.9999999999999978E-2</v>
          </cell>
          <cell r="H262">
            <v>9.9999999999999978E-2</v>
          </cell>
          <cell r="I262">
            <v>9.9999999999999978E-2</v>
          </cell>
          <cell r="J262">
            <v>9.9999999999999978E-2</v>
          </cell>
          <cell r="K262">
            <v>9.9999999999999978E-2</v>
          </cell>
          <cell r="L262">
            <v>9.9999999999999978E-2</v>
          </cell>
          <cell r="M262">
            <v>9.9999999999999978E-2</v>
          </cell>
          <cell r="N262">
            <v>9.9999999999999978E-2</v>
          </cell>
          <cell r="O262">
            <v>9.9999999999999978E-2</v>
          </cell>
          <cell r="P262">
            <v>9.9999999999999978E-2</v>
          </cell>
          <cell r="Q262">
            <v>9.9999999999999978E-2</v>
          </cell>
          <cell r="R262">
            <v>9.9999999999999978E-2</v>
          </cell>
          <cell r="S262">
            <v>9.9999999999999978E-2</v>
          </cell>
          <cell r="T262">
            <v>9.9999999999999978E-2</v>
          </cell>
        </row>
        <row r="263">
          <cell r="A263" t="str">
            <v>Drop-in biodiesel feedstocksMediumfeedstock 2</v>
          </cell>
          <cell r="C263" t="str">
            <v>MSW</v>
          </cell>
          <cell r="D263" t="str">
            <v>feedstock 2</v>
          </cell>
          <cell r="E263">
            <v>0.1</v>
          </cell>
          <cell r="F263">
            <v>0.1</v>
          </cell>
          <cell r="G263">
            <v>0.1</v>
          </cell>
          <cell r="H263">
            <v>0.1</v>
          </cell>
          <cell r="I263">
            <v>0.1</v>
          </cell>
          <cell r="J263">
            <v>0.1</v>
          </cell>
          <cell r="K263">
            <v>0.1</v>
          </cell>
          <cell r="L263">
            <v>0.1</v>
          </cell>
          <cell r="M263">
            <v>0.1</v>
          </cell>
          <cell r="N263">
            <v>0.1</v>
          </cell>
          <cell r="O263">
            <v>0.1</v>
          </cell>
          <cell r="P263">
            <v>0.1</v>
          </cell>
          <cell r="Q263">
            <v>0.1</v>
          </cell>
          <cell r="R263">
            <v>0.1</v>
          </cell>
          <cell r="S263">
            <v>0.1</v>
          </cell>
          <cell r="T263">
            <v>0.1</v>
          </cell>
        </row>
        <row r="264">
          <cell r="A264" t="str">
            <v>Drop-in biodiesel feedstocksMediumfeedstock 3</v>
          </cell>
          <cell r="C264" t="str">
            <v>Woody residues</v>
          </cell>
          <cell r="D264" t="str">
            <v>feedstock 3</v>
          </cell>
          <cell r="E264">
            <v>0.1</v>
          </cell>
          <cell r="F264">
            <v>0.1</v>
          </cell>
          <cell r="G264">
            <v>0.1</v>
          </cell>
          <cell r="H264">
            <v>0.1</v>
          </cell>
          <cell r="I264">
            <v>0.1</v>
          </cell>
          <cell r="J264">
            <v>0.1</v>
          </cell>
          <cell r="K264">
            <v>0.1</v>
          </cell>
          <cell r="L264">
            <v>0.1</v>
          </cell>
          <cell r="M264">
            <v>0.1</v>
          </cell>
          <cell r="N264">
            <v>0.1</v>
          </cell>
          <cell r="O264">
            <v>0.1</v>
          </cell>
          <cell r="P264">
            <v>0.1</v>
          </cell>
          <cell r="Q264">
            <v>0.1</v>
          </cell>
          <cell r="R264">
            <v>0.1</v>
          </cell>
          <cell r="S264">
            <v>0.1</v>
          </cell>
          <cell r="T264">
            <v>0.1</v>
          </cell>
        </row>
        <row r="265">
          <cell r="A265" t="str">
            <v>Drop-in biodiesel feedstocksMediumfeedstock 4</v>
          </cell>
          <cell r="C265" t="str">
            <v>Short rotation coppice</v>
          </cell>
          <cell r="D265" t="str">
            <v>feedstock 4</v>
          </cell>
          <cell r="E265">
            <v>0.1</v>
          </cell>
          <cell r="F265">
            <v>0.1</v>
          </cell>
          <cell r="G265">
            <v>0.1</v>
          </cell>
          <cell r="H265">
            <v>0.1</v>
          </cell>
          <cell r="I265">
            <v>0.1</v>
          </cell>
          <cell r="J265">
            <v>0.1</v>
          </cell>
          <cell r="K265">
            <v>0.1</v>
          </cell>
          <cell r="L265">
            <v>0.1</v>
          </cell>
          <cell r="M265">
            <v>0.1</v>
          </cell>
          <cell r="N265">
            <v>0.1</v>
          </cell>
          <cell r="O265">
            <v>0.1</v>
          </cell>
          <cell r="P265">
            <v>0.1</v>
          </cell>
          <cell r="Q265">
            <v>0.1</v>
          </cell>
          <cell r="R265">
            <v>0.1</v>
          </cell>
          <cell r="S265">
            <v>0.1</v>
          </cell>
          <cell r="T265">
            <v>0.1</v>
          </cell>
        </row>
        <row r="266">
          <cell r="A266" t="str">
            <v>Drop-in biodiesel feedstocksMediumfeedstock 5</v>
          </cell>
          <cell r="C266" t="str">
            <v>Annual grasses</v>
          </cell>
          <cell r="D266" t="str">
            <v>feedstock 5</v>
          </cell>
          <cell r="E266">
            <v>0.1</v>
          </cell>
          <cell r="F266">
            <v>0.1</v>
          </cell>
          <cell r="G266">
            <v>0.1</v>
          </cell>
          <cell r="H266">
            <v>0.1</v>
          </cell>
          <cell r="I266">
            <v>0.1</v>
          </cell>
          <cell r="J266">
            <v>0.1</v>
          </cell>
          <cell r="K266">
            <v>0.1</v>
          </cell>
          <cell r="L266">
            <v>0.1</v>
          </cell>
          <cell r="M266">
            <v>0.1</v>
          </cell>
          <cell r="N266">
            <v>0.1</v>
          </cell>
          <cell r="O266">
            <v>0.1</v>
          </cell>
          <cell r="P266">
            <v>0.1</v>
          </cell>
          <cell r="Q266">
            <v>0.1</v>
          </cell>
          <cell r="R266">
            <v>0.1</v>
          </cell>
          <cell r="S266">
            <v>0.1</v>
          </cell>
          <cell r="T266">
            <v>0.1</v>
          </cell>
        </row>
        <row r="267">
          <cell r="A267" t="str">
            <v>Drop-in biodiesel feedstocksMediumfeedstock 6</v>
          </cell>
          <cell r="C267" t="str">
            <v>Perennial grasses</v>
          </cell>
          <cell r="D267" t="str">
            <v>feedstock 6</v>
          </cell>
          <cell r="E267">
            <v>0.5</v>
          </cell>
          <cell r="F267">
            <v>0.5</v>
          </cell>
          <cell r="G267">
            <v>0.5</v>
          </cell>
          <cell r="H267">
            <v>0.5</v>
          </cell>
          <cell r="I267">
            <v>0.5</v>
          </cell>
          <cell r="J267">
            <v>0.5</v>
          </cell>
          <cell r="K267">
            <v>0.5</v>
          </cell>
          <cell r="L267">
            <v>0.5</v>
          </cell>
          <cell r="M267">
            <v>0.5</v>
          </cell>
          <cell r="N267">
            <v>0.5</v>
          </cell>
          <cell r="O267">
            <v>0.5</v>
          </cell>
          <cell r="P267">
            <v>0.5</v>
          </cell>
          <cell r="Q267">
            <v>0.5</v>
          </cell>
          <cell r="R267">
            <v>0.5</v>
          </cell>
          <cell r="S267">
            <v>0.5</v>
          </cell>
          <cell r="T267">
            <v>0.5</v>
          </cell>
        </row>
        <row r="268">
          <cell r="A268" t="str">
            <v>Drop-in biodiesel feedstocksMed-highfeedstock 1</v>
          </cell>
          <cell r="C268" t="str">
            <v>Corn stover</v>
          </cell>
          <cell r="D268" t="str">
            <v>feedstock 1</v>
          </cell>
          <cell r="E268">
            <v>9.9999999999999978E-2</v>
          </cell>
          <cell r="F268">
            <v>9.9999999999999978E-2</v>
          </cell>
          <cell r="G268">
            <v>9.9999999999999978E-2</v>
          </cell>
          <cell r="H268">
            <v>9.9999999999999978E-2</v>
          </cell>
          <cell r="I268">
            <v>9.9999999999999978E-2</v>
          </cell>
          <cell r="J268">
            <v>9.9999999999999978E-2</v>
          </cell>
          <cell r="K268">
            <v>9.9999999999999978E-2</v>
          </cell>
          <cell r="L268">
            <v>9.9999999999999978E-2</v>
          </cell>
          <cell r="M268">
            <v>9.9999999999999978E-2</v>
          </cell>
          <cell r="N268">
            <v>9.9999999999999978E-2</v>
          </cell>
          <cell r="O268">
            <v>9.9999999999999978E-2</v>
          </cell>
          <cell r="P268">
            <v>9.9999999999999978E-2</v>
          </cell>
          <cell r="Q268">
            <v>9.9999999999999978E-2</v>
          </cell>
          <cell r="R268">
            <v>9.9999999999999978E-2</v>
          </cell>
          <cell r="S268">
            <v>9.9999999999999978E-2</v>
          </cell>
          <cell r="T268">
            <v>9.9999999999999978E-2</v>
          </cell>
        </row>
        <row r="269">
          <cell r="A269" t="str">
            <v>Drop-in biodiesel feedstocksMed-highfeedstock 2</v>
          </cell>
          <cell r="C269" t="str">
            <v>MSW</v>
          </cell>
          <cell r="D269" t="str">
            <v>feedstock 2</v>
          </cell>
          <cell r="E269">
            <v>0.1</v>
          </cell>
          <cell r="F269">
            <v>0.1</v>
          </cell>
          <cell r="G269">
            <v>0.1</v>
          </cell>
          <cell r="H269">
            <v>0.1</v>
          </cell>
          <cell r="I269">
            <v>0.1</v>
          </cell>
          <cell r="J269">
            <v>0.1</v>
          </cell>
          <cell r="K269">
            <v>0.1</v>
          </cell>
          <cell r="L269">
            <v>0.1</v>
          </cell>
          <cell r="M269">
            <v>0.1</v>
          </cell>
          <cell r="N269">
            <v>0.1</v>
          </cell>
          <cell r="O269">
            <v>0.1</v>
          </cell>
          <cell r="P269">
            <v>0.1</v>
          </cell>
          <cell r="Q269">
            <v>0.1</v>
          </cell>
          <cell r="R269">
            <v>0.1</v>
          </cell>
          <cell r="S269">
            <v>0.1</v>
          </cell>
          <cell r="T269">
            <v>0.1</v>
          </cell>
        </row>
        <row r="270">
          <cell r="A270" t="str">
            <v>Drop-in biodiesel feedstocksMed-highfeedstock 3</v>
          </cell>
          <cell r="C270" t="str">
            <v>Woody residues</v>
          </cell>
          <cell r="D270" t="str">
            <v>feedstock 3</v>
          </cell>
          <cell r="E270">
            <v>0.1</v>
          </cell>
          <cell r="F270">
            <v>0.1</v>
          </cell>
          <cell r="G270">
            <v>0.1</v>
          </cell>
          <cell r="H270">
            <v>0.1</v>
          </cell>
          <cell r="I270">
            <v>0.1</v>
          </cell>
          <cell r="J270">
            <v>0.1</v>
          </cell>
          <cell r="K270">
            <v>0.1</v>
          </cell>
          <cell r="L270">
            <v>0.1</v>
          </cell>
          <cell r="M270">
            <v>0.1</v>
          </cell>
          <cell r="N270">
            <v>0.1</v>
          </cell>
          <cell r="O270">
            <v>0.1</v>
          </cell>
          <cell r="P270">
            <v>0.1</v>
          </cell>
          <cell r="Q270">
            <v>0.1</v>
          </cell>
          <cell r="R270">
            <v>0.1</v>
          </cell>
          <cell r="S270">
            <v>0.1</v>
          </cell>
          <cell r="T270">
            <v>0.1</v>
          </cell>
        </row>
        <row r="271">
          <cell r="A271" t="str">
            <v>Drop-in biodiesel feedstocksMed-highfeedstock 4</v>
          </cell>
          <cell r="C271" t="str">
            <v>Short rotation coppice</v>
          </cell>
          <cell r="D271" t="str">
            <v>feedstock 4</v>
          </cell>
          <cell r="E271">
            <v>0.1</v>
          </cell>
          <cell r="F271">
            <v>0.1</v>
          </cell>
          <cell r="G271">
            <v>0.1</v>
          </cell>
          <cell r="H271">
            <v>0.1</v>
          </cell>
          <cell r="I271">
            <v>0.1</v>
          </cell>
          <cell r="J271">
            <v>0.1</v>
          </cell>
          <cell r="K271">
            <v>0.1</v>
          </cell>
          <cell r="L271">
            <v>0.1</v>
          </cell>
          <cell r="M271">
            <v>0.1</v>
          </cell>
          <cell r="N271">
            <v>0.1</v>
          </cell>
          <cell r="O271">
            <v>0.1</v>
          </cell>
          <cell r="P271">
            <v>0.1</v>
          </cell>
          <cell r="Q271">
            <v>0.1</v>
          </cell>
          <cell r="R271">
            <v>0.1</v>
          </cell>
          <cell r="S271">
            <v>0.1</v>
          </cell>
          <cell r="T271">
            <v>0.1</v>
          </cell>
        </row>
        <row r="272">
          <cell r="A272" t="str">
            <v>Drop-in biodiesel feedstocksMed-highfeedstock 5</v>
          </cell>
          <cell r="C272" t="str">
            <v>Annual grasses</v>
          </cell>
          <cell r="D272" t="str">
            <v>feedstock 5</v>
          </cell>
          <cell r="E272">
            <v>0.1</v>
          </cell>
          <cell r="F272">
            <v>0.1</v>
          </cell>
          <cell r="G272">
            <v>0.1</v>
          </cell>
          <cell r="H272">
            <v>0.1</v>
          </cell>
          <cell r="I272">
            <v>0.1</v>
          </cell>
          <cell r="J272">
            <v>0.1</v>
          </cell>
          <cell r="K272">
            <v>0.1</v>
          </cell>
          <cell r="L272">
            <v>0.1</v>
          </cell>
          <cell r="M272">
            <v>0.1</v>
          </cell>
          <cell r="N272">
            <v>0.1</v>
          </cell>
          <cell r="O272">
            <v>0.1</v>
          </cell>
          <cell r="P272">
            <v>0.1</v>
          </cell>
          <cell r="Q272">
            <v>0.1</v>
          </cell>
          <cell r="R272">
            <v>0.1</v>
          </cell>
          <cell r="S272">
            <v>0.1</v>
          </cell>
          <cell r="T272">
            <v>0.1</v>
          </cell>
        </row>
        <row r="273">
          <cell r="A273" t="str">
            <v>Drop-in biodiesel feedstocksMed-highfeedstock 6</v>
          </cell>
          <cell r="C273" t="str">
            <v>Perennial grasses</v>
          </cell>
          <cell r="D273" t="str">
            <v>feedstock 6</v>
          </cell>
          <cell r="E273">
            <v>0.5</v>
          </cell>
          <cell r="F273">
            <v>0.5</v>
          </cell>
          <cell r="G273">
            <v>0.5</v>
          </cell>
          <cell r="H273">
            <v>0.5</v>
          </cell>
          <cell r="I273">
            <v>0.5</v>
          </cell>
          <cell r="J273">
            <v>0.5</v>
          </cell>
          <cell r="K273">
            <v>0.5</v>
          </cell>
          <cell r="L273">
            <v>0.5</v>
          </cell>
          <cell r="M273">
            <v>0.5</v>
          </cell>
          <cell r="N273">
            <v>0.5</v>
          </cell>
          <cell r="O273">
            <v>0.5</v>
          </cell>
          <cell r="P273">
            <v>0.5</v>
          </cell>
          <cell r="Q273">
            <v>0.5</v>
          </cell>
          <cell r="R273">
            <v>0.5</v>
          </cell>
          <cell r="S273">
            <v>0.5</v>
          </cell>
          <cell r="T273">
            <v>0.5</v>
          </cell>
        </row>
        <row r="274">
          <cell r="A274" t="str">
            <v>Drop-in biodiesel feedstocksHighfeedstock 1</v>
          </cell>
          <cell r="C274" t="str">
            <v>Corn stover</v>
          </cell>
          <cell r="D274" t="str">
            <v>feedstock 1</v>
          </cell>
          <cell r="E274">
            <v>9.9999999999999978E-2</v>
          </cell>
          <cell r="F274">
            <v>9.9999999999999978E-2</v>
          </cell>
          <cell r="G274">
            <v>9.9999999999999978E-2</v>
          </cell>
          <cell r="H274">
            <v>9.9999999999999978E-2</v>
          </cell>
          <cell r="I274">
            <v>9.9999999999999978E-2</v>
          </cell>
          <cell r="J274">
            <v>9.9999999999999978E-2</v>
          </cell>
          <cell r="K274">
            <v>9.9999999999999978E-2</v>
          </cell>
          <cell r="L274">
            <v>9.9999999999999978E-2</v>
          </cell>
          <cell r="M274">
            <v>9.9999999999999978E-2</v>
          </cell>
          <cell r="N274">
            <v>9.9999999999999978E-2</v>
          </cell>
          <cell r="O274">
            <v>9.9999999999999978E-2</v>
          </cell>
          <cell r="P274">
            <v>9.9999999999999978E-2</v>
          </cell>
          <cell r="Q274">
            <v>9.9999999999999978E-2</v>
          </cell>
          <cell r="R274">
            <v>9.9999999999999978E-2</v>
          </cell>
          <cell r="S274">
            <v>9.9999999999999978E-2</v>
          </cell>
          <cell r="T274">
            <v>9.9999999999999978E-2</v>
          </cell>
        </row>
        <row r="275">
          <cell r="A275" t="str">
            <v>Drop-in biodiesel feedstocksHighfeedstock 2</v>
          </cell>
          <cell r="C275" t="str">
            <v>MSW</v>
          </cell>
          <cell r="D275" t="str">
            <v>feedstock 2</v>
          </cell>
          <cell r="E275">
            <v>0.1</v>
          </cell>
          <cell r="F275">
            <v>0.1</v>
          </cell>
          <cell r="G275">
            <v>0.1</v>
          </cell>
          <cell r="H275">
            <v>0.1</v>
          </cell>
          <cell r="I275">
            <v>0.1</v>
          </cell>
          <cell r="J275">
            <v>0.1</v>
          </cell>
          <cell r="K275">
            <v>0.1</v>
          </cell>
          <cell r="L275">
            <v>0.1</v>
          </cell>
          <cell r="M275">
            <v>0.1</v>
          </cell>
          <cell r="N275">
            <v>0.1</v>
          </cell>
          <cell r="O275">
            <v>0.1</v>
          </cell>
          <cell r="P275">
            <v>0.1</v>
          </cell>
          <cell r="Q275">
            <v>0.1</v>
          </cell>
          <cell r="R275">
            <v>0.1</v>
          </cell>
          <cell r="S275">
            <v>0.1</v>
          </cell>
          <cell r="T275">
            <v>0.1</v>
          </cell>
        </row>
        <row r="276">
          <cell r="A276" t="str">
            <v>Drop-in biodiesel feedstocksHighfeedstock 3</v>
          </cell>
          <cell r="C276" t="str">
            <v>Woody residues</v>
          </cell>
          <cell r="D276" t="str">
            <v>feedstock 3</v>
          </cell>
          <cell r="E276">
            <v>0.1</v>
          </cell>
          <cell r="F276">
            <v>0.1</v>
          </cell>
          <cell r="G276">
            <v>0.1</v>
          </cell>
          <cell r="H276">
            <v>0.1</v>
          </cell>
          <cell r="I276">
            <v>0.1</v>
          </cell>
          <cell r="J276">
            <v>0.1</v>
          </cell>
          <cell r="K276">
            <v>0.1</v>
          </cell>
          <cell r="L276">
            <v>0.1</v>
          </cell>
          <cell r="M276">
            <v>0.1</v>
          </cell>
          <cell r="N276">
            <v>0.1</v>
          </cell>
          <cell r="O276">
            <v>0.1</v>
          </cell>
          <cell r="P276">
            <v>0.1</v>
          </cell>
          <cell r="Q276">
            <v>0.1</v>
          </cell>
          <cell r="R276">
            <v>0.1</v>
          </cell>
          <cell r="S276">
            <v>0.1</v>
          </cell>
          <cell r="T276">
            <v>0.1</v>
          </cell>
        </row>
        <row r="277">
          <cell r="A277" t="str">
            <v>Drop-in biodiesel feedstocksHighfeedstock 4</v>
          </cell>
          <cell r="C277" t="str">
            <v>Short rotation coppice</v>
          </cell>
          <cell r="D277" t="str">
            <v>feedstock 4</v>
          </cell>
          <cell r="E277">
            <v>0.1</v>
          </cell>
          <cell r="F277">
            <v>0.1</v>
          </cell>
          <cell r="G277">
            <v>0.1</v>
          </cell>
          <cell r="H277">
            <v>0.1</v>
          </cell>
          <cell r="I277">
            <v>0.1</v>
          </cell>
          <cell r="J277">
            <v>0.1</v>
          </cell>
          <cell r="K277">
            <v>0.1</v>
          </cell>
          <cell r="L277">
            <v>0.1</v>
          </cell>
          <cell r="M277">
            <v>0.1</v>
          </cell>
          <cell r="N277">
            <v>0.1</v>
          </cell>
          <cell r="O277">
            <v>0.1</v>
          </cell>
          <cell r="P277">
            <v>0.1</v>
          </cell>
          <cell r="Q277">
            <v>0.1</v>
          </cell>
          <cell r="R277">
            <v>0.1</v>
          </cell>
          <cell r="S277">
            <v>0.1</v>
          </cell>
          <cell r="T277">
            <v>0.1</v>
          </cell>
        </row>
        <row r="278">
          <cell r="A278" t="str">
            <v>Drop-in biodiesel feedstocksHighfeedstock 5</v>
          </cell>
          <cell r="C278" t="str">
            <v>Annual grasses</v>
          </cell>
          <cell r="D278" t="str">
            <v>feedstock 5</v>
          </cell>
          <cell r="E278">
            <v>0.1</v>
          </cell>
          <cell r="F278">
            <v>0.1</v>
          </cell>
          <cell r="G278">
            <v>0.1</v>
          </cell>
          <cell r="H278">
            <v>0.1</v>
          </cell>
          <cell r="I278">
            <v>0.1</v>
          </cell>
          <cell r="J278">
            <v>0.1</v>
          </cell>
          <cell r="K278">
            <v>0.1</v>
          </cell>
          <cell r="L278">
            <v>0.1</v>
          </cell>
          <cell r="M278">
            <v>0.1</v>
          </cell>
          <cell r="N278">
            <v>0.1</v>
          </cell>
          <cell r="O278">
            <v>0.1</v>
          </cell>
          <cell r="P278">
            <v>0.1</v>
          </cell>
          <cell r="Q278">
            <v>0.1</v>
          </cell>
          <cell r="R278">
            <v>0.1</v>
          </cell>
          <cell r="S278">
            <v>0.1</v>
          </cell>
          <cell r="T278">
            <v>0.1</v>
          </cell>
        </row>
        <row r="279">
          <cell r="A279" t="str">
            <v>Drop-in biodiesel feedstocksHighfeedstock 6</v>
          </cell>
          <cell r="C279" t="str">
            <v>Perennial grasses</v>
          </cell>
          <cell r="D279" t="str">
            <v>feedstock 6</v>
          </cell>
          <cell r="E279">
            <v>0.5</v>
          </cell>
          <cell r="F279">
            <v>0.5</v>
          </cell>
          <cell r="G279">
            <v>0.5</v>
          </cell>
          <cell r="H279">
            <v>0.5</v>
          </cell>
          <cell r="I279">
            <v>0.5</v>
          </cell>
          <cell r="J279">
            <v>0.5</v>
          </cell>
          <cell r="K279">
            <v>0.5</v>
          </cell>
          <cell r="L279">
            <v>0.5</v>
          </cell>
          <cell r="M279">
            <v>0.5</v>
          </cell>
          <cell r="N279">
            <v>0.5</v>
          </cell>
          <cell r="O279">
            <v>0.5</v>
          </cell>
          <cell r="P279">
            <v>0.5</v>
          </cell>
          <cell r="Q279">
            <v>0.5</v>
          </cell>
          <cell r="R279">
            <v>0.5</v>
          </cell>
          <cell r="S279">
            <v>0.5</v>
          </cell>
          <cell r="T279">
            <v>0.5</v>
          </cell>
        </row>
        <row r="282">
          <cell r="C282" t="str">
            <v>Drop-in biogasoline feedstocks</v>
          </cell>
          <cell r="D282" t="str">
            <v>%</v>
          </cell>
          <cell r="E282" t="str">
            <v>Make sure each scenario sums up to 100%</v>
          </cell>
        </row>
        <row r="283">
          <cell r="C283" t="str">
            <v>Feedstock type</v>
          </cell>
          <cell r="E283">
            <v>2015</v>
          </cell>
          <cell r="F283">
            <v>2016</v>
          </cell>
          <cell r="G283">
            <v>2017</v>
          </cell>
          <cell r="H283">
            <v>2018</v>
          </cell>
          <cell r="I283">
            <v>2019</v>
          </cell>
          <cell r="J283">
            <v>2020</v>
          </cell>
          <cell r="K283">
            <v>2021</v>
          </cell>
          <cell r="L283">
            <v>2022</v>
          </cell>
          <cell r="M283">
            <v>2023</v>
          </cell>
          <cell r="N283">
            <v>2024</v>
          </cell>
          <cell r="O283">
            <v>2025</v>
          </cell>
          <cell r="P283">
            <v>2026</v>
          </cell>
          <cell r="Q283">
            <v>2027</v>
          </cell>
          <cell r="R283">
            <v>2028</v>
          </cell>
          <cell r="S283">
            <v>2029</v>
          </cell>
          <cell r="T283">
            <v>2030</v>
          </cell>
        </row>
        <row r="284">
          <cell r="A284" t="str">
            <v>Drop-in biogasoline feedstocksLowfeedstock 1</v>
          </cell>
          <cell r="C284" t="str">
            <v>Corn stover</v>
          </cell>
          <cell r="D284" t="str">
            <v>feedstock 1</v>
          </cell>
          <cell r="E284">
            <v>9.9999999999999978E-2</v>
          </cell>
          <cell r="F284">
            <v>9.9999999999999978E-2</v>
          </cell>
          <cell r="G284">
            <v>9.9999999999999978E-2</v>
          </cell>
          <cell r="H284">
            <v>9.9999999999999978E-2</v>
          </cell>
          <cell r="I284">
            <v>9.9999999999999978E-2</v>
          </cell>
          <cell r="J284">
            <v>9.9999999999999978E-2</v>
          </cell>
          <cell r="K284">
            <v>9.9999999999999978E-2</v>
          </cell>
          <cell r="L284">
            <v>9.9999999999999978E-2</v>
          </cell>
          <cell r="M284">
            <v>9.9999999999999978E-2</v>
          </cell>
          <cell r="N284">
            <v>9.9999999999999978E-2</v>
          </cell>
          <cell r="O284">
            <v>9.9999999999999978E-2</v>
          </cell>
          <cell r="P284">
            <v>9.9999999999999978E-2</v>
          </cell>
          <cell r="Q284">
            <v>9.9999999999999978E-2</v>
          </cell>
          <cell r="R284">
            <v>9.9999999999999978E-2</v>
          </cell>
          <cell r="S284">
            <v>9.9999999999999978E-2</v>
          </cell>
          <cell r="T284">
            <v>9.9999999999999978E-2</v>
          </cell>
        </row>
        <row r="285">
          <cell r="A285" t="str">
            <v>Drop-in biogasoline feedstocksLowfeedstock 2</v>
          </cell>
          <cell r="C285" t="str">
            <v>MSW</v>
          </cell>
          <cell r="D285" t="str">
            <v>feedstock 2</v>
          </cell>
          <cell r="E285">
            <v>0.1</v>
          </cell>
          <cell r="F285">
            <v>0.1</v>
          </cell>
          <cell r="G285">
            <v>0.1</v>
          </cell>
          <cell r="H285">
            <v>0.1</v>
          </cell>
          <cell r="I285">
            <v>0.1</v>
          </cell>
          <cell r="J285">
            <v>0.1</v>
          </cell>
          <cell r="K285">
            <v>0.1</v>
          </cell>
          <cell r="L285">
            <v>0.1</v>
          </cell>
          <cell r="M285">
            <v>0.1</v>
          </cell>
          <cell r="N285">
            <v>0.1</v>
          </cell>
          <cell r="O285">
            <v>0.1</v>
          </cell>
          <cell r="P285">
            <v>0.1</v>
          </cell>
          <cell r="Q285">
            <v>0.1</v>
          </cell>
          <cell r="R285">
            <v>0.1</v>
          </cell>
          <cell r="S285">
            <v>0.1</v>
          </cell>
          <cell r="T285">
            <v>0.1</v>
          </cell>
        </row>
        <row r="286">
          <cell r="A286" t="str">
            <v>Drop-in biogasoline feedstocksLowfeedstock 3</v>
          </cell>
          <cell r="C286" t="str">
            <v>Woody residues</v>
          </cell>
          <cell r="D286" t="str">
            <v>feedstock 3</v>
          </cell>
          <cell r="E286">
            <v>0.1</v>
          </cell>
          <cell r="F286">
            <v>0.1</v>
          </cell>
          <cell r="G286">
            <v>0.1</v>
          </cell>
          <cell r="H286">
            <v>0.1</v>
          </cell>
          <cell r="I286">
            <v>0.1</v>
          </cell>
          <cell r="J286">
            <v>0.1</v>
          </cell>
          <cell r="K286">
            <v>0.1</v>
          </cell>
          <cell r="L286">
            <v>0.1</v>
          </cell>
          <cell r="M286">
            <v>0.1</v>
          </cell>
          <cell r="N286">
            <v>0.1</v>
          </cell>
          <cell r="O286">
            <v>0.1</v>
          </cell>
          <cell r="P286">
            <v>0.1</v>
          </cell>
          <cell r="Q286">
            <v>0.1</v>
          </cell>
          <cell r="R286">
            <v>0.1</v>
          </cell>
          <cell r="S286">
            <v>0.1</v>
          </cell>
          <cell r="T286">
            <v>0.1</v>
          </cell>
        </row>
        <row r="287">
          <cell r="A287" t="str">
            <v>Drop-in biogasoline feedstocksLowfeedstock 4</v>
          </cell>
          <cell r="C287" t="str">
            <v>Short rotation coppice</v>
          </cell>
          <cell r="D287" t="str">
            <v>feedstock 4</v>
          </cell>
          <cell r="E287">
            <v>0.1</v>
          </cell>
          <cell r="F287">
            <v>0.1</v>
          </cell>
          <cell r="G287">
            <v>0.1</v>
          </cell>
          <cell r="H287">
            <v>0.1</v>
          </cell>
          <cell r="I287">
            <v>0.1</v>
          </cell>
          <cell r="J287">
            <v>0.1</v>
          </cell>
          <cell r="K287">
            <v>0.1</v>
          </cell>
          <cell r="L287">
            <v>0.1</v>
          </cell>
          <cell r="M287">
            <v>0.1</v>
          </cell>
          <cell r="N287">
            <v>0.1</v>
          </cell>
          <cell r="O287">
            <v>0.1</v>
          </cell>
          <cell r="P287">
            <v>0.1</v>
          </cell>
          <cell r="Q287">
            <v>0.1</v>
          </cell>
          <cell r="R287">
            <v>0.1</v>
          </cell>
          <cell r="S287">
            <v>0.1</v>
          </cell>
          <cell r="T287">
            <v>0.1</v>
          </cell>
        </row>
        <row r="288">
          <cell r="A288" t="str">
            <v>Drop-in biogasoline feedstocksLowfeedstock 5</v>
          </cell>
          <cell r="C288" t="str">
            <v>Annual grasses</v>
          </cell>
          <cell r="D288" t="str">
            <v>feedstock 5</v>
          </cell>
          <cell r="E288">
            <v>0.1</v>
          </cell>
          <cell r="F288">
            <v>0.1</v>
          </cell>
          <cell r="G288">
            <v>0.1</v>
          </cell>
          <cell r="H288">
            <v>0.1</v>
          </cell>
          <cell r="I288">
            <v>0.1</v>
          </cell>
          <cell r="J288">
            <v>0.1</v>
          </cell>
          <cell r="K288">
            <v>0.1</v>
          </cell>
          <cell r="L288">
            <v>0.1</v>
          </cell>
          <cell r="M288">
            <v>0.1</v>
          </cell>
          <cell r="N288">
            <v>0.1</v>
          </cell>
          <cell r="O288">
            <v>0.1</v>
          </cell>
          <cell r="P288">
            <v>0.1</v>
          </cell>
          <cell r="Q288">
            <v>0.1</v>
          </cell>
          <cell r="R288">
            <v>0.1</v>
          </cell>
          <cell r="S288">
            <v>0.1</v>
          </cell>
          <cell r="T288">
            <v>0.1</v>
          </cell>
        </row>
        <row r="289">
          <cell r="A289" t="str">
            <v>Drop-in biogasoline feedstocksLowfeedstock 6</v>
          </cell>
          <cell r="C289" t="str">
            <v>Perennial grasses</v>
          </cell>
          <cell r="D289" t="str">
            <v>feedstock 6</v>
          </cell>
          <cell r="E289">
            <v>0.5</v>
          </cell>
          <cell r="F289">
            <v>0.5</v>
          </cell>
          <cell r="G289">
            <v>0.5</v>
          </cell>
          <cell r="H289">
            <v>0.5</v>
          </cell>
          <cell r="I289">
            <v>0.5</v>
          </cell>
          <cell r="J289">
            <v>0.5</v>
          </cell>
          <cell r="K289">
            <v>0.5</v>
          </cell>
          <cell r="L289">
            <v>0.5</v>
          </cell>
          <cell r="M289">
            <v>0.5</v>
          </cell>
          <cell r="N289">
            <v>0.5</v>
          </cell>
          <cell r="O289">
            <v>0.5</v>
          </cell>
          <cell r="P289">
            <v>0.5</v>
          </cell>
          <cell r="Q289">
            <v>0.5</v>
          </cell>
          <cell r="R289">
            <v>0.5</v>
          </cell>
          <cell r="S289">
            <v>0.5</v>
          </cell>
          <cell r="T289">
            <v>0.5</v>
          </cell>
        </row>
        <row r="290">
          <cell r="A290" t="str">
            <v>Drop-in biogasoline feedstocksLow-medfeedstock 1</v>
          </cell>
          <cell r="C290" t="str">
            <v>Corn stover</v>
          </cell>
          <cell r="D290" t="str">
            <v>feedstock 1</v>
          </cell>
          <cell r="E290">
            <v>9.9999999999999978E-2</v>
          </cell>
          <cell r="F290">
            <v>9.9999999999999978E-2</v>
          </cell>
          <cell r="G290">
            <v>9.9999999999999978E-2</v>
          </cell>
          <cell r="H290">
            <v>9.9999999999999978E-2</v>
          </cell>
          <cell r="I290">
            <v>9.9999999999999978E-2</v>
          </cell>
          <cell r="J290">
            <v>9.9999999999999978E-2</v>
          </cell>
          <cell r="K290">
            <v>9.9999999999999978E-2</v>
          </cell>
          <cell r="L290">
            <v>9.9999999999999978E-2</v>
          </cell>
          <cell r="M290">
            <v>9.9999999999999978E-2</v>
          </cell>
          <cell r="N290">
            <v>9.9999999999999978E-2</v>
          </cell>
          <cell r="O290">
            <v>9.9999999999999978E-2</v>
          </cell>
          <cell r="P290">
            <v>9.9999999999999978E-2</v>
          </cell>
          <cell r="Q290">
            <v>9.9999999999999978E-2</v>
          </cell>
          <cell r="R290">
            <v>9.9999999999999978E-2</v>
          </cell>
          <cell r="S290">
            <v>9.9999999999999978E-2</v>
          </cell>
          <cell r="T290">
            <v>9.9999999999999978E-2</v>
          </cell>
        </row>
        <row r="291">
          <cell r="A291" t="str">
            <v>Drop-in biogasoline feedstocksLow-medfeedstock 2</v>
          </cell>
          <cell r="C291" t="str">
            <v>MSW</v>
          </cell>
          <cell r="D291" t="str">
            <v>feedstock 2</v>
          </cell>
          <cell r="E291">
            <v>0.1</v>
          </cell>
          <cell r="F291">
            <v>0.1</v>
          </cell>
          <cell r="G291">
            <v>0.1</v>
          </cell>
          <cell r="H291">
            <v>0.1</v>
          </cell>
          <cell r="I291">
            <v>0.1</v>
          </cell>
          <cell r="J291">
            <v>0.1</v>
          </cell>
          <cell r="K291">
            <v>0.1</v>
          </cell>
          <cell r="L291">
            <v>0.1</v>
          </cell>
          <cell r="M291">
            <v>0.1</v>
          </cell>
          <cell r="N291">
            <v>0.1</v>
          </cell>
          <cell r="O291">
            <v>0.1</v>
          </cell>
          <cell r="P291">
            <v>0.1</v>
          </cell>
          <cell r="Q291">
            <v>0.1</v>
          </cell>
          <cell r="R291">
            <v>0.1</v>
          </cell>
          <cell r="S291">
            <v>0.1</v>
          </cell>
          <cell r="T291">
            <v>0.1</v>
          </cell>
        </row>
        <row r="292">
          <cell r="A292" t="str">
            <v>Drop-in biogasoline feedstocksLow-medfeedstock 3</v>
          </cell>
          <cell r="C292" t="str">
            <v>Woody residues</v>
          </cell>
          <cell r="D292" t="str">
            <v>feedstock 3</v>
          </cell>
          <cell r="E292">
            <v>0.1</v>
          </cell>
          <cell r="F292">
            <v>0.1</v>
          </cell>
          <cell r="G292">
            <v>0.1</v>
          </cell>
          <cell r="H292">
            <v>0.1</v>
          </cell>
          <cell r="I292">
            <v>0.1</v>
          </cell>
          <cell r="J292">
            <v>0.1</v>
          </cell>
          <cell r="K292">
            <v>0.1</v>
          </cell>
          <cell r="L292">
            <v>0.1</v>
          </cell>
          <cell r="M292">
            <v>0.1</v>
          </cell>
          <cell r="N292">
            <v>0.1</v>
          </cell>
          <cell r="O292">
            <v>0.1</v>
          </cell>
          <cell r="P292">
            <v>0.1</v>
          </cell>
          <cell r="Q292">
            <v>0.1</v>
          </cell>
          <cell r="R292">
            <v>0.1</v>
          </cell>
          <cell r="S292">
            <v>0.1</v>
          </cell>
          <cell r="T292">
            <v>0.1</v>
          </cell>
        </row>
        <row r="293">
          <cell r="A293" t="str">
            <v>Drop-in biogasoline feedstocksLow-medfeedstock 4</v>
          </cell>
          <cell r="C293" t="str">
            <v>Short rotation coppice</v>
          </cell>
          <cell r="D293" t="str">
            <v>feedstock 4</v>
          </cell>
          <cell r="E293">
            <v>0.1</v>
          </cell>
          <cell r="F293">
            <v>0.1</v>
          </cell>
          <cell r="G293">
            <v>0.1</v>
          </cell>
          <cell r="H293">
            <v>0.1</v>
          </cell>
          <cell r="I293">
            <v>0.1</v>
          </cell>
          <cell r="J293">
            <v>0.1</v>
          </cell>
          <cell r="K293">
            <v>0.1</v>
          </cell>
          <cell r="L293">
            <v>0.1</v>
          </cell>
          <cell r="M293">
            <v>0.1</v>
          </cell>
          <cell r="N293">
            <v>0.1</v>
          </cell>
          <cell r="O293">
            <v>0.1</v>
          </cell>
          <cell r="P293">
            <v>0.1</v>
          </cell>
          <cell r="Q293">
            <v>0.1</v>
          </cell>
          <cell r="R293">
            <v>0.1</v>
          </cell>
          <cell r="S293">
            <v>0.1</v>
          </cell>
          <cell r="T293">
            <v>0.1</v>
          </cell>
        </row>
        <row r="294">
          <cell r="A294" t="str">
            <v>Drop-in biogasoline feedstocksLow-medfeedstock 5</v>
          </cell>
          <cell r="C294" t="str">
            <v>Annual grasses</v>
          </cell>
          <cell r="D294" t="str">
            <v>feedstock 5</v>
          </cell>
          <cell r="E294">
            <v>0.1</v>
          </cell>
          <cell r="F294">
            <v>0.1</v>
          </cell>
          <cell r="G294">
            <v>0.1</v>
          </cell>
          <cell r="H294">
            <v>0.1</v>
          </cell>
          <cell r="I294">
            <v>0.1</v>
          </cell>
          <cell r="J294">
            <v>0.1</v>
          </cell>
          <cell r="K294">
            <v>0.1</v>
          </cell>
          <cell r="L294">
            <v>0.1</v>
          </cell>
          <cell r="M294">
            <v>0.1</v>
          </cell>
          <cell r="N294">
            <v>0.1</v>
          </cell>
          <cell r="O294">
            <v>0.1</v>
          </cell>
          <cell r="P294">
            <v>0.1</v>
          </cell>
          <cell r="Q294">
            <v>0.1</v>
          </cell>
          <cell r="R294">
            <v>0.1</v>
          </cell>
          <cell r="S294">
            <v>0.1</v>
          </cell>
          <cell r="T294">
            <v>0.1</v>
          </cell>
        </row>
        <row r="295">
          <cell r="A295" t="str">
            <v>Drop-in biogasoline feedstocksLow-medfeedstock 6</v>
          </cell>
          <cell r="C295" t="str">
            <v>Perennial grasses</v>
          </cell>
          <cell r="D295" t="str">
            <v>feedstock 6</v>
          </cell>
          <cell r="E295">
            <v>0.5</v>
          </cell>
          <cell r="F295">
            <v>0.5</v>
          </cell>
          <cell r="G295">
            <v>0.5</v>
          </cell>
          <cell r="H295">
            <v>0.5</v>
          </cell>
          <cell r="I295">
            <v>0.5</v>
          </cell>
          <cell r="J295">
            <v>0.5</v>
          </cell>
          <cell r="K295">
            <v>0.5</v>
          </cell>
          <cell r="L295">
            <v>0.5</v>
          </cell>
          <cell r="M295">
            <v>0.5</v>
          </cell>
          <cell r="N295">
            <v>0.5</v>
          </cell>
          <cell r="O295">
            <v>0.5</v>
          </cell>
          <cell r="P295">
            <v>0.5</v>
          </cell>
          <cell r="Q295">
            <v>0.5</v>
          </cell>
          <cell r="R295">
            <v>0.5</v>
          </cell>
          <cell r="S295">
            <v>0.5</v>
          </cell>
          <cell r="T295">
            <v>0.5</v>
          </cell>
        </row>
        <row r="296">
          <cell r="A296" t="str">
            <v>Drop-in biogasoline feedstocksMediumfeedstock 1</v>
          </cell>
          <cell r="C296" t="str">
            <v>Corn stover</v>
          </cell>
          <cell r="D296" t="str">
            <v>feedstock 1</v>
          </cell>
          <cell r="E296">
            <v>9.9999999999999978E-2</v>
          </cell>
          <cell r="F296">
            <v>9.9999999999999978E-2</v>
          </cell>
          <cell r="G296">
            <v>9.9999999999999978E-2</v>
          </cell>
          <cell r="H296">
            <v>9.9999999999999978E-2</v>
          </cell>
          <cell r="I296">
            <v>9.9999999999999978E-2</v>
          </cell>
          <cell r="J296">
            <v>9.9999999999999978E-2</v>
          </cell>
          <cell r="K296">
            <v>9.9999999999999978E-2</v>
          </cell>
          <cell r="L296">
            <v>9.9999999999999978E-2</v>
          </cell>
          <cell r="M296">
            <v>9.9999999999999978E-2</v>
          </cell>
          <cell r="N296">
            <v>9.9999999999999978E-2</v>
          </cell>
          <cell r="O296">
            <v>9.9999999999999978E-2</v>
          </cell>
          <cell r="P296">
            <v>9.9999999999999978E-2</v>
          </cell>
          <cell r="Q296">
            <v>9.9999999999999978E-2</v>
          </cell>
          <cell r="R296">
            <v>9.9999999999999978E-2</v>
          </cell>
          <cell r="S296">
            <v>9.9999999999999978E-2</v>
          </cell>
          <cell r="T296">
            <v>9.9999999999999978E-2</v>
          </cell>
        </row>
        <row r="297">
          <cell r="A297" t="str">
            <v>Drop-in biogasoline feedstocksMediumfeedstock 2</v>
          </cell>
          <cell r="C297" t="str">
            <v>MSW</v>
          </cell>
          <cell r="D297" t="str">
            <v>feedstock 2</v>
          </cell>
          <cell r="E297">
            <v>0.1</v>
          </cell>
          <cell r="F297">
            <v>0.1</v>
          </cell>
          <cell r="G297">
            <v>0.1</v>
          </cell>
          <cell r="H297">
            <v>0.1</v>
          </cell>
          <cell r="I297">
            <v>0.1</v>
          </cell>
          <cell r="J297">
            <v>0.1</v>
          </cell>
          <cell r="K297">
            <v>0.1</v>
          </cell>
          <cell r="L297">
            <v>0.1</v>
          </cell>
          <cell r="M297">
            <v>0.1</v>
          </cell>
          <cell r="N297">
            <v>0.1</v>
          </cell>
          <cell r="O297">
            <v>0.1</v>
          </cell>
          <cell r="P297">
            <v>0.1</v>
          </cell>
          <cell r="Q297">
            <v>0.1</v>
          </cell>
          <cell r="R297">
            <v>0.1</v>
          </cell>
          <cell r="S297">
            <v>0.1</v>
          </cell>
          <cell r="T297">
            <v>0.1</v>
          </cell>
        </row>
        <row r="298">
          <cell r="A298" t="str">
            <v>Drop-in biogasoline feedstocksMediumfeedstock 3</v>
          </cell>
          <cell r="C298" t="str">
            <v>Woody residues</v>
          </cell>
          <cell r="D298" t="str">
            <v>feedstock 3</v>
          </cell>
          <cell r="E298">
            <v>0.1</v>
          </cell>
          <cell r="F298">
            <v>0.1</v>
          </cell>
          <cell r="G298">
            <v>0.1</v>
          </cell>
          <cell r="H298">
            <v>0.1</v>
          </cell>
          <cell r="I298">
            <v>0.1</v>
          </cell>
          <cell r="J298">
            <v>0.1</v>
          </cell>
          <cell r="K298">
            <v>0.1</v>
          </cell>
          <cell r="L298">
            <v>0.1</v>
          </cell>
          <cell r="M298">
            <v>0.1</v>
          </cell>
          <cell r="N298">
            <v>0.1</v>
          </cell>
          <cell r="O298">
            <v>0.1</v>
          </cell>
          <cell r="P298">
            <v>0.1</v>
          </cell>
          <cell r="Q298">
            <v>0.1</v>
          </cell>
          <cell r="R298">
            <v>0.1</v>
          </cell>
          <cell r="S298">
            <v>0.1</v>
          </cell>
          <cell r="T298">
            <v>0.1</v>
          </cell>
        </row>
        <row r="299">
          <cell r="A299" t="str">
            <v>Drop-in biogasoline feedstocksMediumfeedstock 4</v>
          </cell>
          <cell r="C299" t="str">
            <v>Short rotation coppice</v>
          </cell>
          <cell r="D299" t="str">
            <v>feedstock 4</v>
          </cell>
          <cell r="E299">
            <v>0.1</v>
          </cell>
          <cell r="F299">
            <v>0.1</v>
          </cell>
          <cell r="G299">
            <v>0.1</v>
          </cell>
          <cell r="H299">
            <v>0.1</v>
          </cell>
          <cell r="I299">
            <v>0.1</v>
          </cell>
          <cell r="J299">
            <v>0.1</v>
          </cell>
          <cell r="K299">
            <v>0.1</v>
          </cell>
          <cell r="L299">
            <v>0.1</v>
          </cell>
          <cell r="M299">
            <v>0.1</v>
          </cell>
          <cell r="N299">
            <v>0.1</v>
          </cell>
          <cell r="O299">
            <v>0.1</v>
          </cell>
          <cell r="P299">
            <v>0.1</v>
          </cell>
          <cell r="Q299">
            <v>0.1</v>
          </cell>
          <cell r="R299">
            <v>0.1</v>
          </cell>
          <cell r="S299">
            <v>0.1</v>
          </cell>
          <cell r="T299">
            <v>0.1</v>
          </cell>
        </row>
        <row r="300">
          <cell r="A300" t="str">
            <v>Drop-in biogasoline feedstocksMediumfeedstock 5</v>
          </cell>
          <cell r="C300" t="str">
            <v>Annual grasses</v>
          </cell>
          <cell r="D300" t="str">
            <v>feedstock 5</v>
          </cell>
          <cell r="E300">
            <v>0.1</v>
          </cell>
          <cell r="F300">
            <v>0.1</v>
          </cell>
          <cell r="G300">
            <v>0.1</v>
          </cell>
          <cell r="H300">
            <v>0.1</v>
          </cell>
          <cell r="I300">
            <v>0.1</v>
          </cell>
          <cell r="J300">
            <v>0.1</v>
          </cell>
          <cell r="K300">
            <v>0.1</v>
          </cell>
          <cell r="L300">
            <v>0.1</v>
          </cell>
          <cell r="M300">
            <v>0.1</v>
          </cell>
          <cell r="N300">
            <v>0.1</v>
          </cell>
          <cell r="O300">
            <v>0.1</v>
          </cell>
          <cell r="P300">
            <v>0.1</v>
          </cell>
          <cell r="Q300">
            <v>0.1</v>
          </cell>
          <cell r="R300">
            <v>0.1</v>
          </cell>
          <cell r="S300">
            <v>0.1</v>
          </cell>
          <cell r="T300">
            <v>0.1</v>
          </cell>
        </row>
        <row r="301">
          <cell r="A301" t="str">
            <v>Drop-in biogasoline feedstocksMediumfeedstock 6</v>
          </cell>
          <cell r="C301" t="str">
            <v>Perennial grasses</v>
          </cell>
          <cell r="D301" t="str">
            <v>feedstock 6</v>
          </cell>
          <cell r="E301">
            <v>0.5</v>
          </cell>
          <cell r="F301">
            <v>0.5</v>
          </cell>
          <cell r="G301">
            <v>0.5</v>
          </cell>
          <cell r="H301">
            <v>0.5</v>
          </cell>
          <cell r="I301">
            <v>0.5</v>
          </cell>
          <cell r="J301">
            <v>0.5</v>
          </cell>
          <cell r="K301">
            <v>0.5</v>
          </cell>
          <cell r="L301">
            <v>0.5</v>
          </cell>
          <cell r="M301">
            <v>0.5</v>
          </cell>
          <cell r="N301">
            <v>0.5</v>
          </cell>
          <cell r="O301">
            <v>0.5</v>
          </cell>
          <cell r="P301">
            <v>0.5</v>
          </cell>
          <cell r="Q301">
            <v>0.5</v>
          </cell>
          <cell r="R301">
            <v>0.5</v>
          </cell>
          <cell r="S301">
            <v>0.5</v>
          </cell>
          <cell r="T301">
            <v>0.5</v>
          </cell>
        </row>
        <row r="302">
          <cell r="A302" t="str">
            <v>Drop-in biogasoline feedstocksMed-highfeedstock 1</v>
          </cell>
          <cell r="C302" t="str">
            <v>Corn stover</v>
          </cell>
          <cell r="D302" t="str">
            <v>feedstock 1</v>
          </cell>
          <cell r="E302">
            <v>9.9999999999999978E-2</v>
          </cell>
          <cell r="F302">
            <v>9.9999999999999978E-2</v>
          </cell>
          <cell r="G302">
            <v>9.9999999999999978E-2</v>
          </cell>
          <cell r="H302">
            <v>9.9999999999999978E-2</v>
          </cell>
          <cell r="I302">
            <v>9.9999999999999978E-2</v>
          </cell>
          <cell r="J302">
            <v>9.9999999999999978E-2</v>
          </cell>
          <cell r="K302">
            <v>9.9999999999999978E-2</v>
          </cell>
          <cell r="L302">
            <v>9.9999999999999978E-2</v>
          </cell>
          <cell r="M302">
            <v>9.9999999999999978E-2</v>
          </cell>
          <cell r="N302">
            <v>9.9999999999999978E-2</v>
          </cell>
          <cell r="O302">
            <v>9.9999999999999978E-2</v>
          </cell>
          <cell r="P302">
            <v>9.9999999999999978E-2</v>
          </cell>
          <cell r="Q302">
            <v>9.9999999999999978E-2</v>
          </cell>
          <cell r="R302">
            <v>9.9999999999999978E-2</v>
          </cell>
          <cell r="S302">
            <v>9.9999999999999978E-2</v>
          </cell>
          <cell r="T302">
            <v>9.9999999999999978E-2</v>
          </cell>
        </row>
        <row r="303">
          <cell r="A303" t="str">
            <v>Drop-in biogasoline feedstocksMed-highfeedstock 2</v>
          </cell>
          <cell r="C303" t="str">
            <v>MSW</v>
          </cell>
          <cell r="D303" t="str">
            <v>feedstock 2</v>
          </cell>
          <cell r="E303">
            <v>0.1</v>
          </cell>
          <cell r="F303">
            <v>0.1</v>
          </cell>
          <cell r="G303">
            <v>0.1</v>
          </cell>
          <cell r="H303">
            <v>0.1</v>
          </cell>
          <cell r="I303">
            <v>0.1</v>
          </cell>
          <cell r="J303">
            <v>0.1</v>
          </cell>
          <cell r="K303">
            <v>0.1</v>
          </cell>
          <cell r="L303">
            <v>0.1</v>
          </cell>
          <cell r="M303">
            <v>0.1</v>
          </cell>
          <cell r="N303">
            <v>0.1</v>
          </cell>
          <cell r="O303">
            <v>0.1</v>
          </cell>
          <cell r="P303">
            <v>0.1</v>
          </cell>
          <cell r="Q303">
            <v>0.1</v>
          </cell>
          <cell r="R303">
            <v>0.1</v>
          </cell>
          <cell r="S303">
            <v>0.1</v>
          </cell>
          <cell r="T303">
            <v>0.1</v>
          </cell>
        </row>
        <row r="304">
          <cell r="A304" t="str">
            <v>Drop-in biogasoline feedstocksMed-highfeedstock 3</v>
          </cell>
          <cell r="C304" t="str">
            <v>Woody residues</v>
          </cell>
          <cell r="D304" t="str">
            <v>feedstock 3</v>
          </cell>
          <cell r="E304">
            <v>0.1</v>
          </cell>
          <cell r="F304">
            <v>0.1</v>
          </cell>
          <cell r="G304">
            <v>0.1</v>
          </cell>
          <cell r="H304">
            <v>0.1</v>
          </cell>
          <cell r="I304">
            <v>0.1</v>
          </cell>
          <cell r="J304">
            <v>0.1</v>
          </cell>
          <cell r="K304">
            <v>0.1</v>
          </cell>
          <cell r="L304">
            <v>0.1</v>
          </cell>
          <cell r="M304">
            <v>0.1</v>
          </cell>
          <cell r="N304">
            <v>0.1</v>
          </cell>
          <cell r="O304">
            <v>0.1</v>
          </cell>
          <cell r="P304">
            <v>0.1</v>
          </cell>
          <cell r="Q304">
            <v>0.1</v>
          </cell>
          <cell r="R304">
            <v>0.1</v>
          </cell>
          <cell r="S304">
            <v>0.1</v>
          </cell>
          <cell r="T304">
            <v>0.1</v>
          </cell>
        </row>
        <row r="305">
          <cell r="A305" t="str">
            <v>Drop-in biogasoline feedstocksMed-highfeedstock 4</v>
          </cell>
          <cell r="C305" t="str">
            <v>Short rotation coppice</v>
          </cell>
          <cell r="D305" t="str">
            <v>feedstock 4</v>
          </cell>
          <cell r="E305">
            <v>0.1</v>
          </cell>
          <cell r="F305">
            <v>0.1</v>
          </cell>
          <cell r="G305">
            <v>0.1</v>
          </cell>
          <cell r="H305">
            <v>0.1</v>
          </cell>
          <cell r="I305">
            <v>0.1</v>
          </cell>
          <cell r="J305">
            <v>0.1</v>
          </cell>
          <cell r="K305">
            <v>0.1</v>
          </cell>
          <cell r="L305">
            <v>0.1</v>
          </cell>
          <cell r="M305">
            <v>0.1</v>
          </cell>
          <cell r="N305">
            <v>0.1</v>
          </cell>
          <cell r="O305">
            <v>0.1</v>
          </cell>
          <cell r="P305">
            <v>0.1</v>
          </cell>
          <cell r="Q305">
            <v>0.1</v>
          </cell>
          <cell r="R305">
            <v>0.1</v>
          </cell>
          <cell r="S305">
            <v>0.1</v>
          </cell>
          <cell r="T305">
            <v>0.1</v>
          </cell>
        </row>
        <row r="306">
          <cell r="A306" t="str">
            <v>Drop-in biogasoline feedstocksMed-highfeedstock 5</v>
          </cell>
          <cell r="C306" t="str">
            <v>Annual grasses</v>
          </cell>
          <cell r="D306" t="str">
            <v>feedstock 5</v>
          </cell>
          <cell r="E306">
            <v>0.1</v>
          </cell>
          <cell r="F306">
            <v>0.1</v>
          </cell>
          <cell r="G306">
            <v>0.1</v>
          </cell>
          <cell r="H306">
            <v>0.1</v>
          </cell>
          <cell r="I306">
            <v>0.1</v>
          </cell>
          <cell r="J306">
            <v>0.1</v>
          </cell>
          <cell r="K306">
            <v>0.1</v>
          </cell>
          <cell r="L306">
            <v>0.1</v>
          </cell>
          <cell r="M306">
            <v>0.1</v>
          </cell>
          <cell r="N306">
            <v>0.1</v>
          </cell>
          <cell r="O306">
            <v>0.1</v>
          </cell>
          <cell r="P306">
            <v>0.1</v>
          </cell>
          <cell r="Q306">
            <v>0.1</v>
          </cell>
          <cell r="R306">
            <v>0.1</v>
          </cell>
          <cell r="S306">
            <v>0.1</v>
          </cell>
          <cell r="T306">
            <v>0.1</v>
          </cell>
        </row>
        <row r="307">
          <cell r="A307" t="str">
            <v>Drop-in biogasoline feedstocksMed-highfeedstock 6</v>
          </cell>
          <cell r="C307" t="str">
            <v>Perennial grasses</v>
          </cell>
          <cell r="D307" t="str">
            <v>feedstock 6</v>
          </cell>
          <cell r="E307">
            <v>0.5</v>
          </cell>
          <cell r="F307">
            <v>0.5</v>
          </cell>
          <cell r="G307">
            <v>0.5</v>
          </cell>
          <cell r="H307">
            <v>0.5</v>
          </cell>
          <cell r="I307">
            <v>0.5</v>
          </cell>
          <cell r="J307">
            <v>0.5</v>
          </cell>
          <cell r="K307">
            <v>0.5</v>
          </cell>
          <cell r="L307">
            <v>0.5</v>
          </cell>
          <cell r="M307">
            <v>0.5</v>
          </cell>
          <cell r="N307">
            <v>0.5</v>
          </cell>
          <cell r="O307">
            <v>0.5</v>
          </cell>
          <cell r="P307">
            <v>0.5</v>
          </cell>
          <cell r="Q307">
            <v>0.5</v>
          </cell>
          <cell r="R307">
            <v>0.5</v>
          </cell>
          <cell r="S307">
            <v>0.5</v>
          </cell>
          <cell r="T307">
            <v>0.5</v>
          </cell>
        </row>
        <row r="308">
          <cell r="A308" t="str">
            <v>Drop-in biogasoline feedstocksHighfeedstock 1</v>
          </cell>
          <cell r="C308" t="str">
            <v>Corn stover</v>
          </cell>
          <cell r="D308" t="str">
            <v>feedstock 1</v>
          </cell>
          <cell r="E308">
            <v>9.9999999999999978E-2</v>
          </cell>
          <cell r="F308">
            <v>9.9999999999999978E-2</v>
          </cell>
          <cell r="G308">
            <v>9.9999999999999978E-2</v>
          </cell>
          <cell r="H308">
            <v>9.9999999999999978E-2</v>
          </cell>
          <cell r="I308">
            <v>9.9999999999999978E-2</v>
          </cell>
          <cell r="J308">
            <v>9.9999999999999978E-2</v>
          </cell>
          <cell r="K308">
            <v>9.9999999999999978E-2</v>
          </cell>
          <cell r="L308">
            <v>9.9999999999999978E-2</v>
          </cell>
          <cell r="M308">
            <v>9.9999999999999978E-2</v>
          </cell>
          <cell r="N308">
            <v>9.9999999999999978E-2</v>
          </cell>
          <cell r="O308">
            <v>9.9999999999999978E-2</v>
          </cell>
          <cell r="P308">
            <v>9.9999999999999978E-2</v>
          </cell>
          <cell r="Q308">
            <v>9.9999999999999978E-2</v>
          </cell>
          <cell r="R308">
            <v>9.9999999999999978E-2</v>
          </cell>
          <cell r="S308">
            <v>9.9999999999999978E-2</v>
          </cell>
          <cell r="T308">
            <v>9.9999999999999978E-2</v>
          </cell>
        </row>
        <row r="309">
          <cell r="A309" t="str">
            <v>Drop-in biogasoline feedstocksHighfeedstock 2</v>
          </cell>
          <cell r="C309" t="str">
            <v>MSW</v>
          </cell>
          <cell r="D309" t="str">
            <v>feedstock 2</v>
          </cell>
          <cell r="E309">
            <v>0.1</v>
          </cell>
          <cell r="F309">
            <v>0.1</v>
          </cell>
          <cell r="G309">
            <v>0.1</v>
          </cell>
          <cell r="H309">
            <v>0.1</v>
          </cell>
          <cell r="I309">
            <v>0.1</v>
          </cell>
          <cell r="J309">
            <v>0.1</v>
          </cell>
          <cell r="K309">
            <v>0.1</v>
          </cell>
          <cell r="L309">
            <v>0.1</v>
          </cell>
          <cell r="M309">
            <v>0.1</v>
          </cell>
          <cell r="N309">
            <v>0.1</v>
          </cell>
          <cell r="O309">
            <v>0.1</v>
          </cell>
          <cell r="P309">
            <v>0.1</v>
          </cell>
          <cell r="Q309">
            <v>0.1</v>
          </cell>
          <cell r="R309">
            <v>0.1</v>
          </cell>
          <cell r="S309">
            <v>0.1</v>
          </cell>
          <cell r="T309">
            <v>0.1</v>
          </cell>
        </row>
        <row r="310">
          <cell r="A310" t="str">
            <v>Drop-in biogasoline feedstocksHighfeedstock 3</v>
          </cell>
          <cell r="C310" t="str">
            <v>Woody residues</v>
          </cell>
          <cell r="D310" t="str">
            <v>feedstock 3</v>
          </cell>
          <cell r="E310">
            <v>0.1</v>
          </cell>
          <cell r="F310">
            <v>0.1</v>
          </cell>
          <cell r="G310">
            <v>0.1</v>
          </cell>
          <cell r="H310">
            <v>0.1</v>
          </cell>
          <cell r="I310">
            <v>0.1</v>
          </cell>
          <cell r="J310">
            <v>0.1</v>
          </cell>
          <cell r="K310">
            <v>0.1</v>
          </cell>
          <cell r="L310">
            <v>0.1</v>
          </cell>
          <cell r="M310">
            <v>0.1</v>
          </cell>
          <cell r="N310">
            <v>0.1</v>
          </cell>
          <cell r="O310">
            <v>0.1</v>
          </cell>
          <cell r="P310">
            <v>0.1</v>
          </cell>
          <cell r="Q310">
            <v>0.1</v>
          </cell>
          <cell r="R310">
            <v>0.1</v>
          </cell>
          <cell r="S310">
            <v>0.1</v>
          </cell>
          <cell r="T310">
            <v>0.1</v>
          </cell>
        </row>
        <row r="311">
          <cell r="A311" t="str">
            <v>Drop-in biogasoline feedstocksHighfeedstock 4</v>
          </cell>
          <cell r="C311" t="str">
            <v>Short rotation coppice</v>
          </cell>
          <cell r="D311" t="str">
            <v>feedstock 4</v>
          </cell>
          <cell r="E311">
            <v>0.1</v>
          </cell>
          <cell r="F311">
            <v>0.1</v>
          </cell>
          <cell r="G311">
            <v>0.1</v>
          </cell>
          <cell r="H311">
            <v>0.1</v>
          </cell>
          <cell r="I311">
            <v>0.1</v>
          </cell>
          <cell r="J311">
            <v>0.1</v>
          </cell>
          <cell r="K311">
            <v>0.1</v>
          </cell>
          <cell r="L311">
            <v>0.1</v>
          </cell>
          <cell r="M311">
            <v>0.1</v>
          </cell>
          <cell r="N311">
            <v>0.1</v>
          </cell>
          <cell r="O311">
            <v>0.1</v>
          </cell>
          <cell r="P311">
            <v>0.1</v>
          </cell>
          <cell r="Q311">
            <v>0.1</v>
          </cell>
          <cell r="R311">
            <v>0.1</v>
          </cell>
          <cell r="S311">
            <v>0.1</v>
          </cell>
          <cell r="T311">
            <v>0.1</v>
          </cell>
        </row>
        <row r="312">
          <cell r="A312" t="str">
            <v>Drop-in biogasoline feedstocksHighfeedstock 5</v>
          </cell>
          <cell r="C312" t="str">
            <v>Annual grasses</v>
          </cell>
          <cell r="D312" t="str">
            <v>feedstock 5</v>
          </cell>
          <cell r="E312">
            <v>0.1</v>
          </cell>
          <cell r="F312">
            <v>0.1</v>
          </cell>
          <cell r="G312">
            <v>0.1</v>
          </cell>
          <cell r="H312">
            <v>0.1</v>
          </cell>
          <cell r="I312">
            <v>0.1</v>
          </cell>
          <cell r="J312">
            <v>0.1</v>
          </cell>
          <cell r="K312">
            <v>0.1</v>
          </cell>
          <cell r="L312">
            <v>0.1</v>
          </cell>
          <cell r="M312">
            <v>0.1</v>
          </cell>
          <cell r="N312">
            <v>0.1</v>
          </cell>
          <cell r="O312">
            <v>0.1</v>
          </cell>
          <cell r="P312">
            <v>0.1</v>
          </cell>
          <cell r="Q312">
            <v>0.1</v>
          </cell>
          <cell r="R312">
            <v>0.1</v>
          </cell>
          <cell r="S312">
            <v>0.1</v>
          </cell>
          <cell r="T312">
            <v>0.1</v>
          </cell>
        </row>
        <row r="313">
          <cell r="A313" t="str">
            <v>Drop-in biogasoline feedstocksHighfeedstock 6</v>
          </cell>
          <cell r="C313" t="str">
            <v>Perennial grasses</v>
          </cell>
          <cell r="D313" t="str">
            <v>feedstock 6</v>
          </cell>
          <cell r="E313">
            <v>0.5</v>
          </cell>
          <cell r="F313">
            <v>0.5</v>
          </cell>
          <cell r="G313">
            <v>0.5</v>
          </cell>
          <cell r="H313">
            <v>0.5</v>
          </cell>
          <cell r="I313">
            <v>0.5</v>
          </cell>
          <cell r="J313">
            <v>0.5</v>
          </cell>
          <cell r="K313">
            <v>0.5</v>
          </cell>
          <cell r="L313">
            <v>0.5</v>
          </cell>
          <cell r="M313">
            <v>0.5</v>
          </cell>
          <cell r="N313">
            <v>0.5</v>
          </cell>
          <cell r="O313">
            <v>0.5</v>
          </cell>
          <cell r="P313">
            <v>0.5</v>
          </cell>
          <cell r="Q313">
            <v>0.5</v>
          </cell>
          <cell r="R313">
            <v>0.5</v>
          </cell>
          <cell r="S313">
            <v>0.5</v>
          </cell>
          <cell r="T313">
            <v>0.5</v>
          </cell>
        </row>
        <row r="318">
          <cell r="E318">
            <v>2015</v>
          </cell>
          <cell r="F318">
            <v>2016</v>
          </cell>
          <cell r="G318">
            <v>2017</v>
          </cell>
          <cell r="H318">
            <v>2018</v>
          </cell>
          <cell r="I318">
            <v>2019</v>
          </cell>
          <cell r="J318">
            <v>2020</v>
          </cell>
          <cell r="K318">
            <v>2021</v>
          </cell>
          <cell r="L318">
            <v>2022</v>
          </cell>
          <cell r="M318">
            <v>2023</v>
          </cell>
          <cell r="N318">
            <v>2024</v>
          </cell>
          <cell r="O318">
            <v>2025</v>
          </cell>
          <cell r="P318">
            <v>2026</v>
          </cell>
          <cell r="Q318">
            <v>2027</v>
          </cell>
          <cell r="R318">
            <v>2028</v>
          </cell>
          <cell r="S318">
            <v>2029</v>
          </cell>
          <cell r="T318">
            <v>2030</v>
          </cell>
        </row>
        <row r="319">
          <cell r="A319" t="str">
            <v>Renewables share of electricityLow</v>
          </cell>
          <cell r="E319">
            <v>0.23800000000000002</v>
          </cell>
          <cell r="F319">
            <v>0.23800000000000002</v>
          </cell>
          <cell r="G319">
            <v>0.25095155089866084</v>
          </cell>
          <cell r="H319">
            <v>0.2646079029346351</v>
          </cell>
          <cell r="I319">
            <v>0.27900741017432346</v>
          </cell>
          <cell r="J319">
            <v>0.25900000000000001</v>
          </cell>
          <cell r="K319">
            <v>0.25900000000000001</v>
          </cell>
          <cell r="L319">
            <v>0.25900000000000001</v>
          </cell>
          <cell r="M319">
            <v>0.25900000000000001</v>
          </cell>
          <cell r="N319">
            <v>0.25900000000000001</v>
          </cell>
          <cell r="O319">
            <v>0.25900000000000001</v>
          </cell>
          <cell r="P319">
            <v>0.25900000000000001</v>
          </cell>
          <cell r="Q319">
            <v>0.25900000000000001</v>
          </cell>
          <cell r="R319">
            <v>0.25900000000000001</v>
          </cell>
          <cell r="S319">
            <v>0.25900000000000001</v>
          </cell>
          <cell r="T319">
            <v>0.25900000000000001</v>
          </cell>
        </row>
        <row r="320">
          <cell r="A320" t="str">
            <v>Fossil shareLow</v>
          </cell>
          <cell r="E320">
            <v>0.55149999999999999</v>
          </cell>
          <cell r="F320">
            <v>0.55149999999999999</v>
          </cell>
          <cell r="G320">
            <v>0.55038524869991323</v>
          </cell>
          <cell r="H320">
            <v>0.54790009139440476</v>
          </cell>
          <cell r="I320">
            <v>0.54404360219491543</v>
          </cell>
          <cell r="J320">
            <v>0.57400117724218847</v>
          </cell>
          <cell r="K320">
            <v>0.58339182616466823</v>
          </cell>
          <cell r="L320">
            <v>0.59225442174084908</v>
          </cell>
          <cell r="M320">
            <v>0.60061865737518438</v>
          </cell>
          <cell r="N320">
            <v>0.60851255675774363</v>
          </cell>
          <cell r="O320">
            <v>0.615962567755302</v>
          </cell>
          <cell r="P320">
            <v>0.62299365102276416</v>
          </cell>
          <cell r="Q320">
            <v>0.62962936363180433</v>
          </cell>
          <cell r="R320">
            <v>0.6358919379969159</v>
          </cell>
          <cell r="S320">
            <v>0.64180235636330552</v>
          </cell>
          <cell r="T320">
            <v>0.64738042110619543</v>
          </cell>
        </row>
        <row r="321">
          <cell r="A321" t="str">
            <v>Renewable electricityLow</v>
          </cell>
          <cell r="E321">
            <v>32.273406084528794</v>
          </cell>
          <cell r="F321">
            <v>7.97</v>
          </cell>
          <cell r="G321">
            <v>7.97</v>
          </cell>
          <cell r="H321">
            <v>7.97</v>
          </cell>
          <cell r="I321">
            <v>7.97</v>
          </cell>
          <cell r="J321">
            <v>7.97</v>
          </cell>
          <cell r="K321">
            <v>7.97</v>
          </cell>
          <cell r="L321">
            <v>7.97</v>
          </cell>
          <cell r="M321">
            <v>7.97</v>
          </cell>
          <cell r="N321">
            <v>7.97</v>
          </cell>
          <cell r="O321">
            <v>7.97</v>
          </cell>
          <cell r="P321">
            <v>7.97</v>
          </cell>
          <cell r="Q321">
            <v>7.97</v>
          </cell>
          <cell r="R321">
            <v>7.97</v>
          </cell>
          <cell r="S321">
            <v>7.97</v>
          </cell>
          <cell r="T321">
            <v>7.97</v>
          </cell>
        </row>
        <row r="322">
          <cell r="A322" t="str">
            <v>Fossil electricityLow</v>
          </cell>
          <cell r="E322">
            <v>594</v>
          </cell>
          <cell r="F322">
            <v>562.09718664000002</v>
          </cell>
          <cell r="G322">
            <v>530.19437327999992</v>
          </cell>
          <cell r="H322">
            <v>498.29155992</v>
          </cell>
          <cell r="I322">
            <v>466.38874656000002</v>
          </cell>
          <cell r="J322">
            <v>440.56266012000003</v>
          </cell>
          <cell r="K322">
            <v>440.56266012000003</v>
          </cell>
          <cell r="L322">
            <v>440.56266012000003</v>
          </cell>
          <cell r="M322">
            <v>440.56266012000003</v>
          </cell>
          <cell r="N322">
            <v>440.56266012000003</v>
          </cell>
          <cell r="O322">
            <v>440.56266012000003</v>
          </cell>
          <cell r="P322">
            <v>440.56266012000003</v>
          </cell>
          <cell r="Q322">
            <v>440.56266012000003</v>
          </cell>
          <cell r="R322">
            <v>440.56266012000003</v>
          </cell>
          <cell r="S322">
            <v>440.56266012000003</v>
          </cell>
          <cell r="T322">
            <v>440.56266012000003</v>
          </cell>
        </row>
        <row r="323">
          <cell r="A323" t="str">
            <v>Natural gasLow</v>
          </cell>
          <cell r="E323">
            <v>72.802499999999995</v>
          </cell>
          <cell r="F323">
            <v>72.802499999999995</v>
          </cell>
          <cell r="G323">
            <v>72.802499999999995</v>
          </cell>
          <cell r="H323">
            <v>72.802499999999995</v>
          </cell>
          <cell r="I323">
            <v>79.03</v>
          </cell>
          <cell r="J323">
            <v>79.03</v>
          </cell>
          <cell r="K323">
            <v>79.03</v>
          </cell>
          <cell r="L323">
            <v>79.03</v>
          </cell>
          <cell r="M323">
            <v>79.03</v>
          </cell>
          <cell r="N323">
            <v>79.03</v>
          </cell>
          <cell r="O323">
            <v>79.03</v>
          </cell>
          <cell r="P323">
            <v>79.03</v>
          </cell>
          <cell r="Q323">
            <v>79.03</v>
          </cell>
          <cell r="R323">
            <v>79.03</v>
          </cell>
          <cell r="S323">
            <v>79.03</v>
          </cell>
          <cell r="T323">
            <v>79.03</v>
          </cell>
        </row>
        <row r="324">
          <cell r="A324" t="str">
            <v>HydrogenLow</v>
          </cell>
          <cell r="E324">
            <v>100.78</v>
          </cell>
          <cell r="F324">
            <v>100.78</v>
          </cell>
          <cell r="G324">
            <v>100.78</v>
          </cell>
          <cell r="H324">
            <v>100.78</v>
          </cell>
          <cell r="I324">
            <v>100.78</v>
          </cell>
          <cell r="J324">
            <v>100.78</v>
          </cell>
          <cell r="K324">
            <v>100.78</v>
          </cell>
          <cell r="L324">
            <v>100.78</v>
          </cell>
          <cell r="M324">
            <v>100.78</v>
          </cell>
          <cell r="N324">
            <v>100.78</v>
          </cell>
          <cell r="O324">
            <v>100.78</v>
          </cell>
          <cell r="P324">
            <v>100.78</v>
          </cell>
          <cell r="Q324">
            <v>100.78</v>
          </cell>
          <cell r="R324">
            <v>100.78</v>
          </cell>
          <cell r="S324">
            <v>100.78</v>
          </cell>
          <cell r="T324">
            <v>100.78</v>
          </cell>
        </row>
        <row r="325">
          <cell r="A325" t="str">
            <v>Renewables share of electricityLow-med</v>
          </cell>
          <cell r="E325">
            <v>0.23800000000000002</v>
          </cell>
          <cell r="F325">
            <v>0.23800000000000002</v>
          </cell>
          <cell r="G325">
            <v>0.2526248255653441</v>
          </cell>
          <cell r="H325">
            <v>0.26816009386567519</v>
          </cell>
          <cell r="I325">
            <v>0.28466319633402781</v>
          </cell>
          <cell r="J325">
            <v>0.28459992796103217</v>
          </cell>
          <cell r="K325">
            <v>0.29522107994375957</v>
          </cell>
          <cell r="L325">
            <v>0.30656956217688225</v>
          </cell>
          <cell r="M325">
            <v>0.31869518180881518</v>
          </cell>
          <cell r="N325">
            <v>0.33165115675224666</v>
          </cell>
          <cell r="O325">
            <v>0.34549434925127354</v>
          </cell>
          <cell r="P325">
            <v>0.36028551544307508</v>
          </cell>
          <cell r="Q325">
            <v>0.37608957200942517</v>
          </cell>
          <cell r="R325">
            <v>0.39297588108834258</v>
          </cell>
          <cell r="S325">
            <v>0.41101855469632376</v>
          </cell>
          <cell r="T325">
            <v>0.43029677999723204</v>
          </cell>
        </row>
        <row r="326">
          <cell r="A326" t="str">
            <v>Fossil shareLow-med</v>
          </cell>
          <cell r="E326">
            <v>0.55149999999999999</v>
          </cell>
          <cell r="F326">
            <v>0.55149999999999999</v>
          </cell>
          <cell r="G326">
            <v>0.54871197403323002</v>
          </cell>
          <cell r="H326">
            <v>0.54434790046336468</v>
          </cell>
          <cell r="I326">
            <v>0.53838781603521102</v>
          </cell>
          <cell r="J326">
            <v>0.5484012492811563</v>
          </cell>
          <cell r="K326">
            <v>0.54717074622090878</v>
          </cell>
          <cell r="L326">
            <v>0.54468485956396684</v>
          </cell>
          <cell r="M326">
            <v>0.54092347556636922</v>
          </cell>
          <cell r="N326">
            <v>0.53586140000549698</v>
          </cell>
          <cell r="O326">
            <v>0.52946821850402848</v>
          </cell>
          <cell r="P326">
            <v>0.52170813557968909</v>
          </cell>
          <cell r="Q326">
            <v>0.51253979162237917</v>
          </cell>
          <cell r="R326">
            <v>0.50191605690857333</v>
          </cell>
          <cell r="S326">
            <v>0.48978380166698177</v>
          </cell>
          <cell r="T326">
            <v>0.4760836411089634</v>
          </cell>
        </row>
        <row r="327">
          <cell r="A327" t="str">
            <v>Renewable electricityLow-med</v>
          </cell>
          <cell r="E327">
            <v>32.273406084528794</v>
          </cell>
          <cell r="F327">
            <v>7.97</v>
          </cell>
          <cell r="G327">
            <v>7.97</v>
          </cell>
          <cell r="H327">
            <v>7.97</v>
          </cell>
          <cell r="I327">
            <v>7.97</v>
          </cell>
          <cell r="J327">
            <v>7.97</v>
          </cell>
          <cell r="K327">
            <v>7.97</v>
          </cell>
          <cell r="L327">
            <v>7.97</v>
          </cell>
          <cell r="M327">
            <v>7.97</v>
          </cell>
          <cell r="N327">
            <v>7.97</v>
          </cell>
          <cell r="O327">
            <v>7.97</v>
          </cell>
          <cell r="P327">
            <v>7.97</v>
          </cell>
          <cell r="Q327">
            <v>7.97</v>
          </cell>
          <cell r="R327">
            <v>7.97</v>
          </cell>
          <cell r="S327">
            <v>7.97</v>
          </cell>
          <cell r="T327">
            <v>7.97</v>
          </cell>
        </row>
        <row r="328">
          <cell r="A328" t="str">
            <v>Fossil electricityLow-med</v>
          </cell>
          <cell r="E328">
            <v>594</v>
          </cell>
          <cell r="F328">
            <v>562.09718664000002</v>
          </cell>
          <cell r="G328">
            <v>530.19437327999992</v>
          </cell>
          <cell r="H328">
            <v>498.29155992</v>
          </cell>
          <cell r="I328">
            <v>466.38874656000002</v>
          </cell>
          <cell r="J328">
            <v>440.56266012000003</v>
          </cell>
          <cell r="K328">
            <v>440.56266012000003</v>
          </cell>
          <cell r="L328">
            <v>440.56266012000003</v>
          </cell>
          <cell r="M328">
            <v>440.56266012000003</v>
          </cell>
          <cell r="N328">
            <v>440.56266012000003</v>
          </cell>
          <cell r="O328">
            <v>440.56266012000003</v>
          </cell>
          <cell r="P328">
            <v>440.56266012000003</v>
          </cell>
          <cell r="Q328">
            <v>440.56266012000003</v>
          </cell>
          <cell r="R328">
            <v>440.56266012000003</v>
          </cell>
          <cell r="S328">
            <v>440.56266012000003</v>
          </cell>
          <cell r="T328">
            <v>440.56266012000003</v>
          </cell>
        </row>
        <row r="329">
          <cell r="A329" t="str">
            <v>Natural gasLow-med</v>
          </cell>
          <cell r="E329">
            <v>72.802499999999995</v>
          </cell>
          <cell r="F329">
            <v>72.802499999999995</v>
          </cell>
          <cell r="G329">
            <v>72.802499999999995</v>
          </cell>
          <cell r="H329">
            <v>72.802499999999995</v>
          </cell>
          <cell r="I329">
            <v>79.03</v>
          </cell>
          <cell r="J329">
            <v>79.03</v>
          </cell>
          <cell r="K329">
            <v>79.03</v>
          </cell>
          <cell r="L329">
            <v>79.03</v>
          </cell>
          <cell r="M329">
            <v>79.03</v>
          </cell>
          <cell r="N329">
            <v>79.03</v>
          </cell>
          <cell r="O329">
            <v>79.03</v>
          </cell>
          <cell r="P329">
            <v>79.03</v>
          </cell>
          <cell r="Q329">
            <v>79.03</v>
          </cell>
          <cell r="R329">
            <v>79.03</v>
          </cell>
          <cell r="S329">
            <v>79.03</v>
          </cell>
          <cell r="T329">
            <v>79.03</v>
          </cell>
        </row>
        <row r="330">
          <cell r="A330" t="str">
            <v>HydrogenLow-med</v>
          </cell>
          <cell r="E330">
            <v>100.78</v>
          </cell>
          <cell r="F330">
            <v>100.78</v>
          </cell>
          <cell r="G330">
            <v>100.78</v>
          </cell>
          <cell r="H330">
            <v>100.78</v>
          </cell>
          <cell r="I330">
            <v>100.78</v>
          </cell>
          <cell r="J330">
            <v>100.78</v>
          </cell>
          <cell r="K330">
            <v>100.78</v>
          </cell>
          <cell r="L330">
            <v>100.78</v>
          </cell>
          <cell r="M330">
            <v>100.78</v>
          </cell>
          <cell r="N330">
            <v>100.78</v>
          </cell>
          <cell r="O330">
            <v>100.78</v>
          </cell>
          <cell r="P330">
            <v>100.78</v>
          </cell>
          <cell r="Q330">
            <v>100.78</v>
          </cell>
          <cell r="R330">
            <v>100.78</v>
          </cell>
          <cell r="S330">
            <v>100.78</v>
          </cell>
          <cell r="T330">
            <v>100.78</v>
          </cell>
        </row>
        <row r="331">
          <cell r="A331" t="str">
            <v>Renewables share of electricityMedium</v>
          </cell>
          <cell r="E331">
            <v>0.23800000000000002</v>
          </cell>
          <cell r="F331">
            <v>0.23800000000000002</v>
          </cell>
          <cell r="G331">
            <v>0.25429810023202737</v>
          </cell>
          <cell r="H331">
            <v>0.27171228479671528</v>
          </cell>
          <cell r="I331">
            <v>0.29031898249373217</v>
          </cell>
          <cell r="J331">
            <v>0.31019985592206428</v>
          </cell>
          <cell r="K331">
            <v>0.33144215988751907</v>
          </cell>
          <cell r="L331">
            <v>0.35413912435376455</v>
          </cell>
          <cell r="M331">
            <v>0.37839036361763029</v>
          </cell>
          <cell r="N331">
            <v>0.40430231350449336</v>
          </cell>
          <cell r="O331">
            <v>0.43198869850254701</v>
          </cell>
          <cell r="P331">
            <v>0.46157103088615015</v>
          </cell>
          <cell r="Q331">
            <v>0.49317914401885038</v>
          </cell>
          <cell r="R331">
            <v>0.52695176217668516</v>
          </cell>
          <cell r="S331">
            <v>0.56303710939264751</v>
          </cell>
          <cell r="T331">
            <v>0.60159355999446407</v>
          </cell>
        </row>
        <row r="332">
          <cell r="A332" t="str">
            <v>Fossil shareMedium</v>
          </cell>
          <cell r="E332">
            <v>0.55149999999999999</v>
          </cell>
          <cell r="F332">
            <v>0.55149999999999999</v>
          </cell>
          <cell r="G332">
            <v>0.5470386993665467</v>
          </cell>
          <cell r="H332">
            <v>0.54079570953232459</v>
          </cell>
          <cell r="I332">
            <v>0.53273202987550661</v>
          </cell>
          <cell r="J332">
            <v>0.52280132132012413</v>
          </cell>
          <cell r="K332">
            <v>0.51094966627714933</v>
          </cell>
          <cell r="L332">
            <v>0.49711529738708449</v>
          </cell>
          <cell r="M332">
            <v>0.48122829375755416</v>
          </cell>
          <cell r="N332">
            <v>0.46321024325325022</v>
          </cell>
          <cell r="O332">
            <v>0.44297386925275511</v>
          </cell>
          <cell r="P332">
            <v>0.42042262013661402</v>
          </cell>
          <cell r="Q332">
            <v>0.39545021961295385</v>
          </cell>
          <cell r="R332">
            <v>0.36794017582023081</v>
          </cell>
          <cell r="S332">
            <v>0.33776524697065802</v>
          </cell>
          <cell r="T332">
            <v>0.30478686111173137</v>
          </cell>
        </row>
        <row r="333">
          <cell r="A333" t="str">
            <v>Renewable electricityMedium</v>
          </cell>
          <cell r="E333">
            <v>32.273406084528794</v>
          </cell>
          <cell r="F333">
            <v>7.97</v>
          </cell>
          <cell r="G333">
            <v>7.97</v>
          </cell>
          <cell r="H333">
            <v>7.97</v>
          </cell>
          <cell r="I333">
            <v>7.97</v>
          </cell>
          <cell r="J333">
            <v>7.97</v>
          </cell>
          <cell r="K333">
            <v>7.97</v>
          </cell>
          <cell r="L333">
            <v>7.97</v>
          </cell>
          <cell r="M333">
            <v>7.97</v>
          </cell>
          <cell r="N333">
            <v>7.97</v>
          </cell>
          <cell r="O333">
            <v>7.97</v>
          </cell>
          <cell r="P333">
            <v>7.97</v>
          </cell>
          <cell r="Q333">
            <v>7.97</v>
          </cell>
          <cell r="R333">
            <v>7.97</v>
          </cell>
          <cell r="S333">
            <v>7.97</v>
          </cell>
          <cell r="T333">
            <v>7.97</v>
          </cell>
        </row>
        <row r="334">
          <cell r="A334" t="str">
            <v>Fossil electricityMedium</v>
          </cell>
          <cell r="E334">
            <v>594</v>
          </cell>
          <cell r="F334">
            <v>562.09718664000002</v>
          </cell>
          <cell r="G334">
            <v>530.19437327999992</v>
          </cell>
          <cell r="H334">
            <v>498.29155992</v>
          </cell>
          <cell r="I334">
            <v>466.38874656000002</v>
          </cell>
          <cell r="J334">
            <v>440.56266012000003</v>
          </cell>
          <cell r="K334">
            <v>440.56266012000003</v>
          </cell>
          <cell r="L334">
            <v>440.56266012000003</v>
          </cell>
          <cell r="M334">
            <v>440.56266012000003</v>
          </cell>
          <cell r="N334">
            <v>440.56266012000003</v>
          </cell>
          <cell r="O334">
            <v>440.56266012000003</v>
          </cell>
          <cell r="P334">
            <v>440.56266012000003</v>
          </cell>
          <cell r="Q334">
            <v>440.56266012000003</v>
          </cell>
          <cell r="R334">
            <v>440.56266012000003</v>
          </cell>
          <cell r="S334">
            <v>440.56266012000003</v>
          </cell>
          <cell r="T334">
            <v>440.56266012000003</v>
          </cell>
        </row>
        <row r="335">
          <cell r="A335" t="str">
            <v>Natural gasMedium</v>
          </cell>
          <cell r="E335">
            <v>72.802499999999995</v>
          </cell>
          <cell r="F335">
            <v>72.802499999999995</v>
          </cell>
          <cell r="G335">
            <v>72.802499999999995</v>
          </cell>
          <cell r="H335">
            <v>72.802499999999995</v>
          </cell>
          <cell r="I335">
            <v>79.03</v>
          </cell>
          <cell r="J335">
            <v>79.03</v>
          </cell>
          <cell r="K335">
            <v>79.03</v>
          </cell>
          <cell r="L335">
            <v>79.03</v>
          </cell>
          <cell r="M335">
            <v>79.03</v>
          </cell>
          <cell r="N335">
            <v>79.03</v>
          </cell>
          <cell r="O335">
            <v>79.03</v>
          </cell>
          <cell r="P335">
            <v>79.03</v>
          </cell>
          <cell r="Q335">
            <v>79.03</v>
          </cell>
          <cell r="R335">
            <v>79.03</v>
          </cell>
          <cell r="S335">
            <v>79.03</v>
          </cell>
          <cell r="T335">
            <v>79.03</v>
          </cell>
        </row>
        <row r="336">
          <cell r="A336" t="str">
            <v>HydrogenMedium</v>
          </cell>
          <cell r="E336">
            <v>100.78</v>
          </cell>
          <cell r="F336">
            <v>100.78</v>
          </cell>
          <cell r="G336">
            <v>100.78</v>
          </cell>
          <cell r="H336">
            <v>100.78</v>
          </cell>
          <cell r="I336">
            <v>100.78</v>
          </cell>
          <cell r="J336">
            <v>100.78</v>
          </cell>
          <cell r="K336">
            <v>100.78</v>
          </cell>
          <cell r="L336">
            <v>100.78</v>
          </cell>
          <cell r="M336">
            <v>100.78</v>
          </cell>
          <cell r="N336">
            <v>100.78</v>
          </cell>
          <cell r="O336">
            <v>100.78</v>
          </cell>
          <cell r="P336">
            <v>100.78</v>
          </cell>
          <cell r="Q336">
            <v>100.78</v>
          </cell>
          <cell r="R336">
            <v>100.78</v>
          </cell>
          <cell r="S336">
            <v>100.78</v>
          </cell>
          <cell r="T336">
            <v>100.78</v>
          </cell>
        </row>
        <row r="337">
          <cell r="A337" t="str">
            <v>Renewables share of electricityMed-high</v>
          </cell>
          <cell r="E337">
            <v>0.23800000000000002</v>
          </cell>
          <cell r="F337">
            <v>0.23800000000000002</v>
          </cell>
          <cell r="G337">
            <v>0.25496113732004949</v>
          </cell>
          <cell r="H337">
            <v>0.27313101488879465</v>
          </cell>
          <cell r="I337">
            <v>0.2925957739219599</v>
          </cell>
          <cell r="J337">
            <v>0.31344769451337384</v>
          </cell>
          <cell r="K337">
            <v>0.3357856331238539</v>
          </cell>
          <cell r="L337">
            <v>0.35971549124785995</v>
          </cell>
          <cell r="M337">
            <v>0.38535071747980959</v>
          </cell>
          <cell r="N337">
            <v>0.41281284536029128</v>
          </cell>
          <cell r="O337">
            <v>0.44223206955204025</v>
          </cell>
          <cell r="P337">
            <v>0.47374786307725802</v>
          </cell>
          <cell r="Q337">
            <v>0.50750963854252429</v>
          </cell>
          <cell r="R337">
            <v>0.54367745648608912</v>
          </cell>
          <cell r="S337">
            <v>0.58242278420573523</v>
          </cell>
          <cell r="T337">
            <v>0.62392930866472263</v>
          </cell>
        </row>
        <row r="338">
          <cell r="A338" t="str">
            <v>Fossil shareMed-high</v>
          </cell>
          <cell r="E338">
            <v>0.55149999999999999</v>
          </cell>
          <cell r="F338">
            <v>0.55149999999999999</v>
          </cell>
          <cell r="G338">
            <v>0.54719269071377752</v>
          </cell>
          <cell r="H338">
            <v>0.54091597911753087</v>
          </cell>
          <cell r="I338">
            <v>0.53262944982411464</v>
          </cell>
          <cell r="J338">
            <v>0.52228379984252382</v>
          </cell>
          <cell r="K338">
            <v>0.50982056632370276</v>
          </cell>
          <cell r="L338">
            <v>0.49517181319579939</v>
          </cell>
          <cell r="M338">
            <v>0.4782597750640637</v>
          </cell>
          <cell r="N338">
            <v>0.45899645655635257</v>
          </cell>
          <cell r="O338">
            <v>0.43728318509183889</v>
          </cell>
          <cell r="P338">
            <v>0.41301011483710004</v>
          </cell>
          <cell r="Q338">
            <v>0.38605567938929009</v>
          </cell>
          <cell r="R338">
            <v>0.35628599048955367</v>
          </cell>
          <cell r="S338">
            <v>0.32355417982010726</v>
          </cell>
          <cell r="T338">
            <v>0.2876996806743517</v>
          </cell>
        </row>
        <row r="339">
          <cell r="A339" t="str">
            <v>Renewable electricityMed-high</v>
          </cell>
          <cell r="E339">
            <v>32.273406084528794</v>
          </cell>
          <cell r="F339">
            <v>7.97</v>
          </cell>
          <cell r="G339">
            <v>7.97</v>
          </cell>
          <cell r="H339">
            <v>7.97</v>
          </cell>
          <cell r="I339">
            <v>7.97</v>
          </cell>
          <cell r="J339">
            <v>7.97</v>
          </cell>
          <cell r="K339">
            <v>7.97</v>
          </cell>
          <cell r="L339">
            <v>7.97</v>
          </cell>
          <cell r="M339">
            <v>7.97</v>
          </cell>
          <cell r="N339">
            <v>7.97</v>
          </cell>
          <cell r="O339">
            <v>7.97</v>
          </cell>
          <cell r="P339">
            <v>7.97</v>
          </cell>
          <cell r="Q339">
            <v>7.97</v>
          </cell>
          <cell r="R339">
            <v>7.97</v>
          </cell>
          <cell r="S339">
            <v>7.97</v>
          </cell>
          <cell r="T339">
            <v>7.97</v>
          </cell>
        </row>
        <row r="340">
          <cell r="A340" t="str">
            <v>Fossil electricityMed-high</v>
          </cell>
          <cell r="E340">
            <v>594</v>
          </cell>
          <cell r="F340">
            <v>562.09718664000002</v>
          </cell>
          <cell r="G340">
            <v>530.19437327999992</v>
          </cell>
          <cell r="H340">
            <v>498.29155992</v>
          </cell>
          <cell r="I340">
            <v>466.38874656000002</v>
          </cell>
          <cell r="J340">
            <v>440.56266012000003</v>
          </cell>
          <cell r="K340">
            <v>438.35984681939999</v>
          </cell>
          <cell r="L340">
            <v>436.17906165180602</v>
          </cell>
          <cell r="M340">
            <v>434.02008433588799</v>
          </cell>
          <cell r="N340">
            <v>431.88269679312907</v>
          </cell>
          <cell r="O340">
            <v>429.76668312579778</v>
          </cell>
          <cell r="P340">
            <v>427.6718295951398</v>
          </cell>
          <cell r="Q340">
            <v>425.59792459978837</v>
          </cell>
          <cell r="R340">
            <v>423.54475865439053</v>
          </cell>
          <cell r="S340">
            <v>421.51212436844662</v>
          </cell>
          <cell r="T340">
            <v>419.49981642536216</v>
          </cell>
        </row>
        <row r="341">
          <cell r="A341" t="str">
            <v>Natural gasMed-high</v>
          </cell>
          <cell r="E341">
            <v>72.802499999999995</v>
          </cell>
          <cell r="F341">
            <v>72.802499999999995</v>
          </cell>
          <cell r="G341">
            <v>72.802499999999995</v>
          </cell>
          <cell r="H341">
            <v>72.802499999999995</v>
          </cell>
          <cell r="I341">
            <v>79.03</v>
          </cell>
          <cell r="J341">
            <v>79.03</v>
          </cell>
          <cell r="K341">
            <v>79.03</v>
          </cell>
          <cell r="L341">
            <v>79.03</v>
          </cell>
          <cell r="M341">
            <v>79.03</v>
          </cell>
          <cell r="N341">
            <v>79.03</v>
          </cell>
          <cell r="O341">
            <v>79.03</v>
          </cell>
          <cell r="P341">
            <v>79.03</v>
          </cell>
          <cell r="Q341">
            <v>79.03</v>
          </cell>
          <cell r="R341">
            <v>79.03</v>
          </cell>
          <cell r="S341">
            <v>79.03</v>
          </cell>
          <cell r="T341">
            <v>79.03</v>
          </cell>
        </row>
        <row r="342">
          <cell r="A342" t="str">
            <v>HydrogenMed-high</v>
          </cell>
          <cell r="E342">
            <v>100.78</v>
          </cell>
          <cell r="F342">
            <v>100.78</v>
          </cell>
          <cell r="G342">
            <v>100.78</v>
          </cell>
          <cell r="H342">
            <v>100.78</v>
          </cell>
          <cell r="I342">
            <v>100.78</v>
          </cell>
          <cell r="J342">
            <v>100.78</v>
          </cell>
          <cell r="K342">
            <v>100.78</v>
          </cell>
          <cell r="L342">
            <v>100.78</v>
          </cell>
          <cell r="M342">
            <v>100.78</v>
          </cell>
          <cell r="N342">
            <v>100.78</v>
          </cell>
          <cell r="O342">
            <v>100.78</v>
          </cell>
          <cell r="P342">
            <v>100.78</v>
          </cell>
          <cell r="Q342">
            <v>100.78</v>
          </cell>
          <cell r="R342">
            <v>100.78</v>
          </cell>
          <cell r="S342">
            <v>100.78</v>
          </cell>
          <cell r="T342">
            <v>100.78</v>
          </cell>
        </row>
        <row r="343">
          <cell r="A343" t="str">
            <v>Renewables share of electricityHigh</v>
          </cell>
          <cell r="E343">
            <v>0.23800000000000002</v>
          </cell>
          <cell r="F343">
            <v>0.23800000000000002</v>
          </cell>
          <cell r="G343">
            <v>0.2556024896982444</v>
          </cell>
          <cell r="H343">
            <v>0.2745068602518535</v>
          </cell>
          <cell r="I343">
            <v>0.29480939882194035</v>
          </cell>
          <cell r="J343">
            <v>0.31661351397197746</v>
          </cell>
          <cell r="K343">
            <v>0.34003026236700556</v>
          </cell>
          <cell r="L343">
            <v>0.3651789144275373</v>
          </cell>
          <cell r="M343">
            <v>0.39218756181924652</v>
          </cell>
          <cell r="N343">
            <v>0.42119376987261992</v>
          </cell>
          <cell r="O343">
            <v>0.45234527825559268</v>
          </cell>
          <cell r="P343">
            <v>0.48580075346796059</v>
          </cell>
          <cell r="Q343">
            <v>0.52173059699030988</v>
          </cell>
          <cell r="R343">
            <v>0.56031781320367469</v>
          </cell>
          <cell r="S343">
            <v>0.60175894150056763</v>
          </cell>
          <cell r="T343">
            <v>0.6462650573349813</v>
          </cell>
        </row>
        <row r="344">
          <cell r="A344" t="str">
            <v>Fossil shareHigh</v>
          </cell>
          <cell r="E344">
            <v>0.55149999999999999</v>
          </cell>
          <cell r="F344">
            <v>0.55149999999999999</v>
          </cell>
          <cell r="G344">
            <v>0.5474147327103922</v>
          </cell>
          <cell r="H344">
            <v>0.54115957838183515</v>
          </cell>
          <cell r="I344">
            <v>0.53269398872559381</v>
          </cell>
          <cell r="J344">
            <v>0.52196671478817602</v>
          </cell>
          <cell r="K344">
            <v>0.50891551009386171</v>
          </cell>
          <cell r="L344">
            <v>0.49346678007328842</v>
          </cell>
          <cell r="M344">
            <v>0.47553517584476535</v>
          </cell>
          <cell r="N344">
            <v>0.45502313014104101</v>
          </cell>
          <cell r="O344">
            <v>0.43182033288845229</v>
          </cell>
          <cell r="P344">
            <v>0.40580314364631925</v>
          </cell>
          <cell r="Q344">
            <v>0.37683393780062424</v>
          </cell>
          <cell r="R344">
            <v>0.3447603830758792</v>
          </cell>
          <cell r="S344">
            <v>0.30941464258097306</v>
          </cell>
          <cell r="T344">
            <v>0.27061250023697209</v>
          </cell>
        </row>
        <row r="345">
          <cell r="A345" t="str">
            <v>Renewable electricityHigh</v>
          </cell>
          <cell r="E345">
            <v>32.273406084528794</v>
          </cell>
          <cell r="F345">
            <v>7.97</v>
          </cell>
          <cell r="G345">
            <v>7.97</v>
          </cell>
          <cell r="H345">
            <v>7.97</v>
          </cell>
          <cell r="I345">
            <v>7.97</v>
          </cell>
          <cell r="J345">
            <v>7.97</v>
          </cell>
          <cell r="K345">
            <v>7.97</v>
          </cell>
          <cell r="L345">
            <v>7.97</v>
          </cell>
          <cell r="M345">
            <v>7.97</v>
          </cell>
          <cell r="N345">
            <v>7.97</v>
          </cell>
          <cell r="O345">
            <v>7.97</v>
          </cell>
          <cell r="P345">
            <v>7.97</v>
          </cell>
          <cell r="Q345">
            <v>7.97</v>
          </cell>
          <cell r="R345">
            <v>7.97</v>
          </cell>
          <cell r="S345">
            <v>7.97</v>
          </cell>
          <cell r="T345">
            <v>7.97</v>
          </cell>
        </row>
        <row r="346">
          <cell r="A346" t="str">
            <v>Fossil electricityHigh</v>
          </cell>
          <cell r="E346">
            <v>594</v>
          </cell>
          <cell r="F346">
            <v>562.09718664000002</v>
          </cell>
          <cell r="G346">
            <v>530.19437327999992</v>
          </cell>
          <cell r="H346">
            <v>498.29155992</v>
          </cell>
          <cell r="I346">
            <v>466.38874656000002</v>
          </cell>
          <cell r="J346">
            <v>440.56266012000003</v>
          </cell>
          <cell r="K346">
            <v>436.15703351880001</v>
          </cell>
          <cell r="L346">
            <v>431.79546318361201</v>
          </cell>
          <cell r="M346">
            <v>427.47750855177588</v>
          </cell>
          <cell r="N346">
            <v>423.20273346625811</v>
          </cell>
          <cell r="O346">
            <v>418.97070613159553</v>
          </cell>
          <cell r="P346">
            <v>414.78099907027956</v>
          </cell>
          <cell r="Q346">
            <v>410.63318907957677</v>
          </cell>
          <cell r="R346">
            <v>406.52685718878098</v>
          </cell>
          <cell r="S346">
            <v>402.46158861689315</v>
          </cell>
          <cell r="T346">
            <v>398.43697273072422</v>
          </cell>
        </row>
        <row r="347">
          <cell r="A347" t="str">
            <v>Natural gasHigh</v>
          </cell>
          <cell r="E347">
            <v>72.802499999999995</v>
          </cell>
          <cell r="F347">
            <v>72.802499999999995</v>
          </cell>
          <cell r="G347">
            <v>72.802499999999995</v>
          </cell>
          <cell r="H347">
            <v>72.802499999999995</v>
          </cell>
          <cell r="I347">
            <v>79.03</v>
          </cell>
          <cell r="J347">
            <v>79.03</v>
          </cell>
          <cell r="K347">
            <v>79.03</v>
          </cell>
          <cell r="L347">
            <v>79.03</v>
          </cell>
          <cell r="M347">
            <v>79.03</v>
          </cell>
          <cell r="N347">
            <v>79.03</v>
          </cell>
          <cell r="O347">
            <v>79.03</v>
          </cell>
          <cell r="P347">
            <v>79.03</v>
          </cell>
          <cell r="Q347">
            <v>79.03</v>
          </cell>
          <cell r="R347">
            <v>79.03</v>
          </cell>
          <cell r="S347">
            <v>79.03</v>
          </cell>
          <cell r="T347">
            <v>79.03</v>
          </cell>
        </row>
        <row r="348">
          <cell r="A348" t="str">
            <v>HydrogenHigh</v>
          </cell>
          <cell r="E348">
            <v>100.78</v>
          </cell>
          <cell r="F348">
            <v>100.78</v>
          </cell>
          <cell r="G348">
            <v>100.78</v>
          </cell>
          <cell r="H348">
            <v>100.78</v>
          </cell>
          <cell r="I348">
            <v>100.78</v>
          </cell>
          <cell r="J348">
            <v>100.78</v>
          </cell>
          <cell r="K348">
            <v>100.78</v>
          </cell>
          <cell r="L348">
            <v>100.78</v>
          </cell>
          <cell r="M348">
            <v>100.78</v>
          </cell>
          <cell r="N348">
            <v>100.78</v>
          </cell>
          <cell r="O348">
            <v>100.78</v>
          </cell>
          <cell r="P348">
            <v>100.78</v>
          </cell>
          <cell r="Q348">
            <v>100.78</v>
          </cell>
          <cell r="R348">
            <v>100.78</v>
          </cell>
          <cell r="S348">
            <v>100.78</v>
          </cell>
          <cell r="T348">
            <v>100.78</v>
          </cell>
        </row>
      </sheetData>
      <sheetData sheetId="20">
        <row r="230">
          <cell r="D230">
            <v>2.5717766996569418E-4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</row>
        <row r="231">
          <cell r="D231">
            <v>3.0362563515399592E-3</v>
          </cell>
          <cell r="E231">
            <v>4.6221170666106617E-3</v>
          </cell>
          <cell r="F231">
            <v>5.2868321351269088E-3</v>
          </cell>
          <cell r="G231">
            <v>5.7855903847113758E-3</v>
          </cell>
          <cell r="H231">
            <v>6.1863401920823242E-3</v>
          </cell>
          <cell r="I231">
            <v>6.791068144253635E-3</v>
          </cell>
          <cell r="J231">
            <v>7.4309118962336777E-3</v>
          </cell>
          <cell r="K231">
            <v>8.1660881557623546E-3</v>
          </cell>
          <cell r="L231">
            <v>9.8519430883004001E-3</v>
          </cell>
          <cell r="M231">
            <v>1.2627157898165856E-2</v>
          </cell>
          <cell r="N231">
            <v>1.3149610956987813E-2</v>
          </cell>
          <cell r="O231">
            <v>1.5551811803677438E-2</v>
          </cell>
          <cell r="P231">
            <v>1.8750585580463539E-2</v>
          </cell>
          <cell r="Q231">
            <v>2.3015854308280986E-2</v>
          </cell>
          <cell r="R231">
            <v>2.3916299484145042E-2</v>
          </cell>
          <cell r="S231">
            <v>2.4739108352116693E-2</v>
          </cell>
        </row>
        <row r="232"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9.0406571965149303E-4</v>
          </cell>
          <cell r="I232">
            <v>1.0612713273659962E-3</v>
          </cell>
          <cell r="J232">
            <v>1.1504253443901564E-3</v>
          </cell>
          <cell r="K232">
            <v>1.1658454278667496E-3</v>
          </cell>
          <cell r="L232">
            <v>1.1826620460030934E-3</v>
          </cell>
          <cell r="M232">
            <v>1.1995421969095994E-3</v>
          </cell>
          <cell r="N232">
            <v>1.2191889694310541E-3</v>
          </cell>
          <cell r="O232">
            <v>1.237030570137605E-3</v>
          </cell>
          <cell r="P232">
            <v>1.2535841387742138E-3</v>
          </cell>
          <cell r="Q232">
            <v>1.2664879048255879E-3</v>
          </cell>
          <cell r="R232">
            <v>1.2400205878068935E-3</v>
          </cell>
          <cell r="S232">
            <v>1.2050790093998823E-3</v>
          </cell>
        </row>
        <row r="233">
          <cell r="D233">
            <v>2.734493149046296E-4</v>
          </cell>
          <cell r="E233">
            <v>3.1226375247151952E-4</v>
          </cell>
          <cell r="F233">
            <v>3.5747270273037282E-4</v>
          </cell>
          <cell r="G233">
            <v>4.0321020720753063E-4</v>
          </cell>
          <cell r="H233">
            <v>4.5495992778055546E-4</v>
          </cell>
          <cell r="I233">
            <v>5.0163875334605188E-4</v>
          </cell>
          <cell r="J233">
            <v>7.3789939706860551E-4</v>
          </cell>
          <cell r="K233">
            <v>1.1524695227878106E-3</v>
          </cell>
          <cell r="L233">
            <v>1.7369444605621373E-3</v>
          </cell>
          <cell r="M233">
            <v>2.5082815305375078E-3</v>
          </cell>
          <cell r="N233">
            <v>3.4614229912826736E-3</v>
          </cell>
          <cell r="O233">
            <v>4.5710420537111102E-3</v>
          </cell>
          <cell r="P233">
            <v>5.8589903011592604E-3</v>
          </cell>
          <cell r="Q233">
            <v>7.3106482077208816E-3</v>
          </cell>
          <cell r="R233">
            <v>8.920188679503973E-3</v>
          </cell>
          <cell r="S233">
            <v>1.0671263959149416E-2</v>
          </cell>
        </row>
        <row r="234">
          <cell r="D234">
            <v>2.2390910492772775E-3</v>
          </cell>
          <cell r="E234">
            <v>2.8073439410711059E-3</v>
          </cell>
          <cell r="F234">
            <v>3.4387073464624465E-3</v>
          </cell>
          <cell r="G234">
            <v>4.0313948295906928E-3</v>
          </cell>
          <cell r="H234">
            <v>4.8199818943700538E-3</v>
          </cell>
          <cell r="I234">
            <v>5.6066281010026435E-3</v>
          </cell>
          <cell r="J234">
            <v>7.3525836445904802E-3</v>
          </cell>
          <cell r="K234">
            <v>1.0183146320145083E-2</v>
          </cell>
          <cell r="L234">
            <v>1.4055911878855786E-2</v>
          </cell>
          <cell r="M234">
            <v>1.9114597724326901E-2</v>
          </cell>
          <cell r="N234">
            <v>2.5267496137236441E-2</v>
          </cell>
          <cell r="O234">
            <v>3.2317829050188873E-2</v>
          </cell>
          <cell r="P234">
            <v>4.052387089017008E-2</v>
          </cell>
          <cell r="Q234">
            <v>4.9846156558438756E-2</v>
          </cell>
          <cell r="R234">
            <v>6.0138986317497985E-2</v>
          </cell>
          <cell r="S234">
            <v>7.1329591970211756E-2</v>
          </cell>
        </row>
        <row r="235"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D236">
            <v>1.5471887810305578E-2</v>
          </cell>
          <cell r="E236">
            <v>1.4865792033657121E-2</v>
          </cell>
          <cell r="F236">
            <v>1.4658553134570393E-2</v>
          </cell>
          <cell r="G236">
            <v>1.4433690473788976E-2</v>
          </cell>
          <cell r="H236">
            <v>1.4724840790890059E-2</v>
          </cell>
          <cell r="I236">
            <v>1.4012241754200936E-2</v>
          </cell>
          <cell r="J236">
            <v>1.3736342758667733E-2</v>
          </cell>
          <cell r="K236">
            <v>1.3772720959492049E-2</v>
          </cell>
          <cell r="L236">
            <v>1.3913606956699099E-2</v>
          </cell>
          <cell r="M236">
            <v>1.398419078946979E-2</v>
          </cell>
          <cell r="N236">
            <v>1.4037406094004735E-2</v>
          </cell>
          <cell r="O236">
            <v>1.4045816592412462E-2</v>
          </cell>
          <cell r="P236">
            <v>1.4037798014904351E-2</v>
          </cell>
          <cell r="Q236">
            <v>1.4004613491725161E-2</v>
          </cell>
          <cell r="R236">
            <v>1.3580089346319399E-2</v>
          </cell>
          <cell r="S236">
            <v>1.3098565498602503E-2</v>
          </cell>
        </row>
        <row r="237">
          <cell r="D237">
            <v>6.11735770821107E-4</v>
          </cell>
          <cell r="E237">
            <v>9.8118351225604601E-4</v>
          </cell>
          <cell r="F237">
            <v>1.3885054700411531E-3</v>
          </cell>
          <cell r="G237">
            <v>1.8212251421010379E-3</v>
          </cell>
          <cell r="H237">
            <v>2.301112590580153E-3</v>
          </cell>
          <cell r="I237">
            <v>3.5948496874137429E-3</v>
          </cell>
          <cell r="J237">
            <v>3.6518834084100522E-3</v>
          </cell>
          <cell r="K237">
            <v>3.6945502683760189E-3</v>
          </cell>
          <cell r="L237">
            <v>3.761271550044314E-3</v>
          </cell>
          <cell r="M237">
            <v>3.803520814225443E-3</v>
          </cell>
          <cell r="N237">
            <v>3.72189509228697E-3</v>
          </cell>
          <cell r="O237">
            <v>3.6266563706483508E-3</v>
          </cell>
          <cell r="P237">
            <v>3.5263047804468092E-3</v>
          </cell>
          <cell r="Q237">
            <v>3.4199244343197082E-3</v>
          </cell>
          <cell r="R237">
            <v>3.3073876898666991E-3</v>
          </cell>
          <cell r="S237">
            <v>3.1773227065891169E-3</v>
          </cell>
        </row>
        <row r="238">
          <cell r="D238">
            <v>0</v>
          </cell>
          <cell r="E238">
            <v>7.7676445062652307E-5</v>
          </cell>
          <cell r="F238">
            <v>1.5697583672920855E-4</v>
          </cell>
          <cell r="G238">
            <v>2.3773137250946539E-4</v>
          </cell>
          <cell r="H238">
            <v>3.3178289335696477E-4</v>
          </cell>
          <cell r="I238">
            <v>4.1620520061982989E-4</v>
          </cell>
          <cell r="J238">
            <v>4.9649431657835196E-4</v>
          </cell>
          <cell r="K238">
            <v>5.8905731191310226E-4</v>
          </cell>
          <cell r="L238">
            <v>6.8993092347268217E-4</v>
          </cell>
          <cell r="M238">
            <v>7.9155796921527143E-4</v>
          </cell>
          <cell r="N238">
            <v>8.9600464429817497E-4</v>
          </cell>
          <cell r="O238">
            <v>1.0011057182497003E-3</v>
          </cell>
          <cell r="P238">
            <v>1.1082472117029756E-3</v>
          </cell>
          <cell r="Q238">
            <v>1.2164363611966173E-3</v>
          </cell>
          <cell r="R238">
            <v>1.2904157297407572E-3</v>
          </cell>
          <cell r="S238">
            <v>1.3550240170968097E-3</v>
          </cell>
        </row>
        <row r="239">
          <cell r="D239">
            <v>0</v>
          </cell>
          <cell r="E239">
            <v>2.5481161872404457E-4</v>
          </cell>
          <cell r="F239">
            <v>5.0808657899596428E-4</v>
          </cell>
          <cell r="G239">
            <v>7.5935269742049432E-4</v>
          </cell>
          <cell r="H239">
            <v>1.0163033127221499E-3</v>
          </cell>
          <cell r="I239">
            <v>1.2593636345929443E-3</v>
          </cell>
          <cell r="J239">
            <v>1.4842147400094107E-3</v>
          </cell>
          <cell r="K239">
            <v>1.6954925631917051E-3</v>
          </cell>
          <cell r="L239">
            <v>1.9112512389416654E-3</v>
          </cell>
          <cell r="M239">
            <v>2.1086273633674803E-3</v>
          </cell>
          <cell r="N239">
            <v>2.2926389108355169E-3</v>
          </cell>
          <cell r="O239">
            <v>2.4573704083410332E-3</v>
          </cell>
          <cell r="P239">
            <v>2.6065893908310015E-3</v>
          </cell>
          <cell r="Q239">
            <v>2.7386175930732446E-3</v>
          </cell>
          <cell r="R239">
            <v>2.8522308480453534E-3</v>
          </cell>
          <cell r="S239">
            <v>2.9357841188901155E-3</v>
          </cell>
        </row>
        <row r="240"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</row>
        <row r="241"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D242">
            <v>0</v>
          </cell>
          <cell r="E242">
            <v>0</v>
          </cell>
          <cell r="F242">
            <v>1.1180622696522503E-6</v>
          </cell>
          <cell r="G242">
            <v>4.9205102038884429E-5</v>
          </cell>
          <cell r="H242">
            <v>1.4622217542958874E-4</v>
          </cell>
          <cell r="I242">
            <v>2.6331788756359337E-4</v>
          </cell>
          <cell r="J242">
            <v>4.871305801922733E-4</v>
          </cell>
          <cell r="K242">
            <v>7.45177508520016E-4</v>
          </cell>
          <cell r="L242">
            <v>8.4199625390340462E-4</v>
          </cell>
          <cell r="M242">
            <v>9.513214128480564E-4</v>
          </cell>
          <cell r="N242">
            <v>1.0771584055583674E-3</v>
          </cell>
          <cell r="O242">
            <v>1.2176527904526843E-3</v>
          </cell>
          <cell r="P242">
            <v>1.3749023601544582E-3</v>
          </cell>
          <cell r="Q242">
            <v>1.5478854576871325E-3</v>
          </cell>
          <cell r="R242">
            <v>1.7402614696979497E-3</v>
          </cell>
          <cell r="S242">
            <v>1.9580719558853557E-3</v>
          </cell>
        </row>
        <row r="243">
          <cell r="D243">
            <v>0</v>
          </cell>
          <cell r="E243">
            <v>0</v>
          </cell>
          <cell r="F243">
            <v>1.465381818696796E-7</v>
          </cell>
          <cell r="G243">
            <v>6.3879352421305261E-6</v>
          </cell>
          <cell r="H243">
            <v>1.8718397836164246E-5</v>
          </cell>
          <cell r="I243">
            <v>3.3401175360767764E-5</v>
          </cell>
          <cell r="J243">
            <v>6.1233440053316135E-5</v>
          </cell>
          <cell r="K243">
            <v>9.2832524041619514E-5</v>
          </cell>
          <cell r="L243">
            <v>1.0396385776251952E-4</v>
          </cell>
          <cell r="M243">
            <v>1.1643012021032853E-4</v>
          </cell>
          <cell r="N243">
            <v>1.3068235138201706E-4</v>
          </cell>
          <cell r="O243">
            <v>1.4645121910646604E-4</v>
          </cell>
          <cell r="P243">
            <v>1.6394789282159881E-4</v>
          </cell>
          <cell r="Q243">
            <v>1.8300755206950931E-4</v>
          </cell>
          <cell r="R243">
            <v>2.0401970810782815E-4</v>
          </cell>
          <cell r="S243">
            <v>2.2763780134883268E-4</v>
          </cell>
        </row>
        <row r="244">
          <cell r="D244">
            <v>0</v>
          </cell>
          <cell r="E244">
            <v>0</v>
          </cell>
          <cell r="F244">
            <v>1.0902989164112801E-7</v>
          </cell>
          <cell r="G244">
            <v>4.8087915104554728E-6</v>
          </cell>
          <cell r="H244">
            <v>1.4326968324524574E-5</v>
          </cell>
          <cell r="I244">
            <v>2.5852833024353354E-5</v>
          </cell>
          <cell r="J244">
            <v>4.7922796161405608E-5</v>
          </cell>
          <cell r="K244">
            <v>7.3452783665514142E-5</v>
          </cell>
          <cell r="L244">
            <v>8.3156028599171616E-5</v>
          </cell>
          <cell r="M244">
            <v>9.4130354881911802E-5</v>
          </cell>
          <cell r="N244">
            <v>1.0677881441033775E-4</v>
          </cell>
          <cell r="O244">
            <v>1.2092519260452665E-4</v>
          </cell>
          <cell r="P244">
            <v>1.3678488659379419E-4</v>
          </cell>
          <cell r="Q244">
            <v>1.5426363865746328E-4</v>
          </cell>
          <cell r="R244">
            <v>1.737335554066496E-4</v>
          </cell>
          <cell r="S244">
            <v>1.9580719558853557E-4</v>
          </cell>
        </row>
        <row r="245">
          <cell r="D245">
            <v>0</v>
          </cell>
          <cell r="E245">
            <v>0</v>
          </cell>
          <cell r="F245">
            <v>1.4811215043418693E-7</v>
          </cell>
          <cell r="G245">
            <v>6.4566422385918027E-6</v>
          </cell>
          <cell r="H245">
            <v>1.8916751629276017E-5</v>
          </cell>
          <cell r="I245">
            <v>3.3755602602452195E-5</v>
          </cell>
          <cell r="J245">
            <v>6.1884088982922694E-5</v>
          </cell>
          <cell r="K245">
            <v>9.382028110708663E-5</v>
          </cell>
          <cell r="L245">
            <v>1.0507156121371731E-4</v>
          </cell>
          <cell r="M245">
            <v>1.1767233534991688E-4</v>
          </cell>
          <cell r="N245">
            <v>1.3207852033881055E-4</v>
          </cell>
          <cell r="O245">
            <v>1.4801798031844951E-4</v>
          </cell>
          <cell r="P245">
            <v>1.6570421288151138E-4</v>
          </cell>
          <cell r="Q245">
            <v>1.8497070466558406E-4</v>
          </cell>
          <cell r="R245">
            <v>2.0621121891578704E-4</v>
          </cell>
          <cell r="S245">
            <v>2.3008630948424016E-4</v>
          </cell>
        </row>
        <row r="246">
          <cell r="D246">
            <v>0</v>
          </cell>
          <cell r="E246">
            <v>0</v>
          </cell>
          <cell r="F246">
            <v>2.2771511438041178E-7</v>
          </cell>
          <cell r="G246">
            <v>1.0006109927436369E-5</v>
          </cell>
          <cell r="H246">
            <v>2.9680732272658492E-5</v>
          </cell>
          <cell r="I246">
            <v>5.3371342429271937E-5</v>
          </cell>
          <cell r="J246">
            <v>9.8593905837135684E-5</v>
          </cell>
          <cell r="K246">
            <v>1.5060923046745142E-4</v>
          </cell>
          <cell r="L246">
            <v>1.6994139997414249E-4</v>
          </cell>
          <cell r="M246">
            <v>1.9174464750204196E-4</v>
          </cell>
          <cell r="N246">
            <v>2.1681634818497414E-4</v>
          </cell>
          <cell r="O246">
            <v>2.4477197492699245E-4</v>
          </cell>
          <cell r="P246">
            <v>2.7602278458964375E-4</v>
          </cell>
          <cell r="Q246">
            <v>3.1035275996138713E-4</v>
          </cell>
          <cell r="R246">
            <v>3.4848466384235005E-4</v>
          </cell>
          <cell r="S246">
            <v>3.9161439117707113E-4</v>
          </cell>
        </row>
        <row r="247">
          <cell r="D247">
            <v>0</v>
          </cell>
          <cell r="E247">
            <v>0</v>
          </cell>
          <cell r="F247">
            <v>6.3644817751729384E-7</v>
          </cell>
          <cell r="G247">
            <v>2.774463927224454E-5</v>
          </cell>
          <cell r="H247">
            <v>8.1498849602132527E-5</v>
          </cell>
          <cell r="I247">
            <v>1.4542892107696892E-4</v>
          </cell>
          <cell r="J247">
            <v>2.6661459428260352E-4</v>
          </cell>
          <cell r="K247">
            <v>4.0420496760885417E-4</v>
          </cell>
          <cell r="L247">
            <v>4.5267874382647072E-4</v>
          </cell>
          <cell r="M247">
            <v>5.0696653151446034E-4</v>
          </cell>
          <cell r="N247">
            <v>5.6903255250790089E-4</v>
          </cell>
          <cell r="O247">
            <v>6.377043666268413E-4</v>
          </cell>
          <cell r="P247">
            <v>7.1390178338916535E-4</v>
          </cell>
          <cell r="Q247">
            <v>7.9690741496075046E-4</v>
          </cell>
          <cell r="R247">
            <v>8.8841770754556116E-4</v>
          </cell>
          <cell r="S247">
            <v>9.9127851861971527E-4</v>
          </cell>
        </row>
        <row r="248">
          <cell r="D248">
            <v>5.017138345528089E-4</v>
          </cell>
          <cell r="E248">
            <v>6.5049302543552796E-4</v>
          </cell>
          <cell r="F248">
            <v>7.5984304308225126E-4</v>
          </cell>
          <cell r="G248">
            <v>8.5977840917646144E-4</v>
          </cell>
          <cell r="H248">
            <v>9.2730406007450114E-4</v>
          </cell>
          <cell r="I248">
            <v>1.0179619583397287E-3</v>
          </cell>
          <cell r="J248">
            <v>1.2967898313470587E-3</v>
          </cell>
          <cell r="K248">
            <v>1.6062048411599318E-3</v>
          </cell>
          <cell r="L248">
            <v>1.9467990498395651E-3</v>
          </cell>
          <cell r="M248">
            <v>2.0564371694235346E-3</v>
          </cell>
          <cell r="N248">
            <v>2.1244910122837622E-3</v>
          </cell>
          <cell r="O248">
            <v>1.9633028652454657E-3</v>
          </cell>
          <cell r="P248">
            <v>1.7896622244542157E-3</v>
          </cell>
          <cell r="Q248">
            <v>1.6081320084407166E-3</v>
          </cell>
          <cell r="R248">
            <v>1.4203447732107509E-3</v>
          </cell>
          <cell r="S248">
            <v>1.2331771732225934E-3</v>
          </cell>
        </row>
        <row r="249">
          <cell r="D249">
            <v>1.0893613742984085E-3</v>
          </cell>
          <cell r="E249">
            <v>1.4441444163649996E-3</v>
          </cell>
          <cell r="F249">
            <v>1.7363842254135755E-3</v>
          </cell>
          <cell r="G249">
            <v>2.0243035777611201E-3</v>
          </cell>
          <cell r="H249">
            <v>2.2550206927496826E-3</v>
          </cell>
          <cell r="I249">
            <v>2.5558576500239408E-3</v>
          </cell>
          <cell r="J249">
            <v>3.1091127487280859E-3</v>
          </cell>
          <cell r="K249">
            <v>3.6843151410333465E-3</v>
          </cell>
          <cell r="L249">
            <v>4.2798174549454095E-3</v>
          </cell>
          <cell r="M249">
            <v>4.882597796976469E-3</v>
          </cell>
          <cell r="N249">
            <v>5.4843659417069977E-3</v>
          </cell>
          <cell r="O249">
            <v>5.5544535536261987E-3</v>
          </cell>
          <cell r="P249">
            <v>5.6022601881901913E-3</v>
          </cell>
          <cell r="Q249">
            <v>5.6358710568757929E-3</v>
          </cell>
          <cell r="R249">
            <v>5.6560541901579386E-3</v>
          </cell>
          <cell r="S249">
            <v>5.6882124946670649E-3</v>
          </cell>
        </row>
        <row r="250">
          <cell r="D250">
            <v>1.8401870000503812E-3</v>
          </cell>
          <cell r="E250">
            <v>2.2467336100019074E-3</v>
          </cell>
          <cell r="F250">
            <v>2.5507213359995643E-3</v>
          </cell>
          <cell r="G250">
            <v>2.7974935978895628E-3</v>
          </cell>
          <cell r="H250">
            <v>2.9405327752315613E-3</v>
          </cell>
          <cell r="I250">
            <v>3.1074269583589017E-3</v>
          </cell>
          <cell r="J250">
            <v>3.5050633878917943E-3</v>
          </cell>
          <cell r="K250">
            <v>3.8266386353459662E-3</v>
          </cell>
          <cell r="L250">
            <v>4.0642793726723501E-3</v>
          </cell>
          <cell r="M250">
            <v>4.6437424130481124E-3</v>
          </cell>
          <cell r="N250">
            <v>5.2240035123043305E-3</v>
          </cell>
          <cell r="O250">
            <v>5.2988209304380106E-3</v>
          </cell>
          <cell r="P250">
            <v>5.3525786110947991E-3</v>
          </cell>
          <cell r="Q250">
            <v>5.3929167165465705E-3</v>
          </cell>
          <cell r="R250">
            <v>5.4205097029401328E-3</v>
          </cell>
          <cell r="S250">
            <v>5.4596812985904675E-3</v>
          </cell>
        </row>
        <row r="251">
          <cell r="D251">
            <v>1.8877953560252354E-4</v>
          </cell>
          <cell r="E251">
            <v>3.7063277767297232E-4</v>
          </cell>
          <cell r="F251">
            <v>5.9499008758132413E-4</v>
          </cell>
          <cell r="G251">
            <v>8.6829336925798185E-4</v>
          </cell>
          <cell r="H251">
            <v>1.1665168458244771E-3</v>
          </cell>
          <cell r="I251">
            <v>1.5447623786406664E-3</v>
          </cell>
          <cell r="J251">
            <v>1.88199026205068E-3</v>
          </cell>
          <cell r="K251">
            <v>2.2335441498034952E-3</v>
          </cell>
          <cell r="L251">
            <v>2.5984889928586997E-3</v>
          </cell>
          <cell r="M251">
            <v>2.9689675436958204E-3</v>
          </cell>
          <cell r="N251">
            <v>3.3399563319025621E-3</v>
          </cell>
          <cell r="O251">
            <v>3.3877907004751739E-3</v>
          </cell>
          <cell r="P251">
            <v>3.4221605674699309E-3</v>
          </cell>
          <cell r="Q251">
            <v>3.4479506555514694E-3</v>
          </cell>
          <cell r="R251">
            <v>3.4655921769256815E-3</v>
          </cell>
          <cell r="S251">
            <v>3.4906364592686982E-3</v>
          </cell>
        </row>
        <row r="252">
          <cell r="D252">
            <v>1.1663633741765054E-3</v>
          </cell>
          <cell r="E252">
            <v>1.4482876846225183E-3</v>
          </cell>
          <cell r="F252">
            <v>1.6836605770966296E-3</v>
          </cell>
          <cell r="G252">
            <v>1.8953613053172833E-3</v>
          </cell>
          <cell r="H252">
            <v>2.0531690271016999E-3</v>
          </cell>
          <cell r="I252">
            <v>2.2406450121067118E-3</v>
          </cell>
          <cell r="J252">
            <v>2.820779789088478E-3</v>
          </cell>
          <cell r="K252">
            <v>3.4556888940506509E-3</v>
          </cell>
          <cell r="L252">
            <v>4.1459583878428489E-3</v>
          </cell>
          <cell r="M252">
            <v>4.8806142600660947E-3</v>
          </cell>
          <cell r="N252">
            <v>5.6519583199822303E-3</v>
          </cell>
          <cell r="O252">
            <v>5.8967021258719615E-3</v>
          </cell>
          <cell r="P252">
            <v>6.1219844801514876E-3</v>
          </cell>
          <cell r="Q252">
            <v>6.334826954975648E-3</v>
          </cell>
          <cell r="R252">
            <v>6.5347981750273534E-3</v>
          </cell>
          <cell r="S252">
            <v>6.7507920352304074E-3</v>
          </cell>
        </row>
        <row r="253">
          <cell r="D253">
            <v>0</v>
          </cell>
          <cell r="E253">
            <v>4.0749663461950186E-5</v>
          </cell>
          <cell r="F253">
            <v>9.8138896036624755E-5</v>
          </cell>
          <cell r="G253">
            <v>1.7187596849590865E-4</v>
          </cell>
          <cell r="H253">
            <v>2.5681128043611429E-4</v>
          </cell>
          <cell r="I253">
            <v>3.6438889143079755E-4</v>
          </cell>
          <cell r="J253">
            <v>5.327237546080022E-4</v>
          </cell>
          <cell r="K253">
            <v>7.3760868541785101E-4</v>
          </cell>
          <cell r="L253">
            <v>9.8071836714315984E-4</v>
          </cell>
          <cell r="M253">
            <v>1.2606118924309905E-3</v>
          </cell>
          <cell r="N253">
            <v>1.5757025184419628E-3</v>
          </cell>
          <cell r="O253">
            <v>1.7580964506854514E-3</v>
          </cell>
          <cell r="P253">
            <v>1.9373811471134379E-3</v>
          </cell>
          <cell r="Q253">
            <v>2.1146467764797516E-3</v>
          </cell>
          <cell r="R253">
            <v>2.2889638335928451E-3</v>
          </cell>
          <cell r="S253">
            <v>2.4701840892191718E-3</v>
          </cell>
        </row>
        <row r="254"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</row>
        <row r="255"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</row>
        <row r="256">
          <cell r="D256">
            <v>3.8440026872020756E-3</v>
          </cell>
          <cell r="E256">
            <v>5.7422531938761314E-3</v>
          </cell>
          <cell r="F256">
            <v>7.6467684741551942E-3</v>
          </cell>
          <cell r="G256">
            <v>1.0007934167510125E-2</v>
          </cell>
          <cell r="H256">
            <v>1.1661871989078886E-2</v>
          </cell>
          <cell r="I256">
            <v>1.3572592565610588E-2</v>
          </cell>
          <cell r="J256">
            <v>1.4106783174065104E-2</v>
          </cell>
          <cell r="K256">
            <v>1.4444466497877626E-2</v>
          </cell>
          <cell r="L256">
            <v>1.3995035432443886E-2</v>
          </cell>
          <cell r="M256">
            <v>1.2874341477164182E-2</v>
          </cell>
          <cell r="N256">
            <v>1.1743132366814242E-2</v>
          </cell>
          <cell r="O256">
            <v>1.0108920945305615E-2</v>
          </cell>
          <cell r="P256">
            <v>8.5301719773877259E-3</v>
          </cell>
          <cell r="Q256">
            <v>7.0037116394646368E-3</v>
          </cell>
          <cell r="R256">
            <v>5.5553566796563252E-3</v>
          </cell>
          <cell r="S256">
            <v>4.2032040377670485E-3</v>
          </cell>
        </row>
        <row r="257">
          <cell r="D257">
            <v>2.7058998965834562E-3</v>
          </cell>
          <cell r="E257">
            <v>4.3837981185151122E-3</v>
          </cell>
          <cell r="F257">
            <v>6.2272504916442827E-3</v>
          </cell>
          <cell r="G257">
            <v>8.7245880630189235E-3</v>
          </cell>
          <cell r="H257">
            <v>1.0871890548292448E-2</v>
          </cell>
          <cell r="I257">
            <v>1.3661548030819067E-2</v>
          </cell>
          <cell r="J257">
            <v>1.5411698554154869E-2</v>
          </cell>
          <cell r="K257">
            <v>1.7233416840930178E-2</v>
          </cell>
          <cell r="L257">
            <v>1.8366682822063662E-2</v>
          </cell>
          <cell r="M257">
            <v>1.8746734719011907E-2</v>
          </cell>
          <cell r="N257">
            <v>1.9173614307152351E-2</v>
          </cell>
          <cell r="O257">
            <v>1.8751545794950721E-2</v>
          </cell>
          <cell r="P257">
            <v>1.8280039502793412E-2</v>
          </cell>
          <cell r="Q257">
            <v>1.7727852008278672E-2</v>
          </cell>
          <cell r="R257">
            <v>1.7126565798387061E-2</v>
          </cell>
          <cell r="S257">
            <v>1.6513580589308248E-2</v>
          </cell>
        </row>
        <row r="258">
          <cell r="D258">
            <v>0</v>
          </cell>
          <cell r="E258">
            <v>1.8064215940901123E-4</v>
          </cell>
          <cell r="F258">
            <v>5.0983337358491215E-4</v>
          </cell>
          <cell r="G258">
            <v>1.0644377593225704E-3</v>
          </cell>
          <cell r="H258">
            <v>1.768276213087686E-3</v>
          </cell>
          <cell r="I258">
            <v>2.7595863132677929E-3</v>
          </cell>
          <cell r="J258">
            <v>3.7117859254638275E-3</v>
          </cell>
          <cell r="K258">
            <v>4.8114451942559734E-3</v>
          </cell>
          <cell r="L258">
            <v>5.8233030124926E-3</v>
          </cell>
          <cell r="M258">
            <v>6.6447214794314669E-3</v>
          </cell>
          <cell r="N258">
            <v>7.5039471572623685E-3</v>
          </cell>
          <cell r="O258">
            <v>8.0224985411901425E-3</v>
          </cell>
          <cell r="P258">
            <v>8.4790876408746604E-3</v>
          </cell>
          <cell r="Q258">
            <v>8.8535537510431202E-3</v>
          </cell>
          <cell r="R258">
            <v>9.1550398247768356E-3</v>
          </cell>
          <cell r="S258">
            <v>9.4005730344188434E-3</v>
          </cell>
        </row>
        <row r="259">
          <cell r="D259">
            <v>0</v>
          </cell>
          <cell r="E259">
            <v>9.8011966238220844E-5</v>
          </cell>
          <cell r="F259">
            <v>2.7662297418500591E-4</v>
          </cell>
          <cell r="G259">
            <v>5.7753759183752802E-4</v>
          </cell>
          <cell r="H259">
            <v>9.5524012210506152E-4</v>
          </cell>
          <cell r="I259">
            <v>1.4907555433562028E-3</v>
          </cell>
          <cell r="J259">
            <v>2.0051430960984665E-3</v>
          </cell>
          <cell r="K259">
            <v>2.5991897989949228E-3</v>
          </cell>
          <cell r="L259">
            <v>3.1458052987066668E-3</v>
          </cell>
          <cell r="M259">
            <v>3.5895435964061599E-3</v>
          </cell>
          <cell r="N259">
            <v>4.0537057195700549E-3</v>
          </cell>
          <cell r="O259">
            <v>4.3338322538946745E-3</v>
          </cell>
          <cell r="P259">
            <v>4.5804861556473257E-3</v>
          </cell>
          <cell r="Q259">
            <v>4.7827764144621043E-3</v>
          </cell>
          <cell r="R259">
            <v>4.9456421431049681E-3</v>
          </cell>
          <cell r="S259">
            <v>5.0782815867752148E-3</v>
          </cell>
        </row>
        <row r="260">
          <cell r="D260">
            <v>0</v>
          </cell>
          <cell r="E260">
            <v>0</v>
          </cell>
          <cell r="F260">
            <v>0</v>
          </cell>
          <cell r="G260">
            <v>2.2989439118417935E-6</v>
          </cell>
          <cell r="H260">
            <v>7.5859163033500008E-6</v>
          </cell>
          <cell r="I260">
            <v>1.6508012913592167E-5</v>
          </cell>
          <cell r="J260">
            <v>2.9589911464496805E-5</v>
          </cell>
          <cell r="K260">
            <v>4.6390681486876738E-5</v>
          </cell>
          <cell r="L260">
            <v>5.236512093883126E-5</v>
          </cell>
          <cell r="M260">
            <v>5.9102516447645721E-5</v>
          </cell>
          <cell r="N260">
            <v>6.6848296488946602E-5</v>
          </cell>
          <cell r="O260">
            <v>7.548334428658074E-5</v>
          </cell>
          <cell r="P260">
            <v>8.5133550407132889E-5</v>
          </cell>
          <cell r="Q260">
            <v>9.5731036018964364E-5</v>
          </cell>
          <cell r="R260">
            <v>1.0749711789423473E-4</v>
          </cell>
          <cell r="S260">
            <v>1.2079867326550016E-4</v>
          </cell>
        </row>
        <row r="261">
          <cell r="D261">
            <v>0</v>
          </cell>
          <cell r="E261">
            <v>0</v>
          </cell>
          <cell r="F261">
            <v>0</v>
          </cell>
          <cell r="G261">
            <v>3.1686970469798862E-6</v>
          </cell>
          <cell r="H261">
            <v>1.0402511897077418E-5</v>
          </cell>
          <cell r="I261">
            <v>2.2434156207679555E-5</v>
          </cell>
          <cell r="J261">
            <v>3.9854590558251533E-5</v>
          </cell>
          <cell r="K261">
            <v>6.193263340665913E-5</v>
          </cell>
          <cell r="L261">
            <v>6.9297692271466264E-5</v>
          </cell>
          <cell r="M261">
            <v>7.753604984262296E-5</v>
          </cell>
          <cell r="N261">
            <v>8.6944413105765429E-5</v>
          </cell>
          <cell r="O261">
            <v>9.7339283871368887E-5</v>
          </cell>
          <cell r="P261">
            <v>1.088566423508558E-4</v>
          </cell>
          <cell r="Q261">
            <v>1.2138222423421961E-4</v>
          </cell>
          <cell r="R261">
            <v>1.3516920138787207E-4</v>
          </cell>
          <cell r="S261">
            <v>1.5064392916803266E-4</v>
          </cell>
        </row>
        <row r="262">
          <cell r="D262">
            <v>0</v>
          </cell>
          <cell r="E262">
            <v>0</v>
          </cell>
          <cell r="F262">
            <v>0</v>
          </cell>
          <cell r="G262">
            <v>2.2492437326910457E-6</v>
          </cell>
          <cell r="H262">
            <v>7.4347819056377983E-6</v>
          </cell>
          <cell r="I262">
            <v>1.6211705748887802E-5</v>
          </cell>
          <cell r="J262">
            <v>2.9116157044785054E-5</v>
          </cell>
          <cell r="K262">
            <v>4.5736283511306964E-5</v>
          </cell>
          <cell r="L262">
            <v>5.172442905056942E-5</v>
          </cell>
          <cell r="M262">
            <v>5.8488065334479817E-5</v>
          </cell>
          <cell r="N262">
            <v>6.6274121728466075E-5</v>
          </cell>
          <cell r="O262">
            <v>7.4969086884585755E-5</v>
          </cell>
          <cell r="P262">
            <v>8.4702221462701574E-5</v>
          </cell>
          <cell r="Q262">
            <v>9.5410396166273678E-5</v>
          </cell>
          <cell r="R262">
            <v>1.0731858832330804E-4</v>
          </cell>
          <cell r="S262">
            <v>1.2079867326550019E-4</v>
          </cell>
        </row>
        <row r="263">
          <cell r="D263">
            <v>0</v>
          </cell>
          <cell r="E263">
            <v>0</v>
          </cell>
          <cell r="F263">
            <v>0</v>
          </cell>
          <cell r="G263">
            <v>2.9823213751645806E-6</v>
          </cell>
          <cell r="H263">
            <v>9.7842348155274991E-6</v>
          </cell>
          <cell r="I263">
            <v>2.1100773966509895E-5</v>
          </cell>
          <cell r="J263">
            <v>3.7485818459692751E-5</v>
          </cell>
          <cell r="K263">
            <v>5.8251644794079087E-5</v>
          </cell>
          <cell r="L263">
            <v>6.5178958704068557E-5</v>
          </cell>
          <cell r="M263">
            <v>7.2927666493878643E-5</v>
          </cell>
          <cell r="N263">
            <v>8.1776840261440584E-5</v>
          </cell>
          <cell r="O263">
            <v>9.1553888098924963E-5</v>
          </cell>
          <cell r="P263">
            <v>1.0238670818438592E-4</v>
          </cell>
          <cell r="Q263">
            <v>1.1416782754867907E-4</v>
          </cell>
          <cell r="R263">
            <v>1.271353706961709E-4</v>
          </cell>
          <cell r="S263">
            <v>1.4169035239727291E-4</v>
          </cell>
        </row>
        <row r="264">
          <cell r="D264">
            <v>0</v>
          </cell>
          <cell r="E264">
            <v>0</v>
          </cell>
          <cell r="F264">
            <v>0</v>
          </cell>
          <cell r="G264">
            <v>2.335665513441574E-6</v>
          </cell>
          <cell r="H264">
            <v>7.6975838513476983E-6</v>
          </cell>
          <cell r="I264">
            <v>1.6726943183851986E-5</v>
          </cell>
          <cell r="J264">
            <v>2.9939950867856349E-5</v>
          </cell>
          <cell r="K264">
            <v>4.6874191650365064E-5</v>
          </cell>
          <cell r="L264">
            <v>5.2838504187563679E-5</v>
          </cell>
          <cell r="M264">
            <v>5.9556511370114348E-5</v>
          </cell>
          <cell r="N264">
            <v>6.7272532722362658E-5</v>
          </cell>
          <cell r="O264">
            <v>7.5863309827117767E-5</v>
          </cell>
          <cell r="P264">
            <v>8.5452243215217546E-5</v>
          </cell>
          <cell r="Q264">
            <v>9.5967944801361439E-5</v>
          </cell>
          <cell r="R264">
            <v>1.0762902671004534E-4</v>
          </cell>
          <cell r="S264">
            <v>1.2079867326550019E-4</v>
          </cell>
        </row>
        <row r="265">
          <cell r="D265">
            <v>0</v>
          </cell>
          <cell r="E265">
            <v>0</v>
          </cell>
          <cell r="F265">
            <v>0</v>
          </cell>
          <cell r="G265">
            <v>1.2892537097823761E-5</v>
          </cell>
          <cell r="H265">
            <v>4.2223172360846677E-5</v>
          </cell>
          <cell r="I265">
            <v>9.1058895553211458E-5</v>
          </cell>
          <cell r="J265">
            <v>1.6176739456407697E-4</v>
          </cell>
          <cell r="K265">
            <v>2.5138084733411162E-4</v>
          </cell>
          <cell r="L265">
            <v>2.8127517987353441E-4</v>
          </cell>
          <cell r="M265">
            <v>3.1471417952466327E-4</v>
          </cell>
          <cell r="N265">
            <v>3.5290216216035051E-4</v>
          </cell>
          <cell r="O265">
            <v>3.9509431962648237E-4</v>
          </cell>
          <cell r="P265">
            <v>4.4184258745183914E-4</v>
          </cell>
          <cell r="Q265">
            <v>4.926831736500395E-4</v>
          </cell>
          <cell r="R265">
            <v>5.486436876540919E-4</v>
          </cell>
          <cell r="S265">
            <v>6.1145468030313402E-4</v>
          </cell>
        </row>
        <row r="266">
          <cell r="D266">
            <v>0</v>
          </cell>
          <cell r="E266">
            <v>0</v>
          </cell>
          <cell r="F266">
            <v>0</v>
          </cell>
          <cell r="G266">
            <v>6.285164368991312E-7</v>
          </cell>
          <cell r="H266">
            <v>2.1491275950990204E-6</v>
          </cell>
          <cell r="I266">
            <v>4.6773679643511957E-6</v>
          </cell>
          <cell r="J266">
            <v>8.3849802495655546E-6</v>
          </cell>
          <cell r="K266">
            <v>1.3147399373249032E-5</v>
          </cell>
          <cell r="L266">
            <v>1.4842294563487728E-5</v>
          </cell>
          <cell r="M266">
            <v>1.6753821016817249E-5</v>
          </cell>
          <cell r="N266">
            <v>1.8951620902878427E-5</v>
          </cell>
          <cell r="O266">
            <v>2.140200402725604E-5</v>
          </cell>
          <cell r="P266">
            <v>2.4140737974160706E-5</v>
          </cell>
          <cell r="Q266">
            <v>2.7148651378554239E-5</v>
          </cell>
          <cell r="R266">
            <v>3.0488584631555935E-5</v>
          </cell>
          <cell r="S266">
            <v>3.4264689771633212E-5</v>
          </cell>
        </row>
        <row r="267">
          <cell r="D267">
            <v>0</v>
          </cell>
          <cell r="E267">
            <v>0</v>
          </cell>
          <cell r="F267">
            <v>0</v>
          </cell>
          <cell r="G267">
            <v>8.7824625431328878E-7</v>
          </cell>
          <cell r="H267">
            <v>2.9578489149013232E-6</v>
          </cell>
          <cell r="I267">
            <v>6.378925133866433E-6</v>
          </cell>
          <cell r="J267">
            <v>1.1332249230080692E-5</v>
          </cell>
          <cell r="K267">
            <v>1.7609917136488401E-5</v>
          </cell>
          <cell r="L267">
            <v>1.9704097041014584E-5</v>
          </cell>
          <cell r="M267">
            <v>2.2046590589064377E-5</v>
          </cell>
          <cell r="N267">
            <v>2.4721763407343176E-5</v>
          </cell>
          <cell r="O267">
            <v>2.7677439643889266E-5</v>
          </cell>
          <cell r="P267">
            <v>3.0952283894790893E-5</v>
          </cell>
          <cell r="Q267">
            <v>3.4513806260617189E-5</v>
          </cell>
          <cell r="R267">
            <v>3.843399359778884E-5</v>
          </cell>
          <cell r="S267">
            <v>4.2834075734277516E-5</v>
          </cell>
        </row>
        <row r="268">
          <cell r="D268">
            <v>0</v>
          </cell>
          <cell r="E268">
            <v>0</v>
          </cell>
          <cell r="F268">
            <v>0</v>
          </cell>
          <cell r="G268">
            <v>6.1424616161832244E-7</v>
          </cell>
          <cell r="H268">
            <v>2.1057327925730436E-6</v>
          </cell>
          <cell r="I268">
            <v>4.5922901058754357E-6</v>
          </cell>
          <cell r="J268">
            <v>8.2489524504648595E-6</v>
          </cell>
          <cell r="K268">
            <v>1.2959503888481061E-5</v>
          </cell>
          <cell r="L268">
            <v>1.4658334469743471E-5</v>
          </cell>
          <cell r="M268">
            <v>1.6577395364409018E-5</v>
          </cell>
          <cell r="N268">
            <v>1.878675968846515E-5</v>
          </cell>
          <cell r="O268">
            <v>2.125434671862938E-5</v>
          </cell>
          <cell r="P268">
            <v>2.4016891684694708E-5</v>
          </cell>
          <cell r="Q268">
            <v>2.7056586942528454E-5</v>
          </cell>
          <cell r="R268">
            <v>3.043732392854799E-5</v>
          </cell>
          <cell r="S268">
            <v>3.4264689771633219E-5</v>
          </cell>
        </row>
        <row r="269">
          <cell r="D269">
            <v>0</v>
          </cell>
          <cell r="E269">
            <v>0</v>
          </cell>
          <cell r="F269">
            <v>0</v>
          </cell>
          <cell r="G269">
            <v>8.2473272201025506E-7</v>
          </cell>
          <cell r="H269">
            <v>2.7803247227495983E-6</v>
          </cell>
          <cell r="I269">
            <v>5.9960747707255047E-6</v>
          </cell>
          <cell r="J269">
            <v>1.0652110234577199E-5</v>
          </cell>
          <cell r="K269">
            <v>1.655300503466855E-5</v>
          </cell>
          <cell r="L269">
            <v>1.8521496438372914E-5</v>
          </cell>
          <cell r="M269">
            <v>2.0723398196002597E-5</v>
          </cell>
          <cell r="N269">
            <v>2.3238012477623671E-5</v>
          </cell>
          <cell r="O269">
            <v>2.6016294921839296E-5</v>
          </cell>
          <cell r="P269">
            <v>2.9094589552800845E-5</v>
          </cell>
          <cell r="Q269">
            <v>3.2442356450036986E-5</v>
          </cell>
          <cell r="R269">
            <v>3.6127261962430902E-5</v>
          </cell>
          <cell r="S269">
            <v>4.0263259945484223E-5</v>
          </cell>
        </row>
        <row r="270">
          <cell r="D270">
            <v>0</v>
          </cell>
          <cell r="E270">
            <v>0</v>
          </cell>
          <cell r="F270">
            <v>0</v>
          </cell>
          <cell r="G270">
            <v>6.390602090250146E-7</v>
          </cell>
          <cell r="H270">
            <v>2.1811903899840589E-6</v>
          </cell>
          <cell r="I270">
            <v>4.7402288086639165E-6</v>
          </cell>
          <cell r="J270">
            <v>8.4854860974402667E-6</v>
          </cell>
          <cell r="K270">
            <v>1.3286228312137142E-5</v>
          </cell>
          <cell r="L270">
            <v>1.4978215789289454E-5</v>
          </cell>
          <cell r="M270">
            <v>1.6884175326005277E-5</v>
          </cell>
          <cell r="N270">
            <v>1.9073430681804536E-5</v>
          </cell>
          <cell r="O270">
            <v>2.1511102484310654E-5</v>
          </cell>
          <cell r="P270">
            <v>2.4232243360642064E-5</v>
          </cell>
          <cell r="Q270">
            <v>2.7216674343441217E-5</v>
          </cell>
          <cell r="R270">
            <v>3.0526459245807804E-5</v>
          </cell>
          <cell r="S270">
            <v>3.4264689771633219E-5</v>
          </cell>
        </row>
        <row r="271">
          <cell r="D271">
            <v>0</v>
          </cell>
          <cell r="E271">
            <v>0</v>
          </cell>
          <cell r="F271">
            <v>0</v>
          </cell>
          <cell r="G271">
            <v>3.5439336767684095E-6</v>
          </cell>
          <cell r="H271">
            <v>1.1978444865437636E-5</v>
          </cell>
          <cell r="I271">
            <v>2.5832828252934132E-5</v>
          </cell>
          <cell r="J271">
            <v>4.5892378721598163E-5</v>
          </cell>
          <cell r="K271">
            <v>7.1315144070294368E-5</v>
          </cell>
          <cell r="L271">
            <v>7.9795975663246515E-5</v>
          </cell>
          <cell r="M271">
            <v>8.9282406721843653E-5</v>
          </cell>
          <cell r="N271">
            <v>1.001160939828237E-4</v>
          </cell>
          <cell r="O271">
            <v>1.1208574012032178E-4</v>
          </cell>
          <cell r="P271">
            <v>1.2534792572577868E-4</v>
          </cell>
          <cell r="Q271">
            <v>1.3977107596889934E-4</v>
          </cell>
          <cell r="R271">
            <v>1.5564671709577681E-4</v>
          </cell>
          <cell r="S271">
            <v>1.7346579534882712E-4</v>
          </cell>
        </row>
        <row r="272">
          <cell r="D272">
            <v>3.3225905669280409E-2</v>
          </cell>
          <cell r="E272">
            <v>4.0526934985451499E-2</v>
          </cell>
          <cell r="F272">
            <v>4.7881732589221314E-2</v>
          </cell>
          <cell r="G272">
            <v>5.6601464281285353E-2</v>
          </cell>
          <cell r="H272">
            <v>6.6014665620924728E-2</v>
          </cell>
          <cell r="I272">
            <v>7.635017786941771E-2</v>
          </cell>
          <cell r="J272">
            <v>8.5866755414897383E-2</v>
          </cell>
          <cell r="K272">
            <v>9.7267423983814064E-2</v>
          </cell>
          <cell r="L272">
            <v>0.10894239847815866</v>
          </cell>
          <cell r="M272">
            <v>0.12148864681240684</v>
          </cell>
          <cell r="N272">
            <v>0.13307999402377496</v>
          </cell>
          <cell r="O272">
            <v>0.14344040041359721</v>
          </cell>
          <cell r="P272">
            <v>0.15575920534932455</v>
          </cell>
          <cell r="Q272">
            <v>0.17020185612346483</v>
          </cell>
          <cell r="R272">
            <v>0.18183066763734976</v>
          </cell>
          <cell r="S272">
            <v>0.19442010078463623</v>
          </cell>
        </row>
      </sheetData>
      <sheetData sheetId="21"/>
      <sheetData sheetId="22"/>
      <sheetData sheetId="23">
        <row r="9">
          <cell r="V9">
            <v>1055</v>
          </cell>
        </row>
      </sheetData>
      <sheetData sheetId="24">
        <row r="5">
          <cell r="D5" t="str">
            <v>Scenario</v>
          </cell>
          <cell r="E5" t="str">
            <v>Standard ethanol blend</v>
          </cell>
          <cell r="F5" t="str">
            <v>Standard biodiesel blend</v>
          </cell>
          <cell r="G5" t="str">
            <v>1G ethanol</v>
          </cell>
          <cell r="I5" t="str">
            <v>1G biodiesel</v>
          </cell>
          <cell r="K5" t="str">
            <v>Cellulosic ethanol</v>
          </cell>
          <cell r="M5" t="str">
            <v>Drop in renewable diesel</v>
          </cell>
          <cell r="O5" t="str">
            <v>Drop in renewable gasoline</v>
          </cell>
          <cell r="Q5" t="str">
            <v xml:space="preserve">Natural gas </v>
          </cell>
          <cell r="S5" t="str">
            <v>Renewable natural gas</v>
          </cell>
          <cell r="U5" t="str">
            <v xml:space="preserve">Electricity </v>
          </cell>
          <cell r="W5" t="str">
            <v>Renewable Electricity</v>
          </cell>
          <cell r="Y5" t="str">
            <v xml:space="preserve">Hydrogen </v>
          </cell>
          <cell r="AA5" t="str">
            <v>Renewable hydrogen</v>
          </cell>
          <cell r="AC5" t="str">
            <v>HVO</v>
          </cell>
          <cell r="AE5" t="str">
            <v>E85</v>
          </cell>
          <cell r="AG5" t="str">
            <v>VMT</v>
          </cell>
          <cell r="AI5" t="str">
            <v>ILUC</v>
          </cell>
          <cell r="AK5" t="str">
            <v>CCS</v>
          </cell>
          <cell r="AM5" t="str">
            <v>Blend adoption</v>
          </cell>
          <cell r="AO5" t="str">
            <v>HDEV</v>
          </cell>
        </row>
        <row r="6">
          <cell r="C6" t="str">
            <v>Dashboard link</v>
          </cell>
          <cell r="D6">
            <v>0</v>
          </cell>
          <cell r="E6" t="str">
            <v>E10</v>
          </cell>
          <cell r="F6" t="str">
            <v>B15</v>
          </cell>
          <cell r="G6" t="str">
            <v>Medium</v>
          </cell>
          <cell r="I6" t="str">
            <v>Medium</v>
          </cell>
          <cell r="K6" t="str">
            <v>High</v>
          </cell>
          <cell r="M6" t="str">
            <v>Med-high</v>
          </cell>
          <cell r="O6" t="str">
            <v>Med-high</v>
          </cell>
          <cell r="Q6" t="str">
            <v>Med-high</v>
          </cell>
          <cell r="S6" t="str">
            <v>High</v>
          </cell>
          <cell r="U6" t="str">
            <v>Med-high</v>
          </cell>
          <cell r="W6" t="str">
            <v>Med-high</v>
          </cell>
          <cell r="Y6" t="str">
            <v>Med-high</v>
          </cell>
          <cell r="AA6" t="str">
            <v>Med-high</v>
          </cell>
          <cell r="AC6" t="str">
            <v>High</v>
          </cell>
          <cell r="AE6" t="str">
            <v>Medium</v>
          </cell>
          <cell r="AG6" t="str">
            <v>Med-high</v>
          </cell>
          <cell r="AI6" t="str">
            <v>New</v>
          </cell>
          <cell r="AK6" t="str">
            <v>Low-med</v>
          </cell>
          <cell r="AM6">
            <v>2025</v>
          </cell>
          <cell r="AO6" t="str">
            <v>Medium</v>
          </cell>
        </row>
        <row r="7">
          <cell r="C7" t="str">
            <v>Baseline compliance</v>
          </cell>
          <cell r="D7">
            <v>1</v>
          </cell>
          <cell r="E7" t="str">
            <v>E10</v>
          </cell>
          <cell r="F7" t="str">
            <v>B15</v>
          </cell>
          <cell r="G7" t="str">
            <v>Medium</v>
          </cell>
          <cell r="I7" t="str">
            <v>Medium</v>
          </cell>
          <cell r="K7" t="str">
            <v>Medium</v>
          </cell>
          <cell r="M7" t="str">
            <v>Medium</v>
          </cell>
          <cell r="O7" t="str">
            <v>Medium</v>
          </cell>
          <cell r="Q7" t="str">
            <v>Medium</v>
          </cell>
          <cell r="S7" t="str">
            <v>High</v>
          </cell>
          <cell r="U7" t="str">
            <v>Low-med</v>
          </cell>
          <cell r="W7" t="str">
            <v>Medium</v>
          </cell>
          <cell r="Y7" t="str">
            <v>Low-med</v>
          </cell>
          <cell r="AA7" t="str">
            <v>Medium</v>
          </cell>
          <cell r="AC7" t="str">
            <v>High</v>
          </cell>
          <cell r="AE7" t="str">
            <v>Medium</v>
          </cell>
          <cell r="AG7" t="str">
            <v>Med-high</v>
          </cell>
          <cell r="AI7" t="str">
            <v>New</v>
          </cell>
          <cell r="AK7" t="str">
            <v>Low</v>
          </cell>
          <cell r="AM7">
            <v>2025</v>
          </cell>
          <cell r="AO7" t="str">
            <v>Medium</v>
          </cell>
        </row>
        <row r="8">
          <cell r="C8" t="str">
            <v>Steady Progress</v>
          </cell>
          <cell r="D8">
            <v>2</v>
          </cell>
          <cell r="E8" t="str">
            <v>E10</v>
          </cell>
          <cell r="F8" t="str">
            <v>B15</v>
          </cell>
          <cell r="G8" t="str">
            <v>Medium</v>
          </cell>
          <cell r="I8" t="str">
            <v>Medium</v>
          </cell>
          <cell r="K8" t="str">
            <v>Medium</v>
          </cell>
          <cell r="M8" t="str">
            <v>Medium</v>
          </cell>
          <cell r="O8" t="str">
            <v>Medium</v>
          </cell>
          <cell r="Q8" t="str">
            <v>Medium</v>
          </cell>
          <cell r="S8" t="str">
            <v>High</v>
          </cell>
          <cell r="U8" t="str">
            <v>Medium</v>
          </cell>
          <cell r="W8" t="str">
            <v>Medium</v>
          </cell>
          <cell r="Y8" t="str">
            <v>Medium</v>
          </cell>
          <cell r="AA8" t="str">
            <v>Medium</v>
          </cell>
          <cell r="AC8" t="str">
            <v>High</v>
          </cell>
          <cell r="AE8" t="str">
            <v>Medium</v>
          </cell>
          <cell r="AG8" t="str">
            <v>Med-high</v>
          </cell>
          <cell r="AI8" t="str">
            <v>New</v>
          </cell>
          <cell r="AK8" t="str">
            <v>Low</v>
          </cell>
          <cell r="AM8">
            <v>2025</v>
          </cell>
          <cell r="AO8" t="str">
            <v>Medium</v>
          </cell>
        </row>
        <row r="9">
          <cell r="C9" t="str">
            <v>Delayed Progress</v>
          </cell>
          <cell r="D9">
            <v>3</v>
          </cell>
          <cell r="E9" t="str">
            <v>E10</v>
          </cell>
          <cell r="F9" t="str">
            <v>B15</v>
          </cell>
          <cell r="G9" t="str">
            <v>Medium</v>
          </cell>
          <cell r="I9" t="str">
            <v>Medium</v>
          </cell>
          <cell r="K9" t="str">
            <v>Low</v>
          </cell>
          <cell r="M9" t="str">
            <v>Low</v>
          </cell>
          <cell r="O9" t="str">
            <v>Low</v>
          </cell>
          <cell r="Q9" t="str">
            <v>Medium</v>
          </cell>
          <cell r="S9" t="str">
            <v>High</v>
          </cell>
          <cell r="U9" t="str">
            <v>Low-med</v>
          </cell>
          <cell r="W9" t="str">
            <v>Medium</v>
          </cell>
          <cell r="Y9" t="str">
            <v>Low-med</v>
          </cell>
          <cell r="AA9" t="str">
            <v>Low-med</v>
          </cell>
          <cell r="AC9" t="str">
            <v>High</v>
          </cell>
          <cell r="AE9" t="str">
            <v>Medium</v>
          </cell>
          <cell r="AG9" t="str">
            <v>Med-high</v>
          </cell>
          <cell r="AI9" t="str">
            <v>New</v>
          </cell>
          <cell r="AK9" t="str">
            <v>Low</v>
          </cell>
          <cell r="AM9">
            <v>2025</v>
          </cell>
          <cell r="AO9" t="str">
            <v>Medium</v>
          </cell>
        </row>
        <row r="10">
          <cell r="C10" t="str">
            <v>High Performance</v>
          </cell>
          <cell r="D10">
            <v>4</v>
          </cell>
          <cell r="E10" t="str">
            <v>E10</v>
          </cell>
          <cell r="F10" t="str">
            <v>B15</v>
          </cell>
          <cell r="G10" t="str">
            <v>Medium</v>
          </cell>
          <cell r="I10" t="str">
            <v>Medium</v>
          </cell>
          <cell r="K10" t="str">
            <v>High</v>
          </cell>
          <cell r="M10" t="str">
            <v>Med-high</v>
          </cell>
          <cell r="O10" t="str">
            <v>Med-high</v>
          </cell>
          <cell r="Q10" t="str">
            <v>Med-high</v>
          </cell>
          <cell r="S10" t="str">
            <v>High</v>
          </cell>
          <cell r="U10" t="str">
            <v>Med-high</v>
          </cell>
          <cell r="W10" t="str">
            <v>Med-high</v>
          </cell>
          <cell r="Y10" t="str">
            <v>Med-high</v>
          </cell>
          <cell r="AA10" t="str">
            <v>Med-high</v>
          </cell>
          <cell r="AC10" t="str">
            <v>High</v>
          </cell>
          <cell r="AE10" t="str">
            <v>Medium</v>
          </cell>
          <cell r="AG10" t="str">
            <v>Med-high</v>
          </cell>
          <cell r="AI10" t="str">
            <v>New</v>
          </cell>
          <cell r="AK10" t="str">
            <v>Low-med</v>
          </cell>
          <cell r="AM10">
            <v>2025</v>
          </cell>
          <cell r="AO10" t="str">
            <v>Medium</v>
          </cell>
        </row>
        <row r="11">
          <cell r="C11" t="str">
            <v xml:space="preserve">Higher VMT </v>
          </cell>
          <cell r="D11">
            <v>5</v>
          </cell>
          <cell r="E11" t="str">
            <v>E10</v>
          </cell>
          <cell r="F11" t="str">
            <v>B15</v>
          </cell>
          <cell r="G11" t="str">
            <v>Medium</v>
          </cell>
          <cell r="I11" t="str">
            <v>Medium</v>
          </cell>
          <cell r="K11" t="str">
            <v>Medium</v>
          </cell>
          <cell r="M11" t="str">
            <v>Medium</v>
          </cell>
          <cell r="O11" t="str">
            <v>Medium</v>
          </cell>
          <cell r="Q11" t="str">
            <v>Medium</v>
          </cell>
          <cell r="S11" t="str">
            <v>High</v>
          </cell>
          <cell r="U11" t="str">
            <v>Medium</v>
          </cell>
          <cell r="W11" t="str">
            <v>Medium</v>
          </cell>
          <cell r="Y11" t="str">
            <v>Medium</v>
          </cell>
          <cell r="AA11" t="str">
            <v>Medium</v>
          </cell>
          <cell r="AC11" t="str">
            <v>High</v>
          </cell>
          <cell r="AE11" t="str">
            <v>Medium</v>
          </cell>
          <cell r="AG11" t="str">
            <v>Medium</v>
          </cell>
          <cell r="AI11" t="str">
            <v>New</v>
          </cell>
          <cell r="AK11" t="str">
            <v>Low</v>
          </cell>
          <cell r="AM11">
            <v>2025</v>
          </cell>
          <cell r="AO11" t="str">
            <v>Medium</v>
          </cell>
        </row>
        <row r="12">
          <cell r="C12" t="str">
            <v>High ZEV</v>
          </cell>
          <cell r="D12">
            <v>6</v>
          </cell>
          <cell r="E12" t="str">
            <v>E10</v>
          </cell>
          <cell r="F12" t="str">
            <v>B15</v>
          </cell>
          <cell r="G12" t="str">
            <v>Medium</v>
          </cell>
          <cell r="I12" t="str">
            <v>Medium</v>
          </cell>
          <cell r="K12" t="str">
            <v>Medium</v>
          </cell>
          <cell r="M12" t="str">
            <v>Medium</v>
          </cell>
          <cell r="O12" t="str">
            <v>Medium</v>
          </cell>
          <cell r="Q12" t="str">
            <v>Medium</v>
          </cell>
          <cell r="S12" t="str">
            <v>High</v>
          </cell>
          <cell r="U12" t="str">
            <v>High</v>
          </cell>
          <cell r="W12" t="str">
            <v>Med-high</v>
          </cell>
          <cell r="Y12" t="str">
            <v>Medium</v>
          </cell>
          <cell r="AA12" t="str">
            <v>Medium</v>
          </cell>
          <cell r="AC12" t="str">
            <v>High</v>
          </cell>
          <cell r="AE12" t="str">
            <v>Medium</v>
          </cell>
          <cell r="AG12" t="str">
            <v>Med-high</v>
          </cell>
          <cell r="AI12" t="str">
            <v>New</v>
          </cell>
          <cell r="AK12" t="str">
            <v>Low</v>
          </cell>
          <cell r="AM12">
            <v>2025</v>
          </cell>
          <cell r="AO12" t="str">
            <v>Medium</v>
          </cell>
        </row>
        <row r="13">
          <cell r="C13" t="str">
            <v>Indirect Emissions Assigned to Lipids</v>
          </cell>
          <cell r="D13">
            <v>7</v>
          </cell>
          <cell r="E13" t="str">
            <v>E10</v>
          </cell>
          <cell r="F13" t="str">
            <v>B15</v>
          </cell>
          <cell r="G13" t="str">
            <v>Medium</v>
          </cell>
          <cell r="I13" t="str">
            <v>Medium</v>
          </cell>
          <cell r="K13" t="str">
            <v>Medium</v>
          </cell>
          <cell r="M13" t="str">
            <v>Medium</v>
          </cell>
          <cell r="O13" t="str">
            <v>Medium</v>
          </cell>
          <cell r="Q13" t="str">
            <v>Medium</v>
          </cell>
          <cell r="S13" t="str">
            <v>High</v>
          </cell>
          <cell r="U13" t="str">
            <v>Medium</v>
          </cell>
          <cell r="W13" t="str">
            <v>Medium</v>
          </cell>
          <cell r="Y13" t="str">
            <v>Medium</v>
          </cell>
          <cell r="AA13" t="str">
            <v>Medium</v>
          </cell>
          <cell r="AC13" t="str">
            <v>High</v>
          </cell>
          <cell r="AE13" t="str">
            <v>Medium</v>
          </cell>
          <cell r="AF13" t="str">
            <v xml:space="preserve"> </v>
          </cell>
          <cell r="AG13" t="str">
            <v>Med-high</v>
          </cell>
          <cell r="AI13" t="str">
            <v>New + wastes (soy)</v>
          </cell>
          <cell r="AK13" t="str">
            <v>Low</v>
          </cell>
          <cell r="AM13">
            <v>2025</v>
          </cell>
          <cell r="AO13" t="str">
            <v>Medium</v>
          </cell>
        </row>
        <row r="14">
          <cell r="C14" t="str">
            <v>Clean Refineries</v>
          </cell>
          <cell r="D14">
            <v>8</v>
          </cell>
          <cell r="E14" t="str">
            <v>E10</v>
          </cell>
          <cell r="F14" t="str">
            <v>B15</v>
          </cell>
          <cell r="G14" t="str">
            <v>Medium</v>
          </cell>
          <cell r="I14" t="str">
            <v>Medium</v>
          </cell>
          <cell r="K14" t="str">
            <v>Medium</v>
          </cell>
          <cell r="M14" t="str">
            <v>Medium</v>
          </cell>
          <cell r="O14" t="str">
            <v>Medium</v>
          </cell>
          <cell r="Q14" t="str">
            <v>Medium</v>
          </cell>
          <cell r="S14" t="str">
            <v>High</v>
          </cell>
          <cell r="U14" t="str">
            <v>Medium</v>
          </cell>
          <cell r="W14" t="str">
            <v>Medium</v>
          </cell>
          <cell r="Y14" t="str">
            <v>Medium</v>
          </cell>
          <cell r="AA14" t="str">
            <v>Medium</v>
          </cell>
          <cell r="AC14" t="str">
            <v>High</v>
          </cell>
          <cell r="AE14" t="str">
            <v>Medium</v>
          </cell>
          <cell r="AG14" t="str">
            <v>Med-high</v>
          </cell>
          <cell r="AI14" t="str">
            <v>New</v>
          </cell>
          <cell r="AK14" t="str">
            <v>Medium</v>
          </cell>
          <cell r="AM14">
            <v>2025</v>
          </cell>
          <cell r="AO14" t="str">
            <v>Medium</v>
          </cell>
        </row>
        <row r="15">
          <cell r="C15" t="str">
            <v>High Alcohol</v>
          </cell>
          <cell r="D15">
            <v>9</v>
          </cell>
          <cell r="E15" t="str">
            <v>E20</v>
          </cell>
          <cell r="F15" t="str">
            <v>B15</v>
          </cell>
          <cell r="G15" t="str">
            <v>Medium</v>
          </cell>
          <cell r="I15" t="str">
            <v>Medium</v>
          </cell>
          <cell r="K15" t="str">
            <v>Medium</v>
          </cell>
          <cell r="M15" t="str">
            <v>Medium</v>
          </cell>
          <cell r="O15" t="str">
            <v>Medium</v>
          </cell>
          <cell r="Q15" t="str">
            <v>Medium</v>
          </cell>
          <cell r="S15" t="str">
            <v>High</v>
          </cell>
          <cell r="U15" t="str">
            <v>Medium</v>
          </cell>
          <cell r="W15" t="str">
            <v>Medium</v>
          </cell>
          <cell r="Y15" t="str">
            <v>Low-med</v>
          </cell>
          <cell r="AA15" t="str">
            <v>Medium</v>
          </cell>
          <cell r="AC15" t="str">
            <v>High</v>
          </cell>
          <cell r="AE15" t="str">
            <v>Med-high</v>
          </cell>
          <cell r="AG15" t="str">
            <v>Med-high</v>
          </cell>
          <cell r="AI15" t="str">
            <v>New</v>
          </cell>
          <cell r="AK15" t="str">
            <v>Low</v>
          </cell>
          <cell r="AM15">
            <v>2025</v>
          </cell>
          <cell r="AO15" t="str">
            <v>Medium</v>
          </cell>
        </row>
        <row r="16">
          <cell r="C16" t="str">
            <v>MD/HD Breakthrough</v>
          </cell>
          <cell r="D16">
            <v>10</v>
          </cell>
          <cell r="E16" t="str">
            <v>E10</v>
          </cell>
          <cell r="F16" t="str">
            <v>B15</v>
          </cell>
          <cell r="G16" t="str">
            <v>Medium</v>
          </cell>
          <cell r="I16" t="str">
            <v>Medium</v>
          </cell>
          <cell r="K16" t="str">
            <v>Medium</v>
          </cell>
          <cell r="M16" t="str">
            <v>Medium</v>
          </cell>
          <cell r="O16" t="str">
            <v>Medium</v>
          </cell>
          <cell r="Q16" t="str">
            <v>Medium</v>
          </cell>
          <cell r="S16" t="str">
            <v>High</v>
          </cell>
          <cell r="U16" t="str">
            <v>Medium</v>
          </cell>
          <cell r="W16" t="str">
            <v>Medium</v>
          </cell>
          <cell r="Y16" t="str">
            <v>Medium</v>
          </cell>
          <cell r="AA16" t="str">
            <v>Medium</v>
          </cell>
          <cell r="AC16" t="str">
            <v>High</v>
          </cell>
          <cell r="AE16" t="str">
            <v>Medium</v>
          </cell>
          <cell r="AG16" t="str">
            <v>Med-high</v>
          </cell>
          <cell r="AI16" t="str">
            <v>New</v>
          </cell>
          <cell r="AK16" t="str">
            <v>Low</v>
          </cell>
          <cell r="AM16">
            <v>2025</v>
          </cell>
          <cell r="AO16" t="str">
            <v>High</v>
          </cell>
        </row>
        <row r="17">
          <cell r="C17" t="str">
            <v>Cellulosic Breakthrough</v>
          </cell>
          <cell r="D17">
            <v>11</v>
          </cell>
          <cell r="E17" t="str">
            <v>E10</v>
          </cell>
          <cell r="F17" t="str">
            <v>B15</v>
          </cell>
          <cell r="G17" t="str">
            <v>Medium</v>
          </cell>
          <cell r="I17" t="str">
            <v>Medium</v>
          </cell>
          <cell r="K17" t="str">
            <v>High</v>
          </cell>
          <cell r="M17" t="str">
            <v>High</v>
          </cell>
          <cell r="O17" t="str">
            <v>High</v>
          </cell>
          <cell r="Q17" t="str">
            <v>Medium</v>
          </cell>
          <cell r="S17" t="str">
            <v>High</v>
          </cell>
          <cell r="U17" t="str">
            <v>Medium</v>
          </cell>
          <cell r="W17" t="str">
            <v>Medium</v>
          </cell>
          <cell r="Y17" t="str">
            <v>Medium</v>
          </cell>
          <cell r="AA17" t="str">
            <v>Medium</v>
          </cell>
          <cell r="AC17" t="str">
            <v>High</v>
          </cell>
          <cell r="AE17" t="str">
            <v>Medium</v>
          </cell>
          <cell r="AG17" t="str">
            <v>Med-high</v>
          </cell>
          <cell r="AI17" t="str">
            <v>New</v>
          </cell>
          <cell r="AK17" t="str">
            <v>Low</v>
          </cell>
          <cell r="AM17">
            <v>2025</v>
          </cell>
          <cell r="AO17" t="str">
            <v>Medium</v>
          </cell>
        </row>
        <row r="18">
          <cell r="D18">
            <v>12</v>
          </cell>
          <cell r="E18" t="str">
            <v>E10</v>
          </cell>
          <cell r="F18" t="str">
            <v>B15</v>
          </cell>
          <cell r="G18" t="str">
            <v>Medium</v>
          </cell>
          <cell r="I18" t="str">
            <v>Medium</v>
          </cell>
          <cell r="K18" t="str">
            <v>Medium</v>
          </cell>
          <cell r="M18" t="str">
            <v>Medium</v>
          </cell>
          <cell r="O18" t="str">
            <v>Medium</v>
          </cell>
          <cell r="Q18" t="str">
            <v>Medium</v>
          </cell>
          <cell r="S18" t="str">
            <v>High</v>
          </cell>
          <cell r="U18" t="str">
            <v>Medium</v>
          </cell>
          <cell r="W18" t="str">
            <v>Medium</v>
          </cell>
          <cell r="Y18" t="str">
            <v>Medium</v>
          </cell>
          <cell r="AA18" t="str">
            <v>Medium</v>
          </cell>
          <cell r="AC18" t="str">
            <v>Medium</v>
          </cell>
          <cell r="AE18" t="str">
            <v>Medium</v>
          </cell>
          <cell r="AG18" t="str">
            <v>Med-high</v>
          </cell>
          <cell r="AI18" t="str">
            <v>New</v>
          </cell>
          <cell r="AK18" t="str">
            <v>Medium</v>
          </cell>
          <cell r="AM18">
            <v>2025</v>
          </cell>
          <cell r="AO18" t="str">
            <v>Medium</v>
          </cell>
        </row>
        <row r="19">
          <cell r="D19">
            <v>13</v>
          </cell>
          <cell r="E19" t="str">
            <v>E10</v>
          </cell>
          <cell r="F19" t="str">
            <v>B15</v>
          </cell>
          <cell r="G19" t="str">
            <v>Medium</v>
          </cell>
          <cell r="I19" t="str">
            <v>Medium</v>
          </cell>
          <cell r="K19" t="str">
            <v>Medium</v>
          </cell>
          <cell r="M19" t="str">
            <v>Medium</v>
          </cell>
          <cell r="O19" t="str">
            <v>Medium</v>
          </cell>
          <cell r="Q19" t="str">
            <v>Medium</v>
          </cell>
          <cell r="S19" t="str">
            <v>High</v>
          </cell>
          <cell r="U19" t="str">
            <v>Medium</v>
          </cell>
          <cell r="W19" t="str">
            <v>Medium</v>
          </cell>
          <cell r="Y19" t="str">
            <v>Medium</v>
          </cell>
          <cell r="AA19" t="str">
            <v>Medium</v>
          </cell>
          <cell r="AC19" t="str">
            <v>Medium</v>
          </cell>
          <cell r="AE19" t="str">
            <v>Medium</v>
          </cell>
          <cell r="AG19" t="str">
            <v>Med-high</v>
          </cell>
          <cell r="AI19" t="str">
            <v>New</v>
          </cell>
          <cell r="AK19" t="str">
            <v>Medium</v>
          </cell>
          <cell r="AM19">
            <v>2025</v>
          </cell>
          <cell r="AO19" t="str">
            <v>Medium</v>
          </cell>
        </row>
        <row r="20">
          <cell r="D20">
            <v>14</v>
          </cell>
          <cell r="E20" t="str">
            <v>E10</v>
          </cell>
          <cell r="F20" t="str">
            <v>B15</v>
          </cell>
          <cell r="G20" t="str">
            <v>Medium</v>
          </cell>
          <cell r="I20" t="str">
            <v>Medium</v>
          </cell>
          <cell r="K20" t="str">
            <v>Medium</v>
          </cell>
          <cell r="M20" t="str">
            <v>Medium</v>
          </cell>
          <cell r="O20" t="str">
            <v>Medium</v>
          </cell>
          <cell r="Q20" t="str">
            <v>Medium</v>
          </cell>
          <cell r="S20" t="str">
            <v>High</v>
          </cell>
          <cell r="U20" t="str">
            <v>Medium</v>
          </cell>
          <cell r="W20" t="str">
            <v>Medium</v>
          </cell>
          <cell r="Y20" t="str">
            <v>Medium</v>
          </cell>
          <cell r="AA20" t="str">
            <v>Medium</v>
          </cell>
          <cell r="AC20" t="str">
            <v>Medium</v>
          </cell>
          <cell r="AE20" t="str">
            <v>Medium</v>
          </cell>
          <cell r="AG20" t="str">
            <v>Med-high</v>
          </cell>
          <cell r="AI20" t="str">
            <v>New</v>
          </cell>
          <cell r="AK20" t="str">
            <v>Medium</v>
          </cell>
          <cell r="AM20">
            <v>2025</v>
          </cell>
          <cell r="AO20" t="str">
            <v>Medium</v>
          </cell>
        </row>
        <row r="21">
          <cell r="D21">
            <v>15</v>
          </cell>
          <cell r="E21" t="str">
            <v>E10</v>
          </cell>
          <cell r="F21" t="str">
            <v>B15</v>
          </cell>
          <cell r="G21" t="str">
            <v>Medium</v>
          </cell>
          <cell r="I21" t="str">
            <v>Medium</v>
          </cell>
          <cell r="K21" t="str">
            <v>Medium</v>
          </cell>
          <cell r="M21" t="str">
            <v>Medium</v>
          </cell>
          <cell r="O21" t="str">
            <v>Medium</v>
          </cell>
          <cell r="Q21" t="str">
            <v>Medium</v>
          </cell>
          <cell r="S21" t="str">
            <v>High</v>
          </cell>
          <cell r="U21" t="str">
            <v>Medium</v>
          </cell>
          <cell r="W21" t="str">
            <v>Medium</v>
          </cell>
          <cell r="Y21" t="str">
            <v>Medium</v>
          </cell>
          <cell r="AA21" t="str">
            <v>Medium</v>
          </cell>
          <cell r="AC21" t="str">
            <v>Medium</v>
          </cell>
          <cell r="AE21" t="str">
            <v>Medium</v>
          </cell>
          <cell r="AG21" t="str">
            <v>Med-high</v>
          </cell>
          <cell r="AI21" t="str">
            <v>New</v>
          </cell>
          <cell r="AK21" t="str">
            <v>Medium</v>
          </cell>
          <cell r="AM21">
            <v>2025</v>
          </cell>
          <cell r="AO21" t="str">
            <v>Medium</v>
          </cell>
        </row>
        <row r="22">
          <cell r="D22">
            <v>16</v>
          </cell>
          <cell r="E22" t="str">
            <v>E10</v>
          </cell>
          <cell r="F22" t="str">
            <v>B15</v>
          </cell>
          <cell r="G22" t="str">
            <v>Medium</v>
          </cell>
          <cell r="I22" t="str">
            <v>Medium</v>
          </cell>
          <cell r="K22" t="str">
            <v>Medium</v>
          </cell>
          <cell r="M22" t="str">
            <v>Medium</v>
          </cell>
          <cell r="O22" t="str">
            <v>Medium</v>
          </cell>
          <cell r="Q22" t="str">
            <v>Medium</v>
          </cell>
          <cell r="S22" t="str">
            <v>High</v>
          </cell>
          <cell r="U22" t="str">
            <v>Medium</v>
          </cell>
          <cell r="W22" t="str">
            <v>Medium</v>
          </cell>
          <cell r="Y22" t="str">
            <v>Medium</v>
          </cell>
          <cell r="AA22" t="str">
            <v>Medium</v>
          </cell>
          <cell r="AC22" t="str">
            <v>Medium</v>
          </cell>
          <cell r="AE22" t="str">
            <v>Medium</v>
          </cell>
          <cell r="AG22" t="str">
            <v>Med-high</v>
          </cell>
          <cell r="AI22" t="str">
            <v>New</v>
          </cell>
          <cell r="AK22" t="str">
            <v>Medium</v>
          </cell>
          <cell r="AM22">
            <v>2025</v>
          </cell>
          <cell r="AO22" t="str">
            <v>Medium</v>
          </cell>
        </row>
        <row r="23">
          <cell r="D23">
            <v>17</v>
          </cell>
          <cell r="E23" t="str">
            <v>E10</v>
          </cell>
          <cell r="F23" t="str">
            <v>B15</v>
          </cell>
          <cell r="G23" t="str">
            <v>Medium</v>
          </cell>
          <cell r="I23" t="str">
            <v>Medium</v>
          </cell>
          <cell r="K23" t="str">
            <v>Medium</v>
          </cell>
          <cell r="M23" t="str">
            <v>Medium</v>
          </cell>
          <cell r="O23" t="str">
            <v>Medium</v>
          </cell>
          <cell r="Q23" t="str">
            <v>Medium</v>
          </cell>
          <cell r="S23" t="str">
            <v>High</v>
          </cell>
          <cell r="U23" t="str">
            <v>Medium</v>
          </cell>
          <cell r="W23" t="str">
            <v>Medium</v>
          </cell>
          <cell r="Y23" t="str">
            <v>Medium</v>
          </cell>
          <cell r="AA23" t="str">
            <v>Medium</v>
          </cell>
          <cell r="AC23" t="str">
            <v>Medium</v>
          </cell>
          <cell r="AE23" t="str">
            <v>Medium</v>
          </cell>
          <cell r="AG23" t="str">
            <v>Med-high</v>
          </cell>
          <cell r="AI23" t="str">
            <v>New</v>
          </cell>
          <cell r="AK23" t="str">
            <v>Medium</v>
          </cell>
          <cell r="AM23">
            <v>2025</v>
          </cell>
          <cell r="AO23" t="str">
            <v>Medium</v>
          </cell>
        </row>
        <row r="24">
          <cell r="C24" t="str">
            <v>Rapid decarbonisation</v>
          </cell>
          <cell r="D24">
            <v>18</v>
          </cell>
          <cell r="E24" t="str">
            <v>E10</v>
          </cell>
          <cell r="F24" t="str">
            <v>B15</v>
          </cell>
          <cell r="G24" t="str">
            <v>Medium</v>
          </cell>
          <cell r="I24" t="str">
            <v>Medium</v>
          </cell>
          <cell r="K24" t="str">
            <v>Medium</v>
          </cell>
          <cell r="M24" t="str">
            <v>Medium</v>
          </cell>
          <cell r="O24" t="str">
            <v>Medium</v>
          </cell>
          <cell r="Q24" t="str">
            <v>Medium</v>
          </cell>
          <cell r="S24" t="str">
            <v>High</v>
          </cell>
          <cell r="U24" t="str">
            <v>Medium</v>
          </cell>
          <cell r="W24" t="str">
            <v>Medium</v>
          </cell>
          <cell r="Y24" t="str">
            <v>Medium</v>
          </cell>
          <cell r="AA24" t="str">
            <v>Medium</v>
          </cell>
          <cell r="AC24" t="str">
            <v>Medium</v>
          </cell>
          <cell r="AE24" t="str">
            <v>Medium</v>
          </cell>
          <cell r="AG24" t="str">
            <v>Med-high</v>
          </cell>
          <cell r="AI24" t="str">
            <v>New</v>
          </cell>
          <cell r="AK24" t="str">
            <v>Medium</v>
          </cell>
          <cell r="AM24">
            <v>2025</v>
          </cell>
          <cell r="AO24" t="str">
            <v>Medium</v>
          </cell>
        </row>
        <row r="25">
          <cell r="C25" t="str">
            <v>Low cellulosic, high alt vehicles</v>
          </cell>
          <cell r="D25">
            <v>19</v>
          </cell>
          <cell r="E25" t="str">
            <v>E10</v>
          </cell>
          <cell r="F25" t="str">
            <v>B15</v>
          </cell>
          <cell r="G25" t="str">
            <v>Medium</v>
          </cell>
          <cell r="I25" t="str">
            <v>Medium</v>
          </cell>
          <cell r="K25" t="str">
            <v>Medium</v>
          </cell>
          <cell r="M25" t="str">
            <v>Medium</v>
          </cell>
          <cell r="O25" t="str">
            <v>Medium</v>
          </cell>
          <cell r="Q25" t="str">
            <v>Medium</v>
          </cell>
          <cell r="S25" t="str">
            <v>High</v>
          </cell>
          <cell r="U25" t="str">
            <v>Medium</v>
          </cell>
          <cell r="W25" t="str">
            <v>Medium</v>
          </cell>
          <cell r="Y25" t="str">
            <v>Medium</v>
          </cell>
          <cell r="AA25" t="str">
            <v>Medium</v>
          </cell>
          <cell r="AC25" t="str">
            <v>Medium</v>
          </cell>
          <cell r="AE25" t="str">
            <v>Medium</v>
          </cell>
          <cell r="AG25" t="str">
            <v>Med-high</v>
          </cell>
          <cell r="AI25" t="str">
            <v>New</v>
          </cell>
          <cell r="AK25" t="str">
            <v>Medium</v>
          </cell>
          <cell r="AM25">
            <v>2025</v>
          </cell>
          <cell r="AO25" t="str">
            <v>Medium</v>
          </cell>
        </row>
        <row r="26">
          <cell r="D26">
            <v>20</v>
          </cell>
          <cell r="E26" t="str">
            <v>E10</v>
          </cell>
          <cell r="F26" t="str">
            <v>B15</v>
          </cell>
          <cell r="G26" t="str">
            <v>Medium</v>
          </cell>
          <cell r="I26" t="str">
            <v>Medium</v>
          </cell>
          <cell r="K26" t="str">
            <v>Medium</v>
          </cell>
          <cell r="M26" t="str">
            <v>Medium</v>
          </cell>
          <cell r="O26" t="str">
            <v>Medium</v>
          </cell>
          <cell r="Q26" t="str">
            <v>Medium</v>
          </cell>
          <cell r="S26" t="str">
            <v>High</v>
          </cell>
          <cell r="U26" t="str">
            <v>Medium</v>
          </cell>
          <cell r="W26" t="str">
            <v>Medium</v>
          </cell>
          <cell r="Y26" t="str">
            <v>Medium</v>
          </cell>
          <cell r="AA26" t="str">
            <v>Medium</v>
          </cell>
          <cell r="AC26" t="str">
            <v>Medium</v>
          </cell>
          <cell r="AE26" t="str">
            <v>Medium</v>
          </cell>
          <cell r="AG26" t="str">
            <v>Med-high</v>
          </cell>
          <cell r="AI26" t="str">
            <v>New</v>
          </cell>
          <cell r="AK26" t="str">
            <v>Medium</v>
          </cell>
          <cell r="AM26">
            <v>2025</v>
          </cell>
          <cell r="AO26" t="str">
            <v>Medium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J9">
            <v>0.01</v>
          </cell>
          <cell r="K9">
            <v>0.02</v>
          </cell>
          <cell r="L9">
            <v>3.5000000000000003E-2</v>
          </cell>
          <cell r="M9">
            <v>0.05</v>
          </cell>
          <cell r="N9">
            <v>6.25E-2</v>
          </cell>
          <cell r="O9">
            <v>7.4999999999999997E-2</v>
          </cell>
          <cell r="P9">
            <v>8.7499999999999994E-2</v>
          </cell>
          <cell r="Q9">
            <v>0.1</v>
          </cell>
          <cell r="R9">
            <v>0.1125</v>
          </cell>
          <cell r="S9">
            <v>0.125</v>
          </cell>
          <cell r="T9">
            <v>0.13750000000000001</v>
          </cell>
          <cell r="U9">
            <v>0.15</v>
          </cell>
          <cell r="V9">
            <v>0.16250000000000001</v>
          </cell>
          <cell r="W9">
            <v>0.17499999999999999</v>
          </cell>
          <cell r="X9">
            <v>0.1875</v>
          </cell>
          <cell r="Y9">
            <v>0.2</v>
          </cell>
        </row>
        <row r="99">
          <cell r="L99">
            <v>98.95</v>
          </cell>
          <cell r="M99">
            <v>98.03</v>
          </cell>
        </row>
        <row r="100">
          <cell r="L100">
            <v>98.47</v>
          </cell>
          <cell r="M100">
            <v>102.01</v>
          </cell>
        </row>
        <row r="101">
          <cell r="L101">
            <v>98.47</v>
          </cell>
          <cell r="M101">
            <v>102.01</v>
          </cell>
        </row>
        <row r="102">
          <cell r="L102">
            <v>98.47</v>
          </cell>
          <cell r="M102">
            <v>102.01</v>
          </cell>
        </row>
        <row r="103">
          <cell r="L103">
            <v>99.97</v>
          </cell>
          <cell r="M103">
            <v>100.95</v>
          </cell>
        </row>
        <row r="104">
          <cell r="L104">
            <v>99.97</v>
          </cell>
          <cell r="M104">
            <v>100.95</v>
          </cell>
        </row>
        <row r="105">
          <cell r="L105">
            <v>99.97</v>
          </cell>
          <cell r="M105">
            <v>100.95</v>
          </cell>
        </row>
        <row r="106">
          <cell r="L106">
            <v>99.97</v>
          </cell>
          <cell r="M106">
            <v>100.95</v>
          </cell>
        </row>
        <row r="107">
          <cell r="L107">
            <v>99.97</v>
          </cell>
          <cell r="M107">
            <v>100.95</v>
          </cell>
        </row>
        <row r="108">
          <cell r="L108">
            <v>99.97</v>
          </cell>
          <cell r="M108">
            <v>100.95</v>
          </cell>
        </row>
        <row r="109">
          <cell r="L109">
            <v>99.97</v>
          </cell>
          <cell r="M109">
            <v>100.95</v>
          </cell>
        </row>
        <row r="110">
          <cell r="L110">
            <v>99.97</v>
          </cell>
          <cell r="M110">
            <v>100.95</v>
          </cell>
        </row>
        <row r="111">
          <cell r="L111">
            <v>99.97</v>
          </cell>
          <cell r="M111">
            <v>100.95</v>
          </cell>
        </row>
        <row r="112">
          <cell r="L112">
            <v>99.97</v>
          </cell>
          <cell r="M112">
            <v>100.95</v>
          </cell>
        </row>
        <row r="113">
          <cell r="L113">
            <v>99.97</v>
          </cell>
          <cell r="M113">
            <v>100.95</v>
          </cell>
        </row>
        <row r="114">
          <cell r="L114">
            <v>99.97</v>
          </cell>
          <cell r="M114">
            <v>100.95</v>
          </cell>
        </row>
      </sheetData>
      <sheetData sheetId="34"/>
      <sheetData sheetId="35"/>
      <sheetData sheetId="36">
        <row r="4">
          <cell r="AT4" t="str">
            <v>auto ICE</v>
          </cell>
          <cell r="AU4" t="str">
            <v>PV ICE</v>
          </cell>
          <cell r="AV4" t="str">
            <v>PV ICE</v>
          </cell>
          <cell r="AW4" t="str">
            <v>PV ICE</v>
          </cell>
          <cell r="AX4" t="str">
            <v>Auto</v>
          </cell>
        </row>
        <row r="5">
          <cell r="AT5" t="str">
            <v>auto EV A</v>
          </cell>
          <cell r="AU5" t="str">
            <v>PV EV A</v>
          </cell>
          <cell r="AV5" t="str">
            <v>PV EV</v>
          </cell>
          <cell r="AW5" t="str">
            <v>ZEV</v>
          </cell>
          <cell r="AX5" t="str">
            <v>Auto</v>
          </cell>
        </row>
        <row r="6">
          <cell r="AT6" t="str">
            <v>auto EV B</v>
          </cell>
          <cell r="AU6" t="str">
            <v>PV EV B</v>
          </cell>
          <cell r="AV6" t="str">
            <v>PV EV</v>
          </cell>
          <cell r="AW6" t="str">
            <v>ZEV</v>
          </cell>
          <cell r="AX6" t="str">
            <v>Auto</v>
          </cell>
        </row>
        <row r="7">
          <cell r="AT7" t="str">
            <v>auto ETOH</v>
          </cell>
          <cell r="AU7" t="str">
            <v>PV E85</v>
          </cell>
          <cell r="AV7" t="str">
            <v>PV E85</v>
          </cell>
          <cell r="AW7" t="str">
            <v>PV ICE</v>
          </cell>
          <cell r="AX7" t="str">
            <v>Auto</v>
          </cell>
        </row>
        <row r="8">
          <cell r="AT8" t="str">
            <v>auto Dsl</v>
          </cell>
          <cell r="AU8" t="str">
            <v>PV Dsl</v>
          </cell>
          <cell r="AV8" t="str">
            <v>PV Dsl</v>
          </cell>
          <cell r="AW8" t="str">
            <v>PV ICE</v>
          </cell>
          <cell r="AX8" t="str">
            <v>Auto</v>
          </cell>
        </row>
        <row r="9">
          <cell r="AT9" t="str">
            <v>auto CNG</v>
          </cell>
          <cell r="AU9" t="str">
            <v>PV CNG</v>
          </cell>
          <cell r="AV9" t="str">
            <v>PV CNG</v>
          </cell>
          <cell r="AW9" t="str">
            <v>PV NG</v>
          </cell>
          <cell r="AX9" t="str">
            <v>Auto</v>
          </cell>
        </row>
        <row r="10">
          <cell r="AT10" t="str">
            <v>auto SI HEV Gas</v>
          </cell>
          <cell r="AU10" t="str">
            <v>PV Hybrid</v>
          </cell>
          <cell r="AV10" t="str">
            <v>PV Hybrid</v>
          </cell>
          <cell r="AW10" t="str">
            <v>PV ICE</v>
          </cell>
          <cell r="AX10" t="str">
            <v>Auto</v>
          </cell>
        </row>
        <row r="11">
          <cell r="AT11" t="str">
            <v>auto SI HEV E85</v>
          </cell>
          <cell r="AU11" t="str">
            <v>PV Hybrid</v>
          </cell>
          <cell r="AV11" t="str">
            <v>PV Hybrid</v>
          </cell>
          <cell r="AW11" t="str">
            <v>PV ICE</v>
          </cell>
          <cell r="AX11" t="str">
            <v>Auto</v>
          </cell>
        </row>
        <row r="12">
          <cell r="AT12" t="str">
            <v>auto D HEV</v>
          </cell>
          <cell r="AU12" t="str">
            <v>PV Dsl</v>
          </cell>
          <cell r="AV12" t="str">
            <v>PV Dsl</v>
          </cell>
          <cell r="AW12" t="str">
            <v>PV ICE</v>
          </cell>
          <cell r="AX12" t="str">
            <v>Auto</v>
          </cell>
        </row>
        <row r="13">
          <cell r="AT13" t="str">
            <v>auto SI PHEV A</v>
          </cell>
          <cell r="AU13" t="str">
            <v>PV PHEV A</v>
          </cell>
          <cell r="AV13" t="str">
            <v>PV PHEV</v>
          </cell>
          <cell r="AW13" t="str">
            <v>ZEV</v>
          </cell>
          <cell r="AX13" t="str">
            <v>Auto</v>
          </cell>
        </row>
        <row r="14">
          <cell r="AT14" t="str">
            <v>auto SI PHEV B</v>
          </cell>
          <cell r="AU14" t="str">
            <v>PV PHEV B</v>
          </cell>
          <cell r="AV14" t="str">
            <v>PV PHEV</v>
          </cell>
          <cell r="AW14" t="str">
            <v>ZEV</v>
          </cell>
          <cell r="AX14" t="str">
            <v>Auto</v>
          </cell>
        </row>
        <row r="15">
          <cell r="AT15" t="str">
            <v>auto D PHEV</v>
          </cell>
          <cell r="AU15" t="str">
            <v>PV PHEV Dsl</v>
          </cell>
          <cell r="AV15" t="str">
            <v>PV PHEV</v>
          </cell>
          <cell r="AW15" t="str">
            <v>ZEV</v>
          </cell>
          <cell r="AX15" t="str">
            <v>Auto</v>
          </cell>
        </row>
        <row r="16">
          <cell r="AT16" t="str">
            <v>auto FCV</v>
          </cell>
          <cell r="AU16" t="str">
            <v>PV FCV</v>
          </cell>
          <cell r="AV16" t="str">
            <v>PV FCV</v>
          </cell>
          <cell r="AW16" t="str">
            <v>ZEV</v>
          </cell>
          <cell r="AX16" t="str">
            <v>Auto</v>
          </cell>
        </row>
        <row r="17">
          <cell r="AT17" t="str">
            <v>LT ICE</v>
          </cell>
          <cell r="AU17" t="str">
            <v>PV ICE</v>
          </cell>
          <cell r="AV17" t="str">
            <v>PV ICE</v>
          </cell>
          <cell r="AW17" t="str">
            <v>PV ICE</v>
          </cell>
          <cell r="AX17" t="str">
            <v>Light truck</v>
          </cell>
        </row>
        <row r="18">
          <cell r="AT18" t="str">
            <v>LT EV A</v>
          </cell>
          <cell r="AU18" t="str">
            <v>PV EV A</v>
          </cell>
          <cell r="AV18" t="str">
            <v>PV EV</v>
          </cell>
          <cell r="AW18" t="str">
            <v>ZEV</v>
          </cell>
          <cell r="AX18" t="str">
            <v>Light truck</v>
          </cell>
        </row>
        <row r="19">
          <cell r="AT19" t="str">
            <v>LT EV B</v>
          </cell>
          <cell r="AU19" t="str">
            <v>PV EV B</v>
          </cell>
          <cell r="AV19" t="str">
            <v>PV EV</v>
          </cell>
          <cell r="AW19" t="str">
            <v>ZEV</v>
          </cell>
          <cell r="AX19" t="str">
            <v>Light truck</v>
          </cell>
        </row>
        <row r="20">
          <cell r="AT20" t="str">
            <v>LT ETOH</v>
          </cell>
          <cell r="AU20" t="str">
            <v>PV E85</v>
          </cell>
          <cell r="AV20" t="str">
            <v>PV E85</v>
          </cell>
          <cell r="AW20" t="str">
            <v>PV ICE</v>
          </cell>
          <cell r="AX20" t="str">
            <v>Light truck</v>
          </cell>
        </row>
        <row r="21">
          <cell r="AT21" t="str">
            <v>LT Dsl</v>
          </cell>
          <cell r="AU21" t="str">
            <v>PV Dsl</v>
          </cell>
          <cell r="AV21" t="str">
            <v>PV Dsl</v>
          </cell>
          <cell r="AW21" t="str">
            <v>PV ICE</v>
          </cell>
          <cell r="AX21" t="str">
            <v>Light truck</v>
          </cell>
        </row>
        <row r="22">
          <cell r="AT22" t="str">
            <v>LT CNG</v>
          </cell>
          <cell r="AU22" t="str">
            <v>PV CNG</v>
          </cell>
          <cell r="AV22" t="str">
            <v>PV CNG</v>
          </cell>
          <cell r="AW22" t="str">
            <v>PV NG</v>
          </cell>
          <cell r="AX22" t="str">
            <v>Light truck</v>
          </cell>
        </row>
        <row r="23">
          <cell r="AT23" t="str">
            <v>LT SI HEV GAS</v>
          </cell>
          <cell r="AU23" t="str">
            <v>PV Hybrid</v>
          </cell>
          <cell r="AV23" t="str">
            <v>PV Hybrid</v>
          </cell>
          <cell r="AW23" t="str">
            <v>PV ICE</v>
          </cell>
          <cell r="AX23" t="str">
            <v>Light truck</v>
          </cell>
        </row>
        <row r="24">
          <cell r="AT24" t="str">
            <v>LT SI HEV E85</v>
          </cell>
          <cell r="AU24" t="str">
            <v>PV Hybrid</v>
          </cell>
          <cell r="AV24" t="str">
            <v>PV Hybrid</v>
          </cell>
          <cell r="AW24" t="str">
            <v>PV ICE</v>
          </cell>
          <cell r="AX24" t="str">
            <v>Light truck</v>
          </cell>
        </row>
        <row r="25">
          <cell r="AT25" t="str">
            <v>LT D HEV</v>
          </cell>
          <cell r="AU25" t="str">
            <v>PV Dsl</v>
          </cell>
          <cell r="AV25" t="str">
            <v>PV Dsl</v>
          </cell>
          <cell r="AW25" t="str">
            <v>PV ICE</v>
          </cell>
          <cell r="AX25" t="str">
            <v>Light truck</v>
          </cell>
        </row>
        <row r="26">
          <cell r="AT26" t="str">
            <v>LT SI PHEV A</v>
          </cell>
          <cell r="AU26" t="str">
            <v>PV PHEV A</v>
          </cell>
          <cell r="AV26" t="str">
            <v>PV PHEV</v>
          </cell>
          <cell r="AW26" t="str">
            <v>ZEV</v>
          </cell>
          <cell r="AX26" t="str">
            <v>Light truck</v>
          </cell>
        </row>
        <row r="27">
          <cell r="AT27" t="str">
            <v>LT SI PHEV B</v>
          </cell>
          <cell r="AU27" t="str">
            <v>PV PHEV B</v>
          </cell>
          <cell r="AV27" t="str">
            <v>PV PHEV</v>
          </cell>
          <cell r="AW27" t="str">
            <v>ZEV</v>
          </cell>
          <cell r="AX27" t="str">
            <v>Light truck</v>
          </cell>
        </row>
        <row r="28">
          <cell r="AT28" t="str">
            <v>LT D PHEV</v>
          </cell>
          <cell r="AU28" t="str">
            <v>PV PHEV Dsl</v>
          </cell>
          <cell r="AV28" t="str">
            <v>PV PHEV</v>
          </cell>
          <cell r="AW28" t="str">
            <v>ZEV</v>
          </cell>
          <cell r="AX28" t="str">
            <v>Light truck</v>
          </cell>
        </row>
        <row r="29">
          <cell r="AT29" t="str">
            <v>LT FCV</v>
          </cell>
          <cell r="AU29" t="str">
            <v>PV FCV</v>
          </cell>
          <cell r="AV29" t="str">
            <v>PV FCV</v>
          </cell>
          <cell r="AW29" t="str">
            <v>ZEV</v>
          </cell>
          <cell r="AX29" t="str">
            <v>Light truck</v>
          </cell>
        </row>
        <row r="33">
          <cell r="AT33" t="str">
            <v>Class 3-6G</v>
          </cell>
          <cell r="AU33" t="str">
            <v>Class 3-6G</v>
          </cell>
          <cell r="AV33" t="str">
            <v>Class 3-6</v>
          </cell>
          <cell r="AW33" t="str">
            <v>HD ICE</v>
          </cell>
          <cell r="AX33" t="str">
            <v xml:space="preserve">Medium duty </v>
          </cell>
        </row>
        <row r="34">
          <cell r="AT34" t="str">
            <v>Class 3-6D</v>
          </cell>
          <cell r="AU34" t="str">
            <v>Class 3-6D</v>
          </cell>
          <cell r="AV34" t="str">
            <v>Class 3-6</v>
          </cell>
          <cell r="AW34" t="str">
            <v>HD ICE</v>
          </cell>
          <cell r="AX34" t="str">
            <v xml:space="preserve">Medium duty </v>
          </cell>
        </row>
        <row r="35">
          <cell r="AT35" t="str">
            <v>Class 3-6 NG</v>
          </cell>
          <cell r="AU35" t="str">
            <v>Class 3-6 NG</v>
          </cell>
          <cell r="AV35" t="str">
            <v>Class 3-6 NG</v>
          </cell>
          <cell r="AW35" t="str">
            <v>HD NG</v>
          </cell>
          <cell r="AX35" t="str">
            <v xml:space="preserve">Medium duty </v>
          </cell>
        </row>
        <row r="36">
          <cell r="AT36" t="str">
            <v>Class 3-6 HEV</v>
          </cell>
          <cell r="AU36" t="str">
            <v>Class 3-6 HEV</v>
          </cell>
          <cell r="AV36" t="str">
            <v>Class 3-6</v>
          </cell>
          <cell r="AW36" t="str">
            <v>HD ICE</v>
          </cell>
          <cell r="AX36" t="str">
            <v xml:space="preserve">Medium duty </v>
          </cell>
        </row>
        <row r="37">
          <cell r="AT37" t="str">
            <v>Class 7&amp;8SU</v>
          </cell>
          <cell r="AU37" t="str">
            <v>Class 7&amp;8SU</v>
          </cell>
          <cell r="AV37" t="str">
            <v>Class 7&amp;8</v>
          </cell>
          <cell r="AW37" t="str">
            <v>HD ICE</v>
          </cell>
          <cell r="AX37" t="str">
            <v>Heavy duty</v>
          </cell>
        </row>
        <row r="38">
          <cell r="AT38" t="str">
            <v>Class 7&amp;8SU NG</v>
          </cell>
          <cell r="AU38" t="str">
            <v>Class 7&amp;8SU NG</v>
          </cell>
          <cell r="AV38" t="str">
            <v>Class 7&amp;8 NG</v>
          </cell>
          <cell r="AW38" t="str">
            <v>HD NG</v>
          </cell>
          <cell r="AX38" t="str">
            <v>Heavy duty</v>
          </cell>
        </row>
        <row r="39">
          <cell r="AT39" t="str">
            <v>Class 7&amp;8SU HEV</v>
          </cell>
          <cell r="AU39" t="str">
            <v>Class 7&amp;8SU HEV</v>
          </cell>
          <cell r="AV39" t="str">
            <v>Class 7&amp;8</v>
          </cell>
          <cell r="AW39" t="str">
            <v>HD ICE</v>
          </cell>
          <cell r="AX39" t="str">
            <v>Heavy duty</v>
          </cell>
        </row>
        <row r="40">
          <cell r="AT40" t="str">
            <v>Class 7&amp;8C_Dsl</v>
          </cell>
          <cell r="AU40" t="str">
            <v>Class 7&amp;8C_Dsl</v>
          </cell>
          <cell r="AV40" t="str">
            <v>Class 7&amp;8</v>
          </cell>
          <cell r="AW40" t="str">
            <v>HD ICE</v>
          </cell>
          <cell r="AX40" t="str">
            <v>Heavy duty</v>
          </cell>
        </row>
        <row r="41">
          <cell r="AT41" t="str">
            <v>Class 7&amp;8C_NG</v>
          </cell>
          <cell r="AU41" t="str">
            <v>Class 7&amp;8C_NG</v>
          </cell>
          <cell r="AV41" t="str">
            <v>Class 7&amp;8 NG</v>
          </cell>
          <cell r="AW41" t="str">
            <v>HD NG</v>
          </cell>
          <cell r="AX41" t="str">
            <v>Heavy duty</v>
          </cell>
        </row>
      </sheetData>
      <sheetData sheetId="37"/>
      <sheetData sheetId="38">
        <row r="2">
          <cell r="W2" t="b">
            <v>1</v>
          </cell>
        </row>
      </sheetData>
      <sheetData sheetId="39"/>
      <sheetData sheetId="40">
        <row r="19">
          <cell r="B19">
            <v>2015</v>
          </cell>
          <cell r="C19">
            <v>2016</v>
          </cell>
          <cell r="D19">
            <v>2017</v>
          </cell>
          <cell r="E19">
            <v>2018</v>
          </cell>
          <cell r="F19">
            <v>2019</v>
          </cell>
          <cell r="G19">
            <v>2020</v>
          </cell>
          <cell r="H19">
            <v>2021</v>
          </cell>
          <cell r="I19">
            <v>2022</v>
          </cell>
          <cell r="J19">
            <v>2023</v>
          </cell>
          <cell r="K19">
            <v>2024</v>
          </cell>
          <cell r="L19">
            <v>2025</v>
          </cell>
          <cell r="M19">
            <v>2026</v>
          </cell>
          <cell r="N19">
            <v>2027</v>
          </cell>
          <cell r="O19">
            <v>2028</v>
          </cell>
          <cell r="P19">
            <v>2029</v>
          </cell>
          <cell r="Q19">
            <v>2030</v>
          </cell>
        </row>
        <row r="20">
          <cell r="A20" t="str">
            <v>Low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</row>
        <row r="21">
          <cell r="A21" t="str">
            <v>Low-medium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3.1571030350989807E-2</v>
          </cell>
          <cell r="K21">
            <v>9.5118483912375956E-2</v>
          </cell>
          <cell r="L21">
            <v>0.1829030689073235</v>
          </cell>
          <cell r="M21">
            <v>0.29045569103444491</v>
          </cell>
          <cell r="N21">
            <v>0.41607442755514024</v>
          </cell>
          <cell r="O21">
            <v>0.54150314216384554</v>
          </cell>
          <cell r="P21">
            <v>0.70545709157415026</v>
          </cell>
          <cell r="Q21">
            <v>0.89450417428932061</v>
          </cell>
          <cell r="AC21">
            <v>0.5</v>
          </cell>
        </row>
        <row r="22">
          <cell r="A22" t="str">
            <v>Medium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6.3142060701979613E-2</v>
          </cell>
          <cell r="K22">
            <v>0.19023696782475191</v>
          </cell>
          <cell r="L22">
            <v>0.36580613781464699</v>
          </cell>
          <cell r="M22">
            <v>0.58091138206888981</v>
          </cell>
          <cell r="N22">
            <v>0.83214885511028047</v>
          </cell>
          <cell r="O22">
            <v>1.0830062843276911</v>
          </cell>
          <cell r="P22">
            <v>1.4109141831483005</v>
          </cell>
          <cell r="Q22">
            <v>1.7890083485786412</v>
          </cell>
        </row>
        <row r="23">
          <cell r="A23" t="str">
            <v>Medium-high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3.4516742806562278E-2</v>
          </cell>
          <cell r="H23">
            <v>8.0613298314567317E-2</v>
          </cell>
          <cell r="I23">
            <v>0.14294457225587601</v>
          </cell>
          <cell r="J23">
            <v>0.2594729621127782</v>
          </cell>
          <cell r="K23">
            <v>0.43851344974908757</v>
          </cell>
          <cell r="L23">
            <v>0.68117760124833515</v>
          </cell>
          <cell r="M23">
            <v>1.0144304025958901</v>
          </cell>
          <cell r="N23">
            <v>1.4520893835408568</v>
          </cell>
          <cell r="O23">
            <v>2.0120875693756055</v>
          </cell>
          <cell r="P23">
            <v>2.7854185819052795</v>
          </cell>
          <cell r="Q23">
            <v>3.7536759276443008</v>
          </cell>
        </row>
        <row r="24">
          <cell r="A24" t="str">
            <v>High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6.9033485613124557E-2</v>
          </cell>
          <cell r="H24">
            <v>0.16122659662913463</v>
          </cell>
          <cell r="I24">
            <v>0.28588914451175201</v>
          </cell>
          <cell r="J24">
            <v>0.45580386352357677</v>
          </cell>
          <cell r="K24">
            <v>0.68678993167342328</v>
          </cell>
          <cell r="L24">
            <v>0.99654906468202331</v>
          </cell>
          <cell r="M24">
            <v>1.4479494231228904</v>
          </cell>
          <cell r="N24">
            <v>2.0720299119714332</v>
          </cell>
          <cell r="O24">
            <v>2.9411688544235197</v>
          </cell>
          <cell r="P24">
            <v>4.159922980662258</v>
          </cell>
          <cell r="Q24">
            <v>5.7183435067099602</v>
          </cell>
        </row>
        <row r="28">
          <cell r="B28">
            <v>2015</v>
          </cell>
          <cell r="C28">
            <v>2016</v>
          </cell>
          <cell r="D28">
            <v>2017</v>
          </cell>
          <cell r="E28">
            <v>2018</v>
          </cell>
          <cell r="F28">
            <v>2019</v>
          </cell>
          <cell r="G28">
            <v>2020</v>
          </cell>
          <cell r="H28">
            <v>2021</v>
          </cell>
          <cell r="I28">
            <v>2022</v>
          </cell>
          <cell r="J28">
            <v>2023</v>
          </cell>
          <cell r="K28">
            <v>2024</v>
          </cell>
          <cell r="L28">
            <v>2025</v>
          </cell>
          <cell r="M28">
            <v>2026</v>
          </cell>
          <cell r="N28">
            <v>2027</v>
          </cell>
          <cell r="O28">
            <v>2028</v>
          </cell>
          <cell r="P28">
            <v>2029</v>
          </cell>
          <cell r="Q28">
            <v>2030</v>
          </cell>
        </row>
        <row r="29">
          <cell r="A29" t="str">
            <v>Low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A30" t="str">
            <v>Low-medium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0.4293988203726754</v>
          </cell>
          <cell r="K30">
            <v>1.2971916778242663</v>
          </cell>
          <cell r="L30">
            <v>2.4996210068915552</v>
          </cell>
          <cell r="M30">
            <v>3.9756072223039558</v>
          </cell>
          <cell r="N30">
            <v>5.7007436019277149</v>
          </cell>
          <cell r="O30">
            <v>7.4229292429571689</v>
          </cell>
          <cell r="P30">
            <v>9.6704506665391641</v>
          </cell>
          <cell r="Q30">
            <v>12.256309575662101</v>
          </cell>
        </row>
        <row r="31">
          <cell r="A31" t="str">
            <v>Medium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0.85879764074535081</v>
          </cell>
          <cell r="K31">
            <v>2.5943833556485325</v>
          </cell>
          <cell r="L31">
            <v>4.9992420137831104</v>
          </cell>
          <cell r="M31">
            <v>7.9512144446079116</v>
          </cell>
          <cell r="N31">
            <v>11.40148720385543</v>
          </cell>
          <cell r="O31">
            <v>14.845858485914338</v>
          </cell>
          <cell r="P31">
            <v>19.340901333078328</v>
          </cell>
          <cell r="Q31">
            <v>24.512619151324202</v>
          </cell>
        </row>
        <row r="32">
          <cell r="A32" t="str">
            <v>Medium-high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0.53926422995814927</v>
          </cell>
          <cell r="H32">
            <v>1.3115544936761609</v>
          </cell>
          <cell r="I32">
            <v>2.4191826337028535</v>
          </cell>
          <cell r="J32">
            <v>4.4334301984004192</v>
          </cell>
          <cell r="K32">
            <v>7.5517247282101785</v>
          </cell>
          <cell r="L32">
            <v>11.910995847356043</v>
          </cell>
          <cell r="M32">
            <v>17.861976970669573</v>
          </cell>
          <cell r="N32">
            <v>25.855461119904099</v>
          </cell>
          <cell r="O32">
            <v>36.421600231955644</v>
          </cell>
          <cell r="P32">
            <v>51.189305121091834</v>
          </cell>
          <cell r="Q32">
            <v>69.847302916783732</v>
          </cell>
        </row>
        <row r="33">
          <cell r="A33" t="str">
            <v>High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1.0785284599162985</v>
          </cell>
          <cell r="H33">
            <v>2.6231089873523219</v>
          </cell>
          <cell r="I33">
            <v>4.8383652674057069</v>
          </cell>
          <cell r="J33">
            <v>8.0080627560554873</v>
          </cell>
          <cell r="K33">
            <v>12.509066100771825</v>
          </cell>
          <cell r="L33">
            <v>18.822749680928975</v>
          </cell>
          <cell r="M33">
            <v>27.772739496731237</v>
          </cell>
          <cell r="N33">
            <v>40.309435035952767</v>
          </cell>
          <cell r="O33">
            <v>57.997341977996953</v>
          </cell>
          <cell r="P33">
            <v>83.037708909105334</v>
          </cell>
          <cell r="Q33">
            <v>115.18198668224326</v>
          </cell>
        </row>
        <row r="43">
          <cell r="AC43">
            <v>0.26749271137026237</v>
          </cell>
        </row>
      </sheetData>
      <sheetData sheetId="41"/>
      <sheetData sheetId="42"/>
      <sheetData sheetId="43">
        <row r="3">
          <cell r="D3" t="b">
            <v>1</v>
          </cell>
        </row>
        <row r="23">
          <cell r="L23">
            <v>93.4</v>
          </cell>
        </row>
        <row r="113">
          <cell r="C113" t="b">
            <v>1</v>
          </cell>
        </row>
      </sheetData>
      <sheetData sheetId="44"/>
      <sheetData sheetId="45"/>
      <sheetData sheetId="46"/>
      <sheetData sheetId="47"/>
      <sheetData sheetId="48"/>
      <sheetData sheetId="49"/>
      <sheetData sheetId="50">
        <row r="5">
          <cell r="B5">
            <v>134.47</v>
          </cell>
        </row>
        <row r="6">
          <cell r="B6">
            <v>115.83</v>
          </cell>
        </row>
        <row r="7">
          <cell r="B7">
            <v>81.510000000000005</v>
          </cell>
        </row>
        <row r="8">
          <cell r="B8">
            <v>126.13194319156545</v>
          </cell>
        </row>
        <row r="10">
          <cell r="B10">
            <v>120</v>
          </cell>
        </row>
        <row r="11">
          <cell r="B11">
            <v>119.53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>
        <row r="54">
          <cell r="B54" t="str">
            <v>Year</v>
          </cell>
          <cell r="M54" t="str">
            <v>E%</v>
          </cell>
        </row>
        <row r="55">
          <cell r="B55">
            <v>2000</v>
          </cell>
          <cell r="M55">
            <v>1.3703709544104201E-2</v>
          </cell>
        </row>
        <row r="56">
          <cell r="B56">
            <v>2001</v>
          </cell>
          <cell r="M56">
            <v>1.4513478861065594E-2</v>
          </cell>
        </row>
        <row r="57">
          <cell r="B57">
            <v>2002</v>
          </cell>
          <cell r="M57">
            <v>1.7096954880439462E-2</v>
          </cell>
        </row>
        <row r="58">
          <cell r="B58">
            <v>2003</v>
          </cell>
          <cell r="M58">
            <v>2.1670171395317593E-2</v>
          </cell>
        </row>
        <row r="59">
          <cell r="B59">
            <v>2004</v>
          </cell>
          <cell r="M59">
            <v>2.6160069028798083E-2</v>
          </cell>
        </row>
        <row r="60">
          <cell r="B60">
            <v>2005</v>
          </cell>
          <cell r="M60">
            <v>2.8893023026193607E-2</v>
          </cell>
        </row>
        <row r="61">
          <cell r="B61">
            <v>2006</v>
          </cell>
          <cell r="M61">
            <v>3.506007553537463E-2</v>
          </cell>
        </row>
        <row r="62">
          <cell r="B62">
            <v>2007</v>
          </cell>
          <cell r="M62">
            <v>4.7719800395525383E-2</v>
          </cell>
        </row>
        <row r="63">
          <cell r="B63">
            <v>2008</v>
          </cell>
          <cell r="M63">
            <v>7.3932118090097101E-2</v>
          </cell>
        </row>
        <row r="64">
          <cell r="B64">
            <v>2009</v>
          </cell>
          <cell r="M64">
            <v>8.4177183263877728E-2</v>
          </cell>
        </row>
        <row r="65">
          <cell r="B65">
            <v>2010</v>
          </cell>
          <cell r="M65">
            <v>9.9889806913994836E-2</v>
          </cell>
        </row>
        <row r="66">
          <cell r="B66">
            <v>2011</v>
          </cell>
          <cell r="M66">
            <v>9.934717467051149E-2</v>
          </cell>
        </row>
        <row r="67">
          <cell r="B67">
            <v>2012</v>
          </cell>
          <cell r="M67">
            <v>9.9586224420596808E-2</v>
          </cell>
        </row>
        <row r="68">
          <cell r="B68">
            <v>2013</v>
          </cell>
          <cell r="M68">
            <v>9.9263551710748549E-2</v>
          </cell>
        </row>
        <row r="69">
          <cell r="B69">
            <v>2014</v>
          </cell>
          <cell r="M69">
            <v>0.10330325503973724</v>
          </cell>
        </row>
        <row r="70">
          <cell r="B70">
            <v>2015</v>
          </cell>
          <cell r="M70">
            <v>0.1062000119954061</v>
          </cell>
        </row>
        <row r="71">
          <cell r="B71">
            <v>2016</v>
          </cell>
          <cell r="M71">
            <v>0.1062000119954061</v>
          </cell>
        </row>
        <row r="72">
          <cell r="B72">
            <v>2017</v>
          </cell>
          <cell r="M72">
            <v>0.1062000119954061</v>
          </cell>
        </row>
        <row r="73">
          <cell r="B73">
            <v>2018</v>
          </cell>
          <cell r="M73">
            <v>0.1062000119954061</v>
          </cell>
        </row>
        <row r="74">
          <cell r="B74">
            <v>2019</v>
          </cell>
          <cell r="M74">
            <v>0.1062000119954061</v>
          </cell>
        </row>
        <row r="75">
          <cell r="B75">
            <v>2020</v>
          </cell>
          <cell r="M75">
            <v>0.1062000119954061</v>
          </cell>
        </row>
        <row r="76">
          <cell r="B76">
            <v>2021</v>
          </cell>
          <cell r="M76">
            <v>0.10618001079586549</v>
          </cell>
        </row>
        <row r="77">
          <cell r="B77">
            <v>2022</v>
          </cell>
          <cell r="M77">
            <v>0.10616000959632488</v>
          </cell>
        </row>
        <row r="78">
          <cell r="B78">
            <v>2023</v>
          </cell>
          <cell r="M78">
            <v>0.10614000839678427</v>
          </cell>
        </row>
        <row r="79">
          <cell r="B79">
            <v>2024</v>
          </cell>
          <cell r="M79">
            <v>0.10612000719724365</v>
          </cell>
        </row>
        <row r="80">
          <cell r="B80">
            <v>2025</v>
          </cell>
          <cell r="M80">
            <v>0.10610000599770304</v>
          </cell>
        </row>
        <row r="81">
          <cell r="B81">
            <v>2026</v>
          </cell>
          <cell r="M81">
            <v>0.10608000479816243</v>
          </cell>
        </row>
        <row r="82">
          <cell r="B82">
            <v>2027</v>
          </cell>
          <cell r="M82">
            <v>0.10606000359862182</v>
          </cell>
        </row>
        <row r="83">
          <cell r="B83">
            <v>2028</v>
          </cell>
          <cell r="M83">
            <v>0.10604000239908121</v>
          </cell>
        </row>
        <row r="84">
          <cell r="B84">
            <v>2029</v>
          </cell>
          <cell r="M84">
            <v>0.10602000119954059</v>
          </cell>
        </row>
        <row r="85">
          <cell r="B85">
            <v>2030</v>
          </cell>
          <cell r="M85">
            <v>0.10600000000000001</v>
          </cell>
        </row>
      </sheetData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1 TABLE 3"/>
      <sheetName val="2012 TABLE 3"/>
      <sheetName val="2011 TABLE 4"/>
      <sheetName val="2012 TABLE 4"/>
      <sheetName val="2012 Tables 3 4 data"/>
      <sheetName val="2011 TABLE 5"/>
      <sheetName val="2012 TABLE 5"/>
      <sheetName val="2011 TABLE 6"/>
      <sheetName val="2012 TABLE 6 "/>
      <sheetName val="2011 TABLE 7"/>
      <sheetName val="2012 Table 7"/>
      <sheetName val="2011 TABLE 8"/>
      <sheetName val="2012 TABLE 8"/>
      <sheetName val="2012 table 8 data"/>
      <sheetName val="2011 TABLE 9"/>
      <sheetName val="2012 TABLE 9"/>
      <sheetName val="2012 Table 9 system data"/>
      <sheetName val="2012 Table 9 intl data"/>
      <sheetName val="2012 Table 9 data"/>
      <sheetName val="2011 TABLE 10"/>
      <sheetName val="2012 TABLE 10"/>
      <sheetName val="2011 TABLE 11"/>
      <sheetName val="2012 TABLE 11"/>
      <sheetName val="2011 TABLE 12"/>
      <sheetName val="2012 TABLE 12"/>
      <sheetName val="2012 Tables 5 7 10 12 Pax data"/>
      <sheetName val="2011 TABLE 13"/>
      <sheetName val="2012 TABLE 13"/>
      <sheetName val="Intl charts 4 &amp; 5"/>
      <sheetName val="2012 Table 13 LF data"/>
      <sheetName val="2012 Tables 6 10 13 ASMs data"/>
      <sheetName val="2012 Tables 5 6 7 11 13 RPMs"/>
      <sheetName val="2011 TABLE 14"/>
      <sheetName val="2012 TABLE 14"/>
      <sheetName val="2011 TABLE 15"/>
      <sheetName val="2012 TABLE 15"/>
      <sheetName val="2011 TABLE 16"/>
      <sheetName val="2012 TABLE 16"/>
      <sheetName val="Tables 14 15 16 data"/>
      <sheetName val="2011 TABLE 17"/>
      <sheetName val="2012 TABLE 17"/>
      <sheetName val="2011 TABLE 18"/>
      <sheetName val="2012 TABLE 18"/>
      <sheetName val="2011 TABLE 19"/>
      <sheetName val="2012 TABLE 19"/>
      <sheetName val="2011 TABLE 22"/>
      <sheetName val="2012 TABLE 22"/>
      <sheetName val="2011 TABLE 23"/>
      <sheetName val="2012 TABLE 23"/>
      <sheetName val="2011 TABLE 24"/>
      <sheetName val="2012 TABLE 24"/>
      <sheetName val="2012 Tables 23 24 system data"/>
      <sheetName val="2011 TABLE 25"/>
      <sheetName val="2012 TABLE 25"/>
      <sheetName val="Tables 23 24 25 intl data"/>
      <sheetName val="2012 Tables 23 24 25 data"/>
      <sheetName val="2011 U.S. Carrier data"/>
      <sheetName val="2011 PIVOT"/>
      <sheetName val="Intl tables 1 &amp; 2"/>
      <sheetName val="Data for Figu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T1 Calculator"/>
      <sheetName val="Inputs"/>
      <sheetName val="Results"/>
      <sheetName val="Petroleum"/>
      <sheetName val="NG"/>
      <sheetName val="MeOH&amp;FTD"/>
      <sheetName val="EtOH"/>
      <sheetName val="Electric"/>
      <sheetName val="Hydrogen"/>
      <sheetName val="BioOil"/>
      <sheetName val="Algae"/>
      <sheetName val="RNG"/>
      <sheetName val="Pyrolysis"/>
      <sheetName val="Fuel_Prod_TS"/>
      <sheetName val="EF_TS"/>
      <sheetName val="EF"/>
      <sheetName val="Fuel_Specs"/>
      <sheetName val="Car_TS"/>
      <sheetName val="LDT1_TS"/>
      <sheetName val="LDT2_TS"/>
      <sheetName val="Vehicles"/>
      <sheetName val="Urban_Shares"/>
      <sheetName val="Compression"/>
      <sheetName val="Coal"/>
      <sheetName val="T&amp;D_Flowcharts"/>
      <sheetName val="T&amp;D"/>
      <sheetName val="Uranium"/>
      <sheetName val="Ag_Inputs"/>
      <sheetName val="Enzymes_Yeast"/>
      <sheetName val="E-D Additives"/>
      <sheetName val="JetFuel_WTP"/>
      <sheetName val="JetFuel_PTWa"/>
      <sheetName val="JetFuel_WTWa"/>
      <sheetName val="MarineFuel_PTH"/>
      <sheetName val="MarineFuel_WTH"/>
      <sheetName val="Dist_Spec"/>
      <sheetName val="Forecast_Specs"/>
      <sheetName val="Forecast_Delet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33">
          <cell r="F133">
            <v>3412.141641601248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 02 Econ Assump"/>
      <sheetName val="Pacific Pax"/>
      <sheetName val="Atlantic Pax"/>
      <sheetName val="Latin Pax"/>
      <sheetName val="Canada Pax"/>
      <sheetName val="Total Int Pax"/>
      <sheetName val="Int Traffic History"/>
      <sheetName val="LATGDP"/>
      <sheetName val="US and Canada GDP"/>
      <sheetName val="Pacific GDP Detail"/>
      <sheetName val="European GDP Detail"/>
      <sheetName val="Middle East GDP Detail"/>
      <sheetName val="Africa GDP Detail"/>
      <sheetName val="Latin GDP Detail"/>
      <sheetName val="t100int"/>
      <sheetName val="QTRLY FCST"/>
      <sheetName val="INTPASS"/>
      <sheetName val="Sum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 pax data"/>
      <sheetName val="Real GDP"/>
      <sheetName val="Raw GDP data"/>
      <sheetName val="UK"/>
      <sheetName val="Germany"/>
      <sheetName val="France"/>
      <sheetName val="Netherlands"/>
      <sheetName val="Italy"/>
      <sheetName val="Ireland"/>
      <sheetName val="Spain"/>
      <sheetName val="Other Europe"/>
      <sheetName val="Mexico"/>
      <sheetName val="Dominican Rep"/>
      <sheetName val="Bahamas"/>
      <sheetName val="Jamaica"/>
      <sheetName val="Brazil"/>
      <sheetName val="Other LtnAm"/>
      <sheetName val="Japan"/>
      <sheetName val="S Korea"/>
      <sheetName val="Taiwan"/>
      <sheetName val="Hong Kong"/>
      <sheetName val="China"/>
      <sheetName val="India"/>
      <sheetName val="Other Pacific"/>
      <sheetName val="Pacific F41"/>
      <sheetName val="Atlantic F41"/>
      <sheetName val="Latin F41"/>
      <sheetName val="F41 data"/>
      <sheetName val="Exchange rates"/>
      <sheetName val="Transborder"/>
      <sheetName val="Transborder 2010"/>
      <sheetName val="Transborder 2009"/>
      <sheetName val="Transborder 2008"/>
      <sheetName val="Transborder 2007"/>
      <sheetName val="Transborder 2006"/>
      <sheetName val="Transborder 2005"/>
      <sheetName val="Transborder 2004"/>
      <sheetName val="Transborder 2003"/>
      <sheetName val="Transborder 2002"/>
      <sheetName val="Transborder 2001"/>
      <sheetName val="Transborder 2000"/>
      <sheetName val="Yield forecast"/>
      <sheetName val="DB Products yield"/>
      <sheetName val="Original yield data"/>
      <sheetName val="CP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">
          <cell r="A1" t="str">
            <v>Source:  Email from Roger Schaufele to K. Lizotte dated 11/10/2011 04:59 PM (email is below).</v>
          </cell>
        </row>
        <row r="2">
          <cell r="A2" t="str">
            <v>Kathy - Attached is a file that contains summarized international Form 41 forecast information for each of the entities.  I have highlighted updated information in bold for each of the entities.  Data updated include FY 2010 asms, rpms, pax, yields and es</v>
          </cell>
        </row>
        <row r="3">
          <cell r="A3">
            <v>0</v>
          </cell>
        </row>
        <row r="4">
          <cell r="A4">
            <v>0</v>
          </cell>
        </row>
        <row r="5">
          <cell r="A5">
            <v>0</v>
          </cell>
        </row>
        <row r="6">
          <cell r="A6">
            <v>0</v>
          </cell>
        </row>
        <row r="7">
          <cell r="A7" t="str">
            <v xml:space="preserve"> </v>
          </cell>
        </row>
        <row r="8">
          <cell r="A8" t="str">
            <v>FY</v>
          </cell>
        </row>
        <row r="9">
          <cell r="A9" t="str">
            <v>1969</v>
          </cell>
        </row>
        <row r="10">
          <cell r="A10" t="str">
            <v>1970</v>
          </cell>
        </row>
        <row r="11">
          <cell r="A11" t="str">
            <v>1971</v>
          </cell>
        </row>
        <row r="12">
          <cell r="A12" t="str">
            <v>1972</v>
          </cell>
        </row>
        <row r="13">
          <cell r="A13" t="str">
            <v>1973</v>
          </cell>
        </row>
        <row r="14">
          <cell r="A14" t="str">
            <v>1974</v>
          </cell>
        </row>
        <row r="15">
          <cell r="A15" t="str">
            <v>1975</v>
          </cell>
        </row>
        <row r="16">
          <cell r="A16" t="str">
            <v>1976</v>
          </cell>
        </row>
        <row r="17">
          <cell r="A17" t="str">
            <v>1977</v>
          </cell>
        </row>
        <row r="18">
          <cell r="A18" t="str">
            <v>1978</v>
          </cell>
        </row>
        <row r="19">
          <cell r="A19" t="str">
            <v>1979</v>
          </cell>
        </row>
        <row r="20">
          <cell r="A20" t="str">
            <v>1980</v>
          </cell>
        </row>
        <row r="21">
          <cell r="A21" t="str">
            <v>1981</v>
          </cell>
        </row>
        <row r="22">
          <cell r="A22" t="str">
            <v>1982</v>
          </cell>
        </row>
        <row r="23">
          <cell r="A23" t="str">
            <v>1983</v>
          </cell>
        </row>
        <row r="24">
          <cell r="A24" t="str">
            <v>1984</v>
          </cell>
        </row>
        <row r="25">
          <cell r="A25" t="str">
            <v>1985</v>
          </cell>
        </row>
        <row r="26">
          <cell r="A26" t="str">
            <v>1986</v>
          </cell>
        </row>
        <row r="27">
          <cell r="A27" t="str">
            <v>1987</v>
          </cell>
        </row>
        <row r="28">
          <cell r="A28" t="str">
            <v>1988</v>
          </cell>
        </row>
        <row r="29">
          <cell r="A29" t="str">
            <v>1989</v>
          </cell>
        </row>
        <row r="30">
          <cell r="A30" t="str">
            <v>1990</v>
          </cell>
        </row>
        <row r="31">
          <cell r="A31" t="str">
            <v>1991</v>
          </cell>
        </row>
        <row r="32">
          <cell r="A32" t="str">
            <v>1992</v>
          </cell>
        </row>
        <row r="33">
          <cell r="A33" t="str">
            <v>1993</v>
          </cell>
        </row>
        <row r="34">
          <cell r="A34" t="str">
            <v>1994</v>
          </cell>
        </row>
        <row r="35">
          <cell r="A35" t="str">
            <v>1995</v>
          </cell>
        </row>
        <row r="36">
          <cell r="A36" t="str">
            <v>1996</v>
          </cell>
        </row>
        <row r="37">
          <cell r="A37" t="str">
            <v>1997</v>
          </cell>
        </row>
        <row r="38">
          <cell r="A38" t="str">
            <v>1998</v>
          </cell>
        </row>
        <row r="39">
          <cell r="A39">
            <v>1999</v>
          </cell>
        </row>
        <row r="40">
          <cell r="A40">
            <v>2000</v>
          </cell>
        </row>
        <row r="41">
          <cell r="A41" t="str">
            <v xml:space="preserve">2001 </v>
          </cell>
        </row>
        <row r="42">
          <cell r="A42" t="str">
            <v>2002</v>
          </cell>
        </row>
        <row r="43">
          <cell r="A43" t="str">
            <v>2003</v>
          </cell>
        </row>
        <row r="44">
          <cell r="A44">
            <v>2004</v>
          </cell>
        </row>
        <row r="45">
          <cell r="A45">
            <v>2005</v>
          </cell>
        </row>
        <row r="46">
          <cell r="A46">
            <v>2006</v>
          </cell>
        </row>
        <row r="47">
          <cell r="A47" t="str">
            <v>2007</v>
          </cell>
        </row>
        <row r="48">
          <cell r="A48">
            <v>2008</v>
          </cell>
        </row>
        <row r="49">
          <cell r="A49" t="str">
            <v>2009</v>
          </cell>
        </row>
        <row r="50">
          <cell r="A50" t="str">
            <v>2010</v>
          </cell>
        </row>
        <row r="51">
          <cell r="A51" t="str">
            <v>2011E</v>
          </cell>
        </row>
        <row r="53">
          <cell r="A53">
            <v>2012</v>
          </cell>
        </row>
        <row r="54">
          <cell r="A54">
            <v>2013</v>
          </cell>
        </row>
        <row r="55">
          <cell r="A55">
            <v>2014</v>
          </cell>
        </row>
        <row r="56">
          <cell r="A56">
            <v>2015</v>
          </cell>
        </row>
        <row r="57">
          <cell r="A57">
            <v>2016</v>
          </cell>
        </row>
        <row r="58">
          <cell r="A58">
            <v>2017</v>
          </cell>
        </row>
        <row r="59">
          <cell r="A59">
            <v>2018</v>
          </cell>
        </row>
        <row r="60">
          <cell r="A60">
            <v>2019</v>
          </cell>
        </row>
        <row r="61">
          <cell r="A61">
            <v>2020</v>
          </cell>
        </row>
        <row r="62">
          <cell r="A62">
            <v>2021</v>
          </cell>
        </row>
        <row r="63">
          <cell r="A63">
            <v>2022</v>
          </cell>
        </row>
        <row r="64">
          <cell r="A64">
            <v>2023</v>
          </cell>
        </row>
        <row r="65">
          <cell r="A65">
            <v>2024</v>
          </cell>
        </row>
        <row r="66">
          <cell r="A66">
            <v>2025</v>
          </cell>
        </row>
        <row r="67">
          <cell r="A67">
            <v>2026</v>
          </cell>
        </row>
        <row r="68">
          <cell r="A68">
            <v>2027</v>
          </cell>
        </row>
        <row r="69">
          <cell r="A69">
            <v>2028</v>
          </cell>
        </row>
        <row r="70">
          <cell r="A70">
            <v>2029</v>
          </cell>
        </row>
        <row r="71">
          <cell r="A71">
            <v>2030</v>
          </cell>
        </row>
        <row r="72">
          <cell r="A72">
            <v>2031</v>
          </cell>
        </row>
        <row r="73">
          <cell r="A73">
            <v>2032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 t="str">
            <v xml:space="preserve"> </v>
          </cell>
          <cell r="CD76">
            <v>0</v>
          </cell>
          <cell r="CE76">
            <v>0</v>
          </cell>
          <cell r="CF76" t="str">
            <v>LOAD</v>
          </cell>
          <cell r="CG76" t="str">
            <v>ENPLANE-</v>
          </cell>
          <cell r="CH76" t="str">
            <v>TRIP</v>
          </cell>
          <cell r="CI76" t="str">
            <v>MILES</v>
          </cell>
          <cell r="CJ76" t="str">
            <v>SEATS</v>
          </cell>
          <cell r="CK76" t="str">
            <v>PSGR.</v>
          </cell>
          <cell r="CL76" t="str">
            <v>PSGR.</v>
          </cell>
          <cell r="CM76" t="str">
            <v>REAL</v>
          </cell>
          <cell r="CN76" t="str">
            <v>PSGR.</v>
          </cell>
          <cell r="CO76" t="str">
            <v>REAL</v>
          </cell>
          <cell r="CP76" t="str">
            <v>JET</v>
          </cell>
          <cell r="CQ76" t="str">
            <v>REAL</v>
          </cell>
        </row>
        <row r="77">
          <cell r="A77" t="str">
            <v xml:space="preserve"> </v>
          </cell>
          <cell r="CD77" t="str">
            <v>ASM'S</v>
          </cell>
          <cell r="CE77" t="str">
            <v>RPM'S</v>
          </cell>
          <cell r="CF77" t="str">
            <v>FACTOR</v>
          </cell>
          <cell r="CG77" t="str">
            <v>MENTS</v>
          </cell>
          <cell r="CH77" t="str">
            <v>LENGTH</v>
          </cell>
          <cell r="CI77" t="str">
            <v>FLOWN</v>
          </cell>
          <cell r="CJ77" t="str">
            <v>PER/AC</v>
          </cell>
          <cell r="CK77" t="str">
            <v>REVENUES</v>
          </cell>
          <cell r="CL77" t="str">
            <v>YIELD</v>
          </cell>
          <cell r="CM77" t="str">
            <v>YIELD</v>
          </cell>
          <cell r="CN77" t="str">
            <v>RASM</v>
          </cell>
          <cell r="CO77" t="str">
            <v>RASM</v>
          </cell>
          <cell r="CP77" t="str">
            <v>FUEL</v>
          </cell>
          <cell r="CQ77" t="str">
            <v>JET FUEL</v>
          </cell>
        </row>
        <row r="78">
          <cell r="A78" t="str">
            <v>FY</v>
          </cell>
          <cell r="CD78" t="str">
            <v>(%)</v>
          </cell>
          <cell r="CE78" t="str">
            <v>(%)</v>
          </cell>
          <cell r="CF78" t="str">
            <v>(PTS)</v>
          </cell>
          <cell r="CG78" t="str">
            <v>(%)</v>
          </cell>
          <cell r="CH78" t="str">
            <v>(MILES)</v>
          </cell>
          <cell r="CI78" t="str">
            <v>(%)</v>
          </cell>
          <cell r="CJ78" t="str">
            <v>(SEATS)</v>
          </cell>
          <cell r="CK78" t="str">
            <v>(%)</v>
          </cell>
          <cell r="CL78" t="str">
            <v>(%)</v>
          </cell>
          <cell r="CM78" t="str">
            <v>(%)</v>
          </cell>
          <cell r="CN78" t="str">
            <v>(%)</v>
          </cell>
          <cell r="CO78" t="str">
            <v>(%)</v>
          </cell>
          <cell r="CP78" t="str">
            <v>(%)</v>
          </cell>
          <cell r="CQ78" t="str">
            <v>(%)</v>
          </cell>
        </row>
        <row r="79">
          <cell r="A79" t="str">
            <v>1969/70</v>
          </cell>
          <cell r="CD79">
            <v>9.1865510206594827</v>
          </cell>
          <cell r="CE79">
            <v>6.3978611871703617</v>
          </cell>
          <cell r="CF79">
            <v>-1.2979820156422406</v>
          </cell>
          <cell r="CG79">
            <v>-0.64507195033292053</v>
          </cell>
          <cell r="CH79">
            <v>50.637902329605254</v>
          </cell>
          <cell r="CI79">
            <v>5.2357044998385893</v>
          </cell>
          <cell r="CJ79">
            <v>3.9316993835168432</v>
          </cell>
          <cell r="CK79">
            <v>10.777768533893383</v>
          </cell>
          <cell r="CL79">
            <v>4.1165370223167352</v>
          </cell>
          <cell r="CM79">
            <v>-1.7255827149076697</v>
          </cell>
          <cell r="CN79">
            <v>1.4573383794610706</v>
          </cell>
          <cell r="CO79">
            <v>-4.2355701246496569</v>
          </cell>
          <cell r="CP79">
            <v>0</v>
          </cell>
          <cell r="CQ79">
            <v>0</v>
          </cell>
        </row>
        <row r="80">
          <cell r="A80" t="str">
            <v>1970/71</v>
          </cell>
          <cell r="CD80">
            <v>4.0143309886953693</v>
          </cell>
          <cell r="CE80">
            <v>0.68322604154014144</v>
          </cell>
          <cell r="CF80">
            <v>-1.5859755759604681</v>
          </cell>
          <cell r="CG80">
            <v>-1.1742433041417866</v>
          </cell>
          <cell r="CH80">
            <v>14.378267065943533</v>
          </cell>
          <cell r="CI80">
            <v>-4.2091735653998263</v>
          </cell>
          <cell r="CJ80">
            <v>9.328081037699306</v>
          </cell>
          <cell r="CK80">
            <v>4.7348881993258818</v>
          </cell>
          <cell r="CL80">
            <v>4.0241679940947739</v>
          </cell>
          <cell r="CM80">
            <v>-0.68456718503990821</v>
          </cell>
          <cell r="CN80">
            <v>0.69274801249150642</v>
          </cell>
          <cell r="CO80">
            <v>-3.8651878402333861</v>
          </cell>
          <cell r="CP80">
            <v>0</v>
          </cell>
          <cell r="CQ80">
            <v>0</v>
          </cell>
        </row>
        <row r="81">
          <cell r="A81" t="str">
            <v>1971/72</v>
          </cell>
          <cell r="CD81">
            <v>2.8777446462455947</v>
          </cell>
          <cell r="CE81">
            <v>12.035166028289645</v>
          </cell>
          <cell r="CF81">
            <v>4.2669452076073711</v>
          </cell>
          <cell r="CG81">
            <v>9.8034952460422922</v>
          </cell>
          <cell r="CH81">
            <v>15.840029140353522</v>
          </cell>
          <cell r="CI81">
            <v>-0.47415940011735769</v>
          </cell>
          <cell r="CJ81">
            <v>3.9736011857863218</v>
          </cell>
          <cell r="CK81">
            <v>13.563895229563027</v>
          </cell>
          <cell r="CL81">
            <v>1.364508355249261</v>
          </cell>
          <cell r="CM81">
            <v>-1.8948005950802815</v>
          </cell>
          <cell r="CN81">
            <v>10.387232554584802</v>
          </cell>
          <cell r="CO81">
            <v>6.8378038550804821</v>
          </cell>
          <cell r="CP81">
            <v>0</v>
          </cell>
          <cell r="CQ81">
            <v>0</v>
          </cell>
        </row>
        <row r="82">
          <cell r="A82" t="str">
            <v>1972/73</v>
          </cell>
          <cell r="CD82">
            <v>9.1769516963711606</v>
          </cell>
          <cell r="CE82">
            <v>8.2434887946698954</v>
          </cell>
          <cell r="CF82">
            <v>-0.446338477412624</v>
          </cell>
          <cell r="CG82">
            <v>7.0540573807778228</v>
          </cell>
          <cell r="CH82">
            <v>8.8352020011311652</v>
          </cell>
          <cell r="CI82">
            <v>4.330784065799631</v>
          </cell>
          <cell r="CJ82">
            <v>5.6650023567771939</v>
          </cell>
          <cell r="CK82">
            <v>11.761577311697668</v>
          </cell>
          <cell r="CL82">
            <v>3.2501617937512384</v>
          </cell>
          <cell r="CM82">
            <v>-1.6514538503625498</v>
          </cell>
          <cell r="CN82">
            <v>2.3673729438009161</v>
          </cell>
          <cell r="CO82">
            <v>-2.4923338881406409</v>
          </cell>
          <cell r="CP82">
            <v>0</v>
          </cell>
          <cell r="CQ82">
            <v>0</v>
          </cell>
        </row>
        <row r="83">
          <cell r="A83" t="str">
            <v>1973/74</v>
          </cell>
          <cell r="CD83">
            <v>-5.4869062099768939</v>
          </cell>
          <cell r="CE83">
            <v>1.8434583651975034</v>
          </cell>
          <cell r="CF83">
            <v>4.0142335998341068</v>
          </cell>
          <cell r="CG83">
            <v>4.003739289534991</v>
          </cell>
          <cell r="CH83">
            <v>-16.70091006308769</v>
          </cell>
          <cell r="CI83">
            <v>-9.2549409679385306</v>
          </cell>
          <cell r="CJ83">
            <v>5.2993736196662411</v>
          </cell>
          <cell r="CK83">
            <v>14.501693705380436</v>
          </cell>
          <cell r="CL83">
            <v>12.429109874482203</v>
          </cell>
          <cell r="CM83">
            <v>2.1087743366298817</v>
          </cell>
          <cell r="CN83">
            <v>21.1490272022683</v>
          </cell>
          <cell r="CO83">
            <v>10.028254190655339</v>
          </cell>
          <cell r="CP83">
            <v>0</v>
          </cell>
          <cell r="CQ83">
            <v>0</v>
          </cell>
        </row>
        <row r="84">
          <cell r="A84" t="str">
            <v>1974/75</v>
          </cell>
          <cell r="CD84">
            <v>4.2818182746751088</v>
          </cell>
          <cell r="CE84">
            <v>-2.0988498449366344</v>
          </cell>
          <cell r="CF84">
            <v>-3.4124615491714678</v>
          </cell>
          <cell r="CG84">
            <v>-2.8469528519997844</v>
          </cell>
          <cell r="CH84">
            <v>6.0627270867870493</v>
          </cell>
          <cell r="CI84">
            <v>1.2962103914970768</v>
          </cell>
          <cell r="CJ84">
            <v>3.9177903248119037</v>
          </cell>
          <cell r="CK84">
            <v>5.524107651489274</v>
          </cell>
          <cell r="CL84">
            <v>7.7863819621649677</v>
          </cell>
          <cell r="CM84">
            <v>-2.2872704418639977</v>
          </cell>
          <cell r="CN84">
            <v>1.1912808938006725</v>
          </cell>
          <cell r="CO84">
            <v>-8.2659972102219861</v>
          </cell>
          <cell r="CP84">
            <v>0</v>
          </cell>
          <cell r="CQ84">
            <v>0</v>
          </cell>
        </row>
        <row r="85">
          <cell r="A85" t="str">
            <v>1975/76</v>
          </cell>
          <cell r="CD85">
            <v>2.6965257621219596</v>
          </cell>
          <cell r="CE85">
            <v>9.765785765062418</v>
          </cell>
          <cell r="CF85">
            <v>3.6041894234523539</v>
          </cell>
          <cell r="CG85">
            <v>8.5660287744157024</v>
          </cell>
          <cell r="CH85">
            <v>8.7678628843706292</v>
          </cell>
          <cell r="CI85">
            <v>0.4021023699020132</v>
          </cell>
          <cell r="CJ85">
            <v>3.1271432098778007</v>
          </cell>
          <cell r="CK85">
            <v>12.356455246620545</v>
          </cell>
          <cell r="CL85">
            <v>2.3601794161097311</v>
          </cell>
          <cell r="CM85">
            <v>-3.7243791290815009</v>
          </cell>
          <cell r="CN85">
            <v>9.4062865445653685</v>
          </cell>
          <cell r="CO85">
            <v>2.9028888415753684</v>
          </cell>
          <cell r="CP85">
            <v>0</v>
          </cell>
          <cell r="CQ85">
            <v>0</v>
          </cell>
        </row>
        <row r="86">
          <cell r="A86" t="str">
            <v>1976/77</v>
          </cell>
          <cell r="CD86">
            <v>7.7668483064264882</v>
          </cell>
          <cell r="CE86">
            <v>6.6165985899890423</v>
          </cell>
          <cell r="CF86">
            <v>-0.59732074282045033</v>
          </cell>
          <cell r="CG86">
            <v>6.5763450268413015</v>
          </cell>
          <cell r="CH86">
            <v>0.30297790473321129</v>
          </cell>
          <cell r="CI86">
            <v>4.7719064664325517</v>
          </cell>
          <cell r="CJ86">
            <v>4.0010456536980428</v>
          </cell>
          <cell r="CK86">
            <v>13.473864057139151</v>
          </cell>
          <cell r="CL86">
            <v>6.4317053421679926</v>
          </cell>
          <cell r="CM86">
            <v>0.29170055011391582</v>
          </cell>
          <cell r="CN86">
            <v>5.2957062773936192</v>
          </cell>
          <cell r="CO86">
            <v>-0.77876315863981693</v>
          </cell>
          <cell r="CP86">
            <v>0</v>
          </cell>
          <cell r="CQ86">
            <v>0</v>
          </cell>
        </row>
        <row r="87">
          <cell r="A87" t="str">
            <v>1977/78</v>
          </cell>
          <cell r="CD87">
            <v>5.8158195957188186</v>
          </cell>
          <cell r="CE87">
            <v>16.619776847085909</v>
          </cell>
          <cell r="CF87">
            <v>5.6529161249479145</v>
          </cell>
          <cell r="CG87">
            <v>13.928737883173902</v>
          </cell>
          <cell r="CH87">
            <v>18.954753963805501</v>
          </cell>
          <cell r="CI87">
            <v>3.4804830976966405</v>
          </cell>
          <cell r="CJ87">
            <v>3.2490868089913079</v>
          </cell>
          <cell r="CK87">
            <v>17.721229466528566</v>
          </cell>
          <cell r="CL87">
            <v>0.94448184452189388</v>
          </cell>
          <cell r="CM87">
            <v>-5.6946958730351049</v>
          </cell>
          <cell r="CN87">
            <v>11.251068050406566</v>
          </cell>
          <cell r="CO87">
            <v>3.9340201191256918</v>
          </cell>
          <cell r="CP87">
            <v>0</v>
          </cell>
          <cell r="CQ87">
            <v>0</v>
          </cell>
        </row>
        <row r="88">
          <cell r="A88" t="str">
            <v>1978/79</v>
          </cell>
          <cell r="CD88">
            <v>12.669019699681616</v>
          </cell>
          <cell r="CE88">
            <v>16.677860781760458</v>
          </cell>
          <cell r="CF88">
            <v>2.1710819429220081</v>
          </cell>
          <cell r="CG88">
            <v>15.196814339973885</v>
          </cell>
          <cell r="CH88">
            <v>10.560842832574167</v>
          </cell>
          <cell r="CI88">
            <v>10.143739644125249</v>
          </cell>
          <cell r="CJ88">
            <v>3.3752984446695962</v>
          </cell>
          <cell r="CK88">
            <v>20.517382804481766</v>
          </cell>
          <cell r="CL88">
            <v>3.2907031351071314</v>
          </cell>
          <cell r="CM88">
            <v>-6.373709708501762</v>
          </cell>
          <cell r="CN88">
            <v>6.9658572744485614</v>
          </cell>
          <cell r="CO88">
            <v>-3.0424220139461333</v>
          </cell>
          <cell r="CP88">
            <v>0</v>
          </cell>
          <cell r="CQ88">
            <v>0</v>
          </cell>
        </row>
        <row r="89">
          <cell r="A89" t="str">
            <v>1979/80</v>
          </cell>
          <cell r="CD89">
            <v>7.8348938950035585</v>
          </cell>
          <cell r="CE89">
            <v>0.79062682335619971</v>
          </cell>
          <cell r="CF89">
            <v>-4.1278350156046741</v>
          </cell>
          <cell r="CG89">
            <v>-1.5019466662322678</v>
          </cell>
          <cell r="CH89">
            <v>19.364842944372413</v>
          </cell>
          <cell r="CI89">
            <v>4.7305392122338752</v>
          </cell>
          <cell r="CJ89">
            <v>4.463804253456999</v>
          </cell>
          <cell r="CK89">
            <v>24.388761749898215</v>
          </cell>
          <cell r="CL89">
            <v>23.413025268609221</v>
          </cell>
          <cell r="CM89">
            <v>8.6805953771916364</v>
          </cell>
          <cell r="CN89">
            <v>15.351123608479433</v>
          </cell>
          <cell r="CO89">
            <v>1.5810832277383557</v>
          </cell>
          <cell r="CP89">
            <v>0</v>
          </cell>
          <cell r="CQ89">
            <v>0</v>
          </cell>
        </row>
        <row r="90">
          <cell r="A90" t="str">
            <v>1980/81</v>
          </cell>
          <cell r="CD90">
            <v>-2.9658712547987465</v>
          </cell>
          <cell r="CE90">
            <v>-3.5433162642878768</v>
          </cell>
          <cell r="CF90">
            <v>-0.3514736611890541</v>
          </cell>
          <cell r="CG90">
            <v>-5.4517489456710528</v>
          </cell>
          <cell r="CH90">
            <v>17.184393325374003</v>
          </cell>
          <cell r="CI90">
            <v>-4.2556333192196423</v>
          </cell>
          <cell r="CJ90">
            <v>2.0887645599381983</v>
          </cell>
          <cell r="CK90">
            <v>14.178922966016705</v>
          </cell>
          <cell r="CL90">
            <v>18.373262011436033</v>
          </cell>
          <cell r="CM90">
            <v>6.5425947224204251</v>
          </cell>
          <cell r="CN90">
            <v>17.668828939388348</v>
          </cell>
          <cell r="CO90">
            <v>5.9085653307407782</v>
          </cell>
          <cell r="CP90">
            <v>0</v>
          </cell>
          <cell r="CQ90">
            <v>0</v>
          </cell>
        </row>
        <row r="91">
          <cell r="A91" t="str">
            <v>1981/82</v>
          </cell>
          <cell r="CD91">
            <v>2.9146348961609503</v>
          </cell>
          <cell r="CE91">
            <v>3.4382476859497579</v>
          </cell>
          <cell r="CF91">
            <v>0.29870850470184962</v>
          </cell>
          <cell r="CG91">
            <v>2.3145572919399893</v>
          </cell>
          <cell r="CH91">
            <v>9.53891380874677</v>
          </cell>
          <cell r="CI91">
            <v>-1.3783466900540886</v>
          </cell>
          <cell r="CJ91">
            <v>6.8405520031969616</v>
          </cell>
          <cell r="CK91">
            <v>0.82547564176340682</v>
          </cell>
          <cell r="CL91">
            <v>-2.5259245033993682</v>
          </cell>
          <cell r="CM91">
            <v>-9.2714469633609742</v>
          </cell>
          <cell r="CN91">
            <v>-2.02999238787126</v>
          </cell>
          <cell r="CO91">
            <v>-8.8098349601998365</v>
          </cell>
          <cell r="CP91">
            <v>0</v>
          </cell>
          <cell r="CQ91">
            <v>0</v>
          </cell>
        </row>
        <row r="92">
          <cell r="A92" t="str">
            <v>1982/83</v>
          </cell>
          <cell r="CD92">
            <v>4.7912295980385711</v>
          </cell>
          <cell r="CE92">
            <v>7.3823412590244608</v>
          </cell>
          <cell r="CF92">
            <v>1.4590819634255112</v>
          </cell>
          <cell r="CG92">
            <v>6.5510037304374213</v>
          </cell>
          <cell r="CH92">
            <v>6.8509887110567433</v>
          </cell>
          <cell r="CI92">
            <v>2.8622944704133513</v>
          </cell>
          <cell r="CJ92">
            <v>3.0751809476104768</v>
          </cell>
          <cell r="CK92">
            <v>3.5601855560556617</v>
          </cell>
          <cell r="CL92">
            <v>-3.5593894286110817</v>
          </cell>
          <cell r="CM92">
            <v>-6.7808556273447067</v>
          </cell>
          <cell r="CN92">
            <v>-1.1747586574802016</v>
          </cell>
          <cell r="CO92">
            <v>-4.4758801734100189</v>
          </cell>
          <cell r="CP92">
            <v>-8.3416285088592446</v>
          </cell>
          <cell r="CQ92">
            <v>-11.403350576360138</v>
          </cell>
        </row>
        <row r="93">
          <cell r="A93" t="str">
            <v>1983/84</v>
          </cell>
          <cell r="CD93">
            <v>10.072098622495297</v>
          </cell>
          <cell r="CE93">
            <v>7.858645198723524</v>
          </cell>
          <cell r="CF93">
            <v>-1.2159607871692728</v>
          </cell>
          <cell r="CG93">
            <v>7.9366403737909819</v>
          </cell>
          <cell r="CH93">
            <v>-0.63945144868750958</v>
          </cell>
          <cell r="CI93">
            <v>9.9247007537251122</v>
          </cell>
          <cell r="CJ93">
            <v>0.22401335046387771</v>
          </cell>
          <cell r="CK93">
            <v>14.957857022273501</v>
          </cell>
          <cell r="CL93">
            <v>6.5819590172582654</v>
          </cell>
          <cell r="CM93">
            <v>2.3431981330314988</v>
          </cell>
          <cell r="CN93">
            <v>4.4386892417982438</v>
          </cell>
          <cell r="CO93">
            <v>0.2851661236280556</v>
          </cell>
          <cell r="CP93">
            <v>-6.3423110338835853</v>
          </cell>
          <cell r="CQ93">
            <v>-10.067074137856613</v>
          </cell>
        </row>
        <row r="94">
          <cell r="A94" t="str">
            <v>1984/85</v>
          </cell>
          <cell r="CD94">
            <v>6.5236316549629025</v>
          </cell>
          <cell r="CE94">
            <v>11.013310650201213</v>
          </cell>
          <cell r="CF94">
            <v>2.4973158262288138</v>
          </cell>
          <cell r="CG94">
            <v>11.381596551211537</v>
          </cell>
          <cell r="CH94">
            <v>-2.9239265151774134</v>
          </cell>
          <cell r="CI94">
            <v>6.7614290946403477</v>
          </cell>
          <cell r="CJ94">
            <v>-0.37260848474565478</v>
          </cell>
          <cell r="CK94">
            <v>6.2798181997177682</v>
          </cell>
          <cell r="CL94">
            <v>-4.2638963046499168</v>
          </cell>
          <cell r="CM94">
            <v>-7.6667497678435614</v>
          </cell>
          <cell r="CN94">
            <v>-0.22888203439672683</v>
          </cell>
          <cell r="CO94">
            <v>-3.7751564407202398</v>
          </cell>
          <cell r="CP94">
            <v>-5.5078849721706842</v>
          </cell>
          <cell r="CQ94">
            <v>-8.8665219801081445</v>
          </cell>
        </row>
        <row r="95">
          <cell r="A95" t="str">
            <v>1985/86</v>
          </cell>
          <cell r="CD95">
            <v>11.076818795561039</v>
          </cell>
          <cell r="CE95">
            <v>8.1412749706227814</v>
          </cell>
          <cell r="CF95">
            <v>-1.6319181336202533</v>
          </cell>
          <cell r="CG95">
            <v>7.4036675991372869</v>
          </cell>
          <cell r="CH95">
            <v>6.0528867924239194</v>
          </cell>
          <cell r="CI95">
            <v>9.3357365977574602</v>
          </cell>
          <cell r="CJ95">
            <v>2.6579614007061707</v>
          </cell>
          <cell r="CK95">
            <v>0.59229408338399292</v>
          </cell>
          <cell r="CL95">
            <v>-6.9806656979858435</v>
          </cell>
          <cell r="CM95">
            <v>-9.235422029111696</v>
          </cell>
          <cell r="CN95">
            <v>-9.4389854029525484</v>
          </cell>
          <cell r="CO95">
            <v>-11.634152918911145</v>
          </cell>
          <cell r="CP95">
            <v>-20.787826727205793</v>
          </cell>
          <cell r="CQ95">
            <v>-22.707902274179514</v>
          </cell>
        </row>
        <row r="96">
          <cell r="A96" t="str">
            <v>1986/87</v>
          </cell>
          <cell r="CD96">
            <v>7.2887380411312597</v>
          </cell>
          <cell r="CE96">
            <v>11.222778350163987</v>
          </cell>
          <cell r="CF96">
            <v>2.2043774204510527</v>
          </cell>
          <cell r="CG96">
            <v>9.0171495230436882</v>
          </cell>
          <cell r="CH96">
            <v>17.954213925975182</v>
          </cell>
          <cell r="CI96">
            <v>8.1427601510890781</v>
          </cell>
          <cell r="CJ96">
            <v>-1.3391354050739039</v>
          </cell>
          <cell r="CK96">
            <v>10.409922976048946</v>
          </cell>
          <cell r="CL96">
            <v>-0.7308353434185233</v>
          </cell>
          <cell r="CM96">
            <v>-3.4466065297453108</v>
          </cell>
          <cell r="CN96">
            <v>2.9091449782186363</v>
          </cell>
          <cell r="CO96">
            <v>9.3792479703935783E-2</v>
          </cell>
          <cell r="CP96">
            <v>-19.395817195972111</v>
          </cell>
          <cell r="CQ96">
            <v>-21.60095831823179</v>
          </cell>
        </row>
        <row r="97">
          <cell r="A97" t="str">
            <v>1987/88</v>
          </cell>
          <cell r="CD97">
            <v>4.6169781052371572</v>
          </cell>
          <cell r="CE97">
            <v>4.5129536621670185</v>
          </cell>
          <cell r="CF97">
            <v>-6.1968946949157555E-2</v>
          </cell>
          <cell r="CG97">
            <v>0.95300616405291638</v>
          </cell>
          <cell r="CH97">
            <v>31.926553829353566</v>
          </cell>
          <cell r="CI97">
            <v>3.5829861454210299</v>
          </cell>
          <cell r="CJ97">
            <v>1.6793385204108517</v>
          </cell>
          <cell r="CK97">
            <v>13.0439594523859</v>
          </cell>
          <cell r="CL97">
            <v>8.1626300772198679</v>
          </cell>
          <cell r="CM97">
            <v>3.8804866480935063</v>
          </cell>
          <cell r="CN97">
            <v>8.0550800642241747</v>
          </cell>
          <cell r="CO97">
            <v>3.7771945251022121</v>
          </cell>
          <cell r="CP97">
            <v>7.9377282337113053</v>
          </cell>
          <cell r="CQ97">
            <v>3.6644886371812069</v>
          </cell>
        </row>
        <row r="98">
          <cell r="A98" t="str">
            <v>1988/89</v>
          </cell>
          <cell r="CD98">
            <v>1.6874478794800973</v>
          </cell>
          <cell r="CE98">
            <v>3.0669831924549973</v>
          </cell>
          <cell r="CF98">
            <v>0.8446451888924571</v>
          </cell>
          <cell r="CG98">
            <v>0.75975725514061399</v>
          </cell>
          <cell r="CH98">
            <v>21.462563068358918</v>
          </cell>
          <cell r="CI98">
            <v>1.1468554393774699</v>
          </cell>
          <cell r="CJ98">
            <v>0.90811498428237769</v>
          </cell>
          <cell r="CK98">
            <v>8.3706731763575135</v>
          </cell>
          <cell r="CL98">
            <v>5.145867104695423</v>
          </cell>
          <cell r="CM98">
            <v>0.41265861670687354</v>
          </cell>
          <cell r="CN98">
            <v>6.5723208087573814</v>
          </cell>
          <cell r="CO98">
            <v>1.7748995945276125</v>
          </cell>
          <cell r="CP98">
            <v>0.44515669515670098</v>
          </cell>
          <cell r="CQ98">
            <v>-4.0764463058767682</v>
          </cell>
        </row>
        <row r="99">
          <cell r="A99" t="str">
            <v>1989/90</v>
          </cell>
          <cell r="CD99">
            <v>6.3064447647930955</v>
          </cell>
          <cell r="CE99">
            <v>5.842908557111115</v>
          </cell>
          <cell r="CF99">
            <v>-0.2751598881367201</v>
          </cell>
          <cell r="CG99">
            <v>2.7342643203381423</v>
          </cell>
          <cell r="CH99">
            <v>29.011269327307673</v>
          </cell>
          <cell r="CI99">
            <v>5.9264067704035917</v>
          </cell>
          <cell r="CJ99">
            <v>0.61285960719590094</v>
          </cell>
          <cell r="CK99">
            <v>7.2165070884221638</v>
          </cell>
          <cell r="CL99">
            <v>1.2977709607912891</v>
          </cell>
          <cell r="CM99">
            <v>-3.5303056760548568</v>
          </cell>
          <cell r="CN99">
            <v>0.85607446062432313</v>
          </cell>
          <cell r="CO99">
            <v>-3.9509499404933535</v>
          </cell>
          <cell r="CP99">
            <v>19.872363056195731</v>
          </cell>
          <cell r="CQ99">
            <v>14.158980125991194</v>
          </cell>
        </row>
        <row r="100">
          <cell r="A100" t="str">
            <v>1990/91</v>
          </cell>
          <cell r="CD100">
            <v>-0.9361619785519637</v>
          </cell>
          <cell r="CE100">
            <v>-1.6661830588998283</v>
          </cell>
          <cell r="CF100">
            <v>-0.46300265129455198</v>
          </cell>
          <cell r="CG100">
            <v>-3.1384196094827344</v>
          </cell>
          <cell r="CH100">
            <v>15.013554286012891</v>
          </cell>
          <cell r="CI100">
            <v>-0.74291696466856072</v>
          </cell>
          <cell r="CJ100">
            <v>-0.33376467063075665</v>
          </cell>
          <cell r="CK100">
            <v>-5.9603007176234346E-2</v>
          </cell>
          <cell r="CL100">
            <v>1.6338021869789721</v>
          </cell>
          <cell r="CM100">
            <v>-3.2470764214653447</v>
          </cell>
          <cell r="CN100">
            <v>0.88484253071834384</v>
          </cell>
          <cell r="CO100">
            <v>-3.9600679147115958</v>
          </cell>
          <cell r="CP100">
            <v>17.42088139603668</v>
          </cell>
          <cell r="CQ100">
            <v>11.781841471738574</v>
          </cell>
        </row>
        <row r="101">
          <cell r="A101" t="str">
            <v>1991/92</v>
          </cell>
          <cell r="CD101">
            <v>3.7295450944531794</v>
          </cell>
          <cell r="CE101">
            <v>6.1682189898190742</v>
          </cell>
          <cell r="CF101">
            <v>1.4662304349499777</v>
          </cell>
          <cell r="CG101">
            <v>3.5757296077366663</v>
          </cell>
          <cell r="CH101">
            <v>25.099658077550203</v>
          </cell>
          <cell r="CI101">
            <v>2.8406625647147132</v>
          </cell>
          <cell r="CJ101">
            <v>1.4788588395203135</v>
          </cell>
          <cell r="CK101">
            <v>3.5059178120038226</v>
          </cell>
          <cell r="CL101">
            <v>-2.5076253545051497</v>
          </cell>
          <cell r="CM101">
            <v>-5.3493051754583076</v>
          </cell>
          <cell r="CN101">
            <v>-0.21558687281016953</v>
          </cell>
          <cell r="CO101">
            <v>-3.124074375143171</v>
          </cell>
          <cell r="CP101">
            <v>-18.778337531486155</v>
          </cell>
          <cell r="CQ101">
            <v>-21.145763292734753</v>
          </cell>
        </row>
        <row r="102">
          <cell r="A102" t="str">
            <v>1992/93</v>
          </cell>
          <cell r="CD102">
            <v>2.9364331257164533</v>
          </cell>
          <cell r="CE102">
            <v>1.6183049650107861</v>
          </cell>
          <cell r="CF102">
            <v>-0.81739420746178837</v>
          </cell>
          <cell r="CG102">
            <v>0.89034182337288659</v>
          </cell>
          <cell r="CH102">
            <v>7.4166049738560105</v>
          </cell>
          <cell r="CI102">
            <v>3.7220978036535568</v>
          </cell>
          <cell r="CJ102">
            <v>-1.3072262520454672</v>
          </cell>
          <cell r="CK102">
            <v>5.6075271041009511</v>
          </cell>
          <cell r="CL102">
            <v>3.9256924630495904</v>
          </cell>
          <cell r="CM102">
            <v>0.84153955924184398</v>
          </cell>
          <cell r="CN102">
            <v>2.5948965757559339</v>
          </cell>
          <cell r="CO102">
            <v>-0.44976293712124527</v>
          </cell>
          <cell r="CP102">
            <v>-3.9696076911148959</v>
          </cell>
          <cell r="CQ102">
            <v>-6.8194555610105017</v>
          </cell>
        </row>
        <row r="103">
          <cell r="A103" t="str">
            <v>1993/94</v>
          </cell>
          <cell r="CD103">
            <v>0.86951381977744546</v>
          </cell>
          <cell r="CE103">
            <v>5.3982450744732624</v>
          </cell>
          <cell r="CF103">
            <v>2.8291924178213819</v>
          </cell>
          <cell r="CG103">
            <v>7.8892574080484001</v>
          </cell>
          <cell r="CH103">
            <v>-23.903713661723714</v>
          </cell>
          <cell r="CI103">
            <v>2.5742199580295111</v>
          </cell>
          <cell r="CJ103">
            <v>-2.8463870160953206</v>
          </cell>
          <cell r="CK103">
            <v>2.88555425381678</v>
          </cell>
          <cell r="CL103">
            <v>-2.3839968292461045</v>
          </cell>
          <cell r="CM103">
            <v>-4.8916449613428785</v>
          </cell>
          <cell r="CN103">
            <v>1.9986617935339623</v>
          </cell>
          <cell r="CO103">
            <v>-0.62157203508851344</v>
          </cell>
          <cell r="CP103">
            <v>-8.8487001453253615</v>
          </cell>
          <cell r="CQ103">
            <v>-11.190277134693948</v>
          </cell>
        </row>
        <row r="104">
          <cell r="A104" t="str">
            <v>1994/95</v>
          </cell>
          <cell r="CD104">
            <v>3.3511988879608934</v>
          </cell>
          <cell r="CE104">
            <v>5.0770289797127832</v>
          </cell>
          <cell r="CF104">
            <v>1.0995167103151715</v>
          </cell>
          <cell r="CG104">
            <v>4.2764688715497323</v>
          </cell>
          <cell r="CH104">
            <v>7.7648042026310122</v>
          </cell>
          <cell r="CI104">
            <v>4.3367643525312971</v>
          </cell>
          <cell r="CJ104">
            <v>-1.5909351043694357</v>
          </cell>
          <cell r="CK104">
            <v>4.5605552477781197</v>
          </cell>
          <cell r="CL104">
            <v>-0.49151916165655063</v>
          </cell>
          <cell r="CM104">
            <v>-3.2026980485942325</v>
          </cell>
          <cell r="CN104">
            <v>1.1701425555094014</v>
          </cell>
          <cell r="CO104">
            <v>-1.5863094792731403</v>
          </cell>
          <cell r="CP104">
            <v>-1.5766164747564204</v>
          </cell>
          <cell r="CQ104">
            <v>-4.2582311185183963</v>
          </cell>
        </row>
        <row r="105">
          <cell r="A105" t="str">
            <v>1995/96</v>
          </cell>
          <cell r="CD105">
            <v>2.6773029148933647</v>
          </cell>
          <cell r="CE105">
            <v>5.9051109778110566</v>
          </cell>
          <cell r="CF105">
            <v>2.1044801394449735</v>
          </cell>
          <cell r="CG105">
            <v>4.6162506256868019</v>
          </cell>
          <cell r="CH105">
            <v>12.555992895981944</v>
          </cell>
          <cell r="CI105">
            <v>2.6282184270447262</v>
          </cell>
          <cell r="CJ105">
            <v>7.9792115735386915E-2</v>
          </cell>
          <cell r="CK105">
            <v>8.3755851659087277</v>
          </cell>
          <cell r="CL105">
            <v>2.3327242333141873</v>
          </cell>
          <cell r="CM105">
            <v>-0.44013420408446358</v>
          </cell>
          <cell r="CN105">
            <v>5.5496999718998463</v>
          </cell>
          <cell r="CO105">
            <v>2.6896727584671876</v>
          </cell>
          <cell r="CP105">
            <v>12.508999280057598</v>
          </cell>
          <cell r="CQ105">
            <v>9.4603994282085768</v>
          </cell>
        </row>
        <row r="106">
          <cell r="A106" t="str">
            <v>1996/97</v>
          </cell>
          <cell r="CD106">
            <v>3.1914678260396734</v>
          </cell>
          <cell r="CE106">
            <v>5.2866522178928177</v>
          </cell>
          <cell r="CF106">
            <v>1.401949949121601</v>
          </cell>
          <cell r="CG106">
            <v>3.8491837349287072</v>
          </cell>
          <cell r="CH106">
            <v>14.280958625601215</v>
          </cell>
          <cell r="CI106">
            <v>3.5126207842247625</v>
          </cell>
          <cell r="CJ106">
            <v>-0.51785573653643269</v>
          </cell>
          <cell r="CK106">
            <v>4.6956185489256619</v>
          </cell>
          <cell r="CL106">
            <v>-0.56135669291108581</v>
          </cell>
          <cell r="CM106">
            <v>-3.1493649863050921</v>
          </cell>
          <cell r="CN106">
            <v>1.4576309016377964</v>
          </cell>
          <cell r="CO106">
            <v>-1.1829239316644147</v>
          </cell>
          <cell r="CP106">
            <v>7.4228123500239995</v>
          </cell>
          <cell r="CQ106">
            <v>4.6270066147928057</v>
          </cell>
        </row>
        <row r="107">
          <cell r="A107" t="str">
            <v>1997/98</v>
          </cell>
          <cell r="CD107">
            <v>1.52565892482317</v>
          </cell>
          <cell r="CE107">
            <v>2.4389651165247495</v>
          </cell>
          <cell r="CF107">
            <v>0.63375903075596796</v>
          </cell>
          <cell r="CG107">
            <v>1.7132241402253001</v>
          </cell>
          <cell r="CH107">
            <v>7.4633974517937531</v>
          </cell>
          <cell r="CI107">
            <v>1.9798623642556912</v>
          </cell>
          <cell r="CJ107">
            <v>-0.74109972461855023</v>
          </cell>
          <cell r="CK107">
            <v>3.7227290076735864</v>
          </cell>
          <cell r="CL107">
            <v>1.2531988093481328</v>
          </cell>
          <cell r="CM107">
            <v>-0.37832499765817484</v>
          </cell>
          <cell r="CN107">
            <v>2.1640539998635022</v>
          </cell>
          <cell r="CO107">
            <v>0.51785330417086772</v>
          </cell>
          <cell r="CP107">
            <v>-18.585256887565158</v>
          </cell>
          <cell r="CQ107">
            <v>-19.897117581263814</v>
          </cell>
        </row>
        <row r="108">
          <cell r="A108" t="str">
            <v>1998/99</v>
          </cell>
          <cell r="CD108">
            <v>4.159534760407313</v>
          </cell>
          <cell r="CE108">
            <v>4.0863606171890554</v>
          </cell>
          <cell r="CF108">
            <v>-4.9938047255778883E-2</v>
          </cell>
          <cell r="CG108">
            <v>2.2600278840717358</v>
          </cell>
          <cell r="CH108">
            <v>18.814561627282501</v>
          </cell>
          <cell r="CI108">
            <v>4.4949015916440738</v>
          </cell>
          <cell r="CJ108">
            <v>-0.53165151556487444</v>
          </cell>
          <cell r="CK108">
            <v>1.5748903202777553</v>
          </cell>
          <cell r="CL108">
            <v>-2.4128716596673483</v>
          </cell>
          <cell r="CM108">
            <v>-4.2505226338051543</v>
          </cell>
          <cell r="CN108">
            <v>-2.4814285567566263</v>
          </cell>
          <cell r="CO108">
            <v>-4.317788544563939</v>
          </cell>
          <cell r="CP108">
            <v>-9.1092006584964409</v>
          </cell>
          <cell r="CQ108">
            <v>-10.820753901128821</v>
          </cell>
        </row>
        <row r="109">
          <cell r="A109" t="str">
            <v>1999/00</v>
          </cell>
          <cell r="CD109">
            <v>4.0242000256861532</v>
          </cell>
          <cell r="CE109">
            <v>6.0755210155150063</v>
          </cell>
          <cell r="CF109">
            <v>1.4007704544066826</v>
          </cell>
          <cell r="CG109">
            <v>4.2215116522416496</v>
          </cell>
          <cell r="CH109">
            <v>19.074913609320674</v>
          </cell>
          <cell r="CI109">
            <v>4.405483935560639</v>
          </cell>
          <cell r="CJ109">
            <v>-0.60301921084715104</v>
          </cell>
          <cell r="CK109">
            <v>10.04908871527206</v>
          </cell>
          <cell r="CL109">
            <v>3.7459799034839092</v>
          </cell>
          <cell r="CM109">
            <v>0.56610409800710304</v>
          </cell>
          <cell r="CN109">
            <v>5.7918144894151702</v>
          </cell>
          <cell r="CO109">
            <v>2.549232640698329</v>
          </cell>
          <cell r="CP109">
            <v>48.057959347957336</v>
          </cell>
          <cell r="CQ109">
            <v>43.519895095474183</v>
          </cell>
        </row>
        <row r="110">
          <cell r="A110" t="str">
            <v>2000/01</v>
          </cell>
          <cell r="CD110">
            <v>1.0181023543093248</v>
          </cell>
          <cell r="CE110">
            <v>-0.74827934745597124</v>
          </cell>
          <cell r="CF110">
            <v>-1.2665836389778065</v>
          </cell>
          <cell r="CG110">
            <v>-2.5801839275376048</v>
          </cell>
          <cell r="CH110">
            <v>20.522079861878638</v>
          </cell>
          <cell r="CI110">
            <v>2.3299068042429205</v>
          </cell>
          <cell r="CJ110">
            <v>-2.1090339720062161</v>
          </cell>
          <cell r="CK110">
            <v>-3.8423298814293405</v>
          </cell>
          <cell r="CL110">
            <v>-3.1173772239222797</v>
          </cell>
          <cell r="CM110">
            <v>-6.1319308620638839</v>
          </cell>
          <cell r="CN110">
            <v>-4.811446782766982</v>
          </cell>
          <cell r="CO110">
            <v>-7.7732885577741389</v>
          </cell>
          <cell r="CP110">
            <v>13.320647002854447</v>
          </cell>
          <cell r="CQ110">
            <v>9.7946156165182874</v>
          </cell>
        </row>
        <row r="111">
          <cell r="A111" t="str">
            <v>2001/02</v>
          </cell>
          <cell r="CD111">
            <v>-9.7982208148571495</v>
          </cell>
          <cell r="CE111">
            <v>-9.7615400845168292</v>
          </cell>
          <cell r="CF111">
            <v>2.8940779974448105E-2</v>
          </cell>
          <cell r="CG111">
            <v>-10.694758578864239</v>
          </cell>
          <cell r="CH111">
            <v>11.61884498524887</v>
          </cell>
          <cell r="CI111">
            <v>-9.7382922385785839</v>
          </cell>
          <cell r="CJ111">
            <v>-0.10783111492304442</v>
          </cell>
          <cell r="CK111">
            <v>-17.976891388963899</v>
          </cell>
          <cell r="CL111">
            <v>-9.1040464477579963</v>
          </cell>
          <cell r="CM111">
            <v>-10.44648109552555</v>
          </cell>
          <cell r="CN111">
            <v>-9.0670834300504044</v>
          </cell>
          <cell r="CO111">
            <v>-10.41006398149924</v>
          </cell>
          <cell r="CP111">
            <v>-18.09928499339194</v>
          </cell>
          <cell r="CQ111">
            <v>-19.308869724120537</v>
          </cell>
        </row>
        <row r="112">
          <cell r="A112" t="str">
            <v>2002/03</v>
          </cell>
          <cell r="CD112">
            <v>-1.7975410759758614</v>
          </cell>
          <cell r="CE112">
            <v>1.2116865917590758</v>
          </cell>
          <cell r="CF112">
            <v>2.1817079580631287</v>
          </cell>
          <cell r="CG112">
            <v>-0.27148381770942809</v>
          </cell>
          <cell r="CH112">
            <v>16.708712646332742</v>
          </cell>
          <cell r="CI112">
            <v>-1.7066960647096452</v>
          </cell>
          <cell r="CJ112">
            <v>-0.15000384421418289</v>
          </cell>
          <cell r="CK112">
            <v>1.4223769629981398</v>
          </cell>
          <cell r="CL112">
            <v>0.20816802716556726</v>
          </cell>
          <cell r="CM112">
            <v>-2.1042229058711559</v>
          </cell>
          <cell r="CN112">
            <v>3.2788568374495952</v>
          </cell>
          <cell r="CO112">
            <v>0.89560708019853497</v>
          </cell>
          <cell r="CP112">
            <v>21.96022052172022</v>
          </cell>
          <cell r="CQ112">
            <v>19.145881993456413</v>
          </cell>
        </row>
        <row r="113">
          <cell r="A113" t="str">
            <v>2003/04</v>
          </cell>
          <cell r="CD113">
            <v>5.6345217367847145</v>
          </cell>
          <cell r="CE113">
            <v>9.2433413049869841</v>
          </cell>
          <cell r="CF113">
            <v>2.5068683668869767</v>
          </cell>
          <cell r="CG113">
            <v>4.9682212313087115</v>
          </cell>
          <cell r="CH113">
            <v>46.437954226980082</v>
          </cell>
          <cell r="CI113">
            <v>4.7994261957442053</v>
          </cell>
          <cell r="CJ113">
            <v>1.2921142863673367</v>
          </cell>
          <cell r="CK113">
            <v>6.5129778889966961</v>
          </cell>
          <cell r="CL113">
            <v>-2.4993408141624096</v>
          </cell>
          <cell r="CM113">
            <v>-4.7112235677252308</v>
          </cell>
          <cell r="CN113">
            <v>0.83159949774833652</v>
          </cell>
          <cell r="CO113">
            <v>-1.4558483800975575</v>
          </cell>
          <cell r="CP113">
            <v>22.566626819901735</v>
          </cell>
          <cell r="CQ113">
            <v>19.786101946643342</v>
          </cell>
        </row>
        <row r="114">
          <cell r="A114" t="str">
            <v>2004/05</v>
          </cell>
          <cell r="CD114">
            <v>3.9806293024259753</v>
          </cell>
          <cell r="CE114">
            <v>6.7279713824999199</v>
          </cell>
          <cell r="CF114">
            <v>2.0050334982145159</v>
          </cell>
          <cell r="CG114">
            <v>4.8690998648338368</v>
          </cell>
          <cell r="CH114">
            <v>21.033985477389024</v>
          </cell>
          <cell r="CI114">
            <v>3.1158776300439506</v>
          </cell>
          <cell r="CJ114">
            <v>1.3706813449306026</v>
          </cell>
          <cell r="CK114">
            <v>6.6275187484875264</v>
          </cell>
          <cell r="CL114">
            <v>-9.4120250494023061E-2</v>
          </cell>
          <cell r="CM114">
            <v>-3.2778914496514155</v>
          </cell>
          <cell r="CN114">
            <v>2.5455601334774869</v>
          </cell>
          <cell r="CO114">
            <v>-0.72233162397479234</v>
          </cell>
          <cell r="CP114">
            <v>48.507087428601572</v>
          </cell>
          <cell r="CQ114">
            <v>43.774507234008283</v>
          </cell>
        </row>
        <row r="115">
          <cell r="A115" t="str">
            <v>2005/06</v>
          </cell>
          <cell r="CD115">
            <v>-0.41387422010255026</v>
          </cell>
          <cell r="CE115">
            <v>1.6428436954999404</v>
          </cell>
          <cell r="CF115">
            <v>1.608655481801037</v>
          </cell>
          <cell r="CG115">
            <v>-0.47654395280044559</v>
          </cell>
          <cell r="CH115">
            <v>25.717893968892895</v>
          </cell>
          <cell r="CI115">
            <v>-0.80392577729579973</v>
          </cell>
          <cell r="CJ115">
            <v>0.64807469499268677</v>
          </cell>
          <cell r="CK115">
            <v>9.9768871526381595</v>
          </cell>
          <cell r="CL115">
            <v>8.1993410988236768</v>
          </cell>
          <cell r="CM115">
            <v>4.3829206338091176</v>
          </cell>
          <cell r="CN115">
            <v>10.433944780326222</v>
          </cell>
          <cell r="CO115">
            <v>6.5387050994580864</v>
          </cell>
          <cell r="CP115">
            <v>30.443538800674542</v>
          </cell>
          <cell r="CQ115">
            <v>25.84251825884769</v>
          </cell>
        </row>
        <row r="116">
          <cell r="A116" t="str">
            <v>2006/07</v>
          </cell>
          <cell r="CD116">
            <v>2.8486494145769425</v>
          </cell>
          <cell r="CE116">
            <v>3.9767449148212286</v>
          </cell>
          <cell r="CF116">
            <v>0.87199178398030597</v>
          </cell>
          <cell r="CG116">
            <v>3.6379103255223644</v>
          </cell>
          <cell r="CH116">
            <v>4.032467723257696</v>
          </cell>
          <cell r="CI116">
            <v>2.3075650202563969</v>
          </cell>
          <cell r="CJ116">
            <v>0.87510294504400576</v>
          </cell>
          <cell r="CK116">
            <v>6.3767021312431504</v>
          </cell>
          <cell r="CL116">
            <v>2.3081672910495232</v>
          </cell>
          <cell r="CM116">
            <v>-4.5477262224979942E-2</v>
          </cell>
          <cell r="CN116">
            <v>3.4303345126534657</v>
          </cell>
          <cell r="CO116">
            <v>1.0508740070564127</v>
          </cell>
          <cell r="CP116">
            <v>-0.36577578222757312</v>
          </cell>
          <cell r="CQ116">
            <v>-2.6579050946682004</v>
          </cell>
        </row>
        <row r="117">
          <cell r="A117" t="str">
            <v>2007/08</v>
          </cell>
          <cell r="CD117">
            <v>0.9267408839118696</v>
          </cell>
          <cell r="CE117">
            <v>0.60138170229022681</v>
          </cell>
          <cell r="CF117">
            <v>-0.25909531562184895</v>
          </cell>
          <cell r="CG117">
            <v>-1.4069764332995338</v>
          </cell>
          <cell r="CH117">
            <v>25.206604873638071</v>
          </cell>
          <cell r="CI117">
            <v>0.41004434766345188</v>
          </cell>
          <cell r="CJ117">
            <v>0.85595537079441897</v>
          </cell>
          <cell r="CK117">
            <v>6.6594108195541679</v>
          </cell>
          <cell r="CL117">
            <v>6.0218150235664458</v>
          </cell>
          <cell r="CM117">
            <v>1.5125286544025451</v>
          </cell>
          <cell r="CN117">
            <v>5.6800307682937534</v>
          </cell>
          <cell r="CO117">
            <v>1.18528105918565</v>
          </cell>
          <cell r="CP117">
            <v>52.116751269035547</v>
          </cell>
          <cell r="CQ117">
            <v>45.646969622055792</v>
          </cell>
        </row>
        <row r="118">
          <cell r="A118" t="str">
            <v>2008/09</v>
          </cell>
        </row>
        <row r="119">
          <cell r="A119" t="str">
            <v>2009/10</v>
          </cell>
        </row>
        <row r="120">
          <cell r="A120" t="str">
            <v>2010/11</v>
          </cell>
        </row>
        <row r="121">
          <cell r="A121" t="str">
            <v>2011/12</v>
          </cell>
        </row>
        <row r="122">
          <cell r="A122" t="str">
            <v>2012/13</v>
          </cell>
        </row>
        <row r="123">
          <cell r="A123" t="str">
            <v>2013/14</v>
          </cell>
        </row>
        <row r="124">
          <cell r="A124" t="str">
            <v>2014/15</v>
          </cell>
        </row>
        <row r="125">
          <cell r="A125" t="str">
            <v>2015/16</v>
          </cell>
        </row>
        <row r="126">
          <cell r="A126" t="str">
            <v>2016/17</v>
          </cell>
        </row>
        <row r="127">
          <cell r="A127" t="str">
            <v>2017/18</v>
          </cell>
        </row>
        <row r="128">
          <cell r="A128" t="str">
            <v>2018/19</v>
          </cell>
        </row>
        <row r="129">
          <cell r="A129" t="str">
            <v>2019/20</v>
          </cell>
        </row>
        <row r="130">
          <cell r="A130" t="str">
            <v>2020/21</v>
          </cell>
        </row>
        <row r="131">
          <cell r="A131" t="str">
            <v>2021/22</v>
          </cell>
        </row>
        <row r="132">
          <cell r="A132" t="str">
            <v>2022/23</v>
          </cell>
        </row>
        <row r="133">
          <cell r="A133" t="str">
            <v>2023/24</v>
          </cell>
        </row>
        <row r="134">
          <cell r="A134" t="str">
            <v>2024/25</v>
          </cell>
        </row>
        <row r="135">
          <cell r="A135" t="str">
            <v>2025/26</v>
          </cell>
        </row>
        <row r="136">
          <cell r="A136" t="str">
            <v>2026/27</v>
          </cell>
        </row>
        <row r="137">
          <cell r="A137" t="str">
            <v>2027/28</v>
          </cell>
        </row>
        <row r="138">
          <cell r="A138" t="str">
            <v>2028/29</v>
          </cell>
        </row>
        <row r="139">
          <cell r="A139" t="str">
            <v>2029/30</v>
          </cell>
        </row>
        <row r="140">
          <cell r="A140" t="str">
            <v>2030/31</v>
          </cell>
        </row>
        <row r="141">
          <cell r="A141">
            <v>0</v>
          </cell>
        </row>
        <row r="142">
          <cell r="A142" t="str">
            <v>(00-10)</v>
          </cell>
        </row>
        <row r="143">
          <cell r="A143" t="str">
            <v>(10-31)</v>
          </cell>
        </row>
        <row r="144">
          <cell r="A144" t="str">
            <v>(11-31)</v>
          </cell>
        </row>
        <row r="145">
          <cell r="A145" t="str">
            <v>(12-31)</v>
          </cell>
        </row>
        <row r="146">
          <cell r="A146" t="str">
            <v>(20-31)</v>
          </cell>
        </row>
        <row r="147">
          <cell r="A147" t="str">
            <v xml:space="preserve"> 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  <row r="395">
          <cell r="A395">
            <v>0</v>
          </cell>
        </row>
        <row r="396">
          <cell r="A396">
            <v>0</v>
          </cell>
        </row>
        <row r="397">
          <cell r="A397">
            <v>0</v>
          </cell>
        </row>
        <row r="398">
          <cell r="A398">
            <v>0</v>
          </cell>
        </row>
        <row r="399">
          <cell r="A399">
            <v>0</v>
          </cell>
        </row>
        <row r="400">
          <cell r="A400">
            <v>0</v>
          </cell>
        </row>
        <row r="401">
          <cell r="A401">
            <v>0</v>
          </cell>
        </row>
        <row r="402">
          <cell r="A402">
            <v>0</v>
          </cell>
        </row>
        <row r="403">
          <cell r="A403">
            <v>0</v>
          </cell>
        </row>
        <row r="404">
          <cell r="A404">
            <v>0</v>
          </cell>
        </row>
        <row r="405">
          <cell r="A405">
            <v>0</v>
          </cell>
        </row>
        <row r="406">
          <cell r="A406">
            <v>0</v>
          </cell>
        </row>
        <row r="407">
          <cell r="A407">
            <v>0</v>
          </cell>
        </row>
        <row r="408">
          <cell r="A408">
            <v>0</v>
          </cell>
        </row>
        <row r="409">
          <cell r="A409">
            <v>0</v>
          </cell>
        </row>
        <row r="410">
          <cell r="A410">
            <v>0</v>
          </cell>
        </row>
        <row r="411">
          <cell r="A411">
            <v>0</v>
          </cell>
        </row>
        <row r="412">
          <cell r="A412">
            <v>0</v>
          </cell>
        </row>
        <row r="413">
          <cell r="A413">
            <v>0</v>
          </cell>
        </row>
        <row r="414">
          <cell r="A414">
            <v>0</v>
          </cell>
        </row>
        <row r="415">
          <cell r="A415">
            <v>0</v>
          </cell>
        </row>
        <row r="416">
          <cell r="A416">
            <v>0</v>
          </cell>
        </row>
        <row r="417">
          <cell r="A417">
            <v>0</v>
          </cell>
        </row>
        <row r="418">
          <cell r="A418">
            <v>0</v>
          </cell>
        </row>
        <row r="419">
          <cell r="A419">
            <v>0</v>
          </cell>
        </row>
        <row r="420">
          <cell r="A420">
            <v>0</v>
          </cell>
        </row>
        <row r="421">
          <cell r="A421">
            <v>0</v>
          </cell>
        </row>
        <row r="422">
          <cell r="A422">
            <v>0</v>
          </cell>
        </row>
        <row r="423">
          <cell r="A423">
            <v>0</v>
          </cell>
        </row>
        <row r="424">
          <cell r="A424">
            <v>0</v>
          </cell>
        </row>
        <row r="425">
          <cell r="A425">
            <v>0</v>
          </cell>
        </row>
        <row r="426">
          <cell r="A426">
            <v>0</v>
          </cell>
        </row>
        <row r="427">
          <cell r="A427">
            <v>0</v>
          </cell>
        </row>
        <row r="428">
          <cell r="A428">
            <v>0</v>
          </cell>
        </row>
        <row r="429">
          <cell r="A429">
            <v>0</v>
          </cell>
        </row>
        <row r="430">
          <cell r="A430">
            <v>0</v>
          </cell>
        </row>
        <row r="431">
          <cell r="A431">
            <v>0</v>
          </cell>
        </row>
        <row r="432">
          <cell r="A432">
            <v>0</v>
          </cell>
        </row>
        <row r="433">
          <cell r="A433">
            <v>0</v>
          </cell>
        </row>
        <row r="434">
          <cell r="A434">
            <v>0</v>
          </cell>
        </row>
        <row r="435">
          <cell r="A435">
            <v>0</v>
          </cell>
        </row>
        <row r="436">
          <cell r="A436">
            <v>0</v>
          </cell>
        </row>
        <row r="437">
          <cell r="A437">
            <v>0</v>
          </cell>
        </row>
        <row r="438">
          <cell r="A438">
            <v>0</v>
          </cell>
        </row>
        <row r="439">
          <cell r="A439">
            <v>0</v>
          </cell>
        </row>
        <row r="440">
          <cell r="A440">
            <v>0</v>
          </cell>
        </row>
        <row r="441">
          <cell r="A441">
            <v>0</v>
          </cell>
        </row>
        <row r="442">
          <cell r="A442">
            <v>0</v>
          </cell>
        </row>
        <row r="443">
          <cell r="A443">
            <v>0</v>
          </cell>
        </row>
        <row r="444">
          <cell r="A444">
            <v>0</v>
          </cell>
        </row>
        <row r="445">
          <cell r="A445">
            <v>0</v>
          </cell>
        </row>
        <row r="446">
          <cell r="A446">
            <v>0</v>
          </cell>
        </row>
        <row r="447">
          <cell r="A447">
            <v>0</v>
          </cell>
        </row>
        <row r="448">
          <cell r="A448">
            <v>0</v>
          </cell>
        </row>
        <row r="449">
          <cell r="A449">
            <v>0</v>
          </cell>
        </row>
        <row r="450">
          <cell r="A450">
            <v>0</v>
          </cell>
        </row>
        <row r="451">
          <cell r="A451">
            <v>0</v>
          </cell>
        </row>
        <row r="452">
          <cell r="A452">
            <v>0</v>
          </cell>
        </row>
        <row r="453">
          <cell r="A453">
            <v>0</v>
          </cell>
        </row>
        <row r="454">
          <cell r="A454">
            <v>0</v>
          </cell>
        </row>
        <row r="455">
          <cell r="A455">
            <v>0</v>
          </cell>
        </row>
        <row r="456">
          <cell r="A456">
            <v>0</v>
          </cell>
        </row>
        <row r="457">
          <cell r="A457">
            <v>0</v>
          </cell>
        </row>
        <row r="458">
          <cell r="A458">
            <v>0</v>
          </cell>
        </row>
        <row r="459">
          <cell r="A459">
            <v>0</v>
          </cell>
        </row>
        <row r="460">
          <cell r="A460">
            <v>0</v>
          </cell>
        </row>
        <row r="461">
          <cell r="A461">
            <v>0</v>
          </cell>
        </row>
        <row r="462">
          <cell r="A462">
            <v>0</v>
          </cell>
        </row>
        <row r="463">
          <cell r="A463">
            <v>0</v>
          </cell>
        </row>
        <row r="464">
          <cell r="A464">
            <v>0</v>
          </cell>
        </row>
        <row r="465">
          <cell r="A465">
            <v>0</v>
          </cell>
        </row>
        <row r="466">
          <cell r="A466">
            <v>0</v>
          </cell>
        </row>
        <row r="467">
          <cell r="A467">
            <v>0</v>
          </cell>
        </row>
        <row r="468">
          <cell r="A468">
            <v>0</v>
          </cell>
        </row>
        <row r="469">
          <cell r="A469">
            <v>0</v>
          </cell>
        </row>
        <row r="470">
          <cell r="A470">
            <v>0</v>
          </cell>
        </row>
        <row r="471">
          <cell r="A471">
            <v>0</v>
          </cell>
        </row>
        <row r="472">
          <cell r="A472">
            <v>0</v>
          </cell>
        </row>
        <row r="473">
          <cell r="A473">
            <v>0</v>
          </cell>
        </row>
        <row r="474">
          <cell r="A474">
            <v>0</v>
          </cell>
        </row>
        <row r="475">
          <cell r="A475">
            <v>0</v>
          </cell>
        </row>
        <row r="476">
          <cell r="A476">
            <v>0</v>
          </cell>
        </row>
        <row r="477">
          <cell r="A477">
            <v>0</v>
          </cell>
        </row>
        <row r="478">
          <cell r="A478">
            <v>0</v>
          </cell>
        </row>
        <row r="479">
          <cell r="A479">
            <v>0</v>
          </cell>
        </row>
        <row r="480">
          <cell r="A480">
            <v>0</v>
          </cell>
        </row>
        <row r="481">
          <cell r="A481">
            <v>0</v>
          </cell>
        </row>
        <row r="482">
          <cell r="A482">
            <v>0</v>
          </cell>
        </row>
        <row r="483">
          <cell r="A483">
            <v>0</v>
          </cell>
        </row>
        <row r="484">
          <cell r="A484">
            <v>0</v>
          </cell>
        </row>
        <row r="485">
          <cell r="A485">
            <v>0</v>
          </cell>
        </row>
        <row r="486">
          <cell r="A486">
            <v>0</v>
          </cell>
        </row>
        <row r="487">
          <cell r="A487">
            <v>0</v>
          </cell>
        </row>
        <row r="488">
          <cell r="A488">
            <v>0</v>
          </cell>
        </row>
        <row r="489">
          <cell r="A489">
            <v>0</v>
          </cell>
        </row>
        <row r="490">
          <cell r="A490">
            <v>0</v>
          </cell>
        </row>
        <row r="491">
          <cell r="A491">
            <v>0</v>
          </cell>
        </row>
        <row r="492">
          <cell r="A492">
            <v>0</v>
          </cell>
        </row>
        <row r="493">
          <cell r="A493">
            <v>0</v>
          </cell>
        </row>
        <row r="494">
          <cell r="A494">
            <v>0</v>
          </cell>
        </row>
        <row r="495">
          <cell r="A495">
            <v>0</v>
          </cell>
        </row>
        <row r="496">
          <cell r="A496">
            <v>0</v>
          </cell>
        </row>
        <row r="497">
          <cell r="A497">
            <v>0</v>
          </cell>
        </row>
        <row r="498">
          <cell r="A498">
            <v>0</v>
          </cell>
        </row>
        <row r="499">
          <cell r="A499">
            <v>0</v>
          </cell>
        </row>
        <row r="500">
          <cell r="A500">
            <v>0</v>
          </cell>
        </row>
        <row r="501">
          <cell r="A501">
            <v>0</v>
          </cell>
        </row>
        <row r="502">
          <cell r="A502">
            <v>0</v>
          </cell>
        </row>
        <row r="503">
          <cell r="A503">
            <v>0</v>
          </cell>
        </row>
        <row r="504">
          <cell r="A504">
            <v>0</v>
          </cell>
        </row>
        <row r="505">
          <cell r="A505">
            <v>0</v>
          </cell>
        </row>
        <row r="506">
          <cell r="A506">
            <v>0</v>
          </cell>
        </row>
        <row r="507">
          <cell r="A507">
            <v>0</v>
          </cell>
        </row>
        <row r="508">
          <cell r="A508">
            <v>0</v>
          </cell>
        </row>
        <row r="509">
          <cell r="A509">
            <v>0</v>
          </cell>
        </row>
        <row r="510">
          <cell r="A510">
            <v>0</v>
          </cell>
        </row>
        <row r="511">
          <cell r="A511">
            <v>0</v>
          </cell>
        </row>
        <row r="512">
          <cell r="A512">
            <v>0</v>
          </cell>
        </row>
        <row r="513">
          <cell r="A513">
            <v>0</v>
          </cell>
        </row>
        <row r="514">
          <cell r="A514">
            <v>0</v>
          </cell>
        </row>
        <row r="515">
          <cell r="A515">
            <v>0</v>
          </cell>
        </row>
        <row r="516">
          <cell r="A516">
            <v>0</v>
          </cell>
        </row>
        <row r="517">
          <cell r="A517">
            <v>0</v>
          </cell>
        </row>
        <row r="518">
          <cell r="A518">
            <v>0</v>
          </cell>
        </row>
        <row r="519">
          <cell r="A519">
            <v>0</v>
          </cell>
        </row>
        <row r="520">
          <cell r="A520">
            <v>0</v>
          </cell>
        </row>
        <row r="521">
          <cell r="A521">
            <v>0</v>
          </cell>
        </row>
        <row r="522">
          <cell r="A522">
            <v>0</v>
          </cell>
        </row>
        <row r="523">
          <cell r="A523">
            <v>0</v>
          </cell>
        </row>
        <row r="524">
          <cell r="A524">
            <v>0</v>
          </cell>
        </row>
        <row r="525">
          <cell r="A525">
            <v>0</v>
          </cell>
        </row>
        <row r="526">
          <cell r="A526">
            <v>0</v>
          </cell>
        </row>
        <row r="527">
          <cell r="A527">
            <v>0</v>
          </cell>
        </row>
        <row r="528">
          <cell r="A528">
            <v>0</v>
          </cell>
        </row>
        <row r="529">
          <cell r="A529">
            <v>0</v>
          </cell>
        </row>
        <row r="530">
          <cell r="A530">
            <v>0</v>
          </cell>
        </row>
        <row r="531">
          <cell r="A531">
            <v>0</v>
          </cell>
        </row>
        <row r="532">
          <cell r="A532">
            <v>0</v>
          </cell>
        </row>
        <row r="533">
          <cell r="A533">
            <v>0</v>
          </cell>
        </row>
        <row r="534">
          <cell r="A534">
            <v>0</v>
          </cell>
        </row>
        <row r="535">
          <cell r="A535">
            <v>0</v>
          </cell>
        </row>
        <row r="536">
          <cell r="A536">
            <v>0</v>
          </cell>
        </row>
        <row r="537">
          <cell r="A537">
            <v>0</v>
          </cell>
        </row>
        <row r="538">
          <cell r="A538">
            <v>0</v>
          </cell>
        </row>
        <row r="539">
          <cell r="A539">
            <v>0</v>
          </cell>
        </row>
        <row r="540">
          <cell r="A540">
            <v>0</v>
          </cell>
        </row>
        <row r="541">
          <cell r="A541">
            <v>0</v>
          </cell>
        </row>
        <row r="542">
          <cell r="A542">
            <v>0</v>
          </cell>
        </row>
        <row r="543">
          <cell r="A543">
            <v>0</v>
          </cell>
        </row>
        <row r="544">
          <cell r="A544">
            <v>0</v>
          </cell>
        </row>
        <row r="545">
          <cell r="A545">
            <v>0</v>
          </cell>
        </row>
        <row r="546">
          <cell r="A546">
            <v>0</v>
          </cell>
        </row>
        <row r="547">
          <cell r="A547">
            <v>0</v>
          </cell>
        </row>
        <row r="548">
          <cell r="A548">
            <v>0</v>
          </cell>
        </row>
        <row r="549">
          <cell r="A549">
            <v>0</v>
          </cell>
        </row>
        <row r="550">
          <cell r="A550">
            <v>0</v>
          </cell>
        </row>
        <row r="551">
          <cell r="A551">
            <v>0</v>
          </cell>
        </row>
        <row r="552">
          <cell r="A552">
            <v>0</v>
          </cell>
        </row>
        <row r="553">
          <cell r="A553">
            <v>0</v>
          </cell>
        </row>
        <row r="554">
          <cell r="A554">
            <v>0</v>
          </cell>
        </row>
        <row r="555">
          <cell r="A555">
            <v>0</v>
          </cell>
        </row>
        <row r="556">
          <cell r="A556">
            <v>0</v>
          </cell>
        </row>
        <row r="557">
          <cell r="A557">
            <v>0</v>
          </cell>
        </row>
        <row r="558">
          <cell r="A558">
            <v>0</v>
          </cell>
        </row>
        <row r="559">
          <cell r="A559">
            <v>0</v>
          </cell>
        </row>
        <row r="560">
          <cell r="A560">
            <v>0</v>
          </cell>
        </row>
        <row r="561">
          <cell r="A561">
            <v>0</v>
          </cell>
        </row>
        <row r="562">
          <cell r="A562">
            <v>0</v>
          </cell>
        </row>
        <row r="563">
          <cell r="A563">
            <v>0</v>
          </cell>
        </row>
        <row r="564">
          <cell r="A564">
            <v>0</v>
          </cell>
        </row>
        <row r="565">
          <cell r="A565">
            <v>0</v>
          </cell>
        </row>
        <row r="566">
          <cell r="A566">
            <v>0</v>
          </cell>
        </row>
        <row r="567">
          <cell r="A567">
            <v>0</v>
          </cell>
        </row>
        <row r="568">
          <cell r="A568">
            <v>0</v>
          </cell>
        </row>
        <row r="569">
          <cell r="A569">
            <v>0</v>
          </cell>
        </row>
        <row r="570">
          <cell r="A570">
            <v>0</v>
          </cell>
        </row>
        <row r="571">
          <cell r="A571">
            <v>0</v>
          </cell>
        </row>
        <row r="572">
          <cell r="A572">
            <v>0</v>
          </cell>
        </row>
        <row r="573">
          <cell r="A573">
            <v>0</v>
          </cell>
        </row>
        <row r="574">
          <cell r="A574">
            <v>0</v>
          </cell>
        </row>
        <row r="575">
          <cell r="A575">
            <v>0</v>
          </cell>
        </row>
        <row r="576">
          <cell r="A576">
            <v>0</v>
          </cell>
        </row>
        <row r="577">
          <cell r="A577">
            <v>0</v>
          </cell>
        </row>
        <row r="578">
          <cell r="A578">
            <v>0</v>
          </cell>
        </row>
        <row r="579">
          <cell r="A579">
            <v>0</v>
          </cell>
        </row>
        <row r="580">
          <cell r="A580">
            <v>0</v>
          </cell>
        </row>
        <row r="581">
          <cell r="A581">
            <v>0</v>
          </cell>
        </row>
        <row r="582">
          <cell r="A582">
            <v>0</v>
          </cell>
        </row>
        <row r="583">
          <cell r="A583">
            <v>0</v>
          </cell>
        </row>
        <row r="584">
          <cell r="A584">
            <v>0</v>
          </cell>
        </row>
        <row r="585">
          <cell r="A585">
            <v>0</v>
          </cell>
        </row>
        <row r="586">
          <cell r="A586">
            <v>0</v>
          </cell>
        </row>
        <row r="587">
          <cell r="A587">
            <v>0</v>
          </cell>
        </row>
        <row r="588">
          <cell r="A588">
            <v>0</v>
          </cell>
        </row>
        <row r="589">
          <cell r="A589">
            <v>0</v>
          </cell>
        </row>
        <row r="590">
          <cell r="A590">
            <v>0</v>
          </cell>
        </row>
        <row r="591">
          <cell r="A591">
            <v>0</v>
          </cell>
        </row>
        <row r="592">
          <cell r="A592">
            <v>0</v>
          </cell>
        </row>
        <row r="593">
          <cell r="A593">
            <v>0</v>
          </cell>
        </row>
        <row r="594">
          <cell r="A594">
            <v>0</v>
          </cell>
        </row>
        <row r="595">
          <cell r="A595">
            <v>0</v>
          </cell>
        </row>
        <row r="596">
          <cell r="A596">
            <v>0</v>
          </cell>
        </row>
        <row r="597">
          <cell r="A597">
            <v>0</v>
          </cell>
        </row>
        <row r="598">
          <cell r="A598">
            <v>0</v>
          </cell>
        </row>
        <row r="599">
          <cell r="A599">
            <v>0</v>
          </cell>
        </row>
        <row r="600">
          <cell r="A600">
            <v>0</v>
          </cell>
        </row>
        <row r="601">
          <cell r="A601">
            <v>0</v>
          </cell>
        </row>
        <row r="602">
          <cell r="A602">
            <v>0</v>
          </cell>
        </row>
        <row r="603">
          <cell r="A603">
            <v>0</v>
          </cell>
        </row>
        <row r="604">
          <cell r="A604">
            <v>0</v>
          </cell>
        </row>
        <row r="605">
          <cell r="A605">
            <v>0</v>
          </cell>
        </row>
        <row r="606">
          <cell r="A606">
            <v>0</v>
          </cell>
        </row>
        <row r="607">
          <cell r="A607">
            <v>0</v>
          </cell>
        </row>
        <row r="608">
          <cell r="A608">
            <v>0</v>
          </cell>
        </row>
        <row r="609">
          <cell r="A609">
            <v>0</v>
          </cell>
        </row>
        <row r="610">
          <cell r="A610">
            <v>0</v>
          </cell>
        </row>
        <row r="611">
          <cell r="A611">
            <v>0</v>
          </cell>
        </row>
        <row r="612">
          <cell r="A612">
            <v>0</v>
          </cell>
        </row>
        <row r="613">
          <cell r="A613">
            <v>0</v>
          </cell>
        </row>
        <row r="614">
          <cell r="A614">
            <v>0</v>
          </cell>
        </row>
        <row r="615">
          <cell r="A615">
            <v>0</v>
          </cell>
        </row>
        <row r="616">
          <cell r="A616">
            <v>0</v>
          </cell>
        </row>
        <row r="617">
          <cell r="A617">
            <v>0</v>
          </cell>
        </row>
        <row r="618">
          <cell r="A618">
            <v>0</v>
          </cell>
        </row>
        <row r="619">
          <cell r="A619">
            <v>0</v>
          </cell>
        </row>
        <row r="620">
          <cell r="A620">
            <v>0</v>
          </cell>
        </row>
        <row r="621">
          <cell r="A621">
            <v>0</v>
          </cell>
        </row>
        <row r="622">
          <cell r="A622">
            <v>0</v>
          </cell>
        </row>
        <row r="623">
          <cell r="A623">
            <v>0</v>
          </cell>
        </row>
        <row r="624">
          <cell r="A624">
            <v>0</v>
          </cell>
        </row>
        <row r="625">
          <cell r="A625">
            <v>0</v>
          </cell>
        </row>
        <row r="626">
          <cell r="A626">
            <v>0</v>
          </cell>
        </row>
        <row r="627">
          <cell r="A627">
            <v>0</v>
          </cell>
        </row>
        <row r="628">
          <cell r="A628">
            <v>0</v>
          </cell>
        </row>
        <row r="629">
          <cell r="A629">
            <v>0</v>
          </cell>
        </row>
        <row r="630">
          <cell r="A630">
            <v>0</v>
          </cell>
        </row>
        <row r="631">
          <cell r="A631">
            <v>0</v>
          </cell>
        </row>
        <row r="632">
          <cell r="A632">
            <v>0</v>
          </cell>
        </row>
        <row r="633">
          <cell r="A633">
            <v>0</v>
          </cell>
        </row>
        <row r="634">
          <cell r="A634">
            <v>0</v>
          </cell>
        </row>
        <row r="635">
          <cell r="A635">
            <v>0</v>
          </cell>
        </row>
        <row r="636">
          <cell r="A636">
            <v>0</v>
          </cell>
        </row>
        <row r="637">
          <cell r="A637">
            <v>0</v>
          </cell>
        </row>
        <row r="638">
          <cell r="A638">
            <v>0</v>
          </cell>
        </row>
        <row r="639">
          <cell r="A639">
            <v>0</v>
          </cell>
        </row>
        <row r="640">
          <cell r="A640">
            <v>0</v>
          </cell>
        </row>
        <row r="641">
          <cell r="A641">
            <v>0</v>
          </cell>
        </row>
        <row r="642">
          <cell r="A642">
            <v>0</v>
          </cell>
        </row>
        <row r="643">
          <cell r="A643">
            <v>0</v>
          </cell>
        </row>
        <row r="644">
          <cell r="A644">
            <v>0</v>
          </cell>
        </row>
        <row r="645">
          <cell r="A645">
            <v>0</v>
          </cell>
        </row>
        <row r="646">
          <cell r="A646">
            <v>0</v>
          </cell>
        </row>
        <row r="647">
          <cell r="A647">
            <v>0</v>
          </cell>
        </row>
        <row r="648">
          <cell r="A648">
            <v>0</v>
          </cell>
        </row>
        <row r="649">
          <cell r="A649">
            <v>0</v>
          </cell>
        </row>
        <row r="650">
          <cell r="A650">
            <v>0</v>
          </cell>
        </row>
        <row r="651">
          <cell r="A651">
            <v>0</v>
          </cell>
        </row>
        <row r="652">
          <cell r="A652">
            <v>0</v>
          </cell>
        </row>
        <row r="653">
          <cell r="A653">
            <v>0</v>
          </cell>
        </row>
        <row r="654">
          <cell r="A654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Relationship Id="rId2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comments" Target="../comments1.xml"/><Relationship Id="rId1" Type="http://schemas.openxmlformats.org/officeDocument/2006/relationships/printerSettings" Target="../printerSettings/printerSettings4.bin"/><Relationship Id="rId2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workbookViewId="0">
      <selection activeCell="M20" sqref="M20"/>
    </sheetView>
  </sheetViews>
  <sheetFormatPr baseColWidth="10" defaultColWidth="9.1640625" defaultRowHeight="15" x14ac:dyDescent="0.2"/>
  <cols>
    <col min="1" max="1" width="16.1640625" style="15" bestFit="1" customWidth="1"/>
    <col min="2" max="16384" width="9.1640625" style="15"/>
  </cols>
  <sheetData>
    <row r="1" spans="1:18" ht="16" thickBot="1" x14ac:dyDescent="0.25"/>
    <row r="2" spans="1:18" ht="16" thickBot="1" x14ac:dyDescent="0.25">
      <c r="A2" s="127" t="s">
        <v>132</v>
      </c>
      <c r="B2" s="128">
        <f>Calculations!D15</f>
        <v>2014</v>
      </c>
      <c r="C2" s="128">
        <f>Calculations!E15</f>
        <v>2015</v>
      </c>
      <c r="D2" s="128">
        <f>Calculations!F15</f>
        <v>2016</v>
      </c>
      <c r="E2" s="128">
        <f>Calculations!G15</f>
        <v>2017</v>
      </c>
      <c r="F2" s="128">
        <f>Calculations!H15</f>
        <v>2018</v>
      </c>
      <c r="G2" s="128">
        <f>Calculations!I15</f>
        <v>2019</v>
      </c>
      <c r="H2" s="128">
        <f>Calculations!J15</f>
        <v>2020</v>
      </c>
      <c r="I2" s="128">
        <f>Calculations!K15</f>
        <v>2021</v>
      </c>
      <c r="J2" s="128">
        <f>Calculations!L15</f>
        <v>2022</v>
      </c>
      <c r="K2" s="128">
        <f>Calculations!M15</f>
        <v>2023</v>
      </c>
      <c r="L2" s="128">
        <f>Calculations!N15</f>
        <v>2024</v>
      </c>
      <c r="M2" s="128">
        <f>Calculations!O15</f>
        <v>2025</v>
      </c>
      <c r="N2" s="128">
        <f>Calculations!P15</f>
        <v>2026</v>
      </c>
      <c r="O2" s="128">
        <f>Calculations!Q15</f>
        <v>2027</v>
      </c>
      <c r="P2" s="128">
        <f>Calculations!R15</f>
        <v>2028</v>
      </c>
      <c r="Q2" s="128">
        <f>Calculations!S15</f>
        <v>2029</v>
      </c>
      <c r="R2" s="129">
        <f>Calculations!T15</f>
        <v>2030</v>
      </c>
    </row>
    <row r="3" spans="1:18" x14ac:dyDescent="0.2">
      <c r="A3" s="130" t="s">
        <v>63</v>
      </c>
      <c r="B3" s="178">
        <f>Calculations!D24*1000000*3.6/115.83/1000000</f>
        <v>8.4537684537684541</v>
      </c>
      <c r="C3" s="178">
        <f>Calculations!E24*1000000*3.6/115.83/1000000</f>
        <v>12.960372960372959</v>
      </c>
      <c r="D3" s="178">
        <f>Calculations!F24*1000000*3.6/115.83/1000000</f>
        <v>22.066822066822066</v>
      </c>
      <c r="E3" s="178">
        <f>Calculations!G24*1000000*3.6/115.83/1000000</f>
        <v>40.241530509654957</v>
      </c>
      <c r="F3" s="178">
        <f>Calculations!H24*1000000*3.6/115.83/1000000</f>
        <v>47.036199235026629</v>
      </c>
      <c r="G3" s="178">
        <f>Calculations!I24*1000000*3.6/115.83/1000000</f>
        <v>53.843453337218442</v>
      </c>
      <c r="H3" s="178">
        <f>Calculations!J24*1000000*3.6/115.83/1000000</f>
        <v>60.843524108728182</v>
      </c>
      <c r="I3" s="178">
        <f>Calculations!K24*1000000*3.6/115.83/1000000</f>
        <v>77.363117789875446</v>
      </c>
      <c r="J3" s="178">
        <f>Calculations!L24*1000000*3.6/115.83/1000000</f>
        <v>102.4388887066989</v>
      </c>
      <c r="K3" s="178">
        <f>Calculations!M24*1000000*3.6/115.83/1000000</f>
        <v>134.96564388058653</v>
      </c>
      <c r="L3" s="178">
        <f>Calculations!N24*1000000*3.6/115.83/1000000</f>
        <v>175.7132860086289</v>
      </c>
      <c r="M3" s="178">
        <f>Calculations!O24*1000000*3.6/115.83/1000000</f>
        <v>222.74778755891222</v>
      </c>
      <c r="N3" s="178">
        <f>Calculations!P24*1000000*3.6/115.83/1000000</f>
        <v>274.58503034721525</v>
      </c>
      <c r="O3" s="178">
        <f>Calculations!Q24*1000000*3.6/115.83/1000000</f>
        <v>332.95633953357139</v>
      </c>
      <c r="P3" s="178">
        <f>Calculations!R24*1000000*3.6/115.83/1000000</f>
        <v>397.88023081235798</v>
      </c>
      <c r="Q3" s="178">
        <f>Calculations!S24*1000000*3.6/115.83/1000000</f>
        <v>467.63971885854966</v>
      </c>
      <c r="R3" s="179">
        <f>Calculations!T24*1000000*3.6/115.83/1000000</f>
        <v>540.49640516658462</v>
      </c>
    </row>
    <row r="4" spans="1:18" x14ac:dyDescent="0.2">
      <c r="A4" s="131" t="s">
        <v>5</v>
      </c>
      <c r="B4" s="180">
        <f>Calculations!D23*120/115.83</f>
        <v>3.5318217136398954E-2</v>
      </c>
      <c r="C4" s="180">
        <f>Calculations!E23*120/115.83</f>
        <v>0.37672764945492215</v>
      </c>
      <c r="D4" s="180">
        <f>Calculations!F23*120/115.83</f>
        <v>0</v>
      </c>
      <c r="E4" s="180">
        <f>Calculations!G23*120/115.83</f>
        <v>7.1156251174649583</v>
      </c>
      <c r="F4" s="180">
        <f>Calculations!H23*120/115.83</f>
        <v>8.2538998056871602</v>
      </c>
      <c r="G4" s="180">
        <f>Calculations!I23*120/115.83</f>
        <v>9.3632498762131444</v>
      </c>
      <c r="H4" s="180">
        <f>Calculations!J23*120/115.83</f>
        <v>10.490672829081673</v>
      </c>
      <c r="I4" s="180">
        <f>Calculations!K23*120/115.83</f>
        <v>14.544785892168898</v>
      </c>
      <c r="J4" s="180">
        <f>Calculations!L23*120/115.83</f>
        <v>21.210777690238459</v>
      </c>
      <c r="K4" s="180">
        <f>Calculations!M23*120/115.83</f>
        <v>30.228387541879023</v>
      </c>
      <c r="L4" s="180">
        <f>Calculations!N23*120/115.83</f>
        <v>41.787244791866499</v>
      </c>
      <c r="M4" s="180">
        <f>Calculations!O23*120/115.83</f>
        <v>55.556545495992253</v>
      </c>
      <c r="N4" s="180">
        <f>Calculations!P23*120/115.83</f>
        <v>71.228208612732658</v>
      </c>
      <c r="O4" s="180">
        <f>Calculations!Q23*120/115.83</f>
        <v>89.100005656655384</v>
      </c>
      <c r="P4" s="180">
        <f>Calculations!R23*120/115.83</f>
        <v>109.10424649604479</v>
      </c>
      <c r="Q4" s="180">
        <f>Calculations!S23*120/115.83</f>
        <v>131.08050200686503</v>
      </c>
      <c r="R4" s="181">
        <f>Calculations!T23*120/115.83</f>
        <v>154.51054127978705</v>
      </c>
    </row>
    <row r="5" spans="1:18" x14ac:dyDescent="0.2">
      <c r="A5" s="131" t="s">
        <v>133</v>
      </c>
      <c r="B5" s="180">
        <f>(Calculations!D35+Calculations!D36)*1000000*3.6/134.47/1000000</f>
        <v>0</v>
      </c>
      <c r="C5" s="180">
        <f>(Calculations!E35+Calculations!E36)*1000000*3.6/134.47/1000000</f>
        <v>32.126124786197664</v>
      </c>
      <c r="D5" s="180">
        <f>(Calculations!F35+Calculations!F36)*1000000*3.6/134.47/1000000</f>
        <v>33.0095932178181</v>
      </c>
      <c r="E5" s="180">
        <f>(Calculations!G35+Calculations!G36)*1000000*3.6/134.47/1000000</f>
        <v>33.009600957144528</v>
      </c>
      <c r="F5" s="180">
        <f>(Calculations!H35+Calculations!H36)*1000000*3.6/134.47/1000000</f>
        <v>33.009600957144528</v>
      </c>
      <c r="G5" s="180">
        <f>(Calculations!I35+Calculations!I36)*1000000*3.6/134.47/1000000</f>
        <v>33.009600957144528</v>
      </c>
      <c r="H5" s="180">
        <f>(Calculations!J35+Calculations!J36)*1000000*3.6/134.47/1000000</f>
        <v>33.277318663696178</v>
      </c>
      <c r="I5" s="180">
        <f>(Calculations!K35+Calculations!K36)*1000000*3.6/134.47/1000000</f>
        <v>33.678895223523647</v>
      </c>
      <c r="J5" s="180">
        <f>(Calculations!L35+Calculations!L36)*1000000*3.6/134.47/1000000</f>
        <v>34.348189489902765</v>
      </c>
      <c r="K5" s="180">
        <f>(Calculations!M35+Calculations!M36)*1000000*3.6/134.47/1000000</f>
        <v>35.288063801068688</v>
      </c>
      <c r="L5" s="180">
        <f>(Calculations!N35+Calculations!N36)*1000000*3.6/134.47/1000000</f>
        <v>39.885433299927563</v>
      </c>
      <c r="M5" s="180">
        <f>(Calculations!O35+Calculations!O36)*1000000*3.6/134.47/1000000</f>
        <v>46.252452084905478</v>
      </c>
      <c r="N5" s="180">
        <f>(Calculations!P35+Calculations!P36)*1000000*3.6/134.47/1000000</f>
        <v>54.073179260605684</v>
      </c>
      <c r="O5" s="180">
        <f>(Calculations!Q35+Calculations!Q36)*1000000*3.6/134.47/1000000</f>
        <v>63.227677992001844</v>
      </c>
      <c r="P5" s="180">
        <f>(Calculations!R35+Calculations!R36)*1000000*3.6/134.47/1000000</f>
        <v>72.389083876027513</v>
      </c>
      <c r="Q5" s="180">
        <f>(Calculations!S35+Calculations!S36)*1000000*3.6/134.47/1000000</f>
        <v>84.370950149787888</v>
      </c>
      <c r="R5" s="181">
        <f>(Calculations!T35+Calculations!T36)*1000000*3.6/134.47/1000000</f>
        <v>98.18947020400492</v>
      </c>
    </row>
    <row r="6" spans="1:18" ht="16" thickBot="1" x14ac:dyDescent="0.25">
      <c r="A6" s="132" t="s">
        <v>134</v>
      </c>
      <c r="B6" s="182">
        <f>Calculations!D34*120/134.47</f>
        <v>0</v>
      </c>
      <c r="C6" s="182">
        <f>Calculations!E34*120/134.47</f>
        <v>0</v>
      </c>
      <c r="D6" s="182">
        <f>Calculations!F34*120/134.47</f>
        <v>0</v>
      </c>
      <c r="E6" s="182">
        <f>Calculations!G34*120/134.47</f>
        <v>0</v>
      </c>
      <c r="F6" s="182">
        <f>Calculations!H34*120/134.47</f>
        <v>0</v>
      </c>
      <c r="G6" s="182">
        <f>Calculations!I34*120/134.47</f>
        <v>0</v>
      </c>
      <c r="H6" s="182">
        <f>Calculations!J34*120/134.47</f>
        <v>0</v>
      </c>
      <c r="I6" s="182">
        <f>Calculations!K34*120/134.47</f>
        <v>0</v>
      </c>
      <c r="J6" s="182">
        <f>Calculations!L34*120/134.47</f>
        <v>0</v>
      </c>
      <c r="K6" s="182">
        <f>Calculations!M34*120/134.47</f>
        <v>0</v>
      </c>
      <c r="L6" s="182">
        <f>Calculations!N34*120/134.47</f>
        <v>0</v>
      </c>
      <c r="M6" s="182">
        <f>Calculations!O34*120/134.47</f>
        <v>0</v>
      </c>
      <c r="N6" s="182">
        <f>Calculations!P34*120/134.47</f>
        <v>0</v>
      </c>
      <c r="O6" s="182">
        <f>Calculations!Q34*120/134.47</f>
        <v>0</v>
      </c>
      <c r="P6" s="182">
        <f>Calculations!R34*120/134.47</f>
        <v>0</v>
      </c>
      <c r="Q6" s="182">
        <f>Calculations!S34*120/134.47</f>
        <v>0</v>
      </c>
      <c r="R6" s="183">
        <f>Calculations!T34*120/134.47</f>
        <v>0</v>
      </c>
    </row>
    <row r="8" spans="1:18" ht="16" thickBot="1" x14ac:dyDescent="0.25"/>
    <row r="9" spans="1:18" ht="16" thickBot="1" x14ac:dyDescent="0.25">
      <c r="A9" s="133" t="s">
        <v>137</v>
      </c>
      <c r="B9" s="134">
        <f>-Calculations!D9</f>
        <v>-0.01</v>
      </c>
      <c r="C9" s="134">
        <f>-Calculations!E9</f>
        <v>-0.01</v>
      </c>
      <c r="D9" s="134">
        <f>-Calculations!F9</f>
        <v>-0.02</v>
      </c>
      <c r="E9" s="134">
        <f>-Calculations!G9</f>
        <v>-3.5000000000000003E-2</v>
      </c>
      <c r="F9" s="134">
        <f>-Calculations!H9</f>
        <v>-0.05</v>
      </c>
      <c r="G9" s="134">
        <f>-Calculations!I9</f>
        <v>-6.4000000000000001E-2</v>
      </c>
      <c r="H9" s="134">
        <f>-Calculations!J9</f>
        <v>-7.8E-2</v>
      </c>
      <c r="I9" s="134">
        <f>-Calculations!K9</f>
        <v>-9.1999999999999998E-2</v>
      </c>
      <c r="J9" s="134">
        <f>-Calculations!L9</f>
        <v>-0.106</v>
      </c>
      <c r="K9" s="134">
        <f>-Calculations!M9</f>
        <v>-0.12</v>
      </c>
      <c r="L9" s="134">
        <f>-Calculations!N9</f>
        <v>-0.13400000000000001</v>
      </c>
      <c r="M9" s="134">
        <f>-Calculations!O9</f>
        <v>-0.15000000000000002</v>
      </c>
      <c r="N9" s="134">
        <f>-Calculations!P9</f>
        <v>-0.16600000000000004</v>
      </c>
      <c r="O9" s="134">
        <f>-Calculations!Q9</f>
        <v>-0.18200000000000005</v>
      </c>
      <c r="P9" s="134">
        <f>-Calculations!R9</f>
        <v>-0.19800000000000006</v>
      </c>
      <c r="Q9" s="134">
        <f>-Calculations!S9</f>
        <v>-0.21400000000000008</v>
      </c>
      <c r="R9" s="135">
        <f>-Calculations!T9</f>
        <v>-0.23000000000000009</v>
      </c>
    </row>
    <row r="10" spans="1:18" x14ac:dyDescent="0.2">
      <c r="A10" s="15" t="s">
        <v>140</v>
      </c>
      <c r="B10" s="15">
        <f>Calculations!D12</f>
        <v>0</v>
      </c>
      <c r="C10" s="177">
        <f>Calculations!E12</f>
        <v>2.9100000000000006</v>
      </c>
      <c r="D10" s="177">
        <f>Calculations!F12</f>
        <v>2.5789169999999988</v>
      </c>
      <c r="E10" s="177">
        <f>Calculations!G12</f>
        <v>1.6692365097204238</v>
      </c>
      <c r="F10" s="177">
        <f>Calculations!H12</f>
        <v>1.7882950560158726</v>
      </c>
      <c r="G10" s="177">
        <f>Calculations!I12</f>
        <v>0.23056781287012917</v>
      </c>
      <c r="H10" s="177">
        <f>Calculations!J12</f>
        <v>-0.18872038840070005</v>
      </c>
      <c r="I10" s="177">
        <f>Calculations!K12</f>
        <v>-1.313705222426087</v>
      </c>
      <c r="J10" s="177">
        <f>Calculations!L12</f>
        <v>-1.8287618297130521</v>
      </c>
      <c r="K10" s="177">
        <f>Calculations!M12</f>
        <v>-1.3377104986247872</v>
      </c>
      <c r="L10" s="177">
        <f>Calculations!N12</f>
        <v>-0.46079559682470261</v>
      </c>
      <c r="M10" s="177">
        <f>Calculations!O12</f>
        <v>-5.5525834973696675E-2</v>
      </c>
      <c r="N10" s="177">
        <f>Calculations!P12</f>
        <v>0.29994872934502936</v>
      </c>
      <c r="O10" s="177">
        <f>Calculations!Q12</f>
        <v>1.1336369134121611</v>
      </c>
      <c r="P10" s="177">
        <f>Calculations!R12</f>
        <v>2.5263722482246251</v>
      </c>
      <c r="Q10" s="177">
        <f>Calculations!S12</f>
        <v>3.4724875276700757</v>
      </c>
      <c r="R10" s="177">
        <f>Calculations!T12</f>
        <v>4.7723975105639695</v>
      </c>
    </row>
    <row r="11" spans="1:18" x14ac:dyDescent="0.2">
      <c r="A11" s="15" t="s">
        <v>141</v>
      </c>
      <c r="B11" s="136">
        <f>Calculations!D13</f>
        <v>0</v>
      </c>
      <c r="C11" s="177">
        <f>Calculations!E13</f>
        <v>7.43</v>
      </c>
      <c r="D11" s="177">
        <f>Calculations!F13</f>
        <v>10.008916999999999</v>
      </c>
      <c r="E11" s="177">
        <f>Calculations!G13</f>
        <v>10.01</v>
      </c>
      <c r="F11" s="177">
        <f>Calculations!H13</f>
        <v>11.798295056015872</v>
      </c>
      <c r="G11" s="177">
        <f>Calculations!I13</f>
        <v>12.028862868886002</v>
      </c>
      <c r="H11" s="177">
        <f>Calculations!J13</f>
        <v>11.840142480485301</v>
      </c>
      <c r="I11" s="177">
        <f>Calculations!K13</f>
        <v>10.526437258059214</v>
      </c>
      <c r="J11" s="177">
        <f>Calculations!L13</f>
        <v>8.6976754283461624</v>
      </c>
      <c r="K11" s="177">
        <f>Calculations!M13</f>
        <v>7.3599649297213752</v>
      </c>
      <c r="L11" s="177">
        <f>Calculations!N13</f>
        <v>6.8991693328966726</v>
      </c>
      <c r="M11" s="177">
        <f>Calculations!O13</f>
        <v>6.8436434979229759</v>
      </c>
      <c r="N11" s="177">
        <f>Calculations!P13</f>
        <v>7.1435922272680052</v>
      </c>
      <c r="O11" s="177">
        <f>Calculations!Q13</f>
        <v>8.2772291406801664</v>
      </c>
      <c r="P11" s="177">
        <f>Calculations!R13</f>
        <v>10.803601388904791</v>
      </c>
      <c r="Q11" s="177">
        <f>Calculations!S13</f>
        <v>14.276088916574867</v>
      </c>
      <c r="R11" s="177">
        <f>Calculations!T13</f>
        <v>19.048486427138837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C000"/>
  </sheetPr>
  <dimension ref="A1:AA31"/>
  <sheetViews>
    <sheetView workbookViewId="0">
      <selection activeCell="A5" sqref="A5:XFD8"/>
    </sheetView>
  </sheetViews>
  <sheetFormatPr baseColWidth="10" defaultColWidth="8.83203125" defaultRowHeight="15" x14ac:dyDescent="0.2"/>
  <cols>
    <col min="1" max="1" width="45.5" bestFit="1" customWidth="1"/>
  </cols>
  <sheetData>
    <row r="1" spans="1:15" ht="16" thickBot="1" x14ac:dyDescent="0.25">
      <c r="A1" s="10" t="s">
        <v>266</v>
      </c>
    </row>
    <row r="2" spans="1:15" ht="16" thickBot="1" x14ac:dyDescent="0.25">
      <c r="B2" s="106">
        <v>2017</v>
      </c>
      <c r="C2" s="196">
        <v>2018</v>
      </c>
      <c r="D2" s="196">
        <v>2019</v>
      </c>
      <c r="E2" s="196">
        <v>2020</v>
      </c>
      <c r="F2" s="196">
        <v>2021</v>
      </c>
      <c r="G2" s="196">
        <v>2022</v>
      </c>
      <c r="H2" s="196">
        <v>2023</v>
      </c>
      <c r="I2" s="196">
        <v>2024</v>
      </c>
      <c r="J2" s="196">
        <v>2025</v>
      </c>
      <c r="K2" s="196">
        <v>2026</v>
      </c>
      <c r="L2" s="196">
        <v>2027</v>
      </c>
      <c r="M2" s="196">
        <v>2028</v>
      </c>
      <c r="N2" s="196">
        <v>2029</v>
      </c>
      <c r="O2" s="197">
        <v>2030</v>
      </c>
    </row>
    <row r="3" spans="1:15" x14ac:dyDescent="0.2">
      <c r="A3" t="s">
        <v>168</v>
      </c>
      <c r="B3" s="273">
        <v>100</v>
      </c>
      <c r="C3" s="273">
        <v>125</v>
      </c>
      <c r="D3" s="273">
        <v>150</v>
      </c>
      <c r="E3" s="273">
        <v>200</v>
      </c>
      <c r="F3" s="273">
        <v>200</v>
      </c>
      <c r="G3" s="273">
        <v>200</v>
      </c>
      <c r="H3" s="273">
        <v>150</v>
      </c>
      <c r="I3" s="273">
        <v>150</v>
      </c>
      <c r="J3" s="273">
        <v>125</v>
      </c>
      <c r="K3" s="273">
        <v>75</v>
      </c>
      <c r="L3" s="273">
        <v>50</v>
      </c>
      <c r="M3" s="273">
        <v>25</v>
      </c>
      <c r="N3" s="273">
        <v>25</v>
      </c>
      <c r="O3" s="273">
        <v>25</v>
      </c>
    </row>
    <row r="4" spans="1:15" x14ac:dyDescent="0.2">
      <c r="A4" t="s">
        <v>174</v>
      </c>
      <c r="B4" s="273">
        <v>100</v>
      </c>
      <c r="C4" s="273">
        <v>125</v>
      </c>
      <c r="D4" s="273">
        <v>125</v>
      </c>
      <c r="E4" s="273">
        <v>125</v>
      </c>
      <c r="F4" s="273">
        <v>125</v>
      </c>
      <c r="G4" s="273">
        <v>125</v>
      </c>
      <c r="H4" s="273">
        <v>125</v>
      </c>
      <c r="I4" s="273">
        <v>125</v>
      </c>
      <c r="J4" s="273">
        <v>115</v>
      </c>
      <c r="K4" s="273">
        <v>115</v>
      </c>
      <c r="L4" s="273">
        <v>115</v>
      </c>
      <c r="M4" s="273">
        <v>125</v>
      </c>
      <c r="N4" s="273">
        <v>125</v>
      </c>
      <c r="O4" s="273">
        <v>135</v>
      </c>
    </row>
    <row r="5" spans="1:15" x14ac:dyDescent="0.2">
      <c r="A5" t="s">
        <v>199</v>
      </c>
      <c r="B5" s="274">
        <v>100</v>
      </c>
      <c r="C5" s="274">
        <v>125</v>
      </c>
      <c r="D5" s="274">
        <v>150</v>
      </c>
      <c r="E5" s="274">
        <v>200</v>
      </c>
      <c r="F5" s="274">
        <v>200</v>
      </c>
      <c r="G5" s="274">
        <v>200</v>
      </c>
      <c r="H5" s="274">
        <v>200</v>
      </c>
      <c r="I5" s="274">
        <v>200</v>
      </c>
      <c r="J5" s="274">
        <v>200</v>
      </c>
      <c r="K5" s="274">
        <v>200</v>
      </c>
      <c r="L5" s="274">
        <v>200</v>
      </c>
      <c r="M5" s="274">
        <v>200</v>
      </c>
      <c r="N5" s="274">
        <v>200</v>
      </c>
      <c r="O5" s="274">
        <v>200</v>
      </c>
    </row>
    <row r="6" spans="1:15" x14ac:dyDescent="0.2">
      <c r="A6" t="s">
        <v>200</v>
      </c>
      <c r="B6" s="274">
        <v>100</v>
      </c>
      <c r="C6" s="274">
        <v>125</v>
      </c>
      <c r="D6" s="274">
        <v>150</v>
      </c>
      <c r="E6" s="274">
        <v>200</v>
      </c>
      <c r="F6" s="274">
        <v>200</v>
      </c>
      <c r="G6" s="274">
        <v>200</v>
      </c>
      <c r="H6" s="274">
        <v>150</v>
      </c>
      <c r="I6" s="274">
        <v>150</v>
      </c>
      <c r="J6" s="274">
        <v>100</v>
      </c>
      <c r="K6" s="274">
        <v>100</v>
      </c>
      <c r="L6" s="274">
        <v>100</v>
      </c>
      <c r="M6" s="274">
        <v>100</v>
      </c>
      <c r="N6" s="274">
        <v>100</v>
      </c>
      <c r="O6" s="274">
        <v>110</v>
      </c>
    </row>
    <row r="7" spans="1:15" x14ac:dyDescent="0.2">
      <c r="A7" t="s">
        <v>202</v>
      </c>
      <c r="B7" s="273">
        <v>100</v>
      </c>
      <c r="C7" s="273">
        <v>125</v>
      </c>
      <c r="D7" s="273">
        <v>125</v>
      </c>
      <c r="E7" s="273">
        <v>125</v>
      </c>
      <c r="F7" s="273">
        <v>125</v>
      </c>
      <c r="G7" s="273">
        <v>125</v>
      </c>
      <c r="H7" s="273">
        <v>100</v>
      </c>
      <c r="I7" s="273">
        <v>100</v>
      </c>
      <c r="J7" s="273">
        <v>100</v>
      </c>
      <c r="K7" s="273">
        <v>100</v>
      </c>
      <c r="L7" s="273">
        <v>85</v>
      </c>
      <c r="M7" s="273">
        <v>85</v>
      </c>
      <c r="N7" s="273">
        <v>85</v>
      </c>
      <c r="O7" s="273">
        <v>85</v>
      </c>
    </row>
    <row r="8" spans="1:15" x14ac:dyDescent="0.2">
      <c r="A8" t="s">
        <v>261</v>
      </c>
      <c r="B8" s="273">
        <v>100</v>
      </c>
      <c r="C8" s="273">
        <v>125</v>
      </c>
      <c r="D8" s="274">
        <v>150</v>
      </c>
      <c r="E8" s="274">
        <v>150</v>
      </c>
      <c r="F8" s="274">
        <v>150</v>
      </c>
      <c r="G8" s="274">
        <v>200</v>
      </c>
      <c r="H8" s="274">
        <v>200</v>
      </c>
      <c r="I8" s="274">
        <v>150</v>
      </c>
      <c r="J8" s="274">
        <v>150</v>
      </c>
      <c r="K8" s="274">
        <v>150</v>
      </c>
      <c r="L8" s="274">
        <v>150</v>
      </c>
      <c r="M8" s="274">
        <v>150</v>
      </c>
      <c r="N8" s="274">
        <v>175</v>
      </c>
      <c r="O8" s="274">
        <v>175</v>
      </c>
    </row>
    <row r="26" spans="1:27" ht="16" thickBot="1" x14ac:dyDescent="0.25">
      <c r="A26" s="10" t="s">
        <v>267</v>
      </c>
    </row>
    <row r="27" spans="1:27" ht="16" thickBot="1" x14ac:dyDescent="0.25">
      <c r="B27" s="106">
        <v>2019</v>
      </c>
      <c r="C27" s="196">
        <v>2020</v>
      </c>
      <c r="D27" s="196">
        <v>2021</v>
      </c>
      <c r="E27" s="196">
        <v>2022</v>
      </c>
      <c r="F27" s="196">
        <v>2023</v>
      </c>
      <c r="G27" s="196">
        <v>2024</v>
      </c>
      <c r="H27" s="196">
        <v>2025</v>
      </c>
      <c r="I27" s="196">
        <v>2026</v>
      </c>
      <c r="J27" s="196">
        <v>2027</v>
      </c>
      <c r="K27" s="196">
        <v>2028</v>
      </c>
      <c r="L27" s="196">
        <v>2029</v>
      </c>
      <c r="M27" s="197">
        <v>2030</v>
      </c>
    </row>
    <row r="28" spans="1:27" x14ac:dyDescent="0.2">
      <c r="A28" s="237" t="s">
        <v>174</v>
      </c>
      <c r="B28" s="258">
        <f>'Reduction Targets'!B4*-1</f>
        <v>-6.25E-2</v>
      </c>
      <c r="C28" s="258">
        <f>'Reduction Targets'!C4*-1</f>
        <v>-7.4999999999999997E-2</v>
      </c>
      <c r="D28" s="258">
        <f>'Reduction Targets'!D4*-1</f>
        <v>-8.7499999999999994E-2</v>
      </c>
      <c r="E28" s="258">
        <f>'Reduction Targets'!E4*-1</f>
        <v>-0.1</v>
      </c>
      <c r="F28" s="258">
        <f>'Reduction Targets'!F4*-1</f>
        <v>-0.1125</v>
      </c>
      <c r="G28" s="258">
        <f>'Reduction Targets'!G4*-1</f>
        <v>-0.125</v>
      </c>
      <c r="H28" s="258">
        <f>'Reduction Targets'!H4*-1</f>
        <v>-0.13750000000000001</v>
      </c>
      <c r="I28" s="258">
        <f>'Reduction Targets'!I4*-1</f>
        <v>-0.15</v>
      </c>
      <c r="J28" s="258">
        <f>'Reduction Targets'!J4*-1</f>
        <v>-0.16250000000000001</v>
      </c>
      <c r="K28" s="258">
        <f>'Reduction Targets'!K4*-1</f>
        <v>-0.17499999999999999</v>
      </c>
      <c r="L28" s="258">
        <f>'Reduction Targets'!L4*-1</f>
        <v>-0.1875</v>
      </c>
      <c r="M28" s="258">
        <f>'Reduction Targets'!M4*-1</f>
        <v>-0.2</v>
      </c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</row>
    <row r="29" spans="1:27" x14ac:dyDescent="0.2">
      <c r="A29" s="237" t="s">
        <v>215</v>
      </c>
      <c r="B29" s="259">
        <f>'Reduction Targets'!B5*-1</f>
        <v>-6.6666666666666666E-2</v>
      </c>
      <c r="C29" s="259">
        <f>'Reduction Targets'!C5*-1</f>
        <v>-8.3333333333333329E-2</v>
      </c>
      <c r="D29" s="259">
        <f>'Reduction Targets'!D5*-1</f>
        <v>-9.9999999999999992E-2</v>
      </c>
      <c r="E29" s="259">
        <f>'Reduction Targets'!E5*-1</f>
        <v>-0.11666666666666665</v>
      </c>
      <c r="F29" s="259">
        <f>'Reduction Targets'!F5*-1</f>
        <v>-0.13333333333333333</v>
      </c>
      <c r="G29" s="259">
        <f>'Reduction Targets'!G5*-1</f>
        <v>-0.15</v>
      </c>
      <c r="H29" s="259">
        <f>'Reduction Targets'!H5*-1</f>
        <v>-0.16666666666666666</v>
      </c>
      <c r="I29" s="259">
        <f>'Reduction Targets'!I5*-1</f>
        <v>-0.18333333333333332</v>
      </c>
      <c r="J29" s="259">
        <f>'Reduction Targets'!J5*-1</f>
        <v>-0.19999999999999998</v>
      </c>
      <c r="K29" s="259">
        <f>'Reduction Targets'!K5*-1</f>
        <v>-0.21666666666666665</v>
      </c>
      <c r="L29" s="259">
        <f>'Reduction Targets'!L5*-1</f>
        <v>-0.23333333333333331</v>
      </c>
      <c r="M29" s="259">
        <f>'Reduction Targets'!M5*-1</f>
        <v>-0.24999999999999997</v>
      </c>
      <c r="O29" s="238"/>
      <c r="P29" s="238"/>
      <c r="Q29" s="238"/>
      <c r="R29" s="238"/>
      <c r="S29" s="238"/>
      <c r="T29" s="238"/>
      <c r="U29" s="238"/>
      <c r="V29" s="238"/>
      <c r="W29" s="238"/>
      <c r="X29" s="238"/>
      <c r="Y29" s="238"/>
      <c r="Z29" s="238"/>
      <c r="AA29" s="238"/>
    </row>
    <row r="30" spans="1:27" x14ac:dyDescent="0.2">
      <c r="A30" s="237" t="s">
        <v>216</v>
      </c>
      <c r="B30" s="260">
        <f>'Reduction Targets'!B3*-1</f>
        <v>-7.4999999999999997E-2</v>
      </c>
      <c r="C30" s="260">
        <f>'Reduction Targets'!C3*-1</f>
        <v>-0.1</v>
      </c>
      <c r="D30" s="260">
        <f>'Reduction Targets'!D3*-1</f>
        <v>-0.1</v>
      </c>
      <c r="E30" s="260">
        <f>'Reduction Targets'!E3*-1</f>
        <v>-0.1</v>
      </c>
      <c r="F30" s="260">
        <f>'Reduction Targets'!F3*-1</f>
        <v>-0.11</v>
      </c>
      <c r="G30" s="260">
        <f>'Reduction Targets'!G3*-1</f>
        <v>-0.12</v>
      </c>
      <c r="H30" s="260">
        <f>'Reduction Targets'!H3*-1</f>
        <v>-0.13</v>
      </c>
      <c r="I30" s="260">
        <f>'Reduction Targets'!I3*-1</f>
        <v>-0.14000000000000001</v>
      </c>
      <c r="J30" s="260">
        <f>'Reduction Targets'!J3*-1</f>
        <v>-0.15000000000000002</v>
      </c>
      <c r="K30" s="260">
        <f>'Reduction Targets'!K3*-1</f>
        <v>-0.16000000000000003</v>
      </c>
      <c r="L30" s="260">
        <f>'Reduction Targets'!L3*-1</f>
        <v>-0.17000000000000004</v>
      </c>
      <c r="M30" s="260">
        <f>'Reduction Targets'!M3*-1</f>
        <v>-0.18000000000000005</v>
      </c>
      <c r="O30" s="238"/>
      <c r="P30" s="238"/>
      <c r="Q30" s="238"/>
      <c r="R30" s="238"/>
      <c r="S30" s="238"/>
      <c r="T30" s="238"/>
      <c r="U30" s="238"/>
      <c r="V30" s="238"/>
      <c r="W30" s="238"/>
      <c r="X30" s="238"/>
      <c r="Y30" s="238"/>
      <c r="Z30" s="238"/>
      <c r="AA30" s="238"/>
    </row>
    <row r="31" spans="1:27" x14ac:dyDescent="0.2">
      <c r="A31" s="237" t="s">
        <v>214</v>
      </c>
      <c r="B31" s="259">
        <v>-7.4999999999999997E-2</v>
      </c>
      <c r="C31" s="261">
        <v>-0.1</v>
      </c>
      <c r="D31" s="261">
        <v>-0.1</v>
      </c>
      <c r="E31" s="261">
        <v>-0.1</v>
      </c>
      <c r="F31" s="261">
        <v>-0.1</v>
      </c>
      <c r="G31" s="261">
        <v>-0.1</v>
      </c>
      <c r="H31" s="261">
        <v>-0.1</v>
      </c>
      <c r="I31" s="261">
        <v>-0.1</v>
      </c>
      <c r="J31" s="261">
        <v>-0.1</v>
      </c>
      <c r="K31" s="261">
        <v>-0.1</v>
      </c>
      <c r="L31" s="261">
        <v>-0.1</v>
      </c>
      <c r="M31" s="262">
        <v>-0.1</v>
      </c>
      <c r="O31" s="238"/>
      <c r="P31" s="238"/>
      <c r="Q31" s="238"/>
      <c r="R31" s="238"/>
      <c r="S31" s="238"/>
      <c r="T31" s="238"/>
      <c r="U31" s="238"/>
      <c r="V31" s="238"/>
      <c r="W31" s="238"/>
      <c r="X31" s="238"/>
      <c r="Y31" s="238"/>
      <c r="Z31" s="238"/>
      <c r="AA31" s="238"/>
    </row>
  </sheetData>
  <pageMargins left="0.7" right="0.7" top="0.75" bottom="0.75" header="0.3" footer="0.3"/>
  <pageSetup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0.59999389629810485"/>
  </sheetPr>
  <dimension ref="A1:AA49"/>
  <sheetViews>
    <sheetView workbookViewId="0">
      <selection activeCell="Q38" sqref="Q38"/>
    </sheetView>
  </sheetViews>
  <sheetFormatPr baseColWidth="10" defaultColWidth="8.83203125" defaultRowHeight="15" x14ac:dyDescent="0.2"/>
  <cols>
    <col min="1" max="1" width="39.83203125" bestFit="1" customWidth="1"/>
    <col min="2" max="2" width="10.5" bestFit="1" customWidth="1"/>
    <col min="15" max="15" width="37.5" bestFit="1" customWidth="1"/>
  </cols>
  <sheetData>
    <row r="1" spans="1:27" x14ac:dyDescent="0.2">
      <c r="A1" s="255" t="s">
        <v>233</v>
      </c>
    </row>
    <row r="2" spans="1:27" x14ac:dyDescent="0.2">
      <c r="A2" s="263" t="s">
        <v>234</v>
      </c>
      <c r="B2" s="242">
        <v>101.43</v>
      </c>
      <c r="C2" t="s">
        <v>44</v>
      </c>
    </row>
    <row r="3" spans="1:27" x14ac:dyDescent="0.2">
      <c r="A3" s="263" t="s">
        <v>235</v>
      </c>
      <c r="B3" s="242">
        <v>100.95</v>
      </c>
      <c r="C3" t="s">
        <v>44</v>
      </c>
    </row>
    <row r="4" spans="1:27" x14ac:dyDescent="0.2">
      <c r="A4" s="263" t="s">
        <v>240</v>
      </c>
      <c r="B4" s="242">
        <v>119.53</v>
      </c>
      <c r="C4" t="s">
        <v>24</v>
      </c>
    </row>
    <row r="5" spans="1:27" x14ac:dyDescent="0.2">
      <c r="A5" s="263" t="s">
        <v>241</v>
      </c>
      <c r="B5" s="242">
        <v>134.47</v>
      </c>
      <c r="C5" t="s">
        <v>24</v>
      </c>
    </row>
    <row r="6" spans="1:27" x14ac:dyDescent="0.2">
      <c r="A6" s="263" t="s">
        <v>244</v>
      </c>
      <c r="B6" s="241">
        <v>1000000</v>
      </c>
      <c r="C6" t="s">
        <v>245</v>
      </c>
    </row>
    <row r="7" spans="1:27" ht="16" thickBot="1" x14ac:dyDescent="0.25">
      <c r="A7" s="263" t="s">
        <v>244</v>
      </c>
      <c r="B7" s="242">
        <v>100</v>
      </c>
      <c r="C7" t="s">
        <v>251</v>
      </c>
    </row>
    <row r="8" spans="1:27" ht="16" thickBot="1" x14ac:dyDescent="0.25">
      <c r="A8" s="10" t="s">
        <v>243</v>
      </c>
      <c r="B8" s="196">
        <v>2019</v>
      </c>
      <c r="C8" s="196">
        <v>2020</v>
      </c>
      <c r="D8" s="196">
        <v>2021</v>
      </c>
      <c r="E8" s="196">
        <v>2022</v>
      </c>
      <c r="F8" s="196">
        <v>2023</v>
      </c>
      <c r="G8" s="196">
        <v>2024</v>
      </c>
      <c r="H8" s="196">
        <v>2025</v>
      </c>
      <c r="I8" s="196">
        <v>2026</v>
      </c>
      <c r="J8" s="196">
        <v>2027</v>
      </c>
      <c r="K8" s="196">
        <v>2028</v>
      </c>
      <c r="L8" s="196">
        <v>2029</v>
      </c>
      <c r="M8" s="197">
        <v>2030</v>
      </c>
      <c r="O8" s="10" t="s">
        <v>242</v>
      </c>
      <c r="P8" s="196">
        <v>2019</v>
      </c>
      <c r="Q8" s="196">
        <v>2020</v>
      </c>
      <c r="R8" s="196">
        <v>2021</v>
      </c>
      <c r="S8" s="196">
        <v>2022</v>
      </c>
      <c r="T8" s="196">
        <v>2023</v>
      </c>
      <c r="U8" s="196">
        <v>2024</v>
      </c>
      <c r="V8" s="196">
        <v>2025</v>
      </c>
      <c r="W8" s="196">
        <v>2026</v>
      </c>
      <c r="X8" s="196">
        <v>2027</v>
      </c>
      <c r="Y8" s="196">
        <v>2028</v>
      </c>
      <c r="Z8" s="196">
        <v>2029</v>
      </c>
      <c r="AA8" s="197">
        <v>2030</v>
      </c>
    </row>
    <row r="9" spans="1:27" x14ac:dyDescent="0.2">
      <c r="A9" t="s">
        <v>236</v>
      </c>
      <c r="B9" s="265">
        <v>92.472250000000003</v>
      </c>
      <c r="C9" s="265">
        <v>89.972999999999999</v>
      </c>
      <c r="D9" s="265">
        <v>89.972999999999999</v>
      </c>
      <c r="E9" s="265">
        <v>89.972999999999999</v>
      </c>
      <c r="F9" s="265">
        <v>89.972999999999999</v>
      </c>
      <c r="G9" s="265">
        <v>89.972999999999999</v>
      </c>
      <c r="H9" s="265">
        <v>89.972999999999999</v>
      </c>
      <c r="I9" s="265">
        <v>89.972999999999999</v>
      </c>
      <c r="J9" s="265">
        <v>89.972999999999999</v>
      </c>
      <c r="K9" s="265">
        <v>89.972999999999999</v>
      </c>
      <c r="L9" s="265">
        <v>89.972999999999999</v>
      </c>
      <c r="M9" s="265">
        <v>89.972999999999999</v>
      </c>
      <c r="O9" t="s">
        <v>236</v>
      </c>
      <c r="P9" s="242">
        <v>93.378750000000011</v>
      </c>
      <c r="Q9" s="242">
        <v>90.855000000000004</v>
      </c>
      <c r="R9" s="242">
        <v>90.855000000000004</v>
      </c>
      <c r="S9" s="242">
        <v>90.855000000000004</v>
      </c>
      <c r="T9" s="242">
        <v>90.855000000000004</v>
      </c>
      <c r="U9" s="242">
        <v>90.855000000000004</v>
      </c>
      <c r="V9" s="242">
        <v>90.855000000000004</v>
      </c>
      <c r="W9" s="242">
        <v>90.855000000000004</v>
      </c>
      <c r="X9" s="242">
        <v>90.855000000000004</v>
      </c>
      <c r="Y9" s="242">
        <v>90.855000000000004</v>
      </c>
      <c r="Z9" s="242">
        <v>90.855000000000004</v>
      </c>
      <c r="AA9" s="242">
        <v>90.855000000000004</v>
      </c>
    </row>
    <row r="10" spans="1:27" x14ac:dyDescent="0.2">
      <c r="A10" t="s">
        <v>237</v>
      </c>
      <c r="B10" s="242">
        <v>92.472250000000003</v>
      </c>
      <c r="C10" s="242">
        <v>89.972999999999999</v>
      </c>
      <c r="D10" s="242">
        <v>89.972999999999999</v>
      </c>
      <c r="E10" s="242">
        <v>89.972999999999999</v>
      </c>
      <c r="F10" s="242">
        <v>88.973299999999995</v>
      </c>
      <c r="G10" s="242">
        <v>87.973600000000005</v>
      </c>
      <c r="H10" s="242">
        <v>86.9739</v>
      </c>
      <c r="I10" s="242">
        <v>85.974199999999996</v>
      </c>
      <c r="J10" s="242">
        <v>84.974499999999992</v>
      </c>
      <c r="K10" s="242">
        <v>83.974800000000002</v>
      </c>
      <c r="L10" s="242">
        <v>82.975099999999998</v>
      </c>
      <c r="M10" s="242">
        <v>81.975399999999993</v>
      </c>
      <c r="O10" t="s">
        <v>237</v>
      </c>
      <c r="P10" s="242">
        <v>93.378750000000011</v>
      </c>
      <c r="Q10" s="242">
        <v>90.855000000000004</v>
      </c>
      <c r="R10" s="242">
        <v>90.855000000000004</v>
      </c>
      <c r="S10" s="242">
        <v>90.855000000000004</v>
      </c>
      <c r="T10" s="242">
        <v>89.845500000000001</v>
      </c>
      <c r="U10" s="242">
        <v>88.835999999999999</v>
      </c>
      <c r="V10" s="242">
        <v>87.826499999999996</v>
      </c>
      <c r="W10" s="242">
        <v>86.817000000000007</v>
      </c>
      <c r="X10" s="242">
        <v>85.807500000000005</v>
      </c>
      <c r="Y10" s="242">
        <v>84.798000000000002</v>
      </c>
      <c r="Z10" s="242">
        <v>83.788499999999999</v>
      </c>
      <c r="AA10" s="242">
        <v>82.778999999999996</v>
      </c>
    </row>
    <row r="11" spans="1:27" x14ac:dyDescent="0.2">
      <c r="A11" t="s">
        <v>238</v>
      </c>
      <c r="B11" s="242">
        <v>93.721874999999997</v>
      </c>
      <c r="C11" s="242">
        <v>92.472250000000003</v>
      </c>
      <c r="D11" s="242">
        <v>91.222624999999994</v>
      </c>
      <c r="E11" s="242">
        <v>89.972999999999999</v>
      </c>
      <c r="F11" s="242">
        <v>88.72337499999999</v>
      </c>
      <c r="G11" s="242">
        <v>87.473749999999995</v>
      </c>
      <c r="H11" s="242">
        <v>86.224125000000001</v>
      </c>
      <c r="I11" s="242">
        <v>84.974499999999992</v>
      </c>
      <c r="J11" s="242">
        <v>83.724874999999997</v>
      </c>
      <c r="K11" s="242">
        <v>82.475249999999988</v>
      </c>
      <c r="L11" s="242">
        <v>81.225624999999994</v>
      </c>
      <c r="M11" s="242">
        <v>79.975999999999999</v>
      </c>
      <c r="O11" t="s">
        <v>238</v>
      </c>
      <c r="P11" s="242">
        <v>94.640625</v>
      </c>
      <c r="Q11" s="242">
        <v>93.378750000000011</v>
      </c>
      <c r="R11" s="242">
        <v>92.116875000000007</v>
      </c>
      <c r="S11" s="242">
        <v>90.855000000000004</v>
      </c>
      <c r="T11" s="242">
        <v>89.593125000000001</v>
      </c>
      <c r="U11" s="242">
        <v>88.331249999999997</v>
      </c>
      <c r="V11" s="242">
        <v>87.069375000000008</v>
      </c>
      <c r="W11" s="242">
        <v>85.807500000000005</v>
      </c>
      <c r="X11" s="242">
        <v>84.545625000000001</v>
      </c>
      <c r="Y11" s="242">
        <v>83.283749999999998</v>
      </c>
      <c r="Z11" s="242">
        <v>82.021875000000009</v>
      </c>
      <c r="AA11" s="242">
        <v>80.760000000000005</v>
      </c>
    </row>
    <row r="12" spans="1:27" x14ac:dyDescent="0.2">
      <c r="A12" t="s">
        <v>239</v>
      </c>
      <c r="B12" s="242">
        <v>93.305333333333337</v>
      </c>
      <c r="C12" s="242">
        <v>91.639166666666668</v>
      </c>
      <c r="D12" s="242">
        <v>89.972999999999999</v>
      </c>
      <c r="E12" s="242">
        <v>88.30683333333333</v>
      </c>
      <c r="F12" s="242">
        <v>86.640666666666675</v>
      </c>
      <c r="G12" s="242">
        <v>84.974499999999992</v>
      </c>
      <c r="H12" s="242">
        <v>83.308333333333337</v>
      </c>
      <c r="I12" s="242">
        <v>81.642166666666668</v>
      </c>
      <c r="J12" s="242">
        <v>79.975999999999999</v>
      </c>
      <c r="K12" s="242">
        <v>78.30983333333333</v>
      </c>
      <c r="L12" s="242">
        <v>76.643666666666675</v>
      </c>
      <c r="M12" s="242">
        <v>74.977499999999992</v>
      </c>
      <c r="O12" t="s">
        <v>239</v>
      </c>
      <c r="P12" s="242">
        <v>94.22</v>
      </c>
      <c r="Q12" s="242">
        <v>92.537499999999994</v>
      </c>
      <c r="R12" s="242">
        <v>90.855000000000004</v>
      </c>
      <c r="S12" s="242">
        <v>89.172499999999999</v>
      </c>
      <c r="T12" s="242">
        <v>87.490000000000009</v>
      </c>
      <c r="U12" s="242">
        <v>85.807500000000005</v>
      </c>
      <c r="V12" s="242">
        <v>84.125</v>
      </c>
      <c r="W12" s="242">
        <v>82.442499999999995</v>
      </c>
      <c r="X12" s="242">
        <v>80.760000000000005</v>
      </c>
      <c r="Y12" s="242">
        <v>79.077500000000001</v>
      </c>
      <c r="Z12" s="242">
        <v>77.39500000000001</v>
      </c>
      <c r="AA12" s="242">
        <v>75.712500000000006</v>
      </c>
    </row>
    <row r="13" spans="1:27" ht="16" thickBot="1" x14ac:dyDescent="0.25"/>
    <row r="14" spans="1:27" ht="16" thickBot="1" x14ac:dyDescent="0.25">
      <c r="A14" s="10" t="s">
        <v>249</v>
      </c>
      <c r="B14" s="196">
        <v>2019</v>
      </c>
      <c r="C14" s="196">
        <v>2020</v>
      </c>
      <c r="D14" s="196">
        <v>2021</v>
      </c>
      <c r="E14" s="196">
        <v>2022</v>
      </c>
      <c r="F14" s="196">
        <v>2023</v>
      </c>
      <c r="G14" s="196">
        <v>2024</v>
      </c>
      <c r="H14" s="196">
        <v>2025</v>
      </c>
      <c r="I14" s="196">
        <v>2026</v>
      </c>
      <c r="J14" s="196">
        <v>2027</v>
      </c>
      <c r="K14" s="196">
        <v>2028</v>
      </c>
      <c r="L14" s="196">
        <v>2029</v>
      </c>
      <c r="M14" s="197">
        <v>2030</v>
      </c>
    </row>
    <row r="15" spans="1:27" x14ac:dyDescent="0.2">
      <c r="A15" t="s">
        <v>247</v>
      </c>
      <c r="B15" s="267">
        <v>150</v>
      </c>
      <c r="C15" s="267">
        <v>200</v>
      </c>
      <c r="D15" s="267">
        <v>200</v>
      </c>
      <c r="E15" s="267">
        <v>200</v>
      </c>
      <c r="F15" s="267">
        <v>150</v>
      </c>
      <c r="G15" s="267">
        <v>150</v>
      </c>
      <c r="H15" s="267">
        <v>125</v>
      </c>
      <c r="I15" s="267">
        <v>75</v>
      </c>
      <c r="J15" s="267">
        <v>50</v>
      </c>
      <c r="K15" s="267">
        <v>25</v>
      </c>
      <c r="L15" s="267">
        <v>25</v>
      </c>
      <c r="M15" s="267">
        <v>25</v>
      </c>
    </row>
    <row r="16" spans="1:27" x14ac:dyDescent="0.2">
      <c r="A16" t="s">
        <v>174</v>
      </c>
      <c r="B16" s="264">
        <v>125</v>
      </c>
      <c r="C16" s="264">
        <v>125</v>
      </c>
      <c r="D16" s="264">
        <v>125</v>
      </c>
      <c r="E16" s="264">
        <v>125</v>
      </c>
      <c r="F16" s="264">
        <v>125</v>
      </c>
      <c r="G16" s="264">
        <v>125</v>
      </c>
      <c r="H16" s="264">
        <v>115</v>
      </c>
      <c r="I16" s="264">
        <v>115</v>
      </c>
      <c r="J16" s="264">
        <v>115</v>
      </c>
      <c r="K16" s="264">
        <v>125</v>
      </c>
      <c r="L16" s="264">
        <v>125</v>
      </c>
      <c r="M16" s="264">
        <v>135</v>
      </c>
    </row>
    <row r="17" spans="1:27" x14ac:dyDescent="0.2">
      <c r="A17" t="s">
        <v>215</v>
      </c>
      <c r="B17" s="264">
        <v>150</v>
      </c>
      <c r="C17" s="264">
        <v>200</v>
      </c>
      <c r="D17" s="264">
        <v>200</v>
      </c>
      <c r="E17" s="264">
        <v>200</v>
      </c>
      <c r="F17" s="264">
        <v>200</v>
      </c>
      <c r="G17" s="264">
        <v>200</v>
      </c>
      <c r="H17" s="264">
        <v>200</v>
      </c>
      <c r="I17" s="264">
        <v>200</v>
      </c>
      <c r="J17" s="264">
        <v>200</v>
      </c>
      <c r="K17" s="264">
        <v>200</v>
      </c>
      <c r="L17" s="264">
        <v>200</v>
      </c>
      <c r="M17" s="264">
        <v>200</v>
      </c>
    </row>
    <row r="18" spans="1:27" x14ac:dyDescent="0.2">
      <c r="A18" t="s">
        <v>216</v>
      </c>
      <c r="B18" s="264">
        <v>150</v>
      </c>
      <c r="C18" s="264">
        <v>200</v>
      </c>
      <c r="D18" s="264">
        <v>200</v>
      </c>
      <c r="E18" s="264">
        <v>200</v>
      </c>
      <c r="F18" s="264">
        <v>150</v>
      </c>
      <c r="G18" s="264">
        <v>150</v>
      </c>
      <c r="H18" s="264">
        <v>100</v>
      </c>
      <c r="I18" s="264">
        <v>100</v>
      </c>
      <c r="J18" s="264">
        <v>100</v>
      </c>
      <c r="K18" s="264">
        <v>100</v>
      </c>
      <c r="L18" s="264">
        <v>100</v>
      </c>
      <c r="M18" s="264">
        <v>110</v>
      </c>
    </row>
    <row r="19" spans="1:27" x14ac:dyDescent="0.2">
      <c r="A19" t="s">
        <v>229</v>
      </c>
      <c r="B19" s="267">
        <v>150</v>
      </c>
      <c r="C19" s="267">
        <v>200</v>
      </c>
      <c r="D19" s="267">
        <v>200</v>
      </c>
      <c r="E19" s="267">
        <v>200</v>
      </c>
      <c r="F19" s="267">
        <v>150</v>
      </c>
      <c r="G19" s="267">
        <v>150</v>
      </c>
      <c r="H19" s="267">
        <v>75</v>
      </c>
      <c r="I19" s="267">
        <v>50</v>
      </c>
      <c r="J19" s="267">
        <v>25</v>
      </c>
      <c r="K19" s="267">
        <v>25</v>
      </c>
      <c r="L19" s="267">
        <v>25</v>
      </c>
      <c r="M19" s="267">
        <v>25</v>
      </c>
    </row>
    <row r="20" spans="1:27" x14ac:dyDescent="0.2">
      <c r="A20" t="s">
        <v>227</v>
      </c>
      <c r="B20" s="264">
        <v>125</v>
      </c>
      <c r="C20" s="264">
        <v>125</v>
      </c>
      <c r="D20" s="264">
        <v>125</v>
      </c>
      <c r="E20" s="264">
        <v>125</v>
      </c>
      <c r="F20" s="264">
        <v>100</v>
      </c>
      <c r="G20" s="264">
        <v>100</v>
      </c>
      <c r="H20" s="264">
        <v>100</v>
      </c>
      <c r="I20" s="264">
        <v>100</v>
      </c>
      <c r="J20" s="264">
        <v>85</v>
      </c>
      <c r="K20" s="264">
        <v>85</v>
      </c>
      <c r="L20" s="264">
        <v>85</v>
      </c>
      <c r="M20" s="264">
        <v>85</v>
      </c>
    </row>
    <row r="21" spans="1:27" x14ac:dyDescent="0.2">
      <c r="A21" t="s">
        <v>230</v>
      </c>
      <c r="B21" s="264">
        <v>150</v>
      </c>
      <c r="C21" s="264">
        <v>200</v>
      </c>
      <c r="D21" s="264">
        <v>200</v>
      </c>
      <c r="E21" s="264">
        <v>200</v>
      </c>
      <c r="F21" s="264">
        <v>200</v>
      </c>
      <c r="G21" s="264">
        <v>150</v>
      </c>
      <c r="H21" s="264">
        <v>150</v>
      </c>
      <c r="I21" s="264">
        <v>150</v>
      </c>
      <c r="J21" s="264">
        <v>125</v>
      </c>
      <c r="K21" s="264">
        <v>100</v>
      </c>
      <c r="L21" s="264">
        <v>75</v>
      </c>
      <c r="M21" s="264">
        <v>50</v>
      </c>
    </row>
    <row r="22" spans="1:27" x14ac:dyDescent="0.2">
      <c r="A22" t="s">
        <v>228</v>
      </c>
      <c r="B22" s="264">
        <v>150</v>
      </c>
      <c r="C22" s="264">
        <v>150</v>
      </c>
      <c r="D22" s="264">
        <v>150</v>
      </c>
      <c r="E22" s="264">
        <v>200</v>
      </c>
      <c r="F22" s="264">
        <v>200</v>
      </c>
      <c r="G22" s="264">
        <v>150</v>
      </c>
      <c r="H22" s="264">
        <v>150</v>
      </c>
      <c r="I22" s="264">
        <v>150</v>
      </c>
      <c r="J22" s="264">
        <v>150</v>
      </c>
      <c r="K22" s="264">
        <v>150</v>
      </c>
      <c r="L22" s="264">
        <v>175</v>
      </c>
      <c r="M22" s="264">
        <v>175</v>
      </c>
    </row>
    <row r="23" spans="1:27" x14ac:dyDescent="0.2">
      <c r="A23" t="s">
        <v>231</v>
      </c>
      <c r="B23" s="264">
        <v>150</v>
      </c>
      <c r="C23" s="264">
        <v>200</v>
      </c>
      <c r="D23" s="264">
        <v>200</v>
      </c>
      <c r="E23" s="264">
        <v>200</v>
      </c>
      <c r="F23" s="264">
        <v>200</v>
      </c>
      <c r="G23" s="264">
        <v>150</v>
      </c>
      <c r="H23" s="264">
        <v>125</v>
      </c>
      <c r="I23" s="264">
        <v>125</v>
      </c>
      <c r="J23" s="264">
        <v>75</v>
      </c>
      <c r="K23" s="264">
        <v>25</v>
      </c>
      <c r="L23" s="264">
        <v>25</v>
      </c>
      <c r="M23" s="264">
        <v>25</v>
      </c>
    </row>
    <row r="24" spans="1:27" x14ac:dyDescent="0.2">
      <c r="A24" t="s">
        <v>232</v>
      </c>
      <c r="B24" s="264">
        <v>150</v>
      </c>
      <c r="C24" s="264">
        <v>150</v>
      </c>
      <c r="D24" s="264">
        <v>150</v>
      </c>
      <c r="E24" s="264">
        <v>200</v>
      </c>
      <c r="F24" s="264">
        <v>150</v>
      </c>
      <c r="G24" s="264">
        <v>150</v>
      </c>
      <c r="H24" s="264">
        <v>125</v>
      </c>
      <c r="I24" s="264">
        <v>125</v>
      </c>
      <c r="J24" s="264">
        <v>125</v>
      </c>
      <c r="K24" s="264">
        <v>125</v>
      </c>
      <c r="L24" s="264">
        <v>125</v>
      </c>
      <c r="M24" s="264">
        <v>130</v>
      </c>
    </row>
    <row r="25" spans="1:27" ht="16" thickBot="1" x14ac:dyDescent="0.25"/>
    <row r="26" spans="1:27" ht="16" thickBot="1" x14ac:dyDescent="0.25">
      <c r="A26" s="10" t="s">
        <v>250</v>
      </c>
      <c r="B26" s="196">
        <v>2019</v>
      </c>
      <c r="C26" s="196">
        <v>2020</v>
      </c>
      <c r="D26" s="196">
        <v>2021</v>
      </c>
      <c r="E26" s="196">
        <v>2022</v>
      </c>
      <c r="F26" s="196">
        <v>2023</v>
      </c>
      <c r="G26" s="196">
        <v>2024</v>
      </c>
      <c r="H26" s="196">
        <v>2025</v>
      </c>
      <c r="I26" s="196">
        <v>2026</v>
      </c>
      <c r="J26" s="196">
        <v>2027</v>
      </c>
      <c r="K26" s="196">
        <v>2028</v>
      </c>
      <c r="L26" s="196">
        <v>2029</v>
      </c>
      <c r="M26" s="197">
        <v>2030</v>
      </c>
    </row>
    <row r="27" spans="1:27" x14ac:dyDescent="0.2">
      <c r="A27" t="s">
        <v>246</v>
      </c>
      <c r="B27">
        <v>0.13</v>
      </c>
      <c r="C27">
        <v>0.13</v>
      </c>
      <c r="D27">
        <v>0.13</v>
      </c>
      <c r="E27">
        <v>0.13</v>
      </c>
      <c r="F27">
        <v>0.13</v>
      </c>
      <c r="G27">
        <v>0.13</v>
      </c>
      <c r="H27">
        <v>0.13</v>
      </c>
      <c r="I27">
        <v>0.13</v>
      </c>
      <c r="J27">
        <v>0.13</v>
      </c>
      <c r="K27">
        <v>0.13</v>
      </c>
      <c r="L27">
        <v>0.13</v>
      </c>
      <c r="M27">
        <v>0.13</v>
      </c>
    </row>
    <row r="28" spans="1:27" x14ac:dyDescent="0.2">
      <c r="A28" t="s">
        <v>248</v>
      </c>
      <c r="B28" s="266">
        <v>0.13</v>
      </c>
      <c r="C28" s="266">
        <v>0.51</v>
      </c>
      <c r="D28" s="266">
        <v>0.87</v>
      </c>
      <c r="E28" s="266">
        <v>1.22</v>
      </c>
      <c r="F28" s="266">
        <v>1.22</v>
      </c>
      <c r="G28" s="266">
        <v>1.22</v>
      </c>
      <c r="H28" s="266">
        <v>1.22</v>
      </c>
      <c r="I28" s="266">
        <v>1.22</v>
      </c>
      <c r="J28" s="266">
        <v>1.22</v>
      </c>
      <c r="K28" s="266">
        <v>1.22</v>
      </c>
      <c r="L28" s="266">
        <v>1.22</v>
      </c>
      <c r="M28" s="266">
        <v>1.22</v>
      </c>
    </row>
    <row r="29" spans="1:27" ht="16" thickBot="1" x14ac:dyDescent="0.25"/>
    <row r="30" spans="1:27" ht="16" thickBot="1" x14ac:dyDescent="0.25">
      <c r="A30" s="10" t="s">
        <v>252</v>
      </c>
      <c r="B30" s="196">
        <v>2019</v>
      </c>
      <c r="C30" s="196">
        <v>2020</v>
      </c>
      <c r="D30" s="196">
        <v>2021</v>
      </c>
      <c r="E30" s="196">
        <v>2022</v>
      </c>
      <c r="F30" s="196">
        <v>2023</v>
      </c>
      <c r="G30" s="196">
        <v>2024</v>
      </c>
      <c r="H30" s="196">
        <v>2025</v>
      </c>
      <c r="I30" s="196">
        <v>2026</v>
      </c>
      <c r="J30" s="196">
        <v>2027</v>
      </c>
      <c r="K30" s="196">
        <v>2028</v>
      </c>
      <c r="L30" s="196">
        <v>2029</v>
      </c>
      <c r="M30" s="197">
        <v>2030</v>
      </c>
      <c r="O30" s="10" t="s">
        <v>253</v>
      </c>
      <c r="P30" s="196">
        <v>2019</v>
      </c>
      <c r="Q30" s="196">
        <v>2020</v>
      </c>
      <c r="R30" s="196">
        <v>2021</v>
      </c>
      <c r="S30" s="196">
        <v>2022</v>
      </c>
      <c r="T30" s="196">
        <v>2023</v>
      </c>
      <c r="U30" s="196">
        <v>2024</v>
      </c>
      <c r="V30" s="196">
        <v>2025</v>
      </c>
      <c r="W30" s="196">
        <v>2026</v>
      </c>
      <c r="X30" s="196">
        <v>2027</v>
      </c>
      <c r="Y30" s="196">
        <v>2028</v>
      </c>
      <c r="Z30" s="196">
        <v>2029</v>
      </c>
      <c r="AA30" s="197">
        <v>2030</v>
      </c>
    </row>
    <row r="31" spans="1:27" x14ac:dyDescent="0.2">
      <c r="A31" t="s">
        <v>247</v>
      </c>
      <c r="B31" s="241">
        <f t="shared" ref="B31:M31" si="0">0.9*($B$2+B27-B9)*$B$4/$B$6*B15*$B$7</f>
        <v>14.664493226249997</v>
      </c>
      <c r="C31" s="241">
        <f t="shared" si="0"/>
        <v>24.929893980000013</v>
      </c>
      <c r="D31" s="241">
        <f t="shared" si="0"/>
        <v>24.929893980000013</v>
      </c>
      <c r="E31" s="241">
        <f t="shared" si="0"/>
        <v>24.929893980000013</v>
      </c>
      <c r="F31" s="241">
        <f t="shared" si="0"/>
        <v>18.697420485000009</v>
      </c>
      <c r="G31" s="241">
        <f t="shared" si="0"/>
        <v>18.697420485000009</v>
      </c>
      <c r="H31" s="241">
        <f t="shared" si="0"/>
        <v>15.581183737500007</v>
      </c>
      <c r="I31" s="241">
        <f t="shared" si="0"/>
        <v>9.3487102425000046</v>
      </c>
      <c r="J31" s="241">
        <f t="shared" si="0"/>
        <v>6.2324734950000034</v>
      </c>
      <c r="K31" s="241">
        <f t="shared" si="0"/>
        <v>3.1162367475000017</v>
      </c>
      <c r="L31" s="241">
        <f t="shared" si="0"/>
        <v>3.1162367475000017</v>
      </c>
      <c r="M31" s="241">
        <f t="shared" si="0"/>
        <v>3.1162367475000017</v>
      </c>
      <c r="O31" t="s">
        <v>247</v>
      </c>
      <c r="P31" s="241">
        <f t="shared" ref="P31:AA31" si="1">($B$3+B27-P9)*$B$5*B15/$B$6*$B$7</f>
        <v>15.533806312499973</v>
      </c>
      <c r="Q31" s="241">
        <f t="shared" si="1"/>
        <v>27.499114999999986</v>
      </c>
      <c r="R31" s="241">
        <f t="shared" si="1"/>
        <v>27.499114999999986</v>
      </c>
      <c r="S31" s="241">
        <f t="shared" si="1"/>
        <v>27.499114999999986</v>
      </c>
      <c r="T31" s="241">
        <f t="shared" si="1"/>
        <v>20.624336249999985</v>
      </c>
      <c r="U31" s="241">
        <f t="shared" si="1"/>
        <v>20.624336249999985</v>
      </c>
      <c r="V31" s="241">
        <f t="shared" si="1"/>
        <v>17.18694687499999</v>
      </c>
      <c r="W31" s="241">
        <f t="shared" si="1"/>
        <v>10.312168124999992</v>
      </c>
      <c r="X31" s="241">
        <f t="shared" si="1"/>
        <v>6.8747787499999964</v>
      </c>
      <c r="Y31" s="241">
        <f t="shared" si="1"/>
        <v>3.4373893749999982</v>
      </c>
      <c r="Z31" s="241">
        <f t="shared" si="1"/>
        <v>3.4373893749999982</v>
      </c>
      <c r="AA31" s="241">
        <f t="shared" si="1"/>
        <v>3.4373893749999982</v>
      </c>
    </row>
    <row r="32" spans="1:27" x14ac:dyDescent="0.2">
      <c r="A32" t="s">
        <v>174</v>
      </c>
      <c r="B32" s="241">
        <f t="shared" ref="B32:M32" si="2">0.9*($B$2+B28-B11)*$B$4*B16/$B$6*$B$7</f>
        <v>10.540024664062507</v>
      </c>
      <c r="C32" s="241">
        <f t="shared" si="2"/>
        <v>12.731401771875014</v>
      </c>
      <c r="D32" s="241">
        <f t="shared" si="2"/>
        <v>14.895884629687528</v>
      </c>
      <c r="E32" s="241">
        <f t="shared" si="2"/>
        <v>17.046920362500011</v>
      </c>
      <c r="F32" s="241">
        <f t="shared" si="2"/>
        <v>18.727306720312523</v>
      </c>
      <c r="G32" s="241">
        <f t="shared" si="2"/>
        <v>20.407693078125014</v>
      </c>
      <c r="H32" s="241">
        <f t="shared" si="2"/>
        <v>20.321033081062509</v>
      </c>
      <c r="I32" s="241">
        <f t="shared" si="2"/>
        <v>21.866988530250019</v>
      </c>
      <c r="J32" s="241">
        <f t="shared" si="2"/>
        <v>23.412943979437511</v>
      </c>
      <c r="K32" s="241">
        <f t="shared" si="2"/>
        <v>27.129238509375021</v>
      </c>
      <c r="L32" s="241">
        <f t="shared" si="2"/>
        <v>28.809624867187516</v>
      </c>
      <c r="M32" s="241">
        <f t="shared" si="2"/>
        <v>32.929212123000013</v>
      </c>
      <c r="O32" t="s">
        <v>174</v>
      </c>
      <c r="P32" s="241">
        <f t="shared" ref="P32:AA32" si="3">($B$3+B28-P11)*$B$5*B16/$B$6*$B$7</f>
        <v>10.823784453124999</v>
      </c>
      <c r="Q32" s="241">
        <f t="shared" si="3"/>
        <v>13.583571093749994</v>
      </c>
      <c r="R32" s="241">
        <f t="shared" si="3"/>
        <v>16.309740234374999</v>
      </c>
      <c r="S32" s="241">
        <f t="shared" si="3"/>
        <v>19.019100624999997</v>
      </c>
      <c r="T32" s="241">
        <f t="shared" si="3"/>
        <v>21.140154765625002</v>
      </c>
      <c r="U32" s="241">
        <f t="shared" si="3"/>
        <v>23.261208906250008</v>
      </c>
      <c r="V32" s="241">
        <f t="shared" si="3"/>
        <v>23.351682003124992</v>
      </c>
      <c r="W32" s="241">
        <f t="shared" si="3"/>
        <v>25.303051812499994</v>
      </c>
      <c r="X32" s="241">
        <f t="shared" si="3"/>
        <v>27.254421621874997</v>
      </c>
      <c r="Y32" s="241">
        <f t="shared" si="3"/>
        <v>31.745425468750003</v>
      </c>
      <c r="Z32" s="241">
        <f t="shared" si="3"/>
        <v>33.866479609374991</v>
      </c>
      <c r="AA32" s="241">
        <f t="shared" si="3"/>
        <v>38.866536449999991</v>
      </c>
    </row>
    <row r="33" spans="1:27" x14ac:dyDescent="0.2">
      <c r="A33" t="s">
        <v>215</v>
      </c>
      <c r="B33" s="241">
        <f t="shared" ref="B33:M33" si="4">0.9*($B$2+B28-B12)*$B$4*B17/$B$6*$B$7</f>
        <v>13.320184139999997</v>
      </c>
      <c r="C33" s="241">
        <f t="shared" si="4"/>
        <v>22.162654950000022</v>
      </c>
      <c r="D33" s="241">
        <f t="shared" si="4"/>
        <v>26.52203358000002</v>
      </c>
      <c r="E33" s="241">
        <f t="shared" si="4"/>
        <v>30.859896810000016</v>
      </c>
      <c r="F33" s="241">
        <f t="shared" si="4"/>
        <v>34.44472103999999</v>
      </c>
      <c r="G33" s="241">
        <f t="shared" si="4"/>
        <v>38.029545270000028</v>
      </c>
      <c r="H33" s="241">
        <f t="shared" si="4"/>
        <v>41.614369499999995</v>
      </c>
      <c r="I33" s="241">
        <f t="shared" si="4"/>
        <v>45.199193730000012</v>
      </c>
      <c r="J33" s="241">
        <f t="shared" si="4"/>
        <v>48.784017960000021</v>
      </c>
      <c r="K33" s="241">
        <f t="shared" si="4"/>
        <v>52.368842190000009</v>
      </c>
      <c r="L33" s="241">
        <f t="shared" si="4"/>
        <v>55.953666420000005</v>
      </c>
      <c r="M33" s="241">
        <f t="shared" si="4"/>
        <v>59.538490650000028</v>
      </c>
      <c r="O33" t="s">
        <v>215</v>
      </c>
      <c r="P33" s="241">
        <f t="shared" ref="P33:AA33" si="5">($B$3+B28-P12)*$B$5*B17/$B$6*$B$7</f>
        <v>13.836962999999997</v>
      </c>
      <c r="Q33" s="241">
        <f t="shared" si="5"/>
        <v>23.996171500000038</v>
      </c>
      <c r="R33" s="241">
        <f t="shared" si="5"/>
        <v>29.489271000000006</v>
      </c>
      <c r="S33" s="241">
        <f t="shared" si="5"/>
        <v>34.955476499999996</v>
      </c>
      <c r="T33" s="241">
        <f t="shared" si="5"/>
        <v>39.480391999999981</v>
      </c>
      <c r="U33" s="241">
        <f t="shared" si="5"/>
        <v>44.005307499999994</v>
      </c>
      <c r="V33" s="241">
        <f t="shared" si="5"/>
        <v>48.530223000000007</v>
      </c>
      <c r="W33" s="241">
        <f t="shared" si="5"/>
        <v>53.055138500000012</v>
      </c>
      <c r="X33" s="241">
        <f t="shared" si="5"/>
        <v>57.58005399999999</v>
      </c>
      <c r="Y33" s="241">
        <f t="shared" si="5"/>
        <v>62.10496950000001</v>
      </c>
      <c r="Z33" s="241">
        <f t="shared" si="5"/>
        <v>66.629884999999973</v>
      </c>
      <c r="AA33" s="241">
        <f t="shared" si="5"/>
        <v>71.154800499999993</v>
      </c>
    </row>
    <row r="34" spans="1:27" x14ac:dyDescent="0.2">
      <c r="A34" t="s">
        <v>216</v>
      </c>
      <c r="B34" s="241">
        <f t="shared" ref="B34:M34" si="6">0.9*($B$2+B28-B10)*$B$4*B18/$B$6*$B$7</f>
        <v>14.66449322625</v>
      </c>
      <c r="C34" s="241">
        <f t="shared" si="6"/>
        <v>25.747479180000028</v>
      </c>
      <c r="D34" s="241">
        <f t="shared" si="6"/>
        <v>26.52203358000002</v>
      </c>
      <c r="E34" s="241">
        <f t="shared" si="6"/>
        <v>27.275072580000021</v>
      </c>
      <c r="F34" s="241">
        <f t="shared" si="6"/>
        <v>22.06947533850002</v>
      </c>
      <c r="G34" s="241">
        <f t="shared" si="6"/>
        <v>23.682646242000004</v>
      </c>
      <c r="H34" s="241">
        <f t="shared" si="6"/>
        <v>16.863878097000004</v>
      </c>
      <c r="I34" s="241">
        <f t="shared" si="6"/>
        <v>17.939325366000013</v>
      </c>
      <c r="J34" s="241">
        <f t="shared" si="6"/>
        <v>19.014772635000014</v>
      </c>
      <c r="K34" s="241">
        <f t="shared" si="6"/>
        <v>20.090219904000005</v>
      </c>
      <c r="L34" s="241">
        <f t="shared" si="6"/>
        <v>21.165667173000006</v>
      </c>
      <c r="M34" s="241">
        <f t="shared" si="6"/>
        <v>24.46522588620002</v>
      </c>
      <c r="O34" t="s">
        <v>216</v>
      </c>
      <c r="P34" s="241">
        <f t="shared" ref="P34:AA34" si="7">($B$3+B28-P10)*$B$5*B18/$B$6*$B$7</f>
        <v>15.533806312499973</v>
      </c>
      <c r="Q34" s="241">
        <f t="shared" si="7"/>
        <v>28.521087000000012</v>
      </c>
      <c r="R34" s="241">
        <f t="shared" si="7"/>
        <v>29.489271000000006</v>
      </c>
      <c r="S34" s="241">
        <f t="shared" si="7"/>
        <v>30.430560999999994</v>
      </c>
      <c r="T34" s="241">
        <f t="shared" si="7"/>
        <v>24.859132724999998</v>
      </c>
      <c r="U34" s="241">
        <f t="shared" si="7"/>
        <v>26.895344700000006</v>
      </c>
      <c r="V34" s="241">
        <f t="shared" si="7"/>
        <v>19.287704450000007</v>
      </c>
      <c r="W34" s="241">
        <f t="shared" si="7"/>
        <v>20.645179099999993</v>
      </c>
      <c r="X34" s="241">
        <f t="shared" si="7"/>
        <v>22.002653749999997</v>
      </c>
      <c r="Y34" s="241">
        <f t="shared" si="7"/>
        <v>23.360128400000001</v>
      </c>
      <c r="Z34" s="241">
        <f t="shared" si="7"/>
        <v>24.717603050000005</v>
      </c>
      <c r="AA34" s="241">
        <f t="shared" si="7"/>
        <v>28.68258547000001</v>
      </c>
    </row>
    <row r="35" spans="1:27" x14ac:dyDescent="0.2">
      <c r="A35" t="s">
        <v>229</v>
      </c>
      <c r="B35" s="241">
        <f t="shared" ref="B35:M35" si="8">0.9*($B$2+B27-B9)*$B$4*B19/$B$6*$B$7</f>
        <v>14.66449322625</v>
      </c>
      <c r="C35" s="241">
        <f t="shared" si="8"/>
        <v>24.929893980000013</v>
      </c>
      <c r="D35" s="241">
        <f t="shared" si="8"/>
        <v>24.929893980000013</v>
      </c>
      <c r="E35" s="241">
        <f t="shared" si="8"/>
        <v>24.929893980000013</v>
      </c>
      <c r="F35" s="241">
        <f t="shared" si="8"/>
        <v>18.697420485000009</v>
      </c>
      <c r="G35" s="241">
        <f t="shared" si="8"/>
        <v>18.697420485000009</v>
      </c>
      <c r="H35" s="241">
        <f t="shared" si="8"/>
        <v>9.3487102425000046</v>
      </c>
      <c r="I35" s="241">
        <f t="shared" si="8"/>
        <v>6.2324734950000034</v>
      </c>
      <c r="J35" s="241">
        <f t="shared" si="8"/>
        <v>3.1162367475000017</v>
      </c>
      <c r="K35" s="241">
        <f t="shared" si="8"/>
        <v>3.1162367475000017</v>
      </c>
      <c r="L35" s="241">
        <f t="shared" si="8"/>
        <v>3.1162367475000017</v>
      </c>
      <c r="M35" s="241">
        <f t="shared" si="8"/>
        <v>3.1162367475000017</v>
      </c>
      <c r="O35" t="s">
        <v>229</v>
      </c>
      <c r="P35" s="241">
        <f>($B$3+B27-P9)*$B$5*B19/$B$6*$B$7</f>
        <v>15.533806312499973</v>
      </c>
      <c r="Q35" s="241">
        <f t="shared" ref="Q35:AA35" si="9">($B$3+C27-Q9)*$B$5*C19/$B$6*$B$7</f>
        <v>27.499114999999986</v>
      </c>
      <c r="R35" s="241">
        <f t="shared" si="9"/>
        <v>27.499114999999986</v>
      </c>
      <c r="S35" s="241">
        <f t="shared" si="9"/>
        <v>27.499114999999986</v>
      </c>
      <c r="T35" s="241">
        <f t="shared" si="9"/>
        <v>20.624336249999985</v>
      </c>
      <c r="U35" s="241">
        <f t="shared" si="9"/>
        <v>20.624336249999985</v>
      </c>
      <c r="V35" s="241">
        <f t="shared" si="9"/>
        <v>10.312168124999992</v>
      </c>
      <c r="W35" s="241">
        <f t="shared" si="9"/>
        <v>6.8747787499999964</v>
      </c>
      <c r="X35" s="241">
        <f t="shared" si="9"/>
        <v>3.4373893749999982</v>
      </c>
      <c r="Y35" s="241">
        <f t="shared" si="9"/>
        <v>3.4373893749999982</v>
      </c>
      <c r="Z35" s="241">
        <f t="shared" si="9"/>
        <v>3.4373893749999982</v>
      </c>
      <c r="AA35" s="241">
        <f t="shared" si="9"/>
        <v>3.4373893749999982</v>
      </c>
    </row>
    <row r="36" spans="1:27" x14ac:dyDescent="0.2">
      <c r="A36" t="s">
        <v>227</v>
      </c>
      <c r="B36" s="241">
        <f t="shared" ref="B36:M36" si="10">0.9*($B$2+B28-B11)*$B$4*B20/$B$6*$B$7</f>
        <v>10.540024664062507</v>
      </c>
      <c r="C36" s="241">
        <f t="shared" si="10"/>
        <v>12.731401771875014</v>
      </c>
      <c r="D36" s="241">
        <f t="shared" si="10"/>
        <v>14.895884629687528</v>
      </c>
      <c r="E36" s="241">
        <f t="shared" si="10"/>
        <v>17.046920362500011</v>
      </c>
      <c r="F36" s="241">
        <f t="shared" si="10"/>
        <v>14.981845376250016</v>
      </c>
      <c r="G36" s="241">
        <f t="shared" si="10"/>
        <v>16.326154462500011</v>
      </c>
      <c r="H36" s="241">
        <f t="shared" si="10"/>
        <v>17.670463548750007</v>
      </c>
      <c r="I36" s="241">
        <f t="shared" si="10"/>
        <v>19.014772635000014</v>
      </c>
      <c r="J36" s="241">
        <f t="shared" si="10"/>
        <v>17.30521946306251</v>
      </c>
      <c r="K36" s="241">
        <f t="shared" si="10"/>
        <v>18.447882186375015</v>
      </c>
      <c r="L36" s="241">
        <f t="shared" si="10"/>
        <v>19.590544909687512</v>
      </c>
      <c r="M36" s="241">
        <f t="shared" si="10"/>
        <v>20.733207633000006</v>
      </c>
      <c r="O36" t="s">
        <v>227</v>
      </c>
      <c r="P36" s="241">
        <f t="shared" ref="P36:AA36" si="11">($B$3+B28-P11)*$B$5*B20/$B$6*$B$7</f>
        <v>10.823784453124999</v>
      </c>
      <c r="Q36" s="241">
        <f t="shared" si="11"/>
        <v>13.583571093749994</v>
      </c>
      <c r="R36" s="241">
        <f t="shared" si="11"/>
        <v>16.309740234374999</v>
      </c>
      <c r="S36" s="241">
        <f t="shared" si="11"/>
        <v>19.019100624999997</v>
      </c>
      <c r="T36" s="241">
        <f t="shared" si="11"/>
        <v>16.912123812499999</v>
      </c>
      <c r="U36" s="241">
        <f t="shared" si="11"/>
        <v>18.608967125000007</v>
      </c>
      <c r="V36" s="241">
        <f t="shared" si="11"/>
        <v>20.305810437499993</v>
      </c>
      <c r="W36" s="241">
        <f t="shared" si="11"/>
        <v>22.002653749999997</v>
      </c>
      <c r="X36" s="241">
        <f t="shared" si="11"/>
        <v>20.144572503125001</v>
      </c>
      <c r="Y36" s="241">
        <f t="shared" si="11"/>
        <v>21.586889318750003</v>
      </c>
      <c r="Z36" s="241">
        <f t="shared" si="11"/>
        <v>23.029206134374995</v>
      </c>
      <c r="AA36" s="241">
        <f t="shared" si="11"/>
        <v>24.471522949999997</v>
      </c>
    </row>
    <row r="37" spans="1:27" x14ac:dyDescent="0.2">
      <c r="A37" t="s">
        <v>230</v>
      </c>
      <c r="B37" s="241">
        <f t="shared" ref="B37:M37" si="12">0.9*($B$2+B27-B9)*$B$4*B21/$B$6*$B$7</f>
        <v>14.66449322625</v>
      </c>
      <c r="C37" s="241">
        <f t="shared" si="12"/>
        <v>24.929893980000013</v>
      </c>
      <c r="D37" s="241">
        <f t="shared" si="12"/>
        <v>24.929893980000013</v>
      </c>
      <c r="E37" s="241">
        <f t="shared" si="12"/>
        <v>24.929893980000013</v>
      </c>
      <c r="F37" s="241">
        <f t="shared" si="12"/>
        <v>24.929893980000013</v>
      </c>
      <c r="G37" s="241">
        <f t="shared" si="12"/>
        <v>18.697420485000009</v>
      </c>
      <c r="H37" s="241">
        <f t="shared" si="12"/>
        <v>18.697420485000009</v>
      </c>
      <c r="I37" s="241">
        <f t="shared" si="12"/>
        <v>18.697420485000009</v>
      </c>
      <c r="J37" s="241">
        <f t="shared" si="12"/>
        <v>15.581183737500007</v>
      </c>
      <c r="K37" s="241">
        <f t="shared" si="12"/>
        <v>12.464946990000007</v>
      </c>
      <c r="L37" s="241">
        <f t="shared" si="12"/>
        <v>9.3487102425000046</v>
      </c>
      <c r="M37" s="241">
        <f t="shared" si="12"/>
        <v>6.2324734950000034</v>
      </c>
      <c r="O37" t="s">
        <v>230</v>
      </c>
      <c r="P37" s="241">
        <f t="shared" ref="P37:AA37" si="13">($B$3+B27-P9)*$B$5*B21/$B$6*$B$7</f>
        <v>15.533806312499973</v>
      </c>
      <c r="Q37" s="241">
        <f t="shared" si="13"/>
        <v>27.499114999999986</v>
      </c>
      <c r="R37" s="241">
        <f t="shared" si="13"/>
        <v>27.499114999999986</v>
      </c>
      <c r="S37" s="241">
        <f t="shared" si="13"/>
        <v>27.499114999999986</v>
      </c>
      <c r="T37" s="241">
        <f t="shared" si="13"/>
        <v>27.499114999999986</v>
      </c>
      <c r="U37" s="241">
        <f t="shared" si="13"/>
        <v>20.624336249999985</v>
      </c>
      <c r="V37" s="241">
        <f t="shared" si="13"/>
        <v>20.624336249999985</v>
      </c>
      <c r="W37" s="241">
        <f t="shared" si="13"/>
        <v>20.624336249999985</v>
      </c>
      <c r="X37" s="241">
        <f t="shared" si="13"/>
        <v>17.18694687499999</v>
      </c>
      <c r="Y37" s="241">
        <f t="shared" si="13"/>
        <v>13.749557499999993</v>
      </c>
      <c r="Z37" s="241">
        <f t="shared" si="13"/>
        <v>10.312168124999992</v>
      </c>
      <c r="AA37" s="241">
        <f t="shared" si="13"/>
        <v>6.8747787499999964</v>
      </c>
    </row>
    <row r="38" spans="1:27" x14ac:dyDescent="0.2">
      <c r="A38" t="s">
        <v>228</v>
      </c>
      <c r="B38" s="241">
        <f t="shared" ref="B38:M38" si="14">0.9*($B$2+B28-B11)*$B$4*B22/$B$6*$B$7</f>
        <v>12.648029596875007</v>
      </c>
      <c r="C38" s="241">
        <f t="shared" si="14"/>
        <v>15.277682126250017</v>
      </c>
      <c r="D38" s="241">
        <f t="shared" si="14"/>
        <v>17.875061555625031</v>
      </c>
      <c r="E38" s="241">
        <f t="shared" si="14"/>
        <v>27.275072580000021</v>
      </c>
      <c r="F38" s="241">
        <f t="shared" si="14"/>
        <v>29.963690752500032</v>
      </c>
      <c r="G38" s="241">
        <f t="shared" si="14"/>
        <v>24.489231693750018</v>
      </c>
      <c r="H38" s="241">
        <f t="shared" si="14"/>
        <v>26.505695323125011</v>
      </c>
      <c r="I38" s="241">
        <f t="shared" si="14"/>
        <v>28.522158952500025</v>
      </c>
      <c r="J38" s="241">
        <f t="shared" si="14"/>
        <v>30.538622581875014</v>
      </c>
      <c r="K38" s="241">
        <f t="shared" si="14"/>
        <v>32.555086211250028</v>
      </c>
      <c r="L38" s="241">
        <f t="shared" si="14"/>
        <v>40.333474814062527</v>
      </c>
      <c r="M38" s="241">
        <f t="shared" si="14"/>
        <v>42.686015715000011</v>
      </c>
      <c r="O38" t="s">
        <v>228</v>
      </c>
      <c r="P38" s="241">
        <f t="shared" ref="P38:AA38" si="15">($B$3+B28-P11)*$B$5*B22/$B$6*$B$7</f>
        <v>12.988541343749995</v>
      </c>
      <c r="Q38" s="241">
        <f t="shared" si="15"/>
        <v>16.300285312499994</v>
      </c>
      <c r="R38" s="241">
        <f t="shared" si="15"/>
        <v>19.571688281249997</v>
      </c>
      <c r="S38" s="241">
        <f t="shared" si="15"/>
        <v>30.430560999999994</v>
      </c>
      <c r="T38" s="241">
        <f t="shared" si="15"/>
        <v>33.824247624999998</v>
      </c>
      <c r="U38" s="241">
        <f t="shared" si="15"/>
        <v>27.913450687500006</v>
      </c>
      <c r="V38" s="241">
        <f t="shared" si="15"/>
        <v>30.458715656249986</v>
      </c>
      <c r="W38" s="241">
        <f t="shared" si="15"/>
        <v>33.00398062499999</v>
      </c>
      <c r="X38" s="241">
        <f t="shared" si="15"/>
        <v>35.549245593750001</v>
      </c>
      <c r="Y38" s="241">
        <f t="shared" si="15"/>
        <v>38.094510562500005</v>
      </c>
      <c r="Z38" s="241">
        <f t="shared" si="15"/>
        <v>47.413071453124985</v>
      </c>
      <c r="AA38" s="241">
        <f t="shared" si="15"/>
        <v>50.382547249999988</v>
      </c>
    </row>
    <row r="39" spans="1:27" x14ac:dyDescent="0.2">
      <c r="A39" t="s">
        <v>231</v>
      </c>
      <c r="B39" s="241">
        <f t="shared" ref="B39:M39" si="16">0.9*($B$2+B27-B9)*$B$4*B23/$B$6*$B$7</f>
        <v>14.66449322625</v>
      </c>
      <c r="C39" s="241">
        <f t="shared" si="16"/>
        <v>24.929893980000013</v>
      </c>
      <c r="D39" s="241">
        <f t="shared" si="16"/>
        <v>24.929893980000013</v>
      </c>
      <c r="E39" s="241">
        <f t="shared" si="16"/>
        <v>24.929893980000013</v>
      </c>
      <c r="F39" s="241">
        <f t="shared" si="16"/>
        <v>24.929893980000013</v>
      </c>
      <c r="G39" s="241">
        <f t="shared" si="16"/>
        <v>18.697420485000009</v>
      </c>
      <c r="H39" s="241">
        <f t="shared" si="16"/>
        <v>15.581183737500007</v>
      </c>
      <c r="I39" s="241">
        <f t="shared" si="16"/>
        <v>15.581183737500007</v>
      </c>
      <c r="J39" s="241">
        <f t="shared" si="16"/>
        <v>9.3487102425000046</v>
      </c>
      <c r="K39" s="241">
        <f t="shared" si="16"/>
        <v>3.1162367475000017</v>
      </c>
      <c r="L39" s="241">
        <f t="shared" si="16"/>
        <v>3.1162367475000017</v>
      </c>
      <c r="M39" s="241">
        <f t="shared" si="16"/>
        <v>3.1162367475000017</v>
      </c>
      <c r="O39" t="s">
        <v>231</v>
      </c>
      <c r="P39" s="241">
        <f t="shared" ref="P39:AA39" si="17">($B$3+B27-P9)*$B$5*B23/$B$6*$B$7</f>
        <v>15.533806312499973</v>
      </c>
      <c r="Q39" s="241">
        <f t="shared" si="17"/>
        <v>27.499114999999986</v>
      </c>
      <c r="R39" s="241">
        <f t="shared" si="17"/>
        <v>27.499114999999986</v>
      </c>
      <c r="S39" s="241">
        <f t="shared" si="17"/>
        <v>27.499114999999986</v>
      </c>
      <c r="T39" s="241">
        <f t="shared" si="17"/>
        <v>27.499114999999986</v>
      </c>
      <c r="U39" s="241">
        <f t="shared" si="17"/>
        <v>20.624336249999985</v>
      </c>
      <c r="V39" s="241">
        <f t="shared" si="17"/>
        <v>17.18694687499999</v>
      </c>
      <c r="W39" s="241">
        <f t="shared" si="17"/>
        <v>17.18694687499999</v>
      </c>
      <c r="X39" s="241">
        <f t="shared" si="17"/>
        <v>10.312168124999992</v>
      </c>
      <c r="Y39" s="241">
        <f t="shared" si="17"/>
        <v>3.4373893749999982</v>
      </c>
      <c r="Z39" s="241">
        <f t="shared" si="17"/>
        <v>3.4373893749999982</v>
      </c>
      <c r="AA39" s="241">
        <f t="shared" si="17"/>
        <v>3.4373893749999982</v>
      </c>
    </row>
    <row r="40" spans="1:27" x14ac:dyDescent="0.2">
      <c r="A40" t="s">
        <v>232</v>
      </c>
      <c r="B40" s="241">
        <f t="shared" ref="B40:M40" si="18">0.9*($B$2+B28-B11)*$B$4*B24/$B$6*$B$7</f>
        <v>12.648029596875007</v>
      </c>
      <c r="C40" s="241">
        <f t="shared" si="18"/>
        <v>15.277682126250017</v>
      </c>
      <c r="D40" s="241">
        <f t="shared" si="18"/>
        <v>17.875061555625031</v>
      </c>
      <c r="E40" s="241">
        <f t="shared" si="18"/>
        <v>27.275072580000021</v>
      </c>
      <c r="F40" s="241">
        <f t="shared" si="18"/>
        <v>22.472768064375025</v>
      </c>
      <c r="G40" s="241">
        <f t="shared" si="18"/>
        <v>24.489231693750018</v>
      </c>
      <c r="H40" s="241">
        <f t="shared" si="18"/>
        <v>22.088079435937509</v>
      </c>
      <c r="I40" s="241">
        <f t="shared" si="18"/>
        <v>23.768465793750018</v>
      </c>
      <c r="J40" s="241">
        <f t="shared" si="18"/>
        <v>25.448852151562519</v>
      </c>
      <c r="K40" s="241">
        <f t="shared" si="18"/>
        <v>27.129238509375021</v>
      </c>
      <c r="L40" s="241">
        <f t="shared" si="18"/>
        <v>28.809624867187516</v>
      </c>
      <c r="M40" s="241">
        <f t="shared" si="18"/>
        <v>31.709611674000016</v>
      </c>
      <c r="O40" t="s">
        <v>232</v>
      </c>
      <c r="P40" s="241">
        <f t="shared" ref="P40:AA40" si="19">($B$3+B28-P11)*$B$5*B24/$B$6*$B$7</f>
        <v>12.988541343749995</v>
      </c>
      <c r="Q40" s="241">
        <f t="shared" si="19"/>
        <v>16.300285312499994</v>
      </c>
      <c r="R40" s="241">
        <f t="shared" si="19"/>
        <v>19.571688281249997</v>
      </c>
      <c r="S40" s="241">
        <f t="shared" si="19"/>
        <v>30.430560999999994</v>
      </c>
      <c r="T40" s="241">
        <f t="shared" si="19"/>
        <v>25.368185718750002</v>
      </c>
      <c r="U40" s="241">
        <f t="shared" si="19"/>
        <v>27.913450687500006</v>
      </c>
      <c r="V40" s="241">
        <f t="shared" si="19"/>
        <v>25.382263046874993</v>
      </c>
      <c r="W40" s="241">
        <f t="shared" si="19"/>
        <v>27.503317187499992</v>
      </c>
      <c r="X40" s="241">
        <f t="shared" si="19"/>
        <v>29.624371328124997</v>
      </c>
      <c r="Y40" s="241">
        <f t="shared" si="19"/>
        <v>31.745425468750003</v>
      </c>
      <c r="Z40" s="241">
        <f t="shared" si="19"/>
        <v>33.866479609374991</v>
      </c>
      <c r="AA40" s="241">
        <f t="shared" si="19"/>
        <v>37.427035099999998</v>
      </c>
    </row>
    <row r="41" spans="1:27" ht="16" thickBot="1" x14ac:dyDescent="0.25"/>
    <row r="42" spans="1:27" ht="16" thickBot="1" x14ac:dyDescent="0.25">
      <c r="A42" s="10" t="s">
        <v>254</v>
      </c>
      <c r="B42" s="196">
        <v>2019</v>
      </c>
      <c r="C42" s="196">
        <v>2020</v>
      </c>
      <c r="D42" s="196">
        <v>2021</v>
      </c>
      <c r="E42" s="196">
        <v>2022</v>
      </c>
      <c r="F42" s="196">
        <v>2023</v>
      </c>
      <c r="G42" s="196">
        <v>2024</v>
      </c>
      <c r="H42" s="196">
        <v>2025</v>
      </c>
      <c r="I42" s="196">
        <v>2026</v>
      </c>
      <c r="J42" s="196">
        <v>2027</v>
      </c>
      <c r="K42" s="196">
        <v>2028</v>
      </c>
      <c r="L42" s="196">
        <v>2029</v>
      </c>
      <c r="M42" s="197">
        <v>2030</v>
      </c>
      <c r="O42" s="10" t="s">
        <v>255</v>
      </c>
      <c r="P42" s="196">
        <v>2019</v>
      </c>
      <c r="Q42" s="196">
        <v>2020</v>
      </c>
      <c r="R42" s="196">
        <v>2021</v>
      </c>
      <c r="S42" s="196">
        <v>2022</v>
      </c>
      <c r="T42" s="196">
        <v>2023</v>
      </c>
      <c r="U42" s="196">
        <v>2024</v>
      </c>
      <c r="V42" s="196">
        <v>2025</v>
      </c>
      <c r="W42" s="196">
        <v>2026</v>
      </c>
      <c r="X42" s="196">
        <v>2027</v>
      </c>
      <c r="Y42" s="196">
        <v>2028</v>
      </c>
      <c r="Z42" s="196">
        <v>2029</v>
      </c>
      <c r="AA42" s="197">
        <v>2030</v>
      </c>
    </row>
    <row r="43" spans="1:27" x14ac:dyDescent="0.2">
      <c r="A43" t="s">
        <v>174</v>
      </c>
      <c r="B43" s="241">
        <f>B32-B31</f>
        <v>-4.1244685621874897</v>
      </c>
      <c r="C43" s="241">
        <f t="shared" ref="C43:M43" si="20">C32-C31</f>
        <v>-12.198492208125</v>
      </c>
      <c r="D43" s="241">
        <f t="shared" si="20"/>
        <v>-10.034009350312486</v>
      </c>
      <c r="E43" s="241">
        <f t="shared" si="20"/>
        <v>-7.8829736175000029</v>
      </c>
      <c r="F43" s="241">
        <f t="shared" si="20"/>
        <v>2.9886235312513776E-2</v>
      </c>
      <c r="G43" s="241">
        <f t="shared" si="20"/>
        <v>1.7102725931250049</v>
      </c>
      <c r="H43" s="241">
        <f t="shared" si="20"/>
        <v>4.7398493435625024</v>
      </c>
      <c r="I43" s="241">
        <f t="shared" si="20"/>
        <v>12.518278287750014</v>
      </c>
      <c r="J43" s="241">
        <f t="shared" si="20"/>
        <v>17.180470484437507</v>
      </c>
      <c r="K43" s="241">
        <f t="shared" si="20"/>
        <v>24.013001761875021</v>
      </c>
      <c r="L43" s="241">
        <f t="shared" si="20"/>
        <v>25.693388119687516</v>
      </c>
      <c r="M43" s="241">
        <f t="shared" si="20"/>
        <v>29.812975375500013</v>
      </c>
      <c r="O43" t="s">
        <v>174</v>
      </c>
      <c r="P43" s="241">
        <f>P32-P31</f>
        <v>-4.7100218593749741</v>
      </c>
      <c r="Q43" s="241">
        <f t="shared" ref="Q43:AA43" si="21">Q32-Q31</f>
        <v>-13.915543906249992</v>
      </c>
      <c r="R43" s="241">
        <f t="shared" si="21"/>
        <v>-11.189374765624986</v>
      </c>
      <c r="S43" s="241">
        <f t="shared" si="21"/>
        <v>-8.480014374999989</v>
      </c>
      <c r="T43" s="241">
        <f t="shared" si="21"/>
        <v>0.51581851562501768</v>
      </c>
      <c r="U43" s="241">
        <f t="shared" si="21"/>
        <v>2.6368726562500235</v>
      </c>
      <c r="V43" s="241">
        <f t="shared" si="21"/>
        <v>6.1647351281250025</v>
      </c>
      <c r="W43" s="241">
        <f t="shared" si="21"/>
        <v>14.990883687500002</v>
      </c>
      <c r="X43" s="241">
        <f t="shared" si="21"/>
        <v>20.379642871874999</v>
      </c>
      <c r="Y43" s="241">
        <f t="shared" si="21"/>
        <v>28.308036093750005</v>
      </c>
      <c r="Z43" s="241">
        <f t="shared" si="21"/>
        <v>30.429090234374993</v>
      </c>
      <c r="AA43" s="241">
        <f t="shared" si="21"/>
        <v>35.429147074999996</v>
      </c>
    </row>
    <row r="44" spans="1:27" x14ac:dyDescent="0.2">
      <c r="A44" t="s">
        <v>227</v>
      </c>
      <c r="B44" s="241">
        <f>B36-B35</f>
        <v>-4.1244685621874932</v>
      </c>
      <c r="C44" s="241">
        <f t="shared" ref="C44:M44" si="22">C36-C35</f>
        <v>-12.198492208125</v>
      </c>
      <c r="D44" s="241">
        <f t="shared" si="22"/>
        <v>-10.034009350312486</v>
      </c>
      <c r="E44" s="241">
        <f t="shared" si="22"/>
        <v>-7.8829736175000029</v>
      </c>
      <c r="F44" s="241">
        <f t="shared" si="22"/>
        <v>-3.7155751087499933</v>
      </c>
      <c r="G44" s="241">
        <f t="shared" si="22"/>
        <v>-2.3712660224999986</v>
      </c>
      <c r="H44" s="241">
        <f t="shared" si="22"/>
        <v>8.3217533062500024</v>
      </c>
      <c r="I44" s="241">
        <f t="shared" si="22"/>
        <v>12.78229914000001</v>
      </c>
      <c r="J44" s="241">
        <f t="shared" si="22"/>
        <v>14.188982715562508</v>
      </c>
      <c r="K44" s="241">
        <f t="shared" si="22"/>
        <v>15.331645438875013</v>
      </c>
      <c r="L44" s="241">
        <f t="shared" si="22"/>
        <v>16.474308162187512</v>
      </c>
      <c r="M44" s="241">
        <f t="shared" si="22"/>
        <v>17.616970885500006</v>
      </c>
      <c r="O44" t="s">
        <v>227</v>
      </c>
      <c r="P44" s="241">
        <f>P36-P35</f>
        <v>-4.7100218593749741</v>
      </c>
      <c r="Q44" s="241">
        <f t="shared" ref="Q44:AA44" si="23">Q36-Q35</f>
        <v>-13.915543906249992</v>
      </c>
      <c r="R44" s="241">
        <f t="shared" si="23"/>
        <v>-11.189374765624986</v>
      </c>
      <c r="S44" s="241">
        <f t="shared" si="23"/>
        <v>-8.480014374999989</v>
      </c>
      <c r="T44" s="241">
        <f t="shared" si="23"/>
        <v>-3.7122124374999856</v>
      </c>
      <c r="U44" s="241">
        <f t="shared" si="23"/>
        <v>-2.0153691249999781</v>
      </c>
      <c r="V44" s="241">
        <f t="shared" si="23"/>
        <v>9.9936423125000005</v>
      </c>
      <c r="W44" s="241">
        <f t="shared" si="23"/>
        <v>15.127875</v>
      </c>
      <c r="X44" s="241">
        <f t="shared" si="23"/>
        <v>16.707183128125003</v>
      </c>
      <c r="Y44" s="241">
        <f t="shared" si="23"/>
        <v>18.149499943750005</v>
      </c>
      <c r="Z44" s="241">
        <f t="shared" si="23"/>
        <v>19.591816759374996</v>
      </c>
      <c r="AA44" s="241">
        <f t="shared" si="23"/>
        <v>21.034133574999998</v>
      </c>
    </row>
    <row r="45" spans="1:27" x14ac:dyDescent="0.2">
      <c r="A45" t="s">
        <v>228</v>
      </c>
      <c r="B45" s="241">
        <f>B38-B37</f>
        <v>-2.0164636293749929</v>
      </c>
      <c r="C45" s="241">
        <f t="shared" ref="C45:M45" si="24">C38-C37</f>
        <v>-9.6522118537499964</v>
      </c>
      <c r="D45" s="241">
        <f t="shared" si="24"/>
        <v>-7.0548324243749825</v>
      </c>
      <c r="E45" s="241">
        <f t="shared" si="24"/>
        <v>2.3451786000000077</v>
      </c>
      <c r="F45" s="241">
        <f t="shared" si="24"/>
        <v>5.0337967725000183</v>
      </c>
      <c r="G45" s="241">
        <f t="shared" si="24"/>
        <v>5.7918112087500084</v>
      </c>
      <c r="H45" s="241">
        <f t="shared" si="24"/>
        <v>7.8082748381250013</v>
      </c>
      <c r="I45" s="241">
        <f t="shared" si="24"/>
        <v>9.8247384675000156</v>
      </c>
      <c r="J45" s="241">
        <f t="shared" si="24"/>
        <v>14.957438844375007</v>
      </c>
      <c r="K45" s="241">
        <f t="shared" si="24"/>
        <v>20.09013922125002</v>
      </c>
      <c r="L45" s="241">
        <f t="shared" si="24"/>
        <v>30.984764571562522</v>
      </c>
      <c r="M45" s="241">
        <f t="shared" si="24"/>
        <v>36.45354222000001</v>
      </c>
      <c r="O45" t="s">
        <v>228</v>
      </c>
      <c r="P45" s="241">
        <f>P38-P37</f>
        <v>-2.5452649687499775</v>
      </c>
      <c r="Q45" s="241">
        <f t="shared" ref="Q45:AA45" si="25">Q38-Q37</f>
        <v>-11.198829687499991</v>
      </c>
      <c r="R45" s="241">
        <f t="shared" si="25"/>
        <v>-7.9274267187499881</v>
      </c>
      <c r="S45" s="241">
        <f t="shared" si="25"/>
        <v>2.9314460000000082</v>
      </c>
      <c r="T45" s="241">
        <f t="shared" si="25"/>
        <v>6.3251326250000126</v>
      </c>
      <c r="U45" s="241">
        <f t="shared" si="25"/>
        <v>7.2891144375000216</v>
      </c>
      <c r="V45" s="241">
        <f t="shared" si="25"/>
        <v>9.834379406250001</v>
      </c>
      <c r="W45" s="241">
        <f t="shared" si="25"/>
        <v>12.379644375000005</v>
      </c>
      <c r="X45" s="241">
        <f t="shared" si="25"/>
        <v>18.362298718750012</v>
      </c>
      <c r="Y45" s="241">
        <f t="shared" si="25"/>
        <v>24.344953062500011</v>
      </c>
      <c r="Z45" s="241">
        <f t="shared" si="25"/>
        <v>37.100903328124993</v>
      </c>
      <c r="AA45" s="241">
        <f t="shared" si="25"/>
        <v>43.50776849999999</v>
      </c>
    </row>
    <row r="46" spans="1:27" x14ac:dyDescent="0.2">
      <c r="A46" t="s">
        <v>232</v>
      </c>
      <c r="B46" s="241">
        <f>B40-B39</f>
        <v>-2.0164636293749929</v>
      </c>
      <c r="C46" s="241">
        <f t="shared" ref="C46:M46" si="26">C40-C39</f>
        <v>-9.6522118537499964</v>
      </c>
      <c r="D46" s="241">
        <f t="shared" si="26"/>
        <v>-7.0548324243749825</v>
      </c>
      <c r="E46" s="241">
        <f t="shared" si="26"/>
        <v>2.3451786000000077</v>
      </c>
      <c r="F46" s="241">
        <f t="shared" si="26"/>
        <v>-2.4571259156249887</v>
      </c>
      <c r="G46" s="241">
        <f t="shared" si="26"/>
        <v>5.7918112087500084</v>
      </c>
      <c r="H46" s="241">
        <f t="shared" si="26"/>
        <v>6.5068956984375017</v>
      </c>
      <c r="I46" s="241">
        <f t="shared" si="26"/>
        <v>8.1872820562500106</v>
      </c>
      <c r="J46" s="241">
        <f t="shared" si="26"/>
        <v>16.100141909062515</v>
      </c>
      <c r="K46" s="241">
        <f t="shared" si="26"/>
        <v>24.013001761875021</v>
      </c>
      <c r="L46" s="241">
        <f t="shared" si="26"/>
        <v>25.693388119687516</v>
      </c>
      <c r="M46" s="241">
        <f t="shared" si="26"/>
        <v>28.593374926500015</v>
      </c>
      <c r="O46" t="s">
        <v>232</v>
      </c>
      <c r="P46" s="241">
        <f>P40-P39</f>
        <v>-2.5452649687499775</v>
      </c>
      <c r="Q46" s="241">
        <f t="shared" ref="Q46:AA46" si="27">Q40-Q39</f>
        <v>-11.198829687499991</v>
      </c>
      <c r="R46" s="241">
        <f t="shared" si="27"/>
        <v>-7.9274267187499881</v>
      </c>
      <c r="S46" s="241">
        <f t="shared" si="27"/>
        <v>2.9314460000000082</v>
      </c>
      <c r="T46" s="241">
        <f t="shared" si="27"/>
        <v>-2.1309292812499834</v>
      </c>
      <c r="U46" s="241">
        <f t="shared" si="27"/>
        <v>7.2891144375000216</v>
      </c>
      <c r="V46" s="241">
        <f t="shared" si="27"/>
        <v>8.1953161718750032</v>
      </c>
      <c r="W46" s="241">
        <f t="shared" si="27"/>
        <v>10.316370312500002</v>
      </c>
      <c r="X46" s="241">
        <f t="shared" si="27"/>
        <v>19.312203203125005</v>
      </c>
      <c r="Y46" s="241">
        <f t="shared" si="27"/>
        <v>28.308036093750005</v>
      </c>
      <c r="Z46" s="241">
        <f t="shared" si="27"/>
        <v>30.429090234374993</v>
      </c>
      <c r="AA46" s="241">
        <f t="shared" si="27"/>
        <v>33.989645725000003</v>
      </c>
    </row>
    <row r="48" spans="1:27" x14ac:dyDescent="0.2">
      <c r="A48" s="263" t="s">
        <v>256</v>
      </c>
      <c r="B48" s="241">
        <f>MIN(B43:B45)</f>
        <v>-4.1244685621874932</v>
      </c>
      <c r="C48" s="241">
        <f t="shared" ref="C48:M48" si="28">MIN(C43:C45)</f>
        <v>-12.198492208125</v>
      </c>
      <c r="D48" s="241">
        <f t="shared" si="28"/>
        <v>-10.034009350312486</v>
      </c>
      <c r="E48" s="241">
        <f t="shared" si="28"/>
        <v>-7.8829736175000029</v>
      </c>
      <c r="F48" s="241">
        <f t="shared" si="28"/>
        <v>-3.7155751087499933</v>
      </c>
      <c r="G48" s="241">
        <f t="shared" si="28"/>
        <v>-2.3712660224999986</v>
      </c>
      <c r="H48" s="241">
        <f t="shared" si="28"/>
        <v>4.7398493435625024</v>
      </c>
      <c r="I48" s="241">
        <f t="shared" si="28"/>
        <v>9.8247384675000156</v>
      </c>
      <c r="J48" s="241">
        <f t="shared" si="28"/>
        <v>14.188982715562508</v>
      </c>
      <c r="K48" s="241">
        <f t="shared" si="28"/>
        <v>15.331645438875013</v>
      </c>
      <c r="L48" s="241">
        <f t="shared" si="28"/>
        <v>16.474308162187512</v>
      </c>
      <c r="M48" s="241">
        <f t="shared" si="28"/>
        <v>17.616970885500006</v>
      </c>
      <c r="O48" s="263" t="s">
        <v>256</v>
      </c>
      <c r="P48" s="241">
        <f>MIN(P43:P45)</f>
        <v>-4.7100218593749741</v>
      </c>
      <c r="Q48" s="241">
        <f t="shared" ref="Q48:AA48" si="29">MIN(Q43:Q45)</f>
        <v>-13.915543906249992</v>
      </c>
      <c r="R48" s="241">
        <f t="shared" si="29"/>
        <v>-11.189374765624986</v>
      </c>
      <c r="S48" s="241">
        <f t="shared" si="29"/>
        <v>-8.480014374999989</v>
      </c>
      <c r="T48" s="241">
        <f t="shared" si="29"/>
        <v>-3.7122124374999856</v>
      </c>
      <c r="U48" s="241">
        <f t="shared" si="29"/>
        <v>-2.0153691249999781</v>
      </c>
      <c r="V48" s="241">
        <f t="shared" si="29"/>
        <v>6.1647351281250025</v>
      </c>
      <c r="W48" s="241">
        <f t="shared" si="29"/>
        <v>12.379644375000005</v>
      </c>
      <c r="X48" s="241">
        <f t="shared" si="29"/>
        <v>16.707183128125003</v>
      </c>
      <c r="Y48" s="241">
        <f t="shared" si="29"/>
        <v>18.149499943750005</v>
      </c>
      <c r="Z48" s="241">
        <f t="shared" si="29"/>
        <v>19.591816759374996</v>
      </c>
      <c r="AA48" s="241">
        <f t="shared" si="29"/>
        <v>21.034133574999998</v>
      </c>
    </row>
    <row r="49" spans="1:27" x14ac:dyDescent="0.2">
      <c r="A49" s="263" t="s">
        <v>257</v>
      </c>
      <c r="B49" s="241">
        <f>MAX(B43:B45)</f>
        <v>-2.0164636293749929</v>
      </c>
      <c r="C49" s="241">
        <f t="shared" ref="C49:M49" si="30">MAX(C43:C45)</f>
        <v>-9.6522118537499964</v>
      </c>
      <c r="D49" s="241">
        <f t="shared" si="30"/>
        <v>-7.0548324243749825</v>
      </c>
      <c r="E49" s="241">
        <f t="shared" si="30"/>
        <v>2.3451786000000077</v>
      </c>
      <c r="F49" s="241">
        <f t="shared" si="30"/>
        <v>5.0337967725000183</v>
      </c>
      <c r="G49" s="241">
        <f t="shared" si="30"/>
        <v>5.7918112087500084</v>
      </c>
      <c r="H49" s="241">
        <f t="shared" si="30"/>
        <v>8.3217533062500024</v>
      </c>
      <c r="I49" s="241">
        <f t="shared" si="30"/>
        <v>12.78229914000001</v>
      </c>
      <c r="J49" s="241">
        <f t="shared" si="30"/>
        <v>17.180470484437507</v>
      </c>
      <c r="K49" s="241">
        <f t="shared" si="30"/>
        <v>24.013001761875021</v>
      </c>
      <c r="L49" s="241">
        <f t="shared" si="30"/>
        <v>30.984764571562522</v>
      </c>
      <c r="M49" s="241">
        <f t="shared" si="30"/>
        <v>36.45354222000001</v>
      </c>
      <c r="O49" s="263" t="s">
        <v>257</v>
      </c>
      <c r="P49" s="241">
        <f>MAX(P43:P45)</f>
        <v>-2.5452649687499775</v>
      </c>
      <c r="Q49" s="241">
        <f t="shared" ref="Q49:AA49" si="31">MAX(Q43:Q45)</f>
        <v>-11.198829687499991</v>
      </c>
      <c r="R49" s="241">
        <f t="shared" si="31"/>
        <v>-7.9274267187499881</v>
      </c>
      <c r="S49" s="241">
        <f t="shared" si="31"/>
        <v>2.9314460000000082</v>
      </c>
      <c r="T49" s="241">
        <f t="shared" si="31"/>
        <v>6.3251326250000126</v>
      </c>
      <c r="U49" s="241">
        <f t="shared" si="31"/>
        <v>7.2891144375000216</v>
      </c>
      <c r="V49" s="241">
        <f t="shared" si="31"/>
        <v>9.9936423125000005</v>
      </c>
      <c r="W49" s="241">
        <f t="shared" si="31"/>
        <v>15.127875</v>
      </c>
      <c r="X49" s="241">
        <f t="shared" si="31"/>
        <v>20.379642871874999</v>
      </c>
      <c r="Y49" s="241">
        <f t="shared" si="31"/>
        <v>28.308036093750005</v>
      </c>
      <c r="Z49" s="241">
        <f t="shared" si="31"/>
        <v>37.100903328124993</v>
      </c>
      <c r="AA49" s="241">
        <f t="shared" si="31"/>
        <v>43.50776849999999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tabSelected="1" topLeftCell="A2" zoomScale="115" zoomScaleNormal="115" zoomScalePageLayoutView="115" workbookViewId="0">
      <selection activeCell="C3" sqref="C3:D3"/>
    </sheetView>
  </sheetViews>
  <sheetFormatPr baseColWidth="10" defaultColWidth="9.1640625" defaultRowHeight="15" x14ac:dyDescent="0.2"/>
  <cols>
    <col min="1" max="1" width="10.6640625" style="15" customWidth="1"/>
    <col min="2" max="3" width="9.1640625" style="15"/>
    <col min="4" max="4" width="21.33203125" style="15" customWidth="1"/>
    <col min="5" max="5" width="16.5" style="15" bestFit="1" customWidth="1"/>
    <col min="6" max="6" width="4.5" style="15" customWidth="1"/>
    <col min="7" max="7" width="9.1640625" style="15"/>
    <col min="8" max="8" width="5.1640625" style="15" customWidth="1"/>
    <col min="9" max="22" width="9.1640625" style="15"/>
    <col min="23" max="23" width="14.33203125" style="15" customWidth="1"/>
    <col min="24" max="16384" width="9.1640625" style="15"/>
  </cols>
  <sheetData>
    <row r="1" spans="1:16" ht="24" x14ac:dyDescent="0.3">
      <c r="A1" s="126" t="s">
        <v>135</v>
      </c>
      <c r="D1" s="15" t="s">
        <v>271</v>
      </c>
    </row>
    <row r="2" spans="1:16" ht="16" thickBot="1" x14ac:dyDescent="0.25">
      <c r="A2" s="137" t="s">
        <v>142</v>
      </c>
    </row>
    <row r="3" spans="1:16" ht="16" thickBot="1" x14ac:dyDescent="0.25">
      <c r="A3" s="98" t="s">
        <v>129</v>
      </c>
      <c r="C3" s="444" t="s">
        <v>152</v>
      </c>
      <c r="D3" s="445"/>
      <c r="G3"/>
    </row>
    <row r="4" spans="1:16" ht="16" thickBot="1" x14ac:dyDescent="0.25">
      <c r="A4" s="98" t="s">
        <v>148</v>
      </c>
      <c r="C4" s="444" t="s">
        <v>152</v>
      </c>
      <c r="D4" s="445"/>
      <c r="E4" s="15" t="s">
        <v>269</v>
      </c>
      <c r="F4" s="15" t="s">
        <v>270</v>
      </c>
      <c r="G4" s="140"/>
    </row>
    <row r="5" spans="1:16" ht="16" thickBot="1" x14ac:dyDescent="0.25">
      <c r="A5" s="98" t="s">
        <v>137</v>
      </c>
      <c r="C5" s="446" t="s">
        <v>152</v>
      </c>
      <c r="D5" s="445"/>
    </row>
    <row r="6" spans="1:16" x14ac:dyDescent="0.2">
      <c r="A6" s="98"/>
      <c r="C6" s="447"/>
      <c r="D6" s="447"/>
    </row>
    <row r="7" spans="1:16" ht="24" x14ac:dyDescent="0.3">
      <c r="B7" s="126" t="s">
        <v>138</v>
      </c>
      <c r="J7" s="126" t="s">
        <v>139</v>
      </c>
    </row>
    <row r="12" spans="1:16" x14ac:dyDescent="0.2">
      <c r="O12" s="98"/>
    </row>
    <row r="14" spans="1:16" x14ac:dyDescent="0.2">
      <c r="P14" s="145"/>
    </row>
    <row r="15" spans="1:16" x14ac:dyDescent="0.2">
      <c r="P15" s="145"/>
    </row>
    <row r="16" spans="1:16" x14ac:dyDescent="0.2">
      <c r="P16" s="145"/>
    </row>
    <row r="17" spans="16:16" x14ac:dyDescent="0.2">
      <c r="P17" s="145"/>
    </row>
    <row r="18" spans="16:16" x14ac:dyDescent="0.2">
      <c r="P18" s="145"/>
    </row>
    <row r="19" spans="16:16" x14ac:dyDescent="0.2">
      <c r="P19" s="145"/>
    </row>
    <row r="20" spans="16:16" x14ac:dyDescent="0.2">
      <c r="P20" s="145"/>
    </row>
    <row r="21" spans="16:16" x14ac:dyDescent="0.2">
      <c r="P21" s="145"/>
    </row>
    <row r="22" spans="16:16" x14ac:dyDescent="0.2">
      <c r="P22" s="145"/>
    </row>
    <row r="23" spans="16:16" x14ac:dyDescent="0.2">
      <c r="P23" s="145"/>
    </row>
    <row r="24" spans="16:16" x14ac:dyDescent="0.2">
      <c r="P24" s="145"/>
    </row>
    <row r="25" spans="16:16" x14ac:dyDescent="0.2">
      <c r="P25" s="145"/>
    </row>
    <row r="26" spans="16:16" x14ac:dyDescent="0.2">
      <c r="P26" s="145"/>
    </row>
    <row r="27" spans="16:16" x14ac:dyDescent="0.2">
      <c r="P27" s="145"/>
    </row>
    <row r="28" spans="16:16" hidden="1" x14ac:dyDescent="0.2">
      <c r="P28" s="145"/>
    </row>
    <row r="29" spans="16:16" hidden="1" x14ac:dyDescent="0.2">
      <c r="P29" s="145"/>
    </row>
    <row r="30" spans="16:16" hidden="1" x14ac:dyDescent="0.2">
      <c r="P30" s="145"/>
    </row>
    <row r="31" spans="16:16" hidden="1" x14ac:dyDescent="0.2"/>
    <row r="32" spans="16:16" hidden="1" x14ac:dyDescent="0.2"/>
    <row r="33" spans="1:21" hidden="1" x14ac:dyDescent="0.2"/>
    <row r="34" spans="1:21" hidden="1" x14ac:dyDescent="0.2"/>
    <row r="35" spans="1:21" hidden="1" x14ac:dyDescent="0.2"/>
    <row r="36" spans="1:21" hidden="1" x14ac:dyDescent="0.2"/>
    <row r="37" spans="1:21" ht="19" x14ac:dyDescent="0.25">
      <c r="A37" s="125" t="s">
        <v>136</v>
      </c>
    </row>
    <row r="45" spans="1:21" x14ac:dyDescent="0.2">
      <c r="U45" s="149"/>
    </row>
    <row r="52" spans="20:20" x14ac:dyDescent="0.2">
      <c r="T52" s="146"/>
    </row>
  </sheetData>
  <mergeCells count="4">
    <mergeCell ref="C3:D3"/>
    <mergeCell ref="C4:D4"/>
    <mergeCell ref="C5:D5"/>
    <mergeCell ref="C6:D6"/>
  </mergeCells>
  <pageMargins left="0.7" right="0.7" top="0.75" bottom="0.75" header="0.3" footer="0.3"/>
  <pageSetup orientation="landscape" verticalDpi="0"/>
  <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'Reduction Targets'!$A$3:$A$7</xm:f>
          </x14:formula1>
          <xm:sqref>C5:D5</xm:sqref>
        </x14:dataValidation>
        <x14:dataValidation type="list" allowBlank="1" showInputMessage="1" showErrorMessage="1">
          <x14:formula1>
            <xm:f>'Supply Scenarios'!$B$2:$O$2</xm:f>
          </x14:formula1>
          <xm:sqref>C4:D4</xm:sqref>
        </x14:dataValidation>
        <x14:dataValidation type="list" allowBlank="1" showInputMessage="1" showErrorMessage="1">
          <x14:formula1>
            <xm:f>'Demand Reduction Scenarios'!$E$25:$E$28</xm:f>
          </x14:formula1>
          <xm:sqref>C3:D3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59999389629810485"/>
  </sheetPr>
  <dimension ref="A1:N8"/>
  <sheetViews>
    <sheetView workbookViewId="0">
      <selection activeCell="B2" sqref="B2:M7"/>
    </sheetView>
  </sheetViews>
  <sheetFormatPr baseColWidth="10" defaultColWidth="8.83203125" defaultRowHeight="15" x14ac:dyDescent="0.2"/>
  <cols>
    <col min="1" max="1" width="16" style="15" customWidth="1"/>
    <col min="2" max="3" width="8.83203125" style="15"/>
    <col min="4" max="4" width="11.1640625" style="15" bestFit="1" customWidth="1"/>
    <col min="5" max="16384" width="8.83203125" style="15"/>
  </cols>
  <sheetData>
    <row r="1" spans="1:14" ht="16" thickBot="1" x14ac:dyDescent="0.25">
      <c r="A1" s="15" t="s">
        <v>165</v>
      </c>
    </row>
    <row r="2" spans="1:14" ht="16" thickBot="1" x14ac:dyDescent="0.25">
      <c r="A2" s="198" t="s">
        <v>65</v>
      </c>
      <c r="B2" s="106">
        <v>2019</v>
      </c>
      <c r="C2" s="196">
        <v>2020</v>
      </c>
      <c r="D2" s="196">
        <v>2021</v>
      </c>
      <c r="E2" s="196">
        <v>2022</v>
      </c>
      <c r="F2" s="196">
        <v>2023</v>
      </c>
      <c r="G2" s="196">
        <v>2024</v>
      </c>
      <c r="H2" s="196">
        <v>2025</v>
      </c>
      <c r="I2" s="196">
        <v>2026</v>
      </c>
      <c r="J2" s="196">
        <v>2027</v>
      </c>
      <c r="K2" s="196">
        <v>2028</v>
      </c>
      <c r="L2" s="196">
        <v>2029</v>
      </c>
      <c r="M2" s="197">
        <v>2030</v>
      </c>
    </row>
    <row r="3" spans="1:14" x14ac:dyDescent="0.2">
      <c r="A3" s="199">
        <v>0.18</v>
      </c>
      <c r="B3" s="192">
        <v>7.4999999999999997E-2</v>
      </c>
      <c r="C3" s="193">
        <v>0.1</v>
      </c>
      <c r="D3" s="193">
        <v>0.1</v>
      </c>
      <c r="E3" s="193">
        <v>0.1</v>
      </c>
      <c r="F3" s="193">
        <f>0.08/($M$2-$E$2)+E3</f>
        <v>0.11</v>
      </c>
      <c r="G3" s="193">
        <f t="shared" ref="G3:M3" si="0">0.08/($M$2-$E$2)+F3</f>
        <v>0.12</v>
      </c>
      <c r="H3" s="193">
        <f t="shared" si="0"/>
        <v>0.13</v>
      </c>
      <c r="I3" s="193">
        <f t="shared" si="0"/>
        <v>0.14000000000000001</v>
      </c>
      <c r="J3" s="193">
        <f t="shared" si="0"/>
        <v>0.15000000000000002</v>
      </c>
      <c r="K3" s="193">
        <f t="shared" si="0"/>
        <v>0.16000000000000003</v>
      </c>
      <c r="L3" s="193">
        <f t="shared" si="0"/>
        <v>0.17000000000000004</v>
      </c>
      <c r="M3" s="194">
        <f t="shared" si="0"/>
        <v>0.18000000000000005</v>
      </c>
      <c r="N3" s="15" t="s">
        <v>262</v>
      </c>
    </row>
    <row r="4" spans="1:14" x14ac:dyDescent="0.2">
      <c r="A4" s="199">
        <v>0.2</v>
      </c>
      <c r="B4" s="195">
        <v>6.25E-2</v>
      </c>
      <c r="C4" s="191">
        <v>7.4999999999999997E-2</v>
      </c>
      <c r="D4" s="195">
        <v>8.7499999999999994E-2</v>
      </c>
      <c r="E4" s="191">
        <v>0.1</v>
      </c>
      <c r="F4" s="195">
        <v>0.1125</v>
      </c>
      <c r="G4" s="191">
        <v>0.125</v>
      </c>
      <c r="H4" s="195">
        <v>0.13750000000000001</v>
      </c>
      <c r="I4" s="191">
        <v>0.15</v>
      </c>
      <c r="J4" s="195">
        <v>0.16250000000000001</v>
      </c>
      <c r="K4" s="191">
        <v>0.17499999999999999</v>
      </c>
      <c r="L4" s="195">
        <v>0.1875</v>
      </c>
      <c r="M4" s="191">
        <v>0.2</v>
      </c>
      <c r="N4" s="15" t="s">
        <v>191</v>
      </c>
    </row>
    <row r="5" spans="1:14" x14ac:dyDescent="0.2">
      <c r="A5" s="199">
        <v>0.25</v>
      </c>
      <c r="B5" s="212">
        <f>0.05+(0.25-0.05)/12</f>
        <v>6.6666666666666666E-2</v>
      </c>
      <c r="C5" s="213">
        <f>B5+(0.25-0.05)/12</f>
        <v>8.3333333333333329E-2</v>
      </c>
      <c r="D5" s="213">
        <f t="shared" ref="D5:M5" si="1">C5+(0.25-0.05)/12</f>
        <v>9.9999999999999992E-2</v>
      </c>
      <c r="E5" s="213">
        <f t="shared" si="1"/>
        <v>0.11666666666666665</v>
      </c>
      <c r="F5" s="213">
        <f t="shared" si="1"/>
        <v>0.13333333333333333</v>
      </c>
      <c r="G5" s="213">
        <f t="shared" si="1"/>
        <v>0.15</v>
      </c>
      <c r="H5" s="213">
        <f t="shared" si="1"/>
        <v>0.16666666666666666</v>
      </c>
      <c r="I5" s="213">
        <f t="shared" si="1"/>
        <v>0.18333333333333332</v>
      </c>
      <c r="J5" s="213">
        <f t="shared" si="1"/>
        <v>0.19999999999999998</v>
      </c>
      <c r="K5" s="213">
        <f t="shared" si="1"/>
        <v>0.21666666666666665</v>
      </c>
      <c r="L5" s="213">
        <f t="shared" si="1"/>
        <v>0.23333333333333331</v>
      </c>
      <c r="M5" s="213">
        <f t="shared" si="1"/>
        <v>0.24999999999999997</v>
      </c>
      <c r="N5" s="15" t="s">
        <v>192</v>
      </c>
    </row>
    <row r="6" spans="1:14" x14ac:dyDescent="0.2">
      <c r="A6" s="237">
        <v>0.1</v>
      </c>
      <c r="B6" s="195">
        <v>7.4999999999999997E-2</v>
      </c>
      <c r="C6" s="191">
        <v>0.1</v>
      </c>
      <c r="D6" s="191">
        <v>0.1</v>
      </c>
      <c r="E6" s="191">
        <v>0.1</v>
      </c>
      <c r="F6" s="191">
        <v>0.1</v>
      </c>
      <c r="G6" s="191">
        <v>0.1</v>
      </c>
      <c r="H6" s="191">
        <v>0.1</v>
      </c>
      <c r="I6" s="191">
        <v>0.1</v>
      </c>
      <c r="J6" s="191">
        <v>0.1</v>
      </c>
      <c r="K6" s="191">
        <v>0.1</v>
      </c>
      <c r="L6" s="191">
        <v>0.1</v>
      </c>
      <c r="M6" s="211">
        <v>0.1</v>
      </c>
      <c r="N6" s="15" t="s">
        <v>190</v>
      </c>
    </row>
    <row r="7" spans="1:14" ht="16" thickBot="1" x14ac:dyDescent="0.25">
      <c r="A7" s="200" t="s">
        <v>152</v>
      </c>
      <c r="B7" s="195">
        <v>6.4000000000000001E-2</v>
      </c>
      <c r="C7" s="191">
        <f>B7+0.014</f>
        <v>7.8E-2</v>
      </c>
      <c r="D7" s="191">
        <f t="shared" ref="D7:G7" si="2">C7+0.014</f>
        <v>9.1999999999999998E-2</v>
      </c>
      <c r="E7" s="191">
        <f t="shared" si="2"/>
        <v>0.106</v>
      </c>
      <c r="F7" s="191">
        <f t="shared" si="2"/>
        <v>0.12</v>
      </c>
      <c r="G7" s="191">
        <f t="shared" si="2"/>
        <v>0.13400000000000001</v>
      </c>
      <c r="H7" s="191">
        <f>G7+0.016</f>
        <v>0.15000000000000002</v>
      </c>
      <c r="I7" s="191">
        <f>H7+0.016</f>
        <v>0.16600000000000004</v>
      </c>
      <c r="J7" s="191">
        <f t="shared" ref="J7:M7" si="3">I7+0.016</f>
        <v>0.18200000000000005</v>
      </c>
      <c r="K7" s="191">
        <f t="shared" si="3"/>
        <v>0.19800000000000006</v>
      </c>
      <c r="L7" s="191">
        <f t="shared" si="3"/>
        <v>0.21400000000000008</v>
      </c>
      <c r="M7" s="191">
        <f t="shared" si="3"/>
        <v>0.23000000000000009</v>
      </c>
    </row>
    <row r="8" spans="1:14" x14ac:dyDescent="0.2">
      <c r="D8" s="190"/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59999389629810485"/>
  </sheetPr>
  <dimension ref="A1:S36"/>
  <sheetViews>
    <sheetView workbookViewId="0">
      <selection activeCell="G3" sqref="G3:H16"/>
    </sheetView>
  </sheetViews>
  <sheetFormatPr baseColWidth="10" defaultColWidth="9.1640625" defaultRowHeight="15" x14ac:dyDescent="0.2"/>
  <cols>
    <col min="1" max="1" width="9.1640625" style="15"/>
    <col min="2" max="2" width="16.83203125" style="15" bestFit="1" customWidth="1"/>
    <col min="3" max="3" width="10.83203125" style="15" bestFit="1" customWidth="1"/>
    <col min="4" max="4" width="13.1640625" style="15" customWidth="1"/>
    <col min="5" max="5" width="14.1640625" style="15" customWidth="1"/>
    <col min="6" max="6" width="13" style="15" customWidth="1"/>
    <col min="7" max="10" width="9.1640625" style="15"/>
    <col min="11" max="11" width="11.6640625" style="15" customWidth="1"/>
    <col min="12" max="16384" width="9.1640625" style="15"/>
  </cols>
  <sheetData>
    <row r="1" spans="1:14" ht="16" thickBot="1" x14ac:dyDescent="0.25">
      <c r="A1" s="106" t="s">
        <v>176</v>
      </c>
      <c r="B1" s="108"/>
      <c r="D1" s="106" t="s">
        <v>175</v>
      </c>
      <c r="E1" s="108"/>
      <c r="G1" s="106" t="s">
        <v>152</v>
      </c>
      <c r="H1" s="108"/>
      <c r="J1" s="15" t="s">
        <v>318</v>
      </c>
      <c r="M1" s="15" t="s">
        <v>317</v>
      </c>
    </row>
    <row r="2" spans="1:14" x14ac:dyDescent="0.2">
      <c r="A2" s="117" t="s">
        <v>64</v>
      </c>
      <c r="B2" s="118" t="s">
        <v>62</v>
      </c>
      <c r="D2" s="117" t="s">
        <v>64</v>
      </c>
      <c r="E2" s="118" t="s">
        <v>62</v>
      </c>
      <c r="G2" s="117" t="s">
        <v>64</v>
      </c>
      <c r="H2" s="118" t="s">
        <v>62</v>
      </c>
      <c r="J2" s="15" t="s">
        <v>64</v>
      </c>
      <c r="K2" s="15" t="s">
        <v>62</v>
      </c>
      <c r="M2" s="15" t="s">
        <v>64</v>
      </c>
      <c r="N2" s="15" t="s">
        <v>62</v>
      </c>
    </row>
    <row r="3" spans="1:14" x14ac:dyDescent="0.2">
      <c r="A3" s="115">
        <v>0</v>
      </c>
      <c r="B3" s="112">
        <v>-9.5742200289256063E-3</v>
      </c>
      <c r="D3" s="189">
        <v>0</v>
      </c>
      <c r="E3" s="189">
        <v>0</v>
      </c>
      <c r="G3" s="473">
        <v>2.2834454672230681E-2</v>
      </c>
      <c r="H3" s="473">
        <v>-1.0709138828728338E-2</v>
      </c>
      <c r="J3" s="473">
        <v>0</v>
      </c>
      <c r="K3" s="473">
        <v>-2.3E-2</v>
      </c>
      <c r="M3" s="473">
        <v>2.2834454672230681E-2</v>
      </c>
      <c r="N3" s="473">
        <v>-1.0709138828728338E-2</v>
      </c>
    </row>
    <row r="4" spans="1:14" x14ac:dyDescent="0.2">
      <c r="A4" s="115">
        <v>-2.9266734936538731E-2</v>
      </c>
      <c r="B4" s="112">
        <v>-1.6992062668102204E-2</v>
      </c>
      <c r="D4" s="189">
        <v>-1.3555973003385513E-2</v>
      </c>
      <c r="E4" s="189">
        <v>-4.99580338172817E-3</v>
      </c>
      <c r="G4" s="473">
        <v>2.6448524699225949E-2</v>
      </c>
      <c r="H4" s="473">
        <v>-8.421627532332018E-3</v>
      </c>
      <c r="J4" s="473">
        <v>-0.01</v>
      </c>
      <c r="K4" s="473">
        <v>-2.3E-2</v>
      </c>
      <c r="M4" s="473">
        <v>2.6448524699225949E-2</v>
      </c>
      <c r="N4" s="473">
        <v>-8.421627532332018E-3</v>
      </c>
    </row>
    <row r="5" spans="1:14" x14ac:dyDescent="0.2">
      <c r="A5" s="115">
        <v>-5.7223886710197631E-2</v>
      </c>
      <c r="B5" s="112">
        <v>-1.9645268516833635E-2</v>
      </c>
      <c r="D5" s="189">
        <v>-2.7734356795500514E-2</v>
      </c>
      <c r="E5" s="189">
        <v>-6.1714082951745408E-3</v>
      </c>
      <c r="G5" s="473">
        <v>1.2487797722899142E-2</v>
      </c>
      <c r="H5" s="473">
        <v>-6.3095301701124951E-3</v>
      </c>
      <c r="J5" s="473">
        <v>-2.5000000000000001E-2</v>
      </c>
      <c r="K5" s="473">
        <v>-2.4E-2</v>
      </c>
      <c r="M5" s="473">
        <v>1.2487797722899142E-2</v>
      </c>
      <c r="N5" s="473">
        <v>-6.3095301701124951E-3</v>
      </c>
    </row>
    <row r="6" spans="1:14" x14ac:dyDescent="0.2">
      <c r="A6" s="115">
        <v>-8.4192291851255721E-2</v>
      </c>
      <c r="B6" s="112">
        <v>-1.7926040658865963E-2</v>
      </c>
      <c r="D6" s="189">
        <v>-4.4531704267913863E-2</v>
      </c>
      <c r="E6" s="189">
        <v>-1.1541082476084097E-2</v>
      </c>
      <c r="G6" s="473">
        <v>-3.2924787254601075E-3</v>
      </c>
      <c r="H6" s="473">
        <v>-3.8887910652067054E-3</v>
      </c>
      <c r="J6" s="473">
        <v>-4.1000000000000002E-2</v>
      </c>
      <c r="K6" s="473">
        <v>-2.5000000000000001E-2</v>
      </c>
      <c r="M6" s="473">
        <v>-3.2924787254601075E-3</v>
      </c>
      <c r="N6" s="473">
        <v>-3.8887910652067054E-3</v>
      </c>
    </row>
    <row r="7" spans="1:14" x14ac:dyDescent="0.2">
      <c r="A7" s="115">
        <v>-0.1108600008424394</v>
      </c>
      <c r="B7" s="112">
        <v>-7.9576828608570859E-3</v>
      </c>
      <c r="D7" s="189">
        <v>-5.7845653882674264E-2</v>
      </c>
      <c r="E7" s="189">
        <v>-1.4323282028325834E-2</v>
      </c>
      <c r="G7" s="473">
        <v>-1.9044862525935395E-2</v>
      </c>
      <c r="H7" s="473">
        <v>-1.9835993997786448E-6</v>
      </c>
      <c r="J7" s="473">
        <v>-5.7000000000000002E-2</v>
      </c>
      <c r="K7" s="473">
        <v>-2.4E-2</v>
      </c>
      <c r="M7" s="473">
        <v>-1.9044862525935395E-2</v>
      </c>
      <c r="N7" s="473">
        <v>-1.9835993997786448E-6</v>
      </c>
    </row>
    <row r="8" spans="1:14" x14ac:dyDescent="0.2">
      <c r="A8" s="115">
        <v>-0.14090126040040232</v>
      </c>
      <c r="B8" s="112">
        <v>2.7632991533720927E-3</v>
      </c>
      <c r="D8" s="189">
        <v>-6.2840883809409054E-2</v>
      </c>
      <c r="E8" s="189">
        <v>-1.001646227541575E-2</v>
      </c>
      <c r="G8" s="473">
        <v>-3.5698603983982835E-2</v>
      </c>
      <c r="H8" s="473">
        <v>5.0491351201533124E-3</v>
      </c>
      <c r="J8" s="473">
        <v>-7.2999999999999995E-2</v>
      </c>
      <c r="K8" s="473">
        <v>-2.1999999999999999E-2</v>
      </c>
      <c r="M8" s="473">
        <v>-3.5698603983982835E-2</v>
      </c>
      <c r="N8" s="473">
        <v>5.0491351201533124E-3</v>
      </c>
    </row>
    <row r="9" spans="1:14" x14ac:dyDescent="0.2">
      <c r="A9" s="115">
        <v>-0.16859169474713201</v>
      </c>
      <c r="B9" s="112">
        <v>1.6401343383392681E-2</v>
      </c>
      <c r="D9" s="189">
        <v>-6.8371323897506942E-2</v>
      </c>
      <c r="E9" s="189">
        <v>-9.0785677398647624E-3</v>
      </c>
      <c r="G9" s="473">
        <v>-5.3278943808993784E-2</v>
      </c>
      <c r="H9" s="473">
        <v>9.6381654824497422E-3</v>
      </c>
      <c r="J9" s="473">
        <v>-0.09</v>
      </c>
      <c r="K9" s="473">
        <v>-0.02</v>
      </c>
      <c r="M9" s="473">
        <v>-5.3278943808993784E-2</v>
      </c>
      <c r="N9" s="473">
        <v>9.6381654824497422E-3</v>
      </c>
    </row>
    <row r="10" spans="1:14" x14ac:dyDescent="0.2">
      <c r="A10" s="115">
        <v>-0.19379036102340289</v>
      </c>
      <c r="B10" s="112">
        <v>1.4117786655919522E-2</v>
      </c>
      <c r="D10" s="189">
        <v>-8.0218882554374871E-2</v>
      </c>
      <c r="E10" s="189">
        <v>-6.2642317168245532E-3</v>
      </c>
      <c r="G10" s="473">
        <v>-6.9696265014575404E-2</v>
      </c>
      <c r="H10" s="473">
        <v>1.1933596967804634E-2</v>
      </c>
      <c r="J10" s="473">
        <v>-0.106</v>
      </c>
      <c r="K10" s="473">
        <v>-0.02</v>
      </c>
      <c r="M10" s="473">
        <v>-6.9696265014575404E-2</v>
      </c>
      <c r="N10" s="473">
        <v>1.1933596967804634E-2</v>
      </c>
    </row>
    <row r="11" spans="1:14" x14ac:dyDescent="0.2">
      <c r="A11" s="115">
        <v>-0.21940515236546926</v>
      </c>
      <c r="B11" s="112">
        <v>1.1205038272360766E-2</v>
      </c>
      <c r="D11" s="189">
        <v>-8.8168302362550965E-2</v>
      </c>
      <c r="E11" s="189">
        <v>-2.4891434510793675E-3</v>
      </c>
      <c r="G11" s="473">
        <v>-8.6734626980192617E-2</v>
      </c>
      <c r="H11" s="473">
        <v>8.9663432812156409E-3</v>
      </c>
      <c r="J11" s="473">
        <v>-0.122</v>
      </c>
      <c r="K11" s="473">
        <v>-2.5000000000000001E-2</v>
      </c>
      <c r="M11" s="473">
        <v>-8.6734626980192617E-2</v>
      </c>
      <c r="N11" s="473">
        <v>8.9663432812156409E-3</v>
      </c>
    </row>
    <row r="12" spans="1:14" x14ac:dyDescent="0.2">
      <c r="A12" s="115">
        <v>-0.24453956726852533</v>
      </c>
      <c r="B12" s="112">
        <v>8.7027601259244986E-3</v>
      </c>
      <c r="D12" s="189">
        <v>-9.0132484140611535E-2</v>
      </c>
      <c r="E12" s="189">
        <v>2.9906013472401627E-3</v>
      </c>
      <c r="G12" s="473">
        <v>-0.1029588342107525</v>
      </c>
      <c r="H12" s="473">
        <v>1.0741291753283255E-2</v>
      </c>
      <c r="J12" s="473">
        <v>-0.13700000000000001</v>
      </c>
      <c r="K12" s="473">
        <v>-2.4E-2</v>
      </c>
      <c r="M12" s="473">
        <v>-0.1029588342107525</v>
      </c>
      <c r="N12" s="473">
        <v>1.0741291753283255E-2</v>
      </c>
    </row>
    <row r="13" spans="1:14" x14ac:dyDescent="0.2">
      <c r="A13" s="115">
        <v>-0.26275183075381242</v>
      </c>
      <c r="B13" s="112">
        <v>8.1255558418996607E-3</v>
      </c>
      <c r="D13" s="189">
        <v>-9.8794688108841011E-2</v>
      </c>
      <c r="E13" s="189">
        <v>6.7658292655440322E-3</v>
      </c>
      <c r="G13" s="473">
        <v>-0.11656067776215145</v>
      </c>
      <c r="H13" s="473">
        <v>9.7222680212366158E-3</v>
      </c>
      <c r="J13" s="473">
        <v>-0.15</v>
      </c>
      <c r="K13" s="473">
        <v>-2.5999999999999999E-2</v>
      </c>
      <c r="M13" s="473">
        <v>-0.11656067776215145</v>
      </c>
      <c r="N13" s="473">
        <v>9.7222680212366158E-3</v>
      </c>
    </row>
    <row r="14" spans="1:14" x14ac:dyDescent="0.2">
      <c r="A14" s="115">
        <v>-0.27790308392075808</v>
      </c>
      <c r="B14" s="112">
        <v>8.6085585377676469E-3</v>
      </c>
      <c r="D14" s="189">
        <v>-0.10256126622322298</v>
      </c>
      <c r="E14" s="189">
        <v>1.3129150404033507E-2</v>
      </c>
      <c r="G14" s="473">
        <v>-0.12645183507558561</v>
      </c>
      <c r="H14" s="473">
        <v>9.0338567677074183E-3</v>
      </c>
      <c r="J14" s="473">
        <v>-0.159</v>
      </c>
      <c r="K14" s="473">
        <v>-2.8000000000000001E-2</v>
      </c>
      <c r="M14" s="473">
        <v>-0.12645183507558561</v>
      </c>
      <c r="N14" s="473">
        <v>9.0338567677074183E-3</v>
      </c>
    </row>
    <row r="15" spans="1:14" x14ac:dyDescent="0.2">
      <c r="A15" s="115">
        <v>-0.29042931513689335</v>
      </c>
      <c r="B15" s="112">
        <v>1.1511185546772121E-2</v>
      </c>
      <c r="D15" s="189">
        <v>-0.10832482107587438</v>
      </c>
      <c r="E15" s="189">
        <v>1.7273555479288216E-2</v>
      </c>
      <c r="G15" s="473">
        <v>-0.13426364693043472</v>
      </c>
      <c r="H15" s="473">
        <v>7.6139436102002035E-3</v>
      </c>
      <c r="J15" s="473">
        <v>-0.16500000000000001</v>
      </c>
      <c r="K15" s="473">
        <v>-0.03</v>
      </c>
      <c r="M15" s="473">
        <v>-0.13426364693043472</v>
      </c>
      <c r="N15" s="473">
        <v>7.6139436102002035E-3</v>
      </c>
    </row>
    <row r="16" spans="1:14" ht="16" thickBot="1" x14ac:dyDescent="0.25">
      <c r="A16" s="116">
        <v>-0.30086324553170812</v>
      </c>
      <c r="B16" s="114">
        <v>1.5605828005332247E-2</v>
      </c>
      <c r="D16" s="189">
        <v>-0.11278656113103225</v>
      </c>
      <c r="E16" s="189">
        <v>2.2319322859826185E-2</v>
      </c>
      <c r="G16" s="473">
        <v>-0.14063259981339965</v>
      </c>
      <c r="H16" s="473">
        <v>7.623503097078918E-3</v>
      </c>
      <c r="J16" s="473">
        <v>-0.17100000000000001</v>
      </c>
      <c r="K16" s="473">
        <v>-3.1E-2</v>
      </c>
      <c r="M16" s="473">
        <v>-0.14063259981339965</v>
      </c>
      <c r="N16" s="473">
        <v>7.623503097078918E-3</v>
      </c>
    </row>
    <row r="17" spans="1:19" x14ac:dyDescent="0.2">
      <c r="B17" s="99"/>
      <c r="C17" s="99"/>
    </row>
    <row r="18" spans="1:19" ht="16" thickBot="1" x14ac:dyDescent="0.25">
      <c r="B18" s="99"/>
      <c r="C18" s="99"/>
    </row>
    <row r="19" spans="1:19" ht="16" thickBot="1" x14ac:dyDescent="0.25">
      <c r="A19" s="120" t="s">
        <v>128</v>
      </c>
      <c r="B19" s="121"/>
      <c r="C19" s="123" t="str">
        <f>Summary!C3</f>
        <v>Custom</v>
      </c>
      <c r="E19" s="106" t="s">
        <v>131</v>
      </c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8"/>
    </row>
    <row r="20" spans="1:19" x14ac:dyDescent="0.2">
      <c r="A20" s="117" t="s">
        <v>65</v>
      </c>
      <c r="B20" s="119" t="s">
        <v>64</v>
      </c>
      <c r="C20" s="122" t="s">
        <v>62</v>
      </c>
      <c r="E20" s="100" t="s">
        <v>65</v>
      </c>
      <c r="F20" s="101">
        <v>2017</v>
      </c>
      <c r="G20" s="101">
        <v>2018</v>
      </c>
      <c r="H20" s="101">
        <v>2019</v>
      </c>
      <c r="I20" s="101">
        <v>2020</v>
      </c>
      <c r="J20" s="101">
        <v>2021</v>
      </c>
      <c r="K20" s="101">
        <v>2022</v>
      </c>
      <c r="L20" s="101">
        <v>2023</v>
      </c>
      <c r="M20" s="101">
        <v>2024</v>
      </c>
      <c r="N20" s="101">
        <v>2025</v>
      </c>
      <c r="O20" s="101">
        <v>2026</v>
      </c>
      <c r="P20" s="101">
        <v>2027</v>
      </c>
      <c r="Q20" s="101">
        <v>2028</v>
      </c>
      <c r="R20" s="101">
        <v>2029</v>
      </c>
      <c r="S20" s="102">
        <v>2030</v>
      </c>
    </row>
    <row r="21" spans="1:19" x14ac:dyDescent="0.2">
      <c r="A21" s="100">
        <v>2017</v>
      </c>
      <c r="B21" s="111">
        <f t="shared" ref="B21:B34" si="0">INDEX(3:3,MATCH($C$19,$1:$1,0))</f>
        <v>2.2834454672230681E-2</v>
      </c>
      <c r="C21" s="112">
        <f t="shared" ref="C21:C34" si="1">INDEX(3:3,MATCH($C$19,$1:$1,0)+1)</f>
        <v>-1.0709138828728338E-2</v>
      </c>
      <c r="E21" s="100" t="s">
        <v>64</v>
      </c>
      <c r="F21" s="101">
        <f>INDEX($B$21:$B$34,MATCH(F20,$A$21:$A$34,0))</f>
        <v>2.2834454672230681E-2</v>
      </c>
      <c r="G21" s="101">
        <f t="shared" ref="G21:S21" si="2">INDEX($B$21:$B$34,MATCH(G20,$A$21:$A$34,0))</f>
        <v>2.6448524699225949E-2</v>
      </c>
      <c r="H21" s="101">
        <f t="shared" si="2"/>
        <v>1.2487797722899142E-2</v>
      </c>
      <c r="I21" s="101">
        <f t="shared" si="2"/>
        <v>-3.2924787254601075E-3</v>
      </c>
      <c r="J21" s="101">
        <f t="shared" si="2"/>
        <v>-1.9044862525935395E-2</v>
      </c>
      <c r="K21" s="101">
        <f t="shared" si="2"/>
        <v>-3.5698603983982835E-2</v>
      </c>
      <c r="L21" s="101">
        <f t="shared" si="2"/>
        <v>-5.3278943808993784E-2</v>
      </c>
      <c r="M21" s="101">
        <f t="shared" si="2"/>
        <v>-6.9696265014575404E-2</v>
      </c>
      <c r="N21" s="101">
        <f t="shared" si="2"/>
        <v>-8.6734626980192617E-2</v>
      </c>
      <c r="O21" s="101">
        <f t="shared" si="2"/>
        <v>-0.1029588342107525</v>
      </c>
      <c r="P21" s="101">
        <f t="shared" si="2"/>
        <v>-0.11656067776215145</v>
      </c>
      <c r="Q21" s="101">
        <f t="shared" si="2"/>
        <v>-0.12645183507558561</v>
      </c>
      <c r="R21" s="101">
        <f t="shared" si="2"/>
        <v>-0.13426364693043472</v>
      </c>
      <c r="S21" s="102">
        <f t="shared" si="2"/>
        <v>-0.14063259981339965</v>
      </c>
    </row>
    <row r="22" spans="1:19" ht="16" thickBot="1" x14ac:dyDescent="0.25">
      <c r="A22" s="100">
        <v>2018</v>
      </c>
      <c r="B22" s="111">
        <f t="shared" si="0"/>
        <v>2.6448524699225949E-2</v>
      </c>
      <c r="C22" s="112">
        <f t="shared" si="1"/>
        <v>-8.421627532332018E-3</v>
      </c>
      <c r="E22" s="103" t="s">
        <v>62</v>
      </c>
      <c r="F22" s="104">
        <f>INDEX($C$21:$C$34,MATCH(F20,$A$21:$A$34,0))</f>
        <v>-1.0709138828728338E-2</v>
      </c>
      <c r="G22" s="104">
        <f t="shared" ref="G22:S22" si="3">INDEX($C$21:$C$34,MATCH(G20,$A$21:$A$34,0))</f>
        <v>-8.421627532332018E-3</v>
      </c>
      <c r="H22" s="104">
        <f t="shared" si="3"/>
        <v>-6.3095301701124951E-3</v>
      </c>
      <c r="I22" s="104">
        <f t="shared" si="3"/>
        <v>-3.8887910652067054E-3</v>
      </c>
      <c r="J22" s="104">
        <f t="shared" si="3"/>
        <v>-1.9835993997786448E-6</v>
      </c>
      <c r="K22" s="104">
        <f t="shared" si="3"/>
        <v>5.0491351201533124E-3</v>
      </c>
      <c r="L22" s="104">
        <f t="shared" si="3"/>
        <v>9.6381654824497422E-3</v>
      </c>
      <c r="M22" s="104">
        <f t="shared" si="3"/>
        <v>1.1933596967804634E-2</v>
      </c>
      <c r="N22" s="104">
        <f t="shared" si="3"/>
        <v>8.9663432812156409E-3</v>
      </c>
      <c r="O22" s="104">
        <f t="shared" si="3"/>
        <v>1.0741291753283255E-2</v>
      </c>
      <c r="P22" s="104">
        <f t="shared" si="3"/>
        <v>9.7222680212366158E-3</v>
      </c>
      <c r="Q22" s="104">
        <f t="shared" si="3"/>
        <v>9.0338567677074183E-3</v>
      </c>
      <c r="R22" s="104">
        <f t="shared" si="3"/>
        <v>7.6139436102002035E-3</v>
      </c>
      <c r="S22" s="105">
        <f t="shared" si="3"/>
        <v>7.623503097078918E-3</v>
      </c>
    </row>
    <row r="23" spans="1:19" ht="16" thickBot="1" x14ac:dyDescent="0.25">
      <c r="A23" s="100">
        <v>2019</v>
      </c>
      <c r="B23" s="111">
        <f t="shared" si="0"/>
        <v>1.2487797722899142E-2</v>
      </c>
      <c r="C23" s="112">
        <f t="shared" si="1"/>
        <v>-6.3095301701124951E-3</v>
      </c>
    </row>
    <row r="24" spans="1:19" ht="16" thickBot="1" x14ac:dyDescent="0.25">
      <c r="A24" s="100">
        <v>2020</v>
      </c>
      <c r="B24" s="111">
        <f t="shared" si="0"/>
        <v>-3.2924787254601075E-3</v>
      </c>
      <c r="C24" s="112">
        <f t="shared" si="1"/>
        <v>-3.8887910652067054E-3</v>
      </c>
      <c r="E24" s="110" t="s">
        <v>130</v>
      </c>
    </row>
    <row r="25" spans="1:19" x14ac:dyDescent="0.2">
      <c r="A25" s="100">
        <v>2021</v>
      </c>
      <c r="B25" s="111">
        <f t="shared" si="0"/>
        <v>-1.9044862525935395E-2</v>
      </c>
      <c r="C25" s="112">
        <f t="shared" si="1"/>
        <v>-1.9835993997786448E-6</v>
      </c>
      <c r="E25" s="198" t="s">
        <v>176</v>
      </c>
    </row>
    <row r="26" spans="1:19" x14ac:dyDescent="0.2">
      <c r="A26" s="100">
        <v>2022</v>
      </c>
      <c r="B26" s="111">
        <f t="shared" si="0"/>
        <v>-3.5698603983982835E-2</v>
      </c>
      <c r="C26" s="112">
        <f t="shared" si="1"/>
        <v>5.0491351201533124E-3</v>
      </c>
      <c r="E26" s="109" t="s">
        <v>175</v>
      </c>
    </row>
    <row r="27" spans="1:19" x14ac:dyDescent="0.2">
      <c r="A27" s="100">
        <v>2023</v>
      </c>
      <c r="B27" s="111">
        <f t="shared" si="0"/>
        <v>-5.3278943808993784E-2</v>
      </c>
      <c r="C27" s="112">
        <f t="shared" si="1"/>
        <v>9.6381654824497422E-3</v>
      </c>
      <c r="E27" s="109" t="s">
        <v>152</v>
      </c>
    </row>
    <row r="28" spans="1:19" x14ac:dyDescent="0.2">
      <c r="A28" s="100">
        <v>2024</v>
      </c>
      <c r="B28" s="111">
        <f t="shared" si="0"/>
        <v>-6.9696265014575404E-2</v>
      </c>
      <c r="C28" s="112">
        <f t="shared" si="1"/>
        <v>1.1933596967804634E-2</v>
      </c>
      <c r="E28" s="109"/>
    </row>
    <row r="29" spans="1:19" x14ac:dyDescent="0.2">
      <c r="A29" s="100">
        <v>2025</v>
      </c>
      <c r="B29" s="111">
        <f t="shared" si="0"/>
        <v>-8.6734626980192617E-2</v>
      </c>
      <c r="C29" s="112">
        <f t="shared" si="1"/>
        <v>8.9663432812156409E-3</v>
      </c>
      <c r="E29" s="109"/>
    </row>
    <row r="30" spans="1:19" x14ac:dyDescent="0.2">
      <c r="A30" s="100">
        <v>2026</v>
      </c>
      <c r="B30" s="111">
        <f t="shared" si="0"/>
        <v>-0.1029588342107525</v>
      </c>
      <c r="C30" s="112">
        <f t="shared" si="1"/>
        <v>1.0741291753283255E-2</v>
      </c>
      <c r="E30" s="109"/>
    </row>
    <row r="31" spans="1:19" x14ac:dyDescent="0.2">
      <c r="A31" s="100">
        <v>2027</v>
      </c>
      <c r="B31" s="111">
        <f t="shared" si="0"/>
        <v>-0.11656067776215145</v>
      </c>
      <c r="C31" s="112">
        <f t="shared" si="1"/>
        <v>9.7222680212366158E-3</v>
      </c>
      <c r="E31" s="109"/>
    </row>
    <row r="32" spans="1:19" x14ac:dyDescent="0.2">
      <c r="A32" s="100">
        <v>2028</v>
      </c>
      <c r="B32" s="111">
        <f t="shared" si="0"/>
        <v>-0.12645183507558561</v>
      </c>
      <c r="C32" s="112">
        <f t="shared" si="1"/>
        <v>9.0338567677074183E-3</v>
      </c>
      <c r="E32" s="109"/>
    </row>
    <row r="33" spans="1:5" x14ac:dyDescent="0.2">
      <c r="A33" s="100">
        <v>2029</v>
      </c>
      <c r="B33" s="111">
        <f t="shared" si="0"/>
        <v>-0.13426364693043472</v>
      </c>
      <c r="C33" s="112">
        <f t="shared" si="1"/>
        <v>7.6139436102002035E-3</v>
      </c>
      <c r="E33" s="109"/>
    </row>
    <row r="34" spans="1:5" ht="16" thickBot="1" x14ac:dyDescent="0.25">
      <c r="A34" s="103">
        <v>2030</v>
      </c>
      <c r="B34" s="113">
        <f t="shared" si="0"/>
        <v>-0.14063259981339965</v>
      </c>
      <c r="C34" s="114">
        <f t="shared" si="1"/>
        <v>7.623503097078918E-3</v>
      </c>
      <c r="E34" s="109"/>
    </row>
    <row r="35" spans="1:5" ht="16" thickBot="1" x14ac:dyDescent="0.25">
      <c r="B35" s="99"/>
      <c r="C35" s="99"/>
      <c r="E35" s="248"/>
    </row>
    <row r="36" spans="1:5" x14ac:dyDescent="0.2">
      <c r="B36" s="99"/>
      <c r="C36" s="9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59999389629810485"/>
  </sheetPr>
  <dimension ref="A1:AI302"/>
  <sheetViews>
    <sheetView topLeftCell="A81" zoomScale="90" zoomScaleNormal="90" zoomScalePageLayoutView="90" workbookViewId="0">
      <selection activeCell="D27" sqref="D27:Q27"/>
    </sheetView>
  </sheetViews>
  <sheetFormatPr baseColWidth="10" defaultColWidth="9.1640625" defaultRowHeight="15" x14ac:dyDescent="0.2"/>
  <cols>
    <col min="1" max="1" width="45.6640625" style="15" customWidth="1"/>
    <col min="2" max="2" width="37.33203125" style="15" bestFit="1" customWidth="1"/>
    <col min="3" max="3" width="16.5" style="15" customWidth="1"/>
    <col min="4" max="4" width="15.1640625" style="15" customWidth="1"/>
    <col min="5" max="5" width="12.1640625" style="15" customWidth="1"/>
    <col min="6" max="8" width="9.1640625" style="15"/>
    <col min="9" max="9" width="11.33203125" style="15" customWidth="1"/>
    <col min="10" max="10" width="11.83203125" style="15" customWidth="1"/>
    <col min="11" max="16384" width="9.1640625" style="15"/>
  </cols>
  <sheetData>
    <row r="1" spans="1:17" ht="19" x14ac:dyDescent="0.25">
      <c r="A1" s="125" t="s">
        <v>144</v>
      </c>
      <c r="B1" s="144">
        <f>MATCH(B2,A:A,0)</f>
        <v>4</v>
      </c>
    </row>
    <row r="2" spans="1:17" x14ac:dyDescent="0.2">
      <c r="A2" s="12" t="s">
        <v>146</v>
      </c>
      <c r="B2" s="150" t="s">
        <v>152</v>
      </c>
      <c r="C2" s="150" t="s">
        <v>177</v>
      </c>
      <c r="D2" s="150" t="s">
        <v>178</v>
      </c>
      <c r="E2" s="150" t="s">
        <v>179</v>
      </c>
      <c r="F2" s="150" t="s">
        <v>197</v>
      </c>
      <c r="G2" s="150" t="s">
        <v>194</v>
      </c>
      <c r="H2" s="150" t="s">
        <v>180</v>
      </c>
      <c r="I2" s="150" t="s">
        <v>181</v>
      </c>
      <c r="J2" s="150" t="s">
        <v>193</v>
      </c>
      <c r="K2" s="150" t="s">
        <v>195</v>
      </c>
      <c r="L2" s="150" t="s">
        <v>196</v>
      </c>
      <c r="M2" s="150" t="s">
        <v>198</v>
      </c>
      <c r="N2" s="150"/>
      <c r="O2" s="101"/>
    </row>
    <row r="3" spans="1:17" ht="20" thickBot="1" x14ac:dyDescent="0.3">
      <c r="A3" s="125"/>
    </row>
    <row r="4" spans="1:17" ht="15" customHeight="1" x14ac:dyDescent="0.2">
      <c r="A4" s="448" t="s">
        <v>152</v>
      </c>
      <c r="B4" s="74" t="s">
        <v>72</v>
      </c>
      <c r="C4" s="14" t="s">
        <v>15</v>
      </c>
      <c r="D4" s="141">
        <v>2017</v>
      </c>
      <c r="E4" s="141">
        <v>2018</v>
      </c>
      <c r="F4" s="141">
        <v>2019</v>
      </c>
      <c r="G4" s="141">
        <v>2020</v>
      </c>
      <c r="H4" s="141">
        <v>2021</v>
      </c>
      <c r="I4" s="141">
        <v>2022</v>
      </c>
      <c r="J4" s="141">
        <v>2023</v>
      </c>
      <c r="K4" s="141">
        <v>2024</v>
      </c>
      <c r="L4" s="141">
        <v>2025</v>
      </c>
      <c r="M4" s="142">
        <v>2026</v>
      </c>
      <c r="N4" s="142">
        <v>2027</v>
      </c>
      <c r="O4" s="142">
        <v>2028</v>
      </c>
      <c r="P4" s="142">
        <v>2029</v>
      </c>
      <c r="Q4" s="142">
        <v>2030</v>
      </c>
    </row>
    <row r="5" spans="1:17" ht="15" customHeight="1" x14ac:dyDescent="0.2">
      <c r="A5" s="449"/>
      <c r="B5" s="74" t="s">
        <v>158</v>
      </c>
      <c r="C5" s="1" t="s">
        <v>18</v>
      </c>
      <c r="D5" s="334">
        <v>41.524114186585741</v>
      </c>
      <c r="E5" s="334">
        <v>47.818206692383875</v>
      </c>
      <c r="F5" s="334">
        <v>53.854809897356589</v>
      </c>
      <c r="G5" s="334">
        <v>59.662845106671874</v>
      </c>
      <c r="H5" s="334">
        <v>62.8147346314205</v>
      </c>
      <c r="I5" s="334">
        <v>65.517579345587805</v>
      </c>
      <c r="J5" s="334">
        <v>67.766495090602177</v>
      </c>
      <c r="K5" s="334">
        <v>69.704535136454496</v>
      </c>
      <c r="L5" s="334">
        <v>71.250071459346501</v>
      </c>
      <c r="M5" s="334">
        <v>72.552347521066565</v>
      </c>
      <c r="N5" s="334">
        <v>73.771121507852371</v>
      </c>
      <c r="O5" s="334">
        <v>75.028432296127107</v>
      </c>
      <c r="P5" s="334">
        <v>76.22945854975714</v>
      </c>
      <c r="Q5" s="334">
        <v>77.34165680093578</v>
      </c>
    </row>
    <row r="6" spans="1:17" ht="15" customHeight="1" x14ac:dyDescent="0.2">
      <c r="A6" s="449"/>
      <c r="B6" s="74" t="s">
        <v>17</v>
      </c>
      <c r="C6" s="1" t="s">
        <v>18</v>
      </c>
      <c r="D6" s="335">
        <v>0.2223294927128292</v>
      </c>
      <c r="E6" s="335">
        <v>11.657136514388879</v>
      </c>
      <c r="F6" s="335">
        <v>25.263759581907422</v>
      </c>
      <c r="G6" s="335">
        <v>44.399064627702558</v>
      </c>
      <c r="H6" s="335">
        <v>72.365956961261674</v>
      </c>
      <c r="I6" s="335">
        <v>98.96905885385813</v>
      </c>
      <c r="J6" s="335">
        <v>126.73619269001205</v>
      </c>
      <c r="K6" s="335">
        <v>160.2979309015995</v>
      </c>
      <c r="L6" s="335">
        <v>200.38464322407643</v>
      </c>
      <c r="M6" s="335">
        <v>247.72986658000238</v>
      </c>
      <c r="N6" s="335">
        <v>303.05645554591746</v>
      </c>
      <c r="O6" s="335">
        <v>367.06260509421855</v>
      </c>
      <c r="P6" s="335">
        <v>440.40822373287261</v>
      </c>
      <c r="Q6" s="335">
        <v>523.70209772246653</v>
      </c>
    </row>
    <row r="7" spans="1:17" ht="15" customHeight="1" x14ac:dyDescent="0.2">
      <c r="A7" s="449"/>
      <c r="B7" s="74" t="s">
        <v>124</v>
      </c>
      <c r="C7" s="1" t="s">
        <v>18</v>
      </c>
      <c r="D7" s="335">
        <v>88.674598054904379</v>
      </c>
      <c r="E7" s="335">
        <v>115.31814075199236</v>
      </c>
      <c r="F7" s="335">
        <v>140.17246358860473</v>
      </c>
      <c r="G7" s="335">
        <v>196.53892912470937</v>
      </c>
      <c r="H7" s="335">
        <v>198.29109914106624</v>
      </c>
      <c r="I7" s="335">
        <v>199.13524183882251</v>
      </c>
      <c r="J7" s="335">
        <v>198.64954729926106</v>
      </c>
      <c r="K7" s="335">
        <v>195.41610199288303</v>
      </c>
      <c r="L7" s="335">
        <v>189.52408832033652</v>
      </c>
      <c r="M7" s="335">
        <v>181.11201723787346</v>
      </c>
      <c r="N7" s="335">
        <v>170.27684658141629</v>
      </c>
      <c r="O7" s="335">
        <v>157.06759334901625</v>
      </c>
      <c r="P7" s="335">
        <v>140.87972423230943</v>
      </c>
      <c r="Q7" s="335">
        <v>120.27816478459278</v>
      </c>
    </row>
    <row r="8" spans="1:17" ht="15" customHeight="1" x14ac:dyDescent="0.2">
      <c r="A8" s="449"/>
      <c r="B8" s="76" t="s">
        <v>16</v>
      </c>
      <c r="C8" s="1" t="s">
        <v>18</v>
      </c>
      <c r="D8" s="335">
        <v>0</v>
      </c>
      <c r="E8" s="335">
        <v>0.15292681647908543</v>
      </c>
      <c r="F8" s="335">
        <v>0.7009413084029027</v>
      </c>
      <c r="G8" s="335">
        <v>1.5916002677830805</v>
      </c>
      <c r="H8" s="335">
        <v>2.8670877049689736</v>
      </c>
      <c r="I8" s="335">
        <v>4.3012981151201766</v>
      </c>
      <c r="J8" s="335">
        <v>6.1892219594706477</v>
      </c>
      <c r="K8" s="335">
        <v>8.7401000461032208</v>
      </c>
      <c r="L8" s="335">
        <v>12.124623650000458</v>
      </c>
      <c r="M8" s="335">
        <v>16.538553854307274</v>
      </c>
      <c r="N8" s="335">
        <v>22.201855036810205</v>
      </c>
      <c r="O8" s="335">
        <v>29.356796329061478</v>
      </c>
      <c r="P8" s="335">
        <v>38.265023991063245</v>
      </c>
      <c r="Q8" s="335">
        <v>49.203668871233781</v>
      </c>
    </row>
    <row r="9" spans="1:17" ht="15" customHeight="1" x14ac:dyDescent="0.2">
      <c r="A9" s="449"/>
      <c r="B9" s="74" t="s">
        <v>5</v>
      </c>
      <c r="C9" s="1" t="s">
        <v>112</v>
      </c>
      <c r="D9" s="335">
        <v>6.8683571446330509</v>
      </c>
      <c r="E9" s="335">
        <v>7.9670767874395301</v>
      </c>
      <c r="F9" s="335">
        <v>9.0378769430147372</v>
      </c>
      <c r="G9" s="335">
        <v>10.126121948271084</v>
      </c>
      <c r="H9" s="335">
        <v>14.039354582416028</v>
      </c>
      <c r="I9" s="335">
        <v>20.473703165502673</v>
      </c>
      <c r="J9" s="335">
        <v>29.177951074798727</v>
      </c>
      <c r="K9" s="335">
        <v>40.335138035349139</v>
      </c>
      <c r="L9" s="335">
        <v>53.625955540006522</v>
      </c>
      <c r="M9" s="335">
        <v>68.753028363440208</v>
      </c>
      <c r="N9" s="335">
        <v>86.003780460086602</v>
      </c>
      <c r="O9" s="335">
        <v>105.31287393030723</v>
      </c>
      <c r="P9" s="335">
        <v>126.52545456212647</v>
      </c>
      <c r="Q9" s="335">
        <v>149.14129997031444</v>
      </c>
    </row>
    <row r="10" spans="1:17" ht="15" customHeight="1" x14ac:dyDescent="0.2">
      <c r="A10" s="449"/>
      <c r="B10" s="74" t="s">
        <v>0</v>
      </c>
      <c r="C10" s="1" t="s">
        <v>19</v>
      </c>
      <c r="D10" s="335">
        <v>1294.7712441481481</v>
      </c>
      <c r="E10" s="335">
        <v>1513.3897103869817</v>
      </c>
      <c r="F10" s="335">
        <v>1732.4131111250031</v>
      </c>
      <c r="G10" s="335">
        <v>1957.6403881983292</v>
      </c>
      <c r="H10" s="335">
        <v>2489.1583148892423</v>
      </c>
      <c r="I10" s="335">
        <v>3295.971244138037</v>
      </c>
      <c r="J10" s="335">
        <v>4342.519591857872</v>
      </c>
      <c r="K10" s="335">
        <v>5653.5749773276348</v>
      </c>
      <c r="L10" s="335">
        <v>7166.9100647080004</v>
      </c>
      <c r="M10" s="335">
        <v>8834.7733514216507</v>
      </c>
      <c r="N10" s="335">
        <v>10712.870224492661</v>
      </c>
      <c r="O10" s="335">
        <v>12801.796426387617</v>
      </c>
      <c r="P10" s="335">
        <v>15046.307954273834</v>
      </c>
      <c r="Q10" s="335">
        <v>17390.471836234861</v>
      </c>
    </row>
    <row r="11" spans="1:17" ht="15" customHeight="1" x14ac:dyDescent="0.2">
      <c r="A11" s="449"/>
      <c r="B11" s="74" t="s">
        <v>38</v>
      </c>
      <c r="C11" s="1" t="s">
        <v>18</v>
      </c>
      <c r="D11" s="335">
        <v>182.20646805704038</v>
      </c>
      <c r="E11" s="335">
        <v>209.50549471023331</v>
      </c>
      <c r="F11" s="335">
        <v>236.1353512501891</v>
      </c>
      <c r="G11" s="335">
        <v>262.21128586012372</v>
      </c>
      <c r="H11" s="335">
        <v>312.74341614231281</v>
      </c>
      <c r="I11" s="335">
        <v>363.40035568747567</v>
      </c>
      <c r="J11" s="335">
        <v>413.85613702437735</v>
      </c>
      <c r="K11" s="335">
        <v>463.28501689876288</v>
      </c>
      <c r="L11" s="335">
        <v>510.0833592573394</v>
      </c>
      <c r="M11" s="335">
        <v>507.29363119218908</v>
      </c>
      <c r="N11" s="335">
        <v>503.25956469501619</v>
      </c>
      <c r="O11" s="335">
        <v>499.6434857000034</v>
      </c>
      <c r="P11" s="335">
        <v>495.77043724420332</v>
      </c>
      <c r="Q11" s="335">
        <v>492.82728872653678</v>
      </c>
    </row>
    <row r="12" spans="1:17" ht="15" customHeight="1" x14ac:dyDescent="0.2">
      <c r="A12" s="449"/>
      <c r="B12" s="74" t="s">
        <v>1</v>
      </c>
      <c r="C12" s="1" t="s">
        <v>18</v>
      </c>
      <c r="D12" s="335">
        <v>363.01195526417274</v>
      </c>
      <c r="E12" s="335">
        <v>501.79326029366166</v>
      </c>
      <c r="F12" s="335">
        <v>633.45931421213709</v>
      </c>
      <c r="G12" s="335">
        <v>782.99326848871613</v>
      </c>
      <c r="H12" s="335">
        <v>870.06292268340405</v>
      </c>
      <c r="I12" s="335">
        <v>957.57386225094581</v>
      </c>
      <c r="J12" s="335">
        <v>1004.7199731304286</v>
      </c>
      <c r="K12" s="335">
        <v>1012.2290784871431</v>
      </c>
      <c r="L12" s="335">
        <v>1022.024497992363</v>
      </c>
      <c r="M12" s="335">
        <v>993.11058485674153</v>
      </c>
      <c r="N12" s="335">
        <v>967.51740980553836</v>
      </c>
      <c r="O12" s="335">
        <v>945.83367395286712</v>
      </c>
      <c r="P12" s="335">
        <v>928.68585475840132</v>
      </c>
      <c r="Q12" s="335">
        <v>916.72841791970995</v>
      </c>
    </row>
    <row r="13" spans="1:17" ht="15" customHeight="1" x14ac:dyDescent="0.2">
      <c r="A13" s="449"/>
      <c r="B13" s="76" t="s">
        <v>82</v>
      </c>
      <c r="C13" s="1" t="s">
        <v>61</v>
      </c>
      <c r="D13" s="335">
        <v>242.18019805144201</v>
      </c>
      <c r="E13" s="335">
        <v>273.66454455804796</v>
      </c>
      <c r="F13" s="335">
        <v>306.63518480326468</v>
      </c>
      <c r="G13" s="335">
        <v>340.59928662741288</v>
      </c>
      <c r="H13" s="335">
        <v>372.13510073357207</v>
      </c>
      <c r="I13" s="335">
        <v>402.02340328940113</v>
      </c>
      <c r="J13" s="335">
        <v>429.73555591492021</v>
      </c>
      <c r="K13" s="335">
        <v>454.44145071437208</v>
      </c>
      <c r="L13" s="335">
        <v>472.35362004392732</v>
      </c>
      <c r="M13" s="335">
        <v>494.90891513673245</v>
      </c>
      <c r="N13" s="335">
        <v>515.60211639119359</v>
      </c>
      <c r="O13" s="335">
        <v>534.88291792751352</v>
      </c>
      <c r="P13" s="335">
        <v>553.95612432351459</v>
      </c>
      <c r="Q13" s="335">
        <v>573.45791559761358</v>
      </c>
    </row>
    <row r="14" spans="1:17" ht="15" customHeight="1" x14ac:dyDescent="0.2">
      <c r="A14" s="449"/>
      <c r="B14" s="74" t="s">
        <v>33</v>
      </c>
      <c r="C14" s="1" t="s">
        <v>61</v>
      </c>
      <c r="D14" s="335">
        <v>70.302308188170187</v>
      </c>
      <c r="E14" s="335">
        <v>0</v>
      </c>
      <c r="F14" s="335">
        <v>0</v>
      </c>
      <c r="G14" s="335">
        <v>0</v>
      </c>
      <c r="H14" s="335">
        <v>0</v>
      </c>
      <c r="I14" s="335">
        <v>0</v>
      </c>
      <c r="J14" s="335">
        <v>0</v>
      </c>
      <c r="K14" s="335">
        <v>0</v>
      </c>
      <c r="L14" s="335">
        <v>0</v>
      </c>
      <c r="M14" s="335">
        <v>0</v>
      </c>
      <c r="N14" s="335">
        <v>0</v>
      </c>
      <c r="O14" s="335">
        <v>0</v>
      </c>
      <c r="P14" s="335">
        <v>0</v>
      </c>
      <c r="Q14" s="335">
        <v>0</v>
      </c>
    </row>
    <row r="15" spans="1:17" ht="15" customHeight="1" x14ac:dyDescent="0.2">
      <c r="A15" s="449"/>
      <c r="B15" s="76" t="s">
        <v>103</v>
      </c>
      <c r="C15" s="4" t="s">
        <v>112</v>
      </c>
      <c r="D15" s="275">
        <v>0</v>
      </c>
      <c r="E15" s="275">
        <v>0</v>
      </c>
      <c r="F15" s="275">
        <v>0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75">
        <v>0</v>
      </c>
      <c r="P15" s="275"/>
      <c r="Q15" s="275">
        <v>0</v>
      </c>
    </row>
    <row r="16" spans="1:17" ht="15" customHeight="1" x14ac:dyDescent="0.2">
      <c r="A16" s="449"/>
      <c r="B16" s="74" t="s">
        <v>89</v>
      </c>
      <c r="C16" s="1" t="s">
        <v>19</v>
      </c>
      <c r="D16" s="335">
        <v>0</v>
      </c>
      <c r="E16" s="335">
        <v>0</v>
      </c>
      <c r="F16" s="335">
        <v>0</v>
      </c>
      <c r="G16" s="335">
        <v>10</v>
      </c>
      <c r="H16" s="335">
        <v>25</v>
      </c>
      <c r="I16" s="335">
        <v>50</v>
      </c>
      <c r="J16" s="335">
        <v>85.106916284022731</v>
      </c>
      <c r="K16" s="335">
        <v>256.83143753723169</v>
      </c>
      <c r="L16" s="335">
        <v>494.65727531944833</v>
      </c>
      <c r="M16" s="335">
        <v>786.78315957400571</v>
      </c>
      <c r="N16" s="335">
        <v>1128.7291163547952</v>
      </c>
      <c r="O16" s="335">
        <v>1470.9330744728325</v>
      </c>
      <c r="P16" s="335">
        <v>1918.4890627596535</v>
      </c>
      <c r="Q16" s="335">
        <v>2434.6491715625875</v>
      </c>
    </row>
    <row r="17" spans="1:17" ht="15" customHeight="1" x14ac:dyDescent="0.2">
      <c r="A17" s="449"/>
      <c r="B17" s="74" t="s">
        <v>119</v>
      </c>
      <c r="C17" s="1" t="s">
        <v>19</v>
      </c>
      <c r="D17" s="335">
        <v>1233.0002890853402</v>
      </c>
      <c r="E17" s="335">
        <v>1233.0002890853402</v>
      </c>
      <c r="F17" s="335">
        <v>1233.0002890853402</v>
      </c>
      <c r="G17" s="335">
        <v>1233.0002890853402</v>
      </c>
      <c r="H17" s="335">
        <v>1233.0002890853402</v>
      </c>
      <c r="I17" s="335">
        <v>1233.0002890853402</v>
      </c>
      <c r="J17" s="335">
        <v>1233.0002890853402</v>
      </c>
      <c r="K17" s="335">
        <v>1233.0002890853402</v>
      </c>
      <c r="L17" s="335">
        <v>1233.0002890853402</v>
      </c>
      <c r="M17" s="335">
        <v>1233.0002890853402</v>
      </c>
      <c r="N17" s="335">
        <v>1233.0002890853402</v>
      </c>
      <c r="O17" s="335">
        <v>1233.0002890853402</v>
      </c>
      <c r="P17" s="335">
        <v>1233.0002890853402</v>
      </c>
      <c r="Q17" s="335">
        <v>1233.0002890853402</v>
      </c>
    </row>
    <row r="18" spans="1:17" ht="15" customHeight="1" x14ac:dyDescent="0.2">
      <c r="A18" s="449"/>
      <c r="B18" s="153" t="s">
        <v>161</v>
      </c>
      <c r="C18" s="1" t="s">
        <v>157</v>
      </c>
      <c r="D18" s="335">
        <v>0</v>
      </c>
      <c r="E18" s="335">
        <v>0</v>
      </c>
      <c r="F18" s="335">
        <v>27.819999999999997</v>
      </c>
      <c r="G18" s="358">
        <v>27.819999999999997</v>
      </c>
      <c r="H18" s="358">
        <v>27.819999999999997</v>
      </c>
      <c r="I18" s="358">
        <v>27.819999999999997</v>
      </c>
      <c r="J18" s="358">
        <v>27.819999999999997</v>
      </c>
      <c r="K18" s="358">
        <v>27.819999999999997</v>
      </c>
      <c r="L18" s="358">
        <v>27.819999999999997</v>
      </c>
      <c r="M18" s="358">
        <v>27.819999999999997</v>
      </c>
      <c r="N18" s="358">
        <v>27.819999999999997</v>
      </c>
      <c r="O18" s="358">
        <v>27.819999999999997</v>
      </c>
      <c r="P18" s="358">
        <v>27.819999999999997</v>
      </c>
      <c r="Q18" s="358">
        <v>27.819999999999997</v>
      </c>
    </row>
    <row r="19" spans="1:17" ht="15.75" customHeight="1" x14ac:dyDescent="0.2">
      <c r="A19" s="449"/>
      <c r="B19" s="74" t="s">
        <v>68</v>
      </c>
      <c r="C19" s="1" t="s">
        <v>18</v>
      </c>
      <c r="D19" s="277">
        <v>0</v>
      </c>
      <c r="E19" s="277">
        <v>0</v>
      </c>
      <c r="F19" s="276">
        <v>0</v>
      </c>
      <c r="G19" s="276">
        <v>0</v>
      </c>
      <c r="H19" s="276">
        <v>0</v>
      </c>
      <c r="I19" s="277">
        <v>0</v>
      </c>
      <c r="J19" s="277">
        <v>0</v>
      </c>
      <c r="K19" s="276">
        <v>0</v>
      </c>
      <c r="L19" s="276">
        <v>0</v>
      </c>
      <c r="M19" s="276">
        <v>0</v>
      </c>
      <c r="N19" s="276">
        <v>0</v>
      </c>
      <c r="O19" s="276">
        <v>0</v>
      </c>
      <c r="P19" s="276">
        <v>0</v>
      </c>
      <c r="Q19" s="276">
        <v>0</v>
      </c>
    </row>
    <row r="20" spans="1:17" ht="14" customHeight="1" x14ac:dyDescent="0.2">
      <c r="A20" s="449"/>
      <c r="B20" s="79" t="s">
        <v>81</v>
      </c>
      <c r="C20" s="150" t="s">
        <v>43</v>
      </c>
      <c r="D20" s="374">
        <v>5.0700350650029896E-3</v>
      </c>
      <c r="E20" s="374">
        <v>4.4205469109682809E-3</v>
      </c>
      <c r="F20" s="374">
        <v>5.4218569431126375E-3</v>
      </c>
      <c r="G20" s="374">
        <v>6.7053967092578848E-3</v>
      </c>
      <c r="H20" s="374">
        <v>8.5838530682564463E-3</v>
      </c>
      <c r="I20" s="374">
        <v>1.141022815928495E-2</v>
      </c>
      <c r="J20" s="374">
        <v>2.532712351059066E-2</v>
      </c>
      <c r="K20" s="374">
        <v>4.9975173864958297E-2</v>
      </c>
      <c r="L20" s="374">
        <v>4.8787897884264485E-2</v>
      </c>
      <c r="M20" s="374">
        <v>6.5511176132706364E-2</v>
      </c>
      <c r="N20" s="374">
        <v>8.8375415238010666E-2</v>
      </c>
      <c r="O20" s="374">
        <v>0.11937607919516172</v>
      </c>
      <c r="P20" s="374">
        <v>0.11867784978048193</v>
      </c>
      <c r="Q20" s="374">
        <v>0.11688591204421633</v>
      </c>
    </row>
    <row r="21" spans="1:17" ht="18" customHeight="1" x14ac:dyDescent="0.2">
      <c r="A21" s="449"/>
      <c r="B21" s="79" t="s">
        <v>54</v>
      </c>
      <c r="C21" s="150" t="s">
        <v>45</v>
      </c>
      <c r="D21" s="392">
        <v>3.0000000000000001E-3</v>
      </c>
      <c r="E21" s="392">
        <v>3.0000000000000001E-3</v>
      </c>
      <c r="F21" s="392">
        <v>0.02</v>
      </c>
      <c r="G21" s="392">
        <v>0.25</v>
      </c>
      <c r="H21" s="392">
        <v>0.375</v>
      </c>
      <c r="I21" s="392">
        <v>0.5</v>
      </c>
      <c r="J21" s="392">
        <v>0.625</v>
      </c>
      <c r="K21" s="392">
        <v>0.75</v>
      </c>
      <c r="L21" s="392">
        <v>0.875</v>
      </c>
      <c r="M21" s="392">
        <v>1</v>
      </c>
      <c r="N21" s="392">
        <v>1</v>
      </c>
      <c r="O21" s="392">
        <v>1</v>
      </c>
      <c r="P21" s="392">
        <v>1</v>
      </c>
      <c r="Q21" s="392">
        <v>1</v>
      </c>
    </row>
    <row r="22" spans="1:17" ht="18" customHeight="1" x14ac:dyDescent="0.2">
      <c r="A22" s="449"/>
      <c r="B22" s="79" t="s">
        <v>76</v>
      </c>
      <c r="C22" s="150" t="s">
        <v>45</v>
      </c>
      <c r="D22" s="392">
        <v>0.154</v>
      </c>
      <c r="E22" s="392">
        <v>0.154</v>
      </c>
      <c r="F22" s="392">
        <v>0.154</v>
      </c>
      <c r="G22" s="392">
        <v>0.154</v>
      </c>
      <c r="H22" s="392">
        <v>0.154</v>
      </c>
      <c r="I22" s="392">
        <v>0.154</v>
      </c>
      <c r="J22" s="392">
        <v>0.154</v>
      </c>
      <c r="K22" s="392">
        <v>0.154</v>
      </c>
      <c r="L22" s="392">
        <v>0.154</v>
      </c>
      <c r="M22" s="392">
        <v>0.154</v>
      </c>
      <c r="N22" s="392">
        <v>0.154</v>
      </c>
      <c r="O22" s="392">
        <v>0.154</v>
      </c>
      <c r="P22" s="392">
        <v>0.154</v>
      </c>
      <c r="Q22" s="392">
        <v>0.154</v>
      </c>
    </row>
    <row r="23" spans="1:17" ht="18" customHeight="1" x14ac:dyDescent="0.2">
      <c r="A23" s="449"/>
      <c r="B23" s="79" t="s">
        <v>56</v>
      </c>
      <c r="C23" s="150" t="s">
        <v>45</v>
      </c>
      <c r="D23" s="392">
        <v>4.7215261006972611E-2</v>
      </c>
      <c r="E23" s="392">
        <v>0.24311849487339815</v>
      </c>
      <c r="F23" s="392">
        <v>0.83197905870442046</v>
      </c>
      <c r="G23" s="392">
        <v>1.5597222095952328</v>
      </c>
      <c r="H23" s="392">
        <v>1.5067261403813688</v>
      </c>
      <c r="I23" s="392">
        <v>1.4609907424633672</v>
      </c>
      <c r="J23" s="392">
        <v>1.5300493388801382</v>
      </c>
      <c r="K23" s="392">
        <v>1.587403857110222</v>
      </c>
      <c r="L23" s="392">
        <v>1.6469410043239079</v>
      </c>
      <c r="M23" s="392">
        <v>1.6980004724262954</v>
      </c>
      <c r="N23" s="392">
        <v>1.7551421989449538</v>
      </c>
      <c r="O23" s="392">
        <v>1.8113554997260988</v>
      </c>
      <c r="P23" s="392">
        <v>1.8678101340182818</v>
      </c>
      <c r="Q23" s="392">
        <v>1.921700078176134</v>
      </c>
    </row>
    <row r="24" spans="1:17" ht="18" customHeight="1" x14ac:dyDescent="0.2">
      <c r="A24" s="449"/>
      <c r="B24" s="173" t="s">
        <v>55</v>
      </c>
      <c r="C24" s="150" t="s">
        <v>45</v>
      </c>
      <c r="D24" s="392">
        <v>0</v>
      </c>
      <c r="E24" s="392">
        <v>0.01</v>
      </c>
      <c r="F24" s="392">
        <v>0.05</v>
      </c>
      <c r="G24" s="392">
        <v>8.0545454545454545E-2</v>
      </c>
      <c r="H24" s="392">
        <v>0.11109090909090909</v>
      </c>
      <c r="I24" s="392">
        <v>0.19377922077922077</v>
      </c>
      <c r="J24" s="392">
        <v>0.27646753246753247</v>
      </c>
      <c r="K24" s="392">
        <v>0.35915584415584412</v>
      </c>
      <c r="L24" s="392">
        <v>0.44184415584415582</v>
      </c>
      <c r="M24" s="392">
        <v>0.52453246753246763</v>
      </c>
      <c r="N24" s="392">
        <v>0.60722077922077922</v>
      </c>
      <c r="O24" s="392">
        <v>0.68990909090909092</v>
      </c>
      <c r="P24" s="392">
        <v>0.72045454545454546</v>
      </c>
      <c r="Q24" s="392">
        <v>0.751</v>
      </c>
    </row>
    <row r="25" spans="1:17" ht="18" customHeight="1" x14ac:dyDescent="0.2">
      <c r="A25" s="449"/>
      <c r="B25" s="79" t="s">
        <v>166</v>
      </c>
      <c r="C25" s="150" t="s">
        <v>167</v>
      </c>
      <c r="D25" s="335">
        <v>70.24799999999999</v>
      </c>
      <c r="E25" s="335">
        <v>69.871999999999986</v>
      </c>
      <c r="F25" s="335">
        <v>69.495999999999981</v>
      </c>
      <c r="G25" s="335">
        <v>69.119999999999976</v>
      </c>
      <c r="H25" s="335">
        <v>68.743999999999971</v>
      </c>
      <c r="I25" s="335">
        <v>66.469706730398954</v>
      </c>
      <c r="J25" s="335">
        <v>63.981807193167938</v>
      </c>
      <c r="K25" s="335">
        <v>61.1846769086021</v>
      </c>
      <c r="L25" s="335">
        <v>57.95623169148304</v>
      </c>
      <c r="M25" s="335">
        <v>54.132689153903627</v>
      </c>
      <c r="N25" s="335">
        <v>49.476091937576385</v>
      </c>
      <c r="O25" s="335">
        <v>43.615840946075707</v>
      </c>
      <c r="P25" s="335">
        <v>39.544468279869307</v>
      </c>
      <c r="Q25" s="335">
        <v>33.36</v>
      </c>
    </row>
    <row r="26" spans="1:17" ht="18" customHeight="1" x14ac:dyDescent="0.2">
      <c r="A26" s="449"/>
      <c r="B26" s="79" t="s">
        <v>163</v>
      </c>
      <c r="C26" s="150" t="s">
        <v>167</v>
      </c>
      <c r="D26" s="357">
        <v>23.868507024577521</v>
      </c>
      <c r="E26" s="357">
        <v>22.198588334051657</v>
      </c>
      <c r="F26" s="357">
        <v>18.353536205515244</v>
      </c>
      <c r="G26" s="357">
        <v>15.061792786767928</v>
      </c>
      <c r="H26" s="357">
        <v>14.31149447213849</v>
      </c>
      <c r="I26" s="357">
        <v>13.517031364061937</v>
      </c>
      <c r="J26" s="357">
        <v>12.680212331175829</v>
      </c>
      <c r="K26" s="357">
        <v>11.802751357674166</v>
      </c>
      <c r="L26" s="357">
        <v>10.886286523707538</v>
      </c>
      <c r="M26" s="357">
        <v>9.9323993125663517</v>
      </c>
      <c r="N26" s="357">
        <v>8.9426343880675674</v>
      </c>
      <c r="O26" s="357">
        <v>7.918519991451423</v>
      </c>
      <c r="P26" s="357">
        <v>6.8615891139429745</v>
      </c>
      <c r="Q26" s="357">
        <v>5.7734016089962683</v>
      </c>
    </row>
    <row r="27" spans="1:17" ht="18" customHeight="1" thickBot="1" x14ac:dyDescent="0.25">
      <c r="A27" s="450"/>
      <c r="B27" s="79" t="s">
        <v>57</v>
      </c>
      <c r="C27" s="150" t="s">
        <v>167</v>
      </c>
      <c r="D27" s="474">
        <v>0</v>
      </c>
      <c r="E27" s="475">
        <v>0</v>
      </c>
      <c r="F27" s="475">
        <v>0.13</v>
      </c>
      <c r="G27" s="475">
        <v>0.51</v>
      </c>
      <c r="H27" s="475">
        <v>0.87</v>
      </c>
      <c r="I27" s="475">
        <v>1.22</v>
      </c>
      <c r="J27" s="475">
        <v>1.22</v>
      </c>
      <c r="K27" s="475">
        <v>1.22</v>
      </c>
      <c r="L27" s="475">
        <v>1.22</v>
      </c>
      <c r="M27" s="475">
        <v>1.22</v>
      </c>
      <c r="N27" s="475">
        <v>1.22</v>
      </c>
      <c r="O27" s="475">
        <v>1.22</v>
      </c>
      <c r="P27" s="475">
        <v>1.22</v>
      </c>
      <c r="Q27" s="475">
        <v>1.22</v>
      </c>
    </row>
    <row r="28" spans="1:17" ht="16" thickBot="1" x14ac:dyDescent="0.25">
      <c r="D28" s="243">
        <v>100</v>
      </c>
      <c r="E28" s="243">
        <v>125</v>
      </c>
      <c r="F28" s="243">
        <v>150</v>
      </c>
      <c r="G28" s="243">
        <v>200</v>
      </c>
      <c r="H28" s="243">
        <v>200</v>
      </c>
      <c r="I28" s="243">
        <v>200</v>
      </c>
      <c r="J28" s="243">
        <v>150</v>
      </c>
      <c r="K28" s="243">
        <v>150</v>
      </c>
      <c r="L28" s="243">
        <v>125</v>
      </c>
      <c r="M28" s="243">
        <v>75</v>
      </c>
      <c r="N28" s="243">
        <v>50</v>
      </c>
      <c r="O28" s="243">
        <v>25</v>
      </c>
      <c r="P28" s="243">
        <v>25</v>
      </c>
      <c r="Q28" s="243">
        <v>25</v>
      </c>
    </row>
    <row r="29" spans="1:17" ht="14" customHeight="1" x14ac:dyDescent="0.2">
      <c r="A29" s="448" t="s">
        <v>177</v>
      </c>
      <c r="B29" s="74" t="s">
        <v>72</v>
      </c>
      <c r="C29" s="14" t="s">
        <v>15</v>
      </c>
      <c r="D29" s="210">
        <v>2017</v>
      </c>
      <c r="E29" s="210">
        <v>2018</v>
      </c>
      <c r="F29" s="210">
        <v>2019</v>
      </c>
      <c r="G29" s="210">
        <v>2020</v>
      </c>
      <c r="H29" s="210">
        <v>2021</v>
      </c>
      <c r="I29" s="210">
        <v>2022</v>
      </c>
      <c r="J29" s="210">
        <v>2023</v>
      </c>
      <c r="K29" s="210">
        <v>2024</v>
      </c>
      <c r="L29" s="210">
        <v>2025</v>
      </c>
      <c r="M29" s="4">
        <v>2026</v>
      </c>
      <c r="N29" s="4">
        <v>2027</v>
      </c>
      <c r="O29" s="4">
        <v>2028</v>
      </c>
      <c r="P29" s="4">
        <v>2029</v>
      </c>
      <c r="Q29" s="4">
        <v>2030</v>
      </c>
    </row>
    <row r="30" spans="1:17" ht="14" customHeight="1" x14ac:dyDescent="0.2">
      <c r="A30" s="449"/>
      <c r="B30" s="74" t="s">
        <v>158</v>
      </c>
      <c r="C30" s="1" t="s">
        <v>18</v>
      </c>
      <c r="D30" s="252">
        <v>18.423134009999998</v>
      </c>
      <c r="E30" s="252">
        <v>21.954198859999998</v>
      </c>
      <c r="F30" s="252">
        <v>25.79566213</v>
      </c>
      <c r="G30" s="252">
        <v>29.947523820000001</v>
      </c>
      <c r="H30" s="252">
        <v>34.409783930000003</v>
      </c>
      <c r="I30" s="252">
        <v>39.182442460000004</v>
      </c>
      <c r="J30" s="252">
        <v>44.265499409999997</v>
      </c>
      <c r="K30" s="252">
        <v>49.658954780000002</v>
      </c>
      <c r="L30" s="252">
        <v>55.362808569999999</v>
      </c>
      <c r="M30" s="252">
        <v>61.377060779999994</v>
      </c>
      <c r="N30" s="252">
        <v>67.701711410000001</v>
      </c>
      <c r="O30" s="252">
        <v>74.336760459999994</v>
      </c>
      <c r="P30" s="252">
        <v>81.282207929999998</v>
      </c>
      <c r="Q30" s="252">
        <v>88.538053819999988</v>
      </c>
    </row>
    <row r="31" spans="1:17" ht="14" customHeight="1" x14ac:dyDescent="0.2">
      <c r="A31" s="449"/>
      <c r="B31" s="74" t="s">
        <v>17</v>
      </c>
      <c r="C31" s="1" t="s">
        <v>18</v>
      </c>
      <c r="D31" s="202">
        <v>1.0083198807897678</v>
      </c>
      <c r="E31" s="202">
        <v>2.0166397615795355</v>
      </c>
      <c r="F31" s="202">
        <v>4.033279523159071</v>
      </c>
      <c r="G31" s="202">
        <v>7.4866509375388048</v>
      </c>
      <c r="H31" s="202">
        <v>11.508297006019333</v>
      </c>
      <c r="I31" s="202">
        <v>16.249135193627929</v>
      </c>
      <c r="J31" s="202">
        <v>20</v>
      </c>
      <c r="K31" s="202">
        <v>24</v>
      </c>
      <c r="L31" s="202">
        <v>27</v>
      </c>
      <c r="M31" s="202">
        <v>27</v>
      </c>
      <c r="N31" s="202">
        <v>27</v>
      </c>
      <c r="O31" s="202">
        <v>27</v>
      </c>
      <c r="P31" s="202">
        <v>27</v>
      </c>
      <c r="Q31" s="202">
        <v>27</v>
      </c>
    </row>
    <row r="32" spans="1:17" ht="14" customHeight="1" x14ac:dyDescent="0.2">
      <c r="A32" s="449"/>
      <c r="B32" s="74" t="s">
        <v>124</v>
      </c>
      <c r="C32" s="1" t="s">
        <v>18</v>
      </c>
      <c r="D32" s="202">
        <v>50</v>
      </c>
      <c r="E32" s="202">
        <v>100</v>
      </c>
      <c r="F32" s="202">
        <v>150</v>
      </c>
      <c r="G32" s="202">
        <v>150</v>
      </c>
      <c r="H32" s="202">
        <v>150</v>
      </c>
      <c r="I32" s="202">
        <v>150</v>
      </c>
      <c r="J32" s="202">
        <v>150</v>
      </c>
      <c r="K32" s="202">
        <v>150</v>
      </c>
      <c r="L32" s="202">
        <v>100</v>
      </c>
      <c r="M32" s="202">
        <v>100</v>
      </c>
      <c r="N32" s="202">
        <v>50</v>
      </c>
      <c r="O32" s="202">
        <v>0</v>
      </c>
      <c r="P32" s="202">
        <v>0</v>
      </c>
      <c r="Q32" s="214">
        <v>0</v>
      </c>
    </row>
    <row r="33" spans="1:17" ht="14" customHeight="1" x14ac:dyDescent="0.2">
      <c r="A33" s="449"/>
      <c r="B33" s="76" t="s">
        <v>16</v>
      </c>
      <c r="C33" s="1" t="s">
        <v>18</v>
      </c>
      <c r="D33" s="202">
        <v>0</v>
      </c>
      <c r="E33" s="202">
        <v>0</v>
      </c>
      <c r="F33" s="202">
        <v>0</v>
      </c>
      <c r="G33" s="202">
        <v>0</v>
      </c>
      <c r="H33" s="202">
        <v>0</v>
      </c>
      <c r="I33" s="202">
        <v>0</v>
      </c>
      <c r="J33" s="202">
        <v>0</v>
      </c>
      <c r="K33" s="202">
        <v>0</v>
      </c>
      <c r="L33" s="202">
        <v>0</v>
      </c>
      <c r="M33" s="202">
        <v>0</v>
      </c>
      <c r="N33" s="202">
        <v>0</v>
      </c>
      <c r="O33" s="202">
        <v>0</v>
      </c>
      <c r="P33" s="202">
        <v>0</v>
      </c>
      <c r="Q33" s="202">
        <v>0</v>
      </c>
    </row>
    <row r="34" spans="1:17" ht="14" customHeight="1" x14ac:dyDescent="0.2">
      <c r="A34" s="449"/>
      <c r="B34" s="74" t="s">
        <v>5</v>
      </c>
      <c r="C34" s="1" t="s">
        <v>112</v>
      </c>
      <c r="D34" s="253">
        <v>0.37959999999999999</v>
      </c>
      <c r="E34" s="253">
        <v>0.71909999999999996</v>
      </c>
      <c r="F34" s="253">
        <v>1.3375999999999999</v>
      </c>
      <c r="G34" s="253">
        <v>2.3818000000000001</v>
      </c>
      <c r="H34" s="253">
        <v>3.8589000000000002</v>
      </c>
      <c r="I34" s="253">
        <v>6.1199000000000003</v>
      </c>
      <c r="J34" s="253">
        <v>9.2230000000000008</v>
      </c>
      <c r="K34" s="253">
        <v>12.8797</v>
      </c>
      <c r="L34" s="253">
        <v>17.098500000000001</v>
      </c>
      <c r="M34" s="203">
        <v>21.6035</v>
      </c>
      <c r="N34" s="203">
        <v>26.108499999999999</v>
      </c>
      <c r="O34" s="203">
        <v>30.613499999999998</v>
      </c>
      <c r="P34" s="203">
        <v>35.118499999999997</v>
      </c>
      <c r="Q34" s="203">
        <v>39.6235</v>
      </c>
    </row>
    <row r="35" spans="1:17" ht="14" customHeight="1" x14ac:dyDescent="0.2">
      <c r="A35" s="449"/>
      <c r="B35" s="74" t="s">
        <v>0</v>
      </c>
      <c r="C35" s="1" t="s">
        <v>19</v>
      </c>
      <c r="D35" s="254">
        <v>973.85187199999996</v>
      </c>
      <c r="E35" s="254">
        <v>1193.638616</v>
      </c>
      <c r="F35" s="254">
        <v>1351.3739760000001</v>
      </c>
      <c r="G35" s="254">
        <v>1562.7517760000001</v>
      </c>
      <c r="H35" s="254">
        <v>1828.233696</v>
      </c>
      <c r="I35" s="254">
        <v>2124.219928</v>
      </c>
      <c r="J35" s="254">
        <v>2444.465056</v>
      </c>
      <c r="K35" s="254">
        <v>2794.8658479999999</v>
      </c>
      <c r="L35" s="254">
        <v>3173.8669199999999</v>
      </c>
      <c r="M35" s="254">
        <v>3567.0877359999999</v>
      </c>
      <c r="N35" s="254">
        <v>3960.308552</v>
      </c>
      <c r="O35" s="254">
        <v>4353.5293680000004</v>
      </c>
      <c r="P35" s="254">
        <v>4746.7501840000004</v>
      </c>
      <c r="Q35" s="254">
        <v>5139.9709999999995</v>
      </c>
    </row>
    <row r="36" spans="1:17" ht="14" customHeight="1" x14ac:dyDescent="0.2">
      <c r="A36" s="449"/>
      <c r="B36" s="74" t="s">
        <v>38</v>
      </c>
      <c r="C36" s="1" t="s">
        <v>18</v>
      </c>
      <c r="D36" s="204">
        <v>170</v>
      </c>
      <c r="E36" s="204">
        <v>200</v>
      </c>
      <c r="F36" s="204">
        <v>275</v>
      </c>
      <c r="G36" s="204">
        <v>350</v>
      </c>
      <c r="H36" s="204">
        <v>425</v>
      </c>
      <c r="I36" s="204">
        <v>500</v>
      </c>
      <c r="J36" s="204">
        <v>500</v>
      </c>
      <c r="K36" s="204">
        <v>500</v>
      </c>
      <c r="L36" s="204">
        <v>500</v>
      </c>
      <c r="M36" s="204">
        <v>500</v>
      </c>
      <c r="N36" s="204">
        <v>500</v>
      </c>
      <c r="O36" s="204">
        <v>500</v>
      </c>
      <c r="P36" s="204">
        <v>500</v>
      </c>
      <c r="Q36" s="204">
        <v>500</v>
      </c>
    </row>
    <row r="37" spans="1:17" ht="14" customHeight="1" x14ac:dyDescent="0.2">
      <c r="A37" s="449"/>
      <c r="B37" s="74" t="s">
        <v>1</v>
      </c>
      <c r="C37" s="1" t="s">
        <v>18</v>
      </c>
      <c r="D37" s="204">
        <v>350</v>
      </c>
      <c r="E37" s="204">
        <v>450</v>
      </c>
      <c r="F37" s="204">
        <v>550</v>
      </c>
      <c r="G37" s="204">
        <v>650</v>
      </c>
      <c r="H37" s="204">
        <v>750</v>
      </c>
      <c r="I37" s="204">
        <v>850</v>
      </c>
      <c r="J37" s="204">
        <v>950</v>
      </c>
      <c r="K37" s="204">
        <v>1050</v>
      </c>
      <c r="L37" s="204">
        <v>1150</v>
      </c>
      <c r="M37" s="204">
        <v>800</v>
      </c>
      <c r="N37" s="204">
        <v>650</v>
      </c>
      <c r="O37" s="204">
        <v>550</v>
      </c>
      <c r="P37" s="204">
        <v>550</v>
      </c>
      <c r="Q37" s="204">
        <v>550</v>
      </c>
    </row>
    <row r="38" spans="1:17" ht="14" customHeight="1" x14ac:dyDescent="0.2">
      <c r="A38" s="449"/>
      <c r="B38" s="76" t="s">
        <v>82</v>
      </c>
      <c r="C38" s="1" t="s">
        <v>61</v>
      </c>
      <c r="D38" s="203">
        <v>152.33881163084706</v>
      </c>
      <c r="E38" s="203">
        <v>156.38432364096082</v>
      </c>
      <c r="F38" s="203">
        <v>173.07206068268016</v>
      </c>
      <c r="G38" s="203">
        <v>192.58570684911132</v>
      </c>
      <c r="H38" s="203">
        <v>212.6794080464044</v>
      </c>
      <c r="I38" s="203">
        <v>234.2083736149327</v>
      </c>
      <c r="J38" s="203">
        <v>255.00855209340375</v>
      </c>
      <c r="K38" s="203">
        <v>283.88488138618277</v>
      </c>
      <c r="L38" s="203">
        <v>288.06425224957241</v>
      </c>
      <c r="M38" s="203">
        <v>294.935673384398</v>
      </c>
      <c r="N38" s="203">
        <v>301.5839964304306</v>
      </c>
      <c r="O38" s="203">
        <v>307.39941994496911</v>
      </c>
      <c r="P38" s="203">
        <v>313.05867479735258</v>
      </c>
      <c r="Q38" s="203">
        <v>319.1864356362014</v>
      </c>
    </row>
    <row r="39" spans="1:17" ht="14" customHeight="1" x14ac:dyDescent="0.2">
      <c r="A39" s="449"/>
      <c r="B39" s="74" t="s">
        <v>33</v>
      </c>
      <c r="C39" s="1" t="s">
        <v>61</v>
      </c>
      <c r="D39" s="203">
        <v>50</v>
      </c>
      <c r="E39" s="203">
        <v>25</v>
      </c>
      <c r="F39" s="203">
        <v>0</v>
      </c>
      <c r="G39" s="203">
        <v>0</v>
      </c>
      <c r="H39" s="203">
        <v>0</v>
      </c>
      <c r="I39" s="203">
        <v>0</v>
      </c>
      <c r="J39" s="203">
        <v>0</v>
      </c>
      <c r="K39" s="203">
        <v>0</v>
      </c>
      <c r="L39" s="203">
        <v>0</v>
      </c>
      <c r="M39" s="203">
        <v>0</v>
      </c>
      <c r="N39" s="203">
        <v>0</v>
      </c>
      <c r="O39" s="203">
        <v>24</v>
      </c>
      <c r="P39" s="203">
        <v>24</v>
      </c>
      <c r="Q39" s="203">
        <v>30</v>
      </c>
    </row>
    <row r="40" spans="1:17" ht="14" customHeight="1" x14ac:dyDescent="0.2">
      <c r="A40" s="449"/>
      <c r="B40" s="76" t="s">
        <v>103</v>
      </c>
      <c r="C40" s="4" t="s">
        <v>112</v>
      </c>
      <c r="D40" s="202">
        <v>2.1729609654822128E-2</v>
      </c>
      <c r="E40" s="202">
        <v>4.2563122435700422E-2</v>
      </c>
      <c r="F40" s="202">
        <v>7.9221596798729643E-2</v>
      </c>
      <c r="G40" s="202">
        <v>0.12104481719249827</v>
      </c>
      <c r="H40" s="202">
        <v>0.1816060687387489</v>
      </c>
      <c r="I40" s="202">
        <v>0.27756822157499184</v>
      </c>
      <c r="J40" s="202">
        <v>0.37832792169431789</v>
      </c>
      <c r="K40" s="202">
        <v>0.5684160505621817</v>
      </c>
      <c r="L40" s="202">
        <v>0.80546664639454091</v>
      </c>
      <c r="M40" s="202">
        <v>1.1207288866548697</v>
      </c>
      <c r="N40" s="202">
        <v>1.5293722472561442</v>
      </c>
      <c r="O40" s="202">
        <v>2.0295901497354025</v>
      </c>
      <c r="P40" s="202">
        <v>2.6791165470450999</v>
      </c>
      <c r="Q40" s="202">
        <v>3.5256743672802955</v>
      </c>
    </row>
    <row r="41" spans="1:17" ht="14" customHeight="1" x14ac:dyDescent="0.2">
      <c r="A41" s="449"/>
      <c r="B41" s="74" t="s">
        <v>89</v>
      </c>
      <c r="C41" s="1" t="s">
        <v>19</v>
      </c>
      <c r="D41" s="205">
        <v>3.7894114404544301</v>
      </c>
      <c r="E41" s="205">
        <v>10.402955513673991</v>
      </c>
      <c r="F41" s="205">
        <v>21.99355244200974</v>
      </c>
      <c r="G41" s="205">
        <v>38.824390017528302</v>
      </c>
      <c r="H41" s="205">
        <v>58.149856742870597</v>
      </c>
      <c r="I41" s="205">
        <v>97.3073839019399</v>
      </c>
      <c r="J41" s="205">
        <v>146.088656830633</v>
      </c>
      <c r="K41" s="205">
        <v>238.50207872244439</v>
      </c>
      <c r="L41" s="205">
        <v>350.525473011901</v>
      </c>
      <c r="M41" s="205">
        <v>483.18676801670301</v>
      </c>
      <c r="N41" s="205">
        <v>623.48797719434697</v>
      </c>
      <c r="O41" s="205">
        <v>756.11606245709004</v>
      </c>
      <c r="P41" s="205">
        <v>889.00870624910499</v>
      </c>
      <c r="Q41" s="205">
        <v>1024.46109319377</v>
      </c>
    </row>
    <row r="42" spans="1:17" ht="14" customHeight="1" x14ac:dyDescent="0.2">
      <c r="A42" s="449"/>
      <c r="B42" s="74" t="s">
        <v>119</v>
      </c>
      <c r="C42" s="1" t="s">
        <v>19</v>
      </c>
      <c r="D42" s="202">
        <v>1233</v>
      </c>
      <c r="E42" s="202">
        <v>1233</v>
      </c>
      <c r="F42" s="202">
        <v>1233</v>
      </c>
      <c r="G42" s="202">
        <v>1233</v>
      </c>
      <c r="H42" s="202">
        <v>1233</v>
      </c>
      <c r="I42" s="202">
        <v>1233</v>
      </c>
      <c r="J42" s="202">
        <v>1233</v>
      </c>
      <c r="K42" s="202">
        <v>1233</v>
      </c>
      <c r="L42" s="202">
        <v>1233</v>
      </c>
      <c r="M42" s="202">
        <v>1233</v>
      </c>
      <c r="N42" s="202">
        <v>1233</v>
      </c>
      <c r="O42" s="202">
        <v>1233</v>
      </c>
      <c r="P42" s="202">
        <v>1233</v>
      </c>
      <c r="Q42" s="202">
        <v>1233</v>
      </c>
    </row>
    <row r="43" spans="1:17" ht="14" customHeight="1" x14ac:dyDescent="0.2">
      <c r="A43" s="449"/>
      <c r="B43" s="74" t="s">
        <v>161</v>
      </c>
      <c r="C43" s="1" t="s">
        <v>157</v>
      </c>
      <c r="D43" s="202">
        <v>0</v>
      </c>
      <c r="E43" s="202">
        <v>0</v>
      </c>
      <c r="F43" s="202">
        <v>0</v>
      </c>
      <c r="G43" s="202">
        <v>0</v>
      </c>
      <c r="H43" s="202">
        <v>0</v>
      </c>
      <c r="I43" s="202">
        <v>0</v>
      </c>
      <c r="J43" s="202">
        <v>0</v>
      </c>
      <c r="K43" s="202">
        <v>0</v>
      </c>
      <c r="L43" s="202">
        <v>0</v>
      </c>
      <c r="M43" s="202">
        <v>0</v>
      </c>
      <c r="N43" s="202">
        <v>0</v>
      </c>
      <c r="O43" s="202">
        <v>0</v>
      </c>
      <c r="P43" s="202">
        <v>0</v>
      </c>
      <c r="Q43" s="202">
        <v>0</v>
      </c>
    </row>
    <row r="44" spans="1:17" ht="15" customHeight="1" x14ac:dyDescent="0.2">
      <c r="A44" s="449"/>
      <c r="B44" s="74" t="s">
        <v>68</v>
      </c>
      <c r="C44" s="1" t="s">
        <v>18</v>
      </c>
      <c r="D44" s="206">
        <v>0</v>
      </c>
      <c r="E44" s="206">
        <v>0</v>
      </c>
      <c r="F44" s="203">
        <v>0</v>
      </c>
      <c r="G44" s="203">
        <v>0</v>
      </c>
      <c r="H44" s="203">
        <v>0</v>
      </c>
      <c r="I44" s="203">
        <v>0</v>
      </c>
      <c r="J44" s="203">
        <v>0</v>
      </c>
      <c r="K44" s="203">
        <v>0</v>
      </c>
      <c r="L44" s="203">
        <v>0</v>
      </c>
      <c r="M44" s="203">
        <v>0</v>
      </c>
      <c r="N44" s="203">
        <v>0</v>
      </c>
      <c r="O44" s="203">
        <v>0</v>
      </c>
      <c r="P44" s="203">
        <v>0</v>
      </c>
      <c r="Q44" s="203">
        <v>0</v>
      </c>
    </row>
    <row r="45" spans="1:17" ht="15" customHeight="1" x14ac:dyDescent="0.2">
      <c r="A45" s="449"/>
      <c r="B45" s="79" t="s">
        <v>81</v>
      </c>
      <c r="C45" s="150" t="s">
        <v>43</v>
      </c>
      <c r="D45" s="207">
        <v>7.4999999999999997E-3</v>
      </c>
      <c r="E45" s="207">
        <v>1.4999999999999999E-2</v>
      </c>
      <c r="F45" s="207">
        <v>2.2499999999999999E-2</v>
      </c>
      <c r="G45" s="207">
        <v>2.5000000000000001E-2</v>
      </c>
      <c r="H45" s="207">
        <v>0.03</v>
      </c>
      <c r="I45" s="207">
        <v>0.03</v>
      </c>
      <c r="J45" s="207">
        <v>0.03</v>
      </c>
      <c r="K45" s="207">
        <v>0.03</v>
      </c>
      <c r="L45" s="207">
        <v>0.03</v>
      </c>
      <c r="M45" s="207">
        <v>0.03</v>
      </c>
      <c r="N45" s="207">
        <v>0.03</v>
      </c>
      <c r="O45" s="207">
        <v>0.03</v>
      </c>
      <c r="P45" s="207">
        <v>0.03</v>
      </c>
      <c r="Q45" s="207">
        <v>0.03</v>
      </c>
    </row>
    <row r="46" spans="1:17" ht="15" customHeight="1" x14ac:dyDescent="0.2">
      <c r="A46" s="449"/>
      <c r="B46" s="79" t="s">
        <v>54</v>
      </c>
      <c r="C46" s="150" t="s">
        <v>45</v>
      </c>
      <c r="D46" s="26">
        <v>3.0000000000000001E-3</v>
      </c>
      <c r="E46" s="26">
        <v>3.0000000000000001E-3</v>
      </c>
      <c r="F46" s="26">
        <v>0.02</v>
      </c>
      <c r="G46" s="26">
        <v>0.25</v>
      </c>
      <c r="H46" s="208">
        <v>0.35</v>
      </c>
      <c r="I46" s="208">
        <v>0.35</v>
      </c>
      <c r="J46" s="208">
        <v>0.35</v>
      </c>
      <c r="K46" s="208">
        <v>0.35</v>
      </c>
      <c r="L46" s="208">
        <v>0.35</v>
      </c>
      <c r="M46" s="208">
        <v>0.35</v>
      </c>
      <c r="N46" s="208">
        <v>0.35</v>
      </c>
      <c r="O46" s="208">
        <v>0.35</v>
      </c>
      <c r="P46" s="208">
        <v>0.35</v>
      </c>
      <c r="Q46" s="208">
        <v>0.35</v>
      </c>
    </row>
    <row r="47" spans="1:17" ht="15" customHeight="1" x14ac:dyDescent="0.2">
      <c r="A47" s="449"/>
      <c r="B47" s="79" t="s">
        <v>76</v>
      </c>
      <c r="C47" s="150" t="s">
        <v>45</v>
      </c>
      <c r="D47" s="226">
        <v>0.154</v>
      </c>
      <c r="E47" s="226">
        <v>0.154</v>
      </c>
      <c r="F47" s="226">
        <v>0.154</v>
      </c>
      <c r="G47" s="226">
        <v>0.154</v>
      </c>
      <c r="H47" s="226">
        <v>0.154</v>
      </c>
      <c r="I47" s="226">
        <v>0.154</v>
      </c>
      <c r="J47" s="226">
        <v>0.154</v>
      </c>
      <c r="K47" s="226">
        <v>0.154</v>
      </c>
      <c r="L47" s="226">
        <v>0.154</v>
      </c>
      <c r="M47" s="226">
        <v>0.154</v>
      </c>
      <c r="N47" s="226">
        <v>0.154</v>
      </c>
      <c r="O47" s="226">
        <v>0.154</v>
      </c>
      <c r="P47" s="226">
        <v>0.154</v>
      </c>
      <c r="Q47" s="226">
        <v>0.154</v>
      </c>
    </row>
    <row r="48" spans="1:17" ht="15" customHeight="1" x14ac:dyDescent="0.2">
      <c r="A48" s="449"/>
      <c r="B48" s="79" t="s">
        <v>56</v>
      </c>
      <c r="C48" s="150" t="s">
        <v>45</v>
      </c>
      <c r="D48" s="209">
        <v>0</v>
      </c>
      <c r="E48" s="209">
        <v>0</v>
      </c>
      <c r="F48" s="209">
        <v>0.1</v>
      </c>
      <c r="G48" s="209">
        <v>0.3</v>
      </c>
      <c r="H48" s="209">
        <v>0.6</v>
      </c>
      <c r="I48" s="209">
        <v>0.9</v>
      </c>
      <c r="J48" s="209">
        <v>1.2</v>
      </c>
      <c r="K48" s="209">
        <v>1.5</v>
      </c>
      <c r="L48" s="209">
        <v>1.2</v>
      </c>
      <c r="M48" s="209">
        <v>0.9</v>
      </c>
      <c r="N48" s="209">
        <v>0.6</v>
      </c>
      <c r="O48" s="209">
        <v>0.3</v>
      </c>
      <c r="P48" s="209">
        <v>0</v>
      </c>
      <c r="Q48" s="209">
        <v>0</v>
      </c>
    </row>
    <row r="49" spans="1:33" ht="15.75" customHeight="1" x14ac:dyDescent="0.2">
      <c r="A49" s="449"/>
      <c r="B49" s="79" t="s">
        <v>55</v>
      </c>
      <c r="C49" s="150" t="s">
        <v>45</v>
      </c>
      <c r="D49" s="26">
        <v>0</v>
      </c>
      <c r="E49" s="26">
        <v>0.01</v>
      </c>
      <c r="F49" s="26">
        <v>0.05</v>
      </c>
      <c r="G49" s="26">
        <v>0.25</v>
      </c>
      <c r="H49" s="26">
        <v>0.5</v>
      </c>
      <c r="I49" s="26">
        <v>0.5</v>
      </c>
      <c r="J49" s="26">
        <v>0.5</v>
      </c>
      <c r="K49" s="26">
        <v>0.5</v>
      </c>
      <c r="L49" s="26">
        <v>0.5</v>
      </c>
      <c r="M49" s="26">
        <v>0.5</v>
      </c>
      <c r="N49" s="26">
        <v>0.5</v>
      </c>
      <c r="O49" s="26">
        <v>0.5</v>
      </c>
      <c r="P49" s="26">
        <v>0.5</v>
      </c>
      <c r="Q49" s="26">
        <v>0.5</v>
      </c>
      <c r="S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</row>
    <row r="50" spans="1:33" ht="15.75" customHeight="1" x14ac:dyDescent="0.2">
      <c r="A50" s="449"/>
      <c r="B50" s="79" t="s">
        <v>166</v>
      </c>
      <c r="C50" s="150" t="s">
        <v>167</v>
      </c>
      <c r="D50" s="226">
        <v>71</v>
      </c>
      <c r="E50" s="226">
        <v>71</v>
      </c>
      <c r="F50" s="226">
        <v>71</v>
      </c>
      <c r="G50" s="226">
        <v>71</v>
      </c>
      <c r="H50" s="226">
        <v>71</v>
      </c>
      <c r="I50" s="226">
        <v>71</v>
      </c>
      <c r="J50" s="226">
        <v>71</v>
      </c>
      <c r="K50" s="226">
        <v>71</v>
      </c>
      <c r="L50" s="226">
        <v>71</v>
      </c>
      <c r="M50" s="226">
        <v>71</v>
      </c>
      <c r="N50" s="226">
        <v>71</v>
      </c>
      <c r="O50" s="226">
        <v>71</v>
      </c>
      <c r="P50" s="226">
        <v>71</v>
      </c>
      <c r="Q50" s="246">
        <v>71</v>
      </c>
      <c r="S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</row>
    <row r="51" spans="1:33" ht="15.75" customHeight="1" x14ac:dyDescent="0.2">
      <c r="A51" s="449"/>
      <c r="B51" s="79" t="s">
        <v>163</v>
      </c>
      <c r="C51" s="150" t="s">
        <v>167</v>
      </c>
      <c r="D51" s="226">
        <v>30.929411764705883</v>
      </c>
      <c r="E51" s="226">
        <v>30.929411764705883</v>
      </c>
      <c r="F51" s="226">
        <v>30.929411764705883</v>
      </c>
      <c r="G51" s="226">
        <v>30.929411764705883</v>
      </c>
      <c r="H51" s="226">
        <v>30.929411764705883</v>
      </c>
      <c r="I51" s="226">
        <v>30.929411764705883</v>
      </c>
      <c r="J51" s="226">
        <v>30.929411764705883</v>
      </c>
      <c r="K51" s="226">
        <v>30.929411764705883</v>
      </c>
      <c r="L51" s="226">
        <v>30.929411764705883</v>
      </c>
      <c r="M51" s="226">
        <v>30.929411764705883</v>
      </c>
      <c r="N51" s="226">
        <v>30.929411764705883</v>
      </c>
      <c r="O51" s="226">
        <v>30.929411764705883</v>
      </c>
      <c r="P51" s="226">
        <v>30.929411764705883</v>
      </c>
      <c r="Q51" s="226">
        <v>30.929411764705883</v>
      </c>
      <c r="S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</row>
    <row r="52" spans="1:33" ht="16" thickBot="1" x14ac:dyDescent="0.25">
      <c r="A52" s="450"/>
      <c r="B52" s="79" t="s">
        <v>57</v>
      </c>
      <c r="C52" s="150" t="s">
        <v>167</v>
      </c>
      <c r="D52" s="26">
        <v>0</v>
      </c>
      <c r="E52" s="26">
        <v>0</v>
      </c>
      <c r="F52" s="26">
        <v>0.13</v>
      </c>
      <c r="G52" s="26">
        <v>0.13</v>
      </c>
      <c r="H52" s="26">
        <v>0.13</v>
      </c>
      <c r="I52" s="26">
        <v>0.13</v>
      </c>
      <c r="J52" s="26">
        <v>0.13</v>
      </c>
      <c r="K52" s="26">
        <v>0.13</v>
      </c>
      <c r="L52" s="26">
        <v>0.13</v>
      </c>
      <c r="M52" s="26">
        <v>0.13</v>
      </c>
      <c r="N52" s="26">
        <v>0.13</v>
      </c>
      <c r="O52" s="26">
        <v>0.13</v>
      </c>
      <c r="P52" s="26">
        <v>0.13</v>
      </c>
      <c r="Q52" s="26">
        <v>0.13</v>
      </c>
      <c r="S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</row>
    <row r="53" spans="1:33" ht="16" thickBot="1" x14ac:dyDescent="0.25">
      <c r="D53" s="243">
        <v>100</v>
      </c>
      <c r="E53" s="243">
        <v>125</v>
      </c>
      <c r="F53" s="243">
        <v>150</v>
      </c>
      <c r="G53" s="243">
        <v>200</v>
      </c>
      <c r="H53" s="243">
        <v>200</v>
      </c>
      <c r="I53" s="243">
        <v>200</v>
      </c>
      <c r="J53" s="243">
        <v>150</v>
      </c>
      <c r="K53" s="243">
        <v>150</v>
      </c>
      <c r="L53" s="243">
        <v>75</v>
      </c>
      <c r="M53" s="243">
        <v>50</v>
      </c>
      <c r="N53" s="243">
        <v>25</v>
      </c>
      <c r="O53" s="243">
        <v>25</v>
      </c>
      <c r="P53" s="243">
        <v>25</v>
      </c>
      <c r="Q53" s="243">
        <v>25</v>
      </c>
      <c r="S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</row>
    <row r="54" spans="1:33" ht="15" customHeight="1" x14ac:dyDescent="0.2">
      <c r="A54" s="448" t="s">
        <v>178</v>
      </c>
      <c r="B54" s="74" t="s">
        <v>72</v>
      </c>
      <c r="C54" s="14" t="s">
        <v>15</v>
      </c>
      <c r="D54" s="210">
        <v>2017</v>
      </c>
      <c r="E54" s="210">
        <v>2018</v>
      </c>
      <c r="F54" s="210">
        <v>2019</v>
      </c>
      <c r="G54" s="210">
        <v>2020</v>
      </c>
      <c r="H54" s="210">
        <v>2021</v>
      </c>
      <c r="I54" s="210">
        <v>2022</v>
      </c>
      <c r="J54" s="210">
        <v>2023</v>
      </c>
      <c r="K54" s="210">
        <v>2024</v>
      </c>
      <c r="L54" s="210">
        <v>2025</v>
      </c>
      <c r="M54" s="4">
        <v>2026</v>
      </c>
      <c r="N54" s="4">
        <v>2027</v>
      </c>
      <c r="O54" s="4">
        <v>2028</v>
      </c>
      <c r="P54" s="4">
        <v>2029</v>
      </c>
      <c r="Q54" s="4">
        <v>2030</v>
      </c>
      <c r="S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</row>
    <row r="55" spans="1:33" ht="15" customHeight="1" x14ac:dyDescent="0.2">
      <c r="A55" s="449"/>
      <c r="B55" s="74" t="s">
        <v>158</v>
      </c>
      <c r="C55" s="1" t="s">
        <v>18</v>
      </c>
      <c r="D55" s="252">
        <v>18.423134009999998</v>
      </c>
      <c r="E55" s="252">
        <v>21.954198859999998</v>
      </c>
      <c r="F55" s="252">
        <v>25.79566213</v>
      </c>
      <c r="G55" s="252">
        <v>29.947523820000001</v>
      </c>
      <c r="H55" s="252">
        <v>34.409783930000003</v>
      </c>
      <c r="I55" s="252">
        <v>39.182442460000004</v>
      </c>
      <c r="J55" s="252">
        <v>44.265499409999997</v>
      </c>
      <c r="K55" s="252">
        <v>49.658954780000002</v>
      </c>
      <c r="L55" s="252">
        <v>55.362808569999999</v>
      </c>
      <c r="M55" s="252">
        <v>61.377060779999994</v>
      </c>
      <c r="N55" s="252">
        <v>67.701711410000001</v>
      </c>
      <c r="O55" s="252">
        <v>74.336760459999994</v>
      </c>
      <c r="P55" s="252">
        <v>81.282207929999998</v>
      </c>
      <c r="Q55" s="252">
        <v>88.538053819999988</v>
      </c>
      <c r="S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</row>
    <row r="56" spans="1:33" ht="15" customHeight="1" x14ac:dyDescent="0.2">
      <c r="A56" s="449"/>
      <c r="B56" s="74" t="s">
        <v>17</v>
      </c>
      <c r="C56" s="1" t="s">
        <v>18</v>
      </c>
      <c r="D56" s="202">
        <v>1.0083198807897678</v>
      </c>
      <c r="E56" s="202">
        <v>2.0166397615795355</v>
      </c>
      <c r="F56" s="202">
        <v>4.033279523159071</v>
      </c>
      <c r="G56" s="202">
        <v>7.4866509375388048</v>
      </c>
      <c r="H56" s="202">
        <v>11.508297006019333</v>
      </c>
      <c r="I56" s="202">
        <v>16.249135193627929</v>
      </c>
      <c r="J56" s="202">
        <v>20</v>
      </c>
      <c r="K56" s="202">
        <v>24</v>
      </c>
      <c r="L56" s="202">
        <v>27</v>
      </c>
      <c r="M56" s="202">
        <v>27</v>
      </c>
      <c r="N56" s="202">
        <v>27</v>
      </c>
      <c r="O56" s="202">
        <v>27</v>
      </c>
      <c r="P56" s="202">
        <v>27</v>
      </c>
      <c r="Q56" s="202">
        <v>27</v>
      </c>
      <c r="S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</row>
    <row r="57" spans="1:33" ht="15" customHeight="1" x14ac:dyDescent="0.2">
      <c r="A57" s="449"/>
      <c r="B57" s="74" t="s">
        <v>124</v>
      </c>
      <c r="C57" s="1" t="s">
        <v>18</v>
      </c>
      <c r="D57" s="202">
        <v>50</v>
      </c>
      <c r="E57" s="202">
        <v>100</v>
      </c>
      <c r="F57" s="202">
        <v>150</v>
      </c>
      <c r="G57" s="202">
        <v>150</v>
      </c>
      <c r="H57" s="202">
        <v>150</v>
      </c>
      <c r="I57" s="202">
        <v>150</v>
      </c>
      <c r="J57" s="202">
        <v>150</v>
      </c>
      <c r="K57" s="202">
        <v>100</v>
      </c>
      <c r="L57" s="202">
        <v>50</v>
      </c>
      <c r="M57" s="202">
        <v>0</v>
      </c>
      <c r="N57" s="202">
        <v>0</v>
      </c>
      <c r="O57" s="202">
        <v>0</v>
      </c>
      <c r="P57" s="202">
        <v>0</v>
      </c>
      <c r="Q57" s="214">
        <v>0</v>
      </c>
      <c r="S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</row>
    <row r="58" spans="1:33" ht="15" customHeight="1" x14ac:dyDescent="0.2">
      <c r="A58" s="449"/>
      <c r="B58" s="76" t="s">
        <v>16</v>
      </c>
      <c r="C58" s="1" t="s">
        <v>18</v>
      </c>
      <c r="D58" s="202">
        <v>0</v>
      </c>
      <c r="E58" s="202">
        <v>0</v>
      </c>
      <c r="F58" s="202">
        <v>0</v>
      </c>
      <c r="G58" s="202">
        <v>0</v>
      </c>
      <c r="H58" s="202">
        <v>0</v>
      </c>
      <c r="I58" s="202">
        <v>0</v>
      </c>
      <c r="J58" s="202">
        <v>0</v>
      </c>
      <c r="K58" s="202">
        <v>0</v>
      </c>
      <c r="L58" s="202">
        <v>0</v>
      </c>
      <c r="M58" s="202">
        <v>0</v>
      </c>
      <c r="N58" s="202">
        <v>0</v>
      </c>
      <c r="O58" s="202">
        <v>0</v>
      </c>
      <c r="P58" s="202">
        <v>0</v>
      </c>
      <c r="Q58" s="202">
        <v>0</v>
      </c>
      <c r="S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</row>
    <row r="59" spans="1:33" ht="15" customHeight="1" x14ac:dyDescent="0.2">
      <c r="A59" s="449"/>
      <c r="B59" s="74" t="s">
        <v>5</v>
      </c>
      <c r="C59" s="1" t="s">
        <v>112</v>
      </c>
      <c r="D59" s="253">
        <v>0.37959999999999999</v>
      </c>
      <c r="E59" s="253">
        <v>0.71909999999999996</v>
      </c>
      <c r="F59" s="253">
        <v>1.3375999999999999</v>
      </c>
      <c r="G59" s="253">
        <v>2.3818000000000001</v>
      </c>
      <c r="H59" s="253">
        <v>3.8589000000000002</v>
      </c>
      <c r="I59" s="253">
        <v>6.1199000000000003</v>
      </c>
      <c r="J59" s="253">
        <v>12.969796448400741</v>
      </c>
      <c r="K59" s="253">
        <v>23.844189345202228</v>
      </c>
      <c r="L59" s="253">
        <v>34.718582242003706</v>
      </c>
      <c r="M59" s="203">
        <v>46.503340140812966</v>
      </c>
      <c r="N59" s="203">
        <v>60.43963971087399</v>
      </c>
      <c r="O59" s="203">
        <v>76.90295046180654</v>
      </c>
      <c r="P59" s="203">
        <v>95.924299289722157</v>
      </c>
      <c r="Q59" s="203">
        <v>117.46945822516899</v>
      </c>
      <c r="S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</row>
    <row r="60" spans="1:33" ht="15" customHeight="1" x14ac:dyDescent="0.2">
      <c r="A60" s="449"/>
      <c r="B60" s="74" t="s">
        <v>0</v>
      </c>
      <c r="C60" s="1" t="s">
        <v>19</v>
      </c>
      <c r="D60" s="254">
        <v>973.85187199999996</v>
      </c>
      <c r="E60" s="254">
        <v>1193.638616</v>
      </c>
      <c r="F60" s="254">
        <v>1351.3739760000001</v>
      </c>
      <c r="G60" s="254">
        <v>1562.7517760000001</v>
      </c>
      <c r="H60" s="254">
        <v>1828.233696</v>
      </c>
      <c r="I60" s="254">
        <v>2124.219928</v>
      </c>
      <c r="J60" s="254">
        <v>2685.1889290279537</v>
      </c>
      <c r="K60" s="254">
        <v>3502.6569310838604</v>
      </c>
      <c r="L60" s="254">
        <v>4320.1249331397676</v>
      </c>
      <c r="M60" s="254">
        <v>5190.3348290815702</v>
      </c>
      <c r="N60" s="254">
        <v>6204.5862699682757</v>
      </c>
      <c r="O60" s="254">
        <v>7406.3858761759302</v>
      </c>
      <c r="P60" s="254">
        <v>8799.450102282628</v>
      </c>
      <c r="Q60" s="254">
        <v>10381.371019384236</v>
      </c>
      <c r="S60" s="216"/>
      <c r="U60" s="216"/>
      <c r="V60" s="216"/>
      <c r="W60" s="216"/>
      <c r="X60" s="216"/>
      <c r="Y60" s="216"/>
      <c r="Z60" s="216"/>
      <c r="AA60" s="216"/>
      <c r="AB60" s="216"/>
      <c r="AC60" s="216"/>
      <c r="AD60" s="216"/>
      <c r="AE60" s="216"/>
      <c r="AF60" s="216"/>
      <c r="AG60" s="216"/>
    </row>
    <row r="61" spans="1:33" ht="15" customHeight="1" x14ac:dyDescent="0.2">
      <c r="A61" s="449"/>
      <c r="B61" s="74" t="s">
        <v>38</v>
      </c>
      <c r="C61" s="1" t="s">
        <v>18</v>
      </c>
      <c r="D61" s="204">
        <v>170</v>
      </c>
      <c r="E61" s="204">
        <v>200</v>
      </c>
      <c r="F61" s="204">
        <v>275</v>
      </c>
      <c r="G61" s="204">
        <v>350</v>
      </c>
      <c r="H61" s="204">
        <v>425</v>
      </c>
      <c r="I61" s="204">
        <v>500</v>
      </c>
      <c r="J61" s="204">
        <v>500</v>
      </c>
      <c r="K61" s="204">
        <v>500</v>
      </c>
      <c r="L61" s="204">
        <v>500</v>
      </c>
      <c r="M61" s="204">
        <v>500</v>
      </c>
      <c r="N61" s="204">
        <v>500</v>
      </c>
      <c r="O61" s="204">
        <v>425</v>
      </c>
      <c r="P61" s="204">
        <v>350</v>
      </c>
      <c r="Q61" s="204">
        <v>275</v>
      </c>
      <c r="S61" s="216"/>
      <c r="U61" s="216"/>
      <c r="V61" s="21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/>
    </row>
    <row r="62" spans="1:33" ht="15" customHeight="1" x14ac:dyDescent="0.2">
      <c r="A62" s="449"/>
      <c r="B62" s="74" t="s">
        <v>1</v>
      </c>
      <c r="C62" s="1" t="s">
        <v>18</v>
      </c>
      <c r="D62" s="204">
        <v>350</v>
      </c>
      <c r="E62" s="204">
        <v>450</v>
      </c>
      <c r="F62" s="204">
        <v>550</v>
      </c>
      <c r="G62" s="204">
        <v>650</v>
      </c>
      <c r="H62" s="204">
        <v>750</v>
      </c>
      <c r="I62" s="204">
        <v>850</v>
      </c>
      <c r="J62" s="204">
        <v>950</v>
      </c>
      <c r="K62" s="204">
        <v>1050</v>
      </c>
      <c r="L62" s="204">
        <v>800</v>
      </c>
      <c r="M62" s="204">
        <v>600</v>
      </c>
      <c r="N62" s="204">
        <v>500</v>
      </c>
      <c r="O62" s="204">
        <v>400</v>
      </c>
      <c r="P62" s="204">
        <v>300</v>
      </c>
      <c r="Q62" s="204">
        <v>200</v>
      </c>
      <c r="S62" s="216"/>
      <c r="U62" s="216"/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</row>
    <row r="63" spans="1:33" ht="15" customHeight="1" x14ac:dyDescent="0.2">
      <c r="A63" s="449"/>
      <c r="B63" s="76" t="s">
        <v>82</v>
      </c>
      <c r="C63" s="1" t="s">
        <v>61</v>
      </c>
      <c r="D63" s="203">
        <v>152.33881163084706</v>
      </c>
      <c r="E63" s="203">
        <v>156.38432364096082</v>
      </c>
      <c r="F63" s="203">
        <v>173.07206068268016</v>
      </c>
      <c r="G63" s="203">
        <v>192.58570684911132</v>
      </c>
      <c r="H63" s="203">
        <v>212.6794080464044</v>
      </c>
      <c r="I63" s="203">
        <v>234.2083736149327</v>
      </c>
      <c r="J63" s="203">
        <v>255.00855209340375</v>
      </c>
      <c r="K63" s="203">
        <v>283.88488138618277</v>
      </c>
      <c r="L63" s="203">
        <v>288.06425224957241</v>
      </c>
      <c r="M63" s="203">
        <v>294.935673384398</v>
      </c>
      <c r="N63" s="203">
        <v>301.5839964304306</v>
      </c>
      <c r="O63" s="203">
        <v>307.39941994496911</v>
      </c>
      <c r="P63" s="203">
        <v>313.05867479735258</v>
      </c>
      <c r="Q63" s="203">
        <v>319.1864356362014</v>
      </c>
      <c r="S63" s="216"/>
      <c r="U63" s="216"/>
      <c r="V63" s="21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/>
    </row>
    <row r="64" spans="1:33" ht="15" customHeight="1" x14ac:dyDescent="0.2">
      <c r="A64" s="449"/>
      <c r="B64" s="74" t="s">
        <v>33</v>
      </c>
      <c r="C64" s="1" t="s">
        <v>61</v>
      </c>
      <c r="D64" s="203">
        <v>50</v>
      </c>
      <c r="E64" s="203">
        <v>25</v>
      </c>
      <c r="F64" s="203">
        <v>0</v>
      </c>
      <c r="G64" s="203">
        <v>0</v>
      </c>
      <c r="H64" s="203">
        <v>0</v>
      </c>
      <c r="I64" s="203">
        <v>0</v>
      </c>
      <c r="J64" s="203">
        <v>0</v>
      </c>
      <c r="K64" s="203">
        <v>0</v>
      </c>
      <c r="L64" s="203">
        <v>0</v>
      </c>
      <c r="M64" s="203">
        <v>0</v>
      </c>
      <c r="N64" s="203">
        <v>0</v>
      </c>
      <c r="O64" s="203">
        <v>24</v>
      </c>
      <c r="P64" s="203">
        <v>24</v>
      </c>
      <c r="Q64" s="203">
        <v>30</v>
      </c>
      <c r="S64" s="216"/>
      <c r="U64" s="216"/>
      <c r="V64" s="216"/>
      <c r="W64" s="216"/>
      <c r="X64" s="216"/>
      <c r="Y64" s="216"/>
      <c r="Z64" s="216"/>
      <c r="AA64" s="216"/>
      <c r="AB64" s="216"/>
      <c r="AC64" s="216"/>
      <c r="AD64" s="216"/>
      <c r="AE64" s="216"/>
      <c r="AF64" s="216"/>
      <c r="AG64" s="216"/>
    </row>
    <row r="65" spans="1:33" ht="15" customHeight="1" x14ac:dyDescent="0.2">
      <c r="A65" s="449"/>
      <c r="B65" s="76" t="s">
        <v>103</v>
      </c>
      <c r="C65" s="4" t="s">
        <v>112</v>
      </c>
      <c r="D65" s="202">
        <v>2.1729609654822128E-2</v>
      </c>
      <c r="E65" s="202">
        <v>4.2563122435700422E-2</v>
      </c>
      <c r="F65" s="202">
        <v>7.9221596798729643E-2</v>
      </c>
      <c r="G65" s="202">
        <v>0.12104481719249827</v>
      </c>
      <c r="H65" s="202">
        <v>0.1816060687387489</v>
      </c>
      <c r="I65" s="202">
        <v>0.27756822157499184</v>
      </c>
      <c r="J65" s="202">
        <v>0.37832792169431789</v>
      </c>
      <c r="K65" s="202">
        <v>0.5684160505621817</v>
      </c>
      <c r="L65" s="202">
        <v>0.80546664639454091</v>
      </c>
      <c r="M65" s="202">
        <v>1.1207288866548697</v>
      </c>
      <c r="N65" s="202">
        <v>1.5293722472561442</v>
      </c>
      <c r="O65" s="202">
        <v>2.0295901497354025</v>
      </c>
      <c r="P65" s="202">
        <v>2.6791165470450999</v>
      </c>
      <c r="Q65" s="202">
        <v>3.5256743672802955</v>
      </c>
      <c r="S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</row>
    <row r="66" spans="1:33" ht="15" customHeight="1" x14ac:dyDescent="0.2">
      <c r="A66" s="449"/>
      <c r="B66" s="74" t="s">
        <v>89</v>
      </c>
      <c r="C66" s="1" t="s">
        <v>19</v>
      </c>
      <c r="D66" s="205">
        <v>3.7894114404544301</v>
      </c>
      <c r="E66" s="205">
        <v>10.402955513673991</v>
      </c>
      <c r="F66" s="205">
        <v>21.99355244200974</v>
      </c>
      <c r="G66" s="205">
        <v>38.824390017528302</v>
      </c>
      <c r="H66" s="205">
        <v>58.149856742870597</v>
      </c>
      <c r="I66" s="205">
        <v>97.3073839019399</v>
      </c>
      <c r="J66" s="205">
        <v>146.088656830633</v>
      </c>
      <c r="K66" s="205">
        <v>238.50207872244439</v>
      </c>
      <c r="L66" s="205">
        <v>350.525473011901</v>
      </c>
      <c r="M66" s="205">
        <v>483.18676801670301</v>
      </c>
      <c r="N66" s="205">
        <v>623.48797719434697</v>
      </c>
      <c r="O66" s="205">
        <v>756.11606245709004</v>
      </c>
      <c r="P66" s="205">
        <v>889.00870624910499</v>
      </c>
      <c r="Q66" s="205">
        <v>1024.46109319377</v>
      </c>
      <c r="S66" s="216"/>
      <c r="U66" s="216"/>
      <c r="V66" s="216"/>
      <c r="W66" s="216"/>
      <c r="X66" s="216"/>
      <c r="Y66" s="216"/>
      <c r="Z66" s="216"/>
      <c r="AA66" s="216"/>
      <c r="AB66" s="216"/>
      <c r="AC66" s="216"/>
      <c r="AD66" s="216"/>
      <c r="AE66" s="216"/>
      <c r="AF66" s="216"/>
      <c r="AG66" s="216"/>
    </row>
    <row r="67" spans="1:33" ht="15" customHeight="1" x14ac:dyDescent="0.2">
      <c r="A67" s="449"/>
      <c r="B67" s="74" t="s">
        <v>119</v>
      </c>
      <c r="C67" s="1" t="s">
        <v>19</v>
      </c>
      <c r="D67" s="202">
        <v>1233</v>
      </c>
      <c r="E67" s="202">
        <v>1233</v>
      </c>
      <c r="F67" s="202">
        <v>1233</v>
      </c>
      <c r="G67" s="202">
        <v>1233</v>
      </c>
      <c r="H67" s="202">
        <v>1233</v>
      </c>
      <c r="I67" s="202">
        <v>1233</v>
      </c>
      <c r="J67" s="202">
        <v>1233</v>
      </c>
      <c r="K67" s="202">
        <v>1233</v>
      </c>
      <c r="L67" s="202">
        <v>1233</v>
      </c>
      <c r="M67" s="202">
        <v>1233</v>
      </c>
      <c r="N67" s="202">
        <v>1233</v>
      </c>
      <c r="O67" s="202">
        <v>1233</v>
      </c>
      <c r="P67" s="202">
        <v>1233</v>
      </c>
      <c r="Q67" s="202">
        <v>1233</v>
      </c>
      <c r="S67" s="216"/>
      <c r="U67" s="216"/>
      <c r="V67" s="216"/>
      <c r="W67" s="216"/>
      <c r="X67" s="216"/>
      <c r="Y67" s="216"/>
      <c r="Z67" s="216"/>
      <c r="AA67" s="216"/>
      <c r="AB67" s="216"/>
      <c r="AC67" s="216"/>
      <c r="AD67" s="216"/>
      <c r="AE67" s="216"/>
      <c r="AF67" s="216"/>
      <c r="AG67" s="216"/>
    </row>
    <row r="68" spans="1:33" ht="15" customHeight="1" x14ac:dyDescent="0.2">
      <c r="A68" s="449"/>
      <c r="B68" s="74" t="s">
        <v>161</v>
      </c>
      <c r="C68" s="1" t="s">
        <v>157</v>
      </c>
      <c r="D68" s="202">
        <v>0</v>
      </c>
      <c r="E68" s="202">
        <v>0</v>
      </c>
      <c r="F68" s="202">
        <v>0</v>
      </c>
      <c r="G68" s="202">
        <v>0</v>
      </c>
      <c r="H68" s="202">
        <v>0</v>
      </c>
      <c r="I68" s="202">
        <v>0</v>
      </c>
      <c r="J68" s="202">
        <v>0</v>
      </c>
      <c r="K68" s="202">
        <v>0</v>
      </c>
      <c r="L68" s="202">
        <v>0</v>
      </c>
      <c r="M68" s="202">
        <v>0</v>
      </c>
      <c r="N68" s="202">
        <v>0</v>
      </c>
      <c r="O68" s="202">
        <v>0</v>
      </c>
      <c r="P68" s="202">
        <v>0</v>
      </c>
      <c r="Q68" s="202">
        <v>0</v>
      </c>
      <c r="S68" s="216"/>
      <c r="U68" s="216"/>
      <c r="V68" s="216"/>
      <c r="W68" s="216"/>
      <c r="X68" s="216"/>
      <c r="Y68" s="216"/>
      <c r="Z68" s="216"/>
      <c r="AA68" s="216"/>
      <c r="AB68" s="216"/>
      <c r="AC68" s="216"/>
      <c r="AD68" s="216"/>
      <c r="AE68" s="216"/>
      <c r="AF68" s="216"/>
      <c r="AG68" s="216"/>
    </row>
    <row r="69" spans="1:33" ht="15" customHeight="1" x14ac:dyDescent="0.2">
      <c r="A69" s="449"/>
      <c r="B69" s="74" t="s">
        <v>68</v>
      </c>
      <c r="C69" s="1" t="s">
        <v>18</v>
      </c>
      <c r="D69" s="206">
        <v>0</v>
      </c>
      <c r="E69" s="206">
        <v>0</v>
      </c>
      <c r="F69" s="203">
        <v>0</v>
      </c>
      <c r="G69" s="203">
        <v>0</v>
      </c>
      <c r="H69" s="203">
        <v>0</v>
      </c>
      <c r="I69" s="203">
        <v>0</v>
      </c>
      <c r="J69" s="203">
        <v>0</v>
      </c>
      <c r="K69" s="203">
        <v>0</v>
      </c>
      <c r="L69" s="203">
        <v>0</v>
      </c>
      <c r="M69" s="203">
        <v>0</v>
      </c>
      <c r="N69" s="203">
        <v>0</v>
      </c>
      <c r="O69" s="203">
        <v>0</v>
      </c>
      <c r="P69" s="203">
        <v>0</v>
      </c>
      <c r="Q69" s="203">
        <v>0</v>
      </c>
      <c r="S69" s="216"/>
      <c r="U69" s="216"/>
      <c r="V69" s="216"/>
      <c r="W69" s="216"/>
      <c r="X69" s="216"/>
      <c r="Y69" s="216"/>
      <c r="Z69" s="216"/>
      <c r="AA69" s="216"/>
      <c r="AB69" s="216"/>
      <c r="AC69" s="216"/>
      <c r="AD69" s="216"/>
      <c r="AE69" s="216"/>
      <c r="AF69" s="216"/>
      <c r="AG69" s="216"/>
    </row>
    <row r="70" spans="1:33" ht="15" customHeight="1" x14ac:dyDescent="0.2">
      <c r="A70" s="449"/>
      <c r="B70" s="79" t="s">
        <v>81</v>
      </c>
      <c r="C70" s="150" t="s">
        <v>43</v>
      </c>
      <c r="D70" s="207">
        <v>7.4999999999999997E-3</v>
      </c>
      <c r="E70" s="207">
        <v>1.4999999999999999E-2</v>
      </c>
      <c r="F70" s="207">
        <v>2.2499999999999999E-2</v>
      </c>
      <c r="G70" s="207">
        <v>2.5000000000000001E-2</v>
      </c>
      <c r="H70" s="207">
        <v>0.03</v>
      </c>
      <c r="I70" s="207">
        <v>0.03</v>
      </c>
      <c r="J70" s="207">
        <v>0.03</v>
      </c>
      <c r="K70" s="207">
        <v>0.03</v>
      </c>
      <c r="L70" s="207">
        <v>0.03</v>
      </c>
      <c r="M70" s="207">
        <v>0.03</v>
      </c>
      <c r="N70" s="207">
        <v>0.03</v>
      </c>
      <c r="O70" s="207">
        <v>0.03</v>
      </c>
      <c r="P70" s="207">
        <v>0.03</v>
      </c>
      <c r="Q70" s="207">
        <v>0.03</v>
      </c>
      <c r="S70" s="216"/>
      <c r="U70" s="216"/>
      <c r="V70" s="21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/>
    </row>
    <row r="71" spans="1:33" ht="15" customHeight="1" x14ac:dyDescent="0.2">
      <c r="A71" s="449"/>
      <c r="B71" s="79" t="s">
        <v>54</v>
      </c>
      <c r="C71" s="150" t="s">
        <v>45</v>
      </c>
      <c r="D71" s="26">
        <v>3.0000000000000001E-3</v>
      </c>
      <c r="E71" s="26">
        <v>3.0000000000000001E-3</v>
      </c>
      <c r="F71" s="26">
        <v>0.02</v>
      </c>
      <c r="G71" s="26">
        <v>0.25</v>
      </c>
      <c r="H71" s="208">
        <v>0.35</v>
      </c>
      <c r="I71" s="208">
        <v>0.35</v>
      </c>
      <c r="J71" s="208">
        <v>0.35</v>
      </c>
      <c r="K71" s="208">
        <v>0.35</v>
      </c>
      <c r="L71" s="208">
        <v>0.35</v>
      </c>
      <c r="M71" s="208">
        <v>0.35</v>
      </c>
      <c r="N71" s="208">
        <v>0.35</v>
      </c>
      <c r="O71" s="208">
        <v>0.35</v>
      </c>
      <c r="P71" s="208">
        <v>0.35</v>
      </c>
      <c r="Q71" s="208">
        <v>0.35</v>
      </c>
      <c r="S71" s="216"/>
      <c r="U71" s="216"/>
      <c r="V71" s="21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/>
    </row>
    <row r="72" spans="1:33" ht="15" customHeight="1" x14ac:dyDescent="0.2">
      <c r="A72" s="449"/>
      <c r="B72" s="79" t="s">
        <v>76</v>
      </c>
      <c r="C72" s="150" t="s">
        <v>45</v>
      </c>
      <c r="D72" s="226">
        <v>0.154</v>
      </c>
      <c r="E72" s="226">
        <v>0.154</v>
      </c>
      <c r="F72" s="226">
        <v>0.154</v>
      </c>
      <c r="G72" s="226">
        <v>0.154</v>
      </c>
      <c r="H72" s="226">
        <v>0.154</v>
      </c>
      <c r="I72" s="226">
        <v>0.154</v>
      </c>
      <c r="J72" s="226">
        <v>0.154</v>
      </c>
      <c r="K72" s="226">
        <v>0.154</v>
      </c>
      <c r="L72" s="226">
        <v>0.154</v>
      </c>
      <c r="M72" s="226">
        <v>0.154</v>
      </c>
      <c r="N72" s="226">
        <v>0.154</v>
      </c>
      <c r="O72" s="226">
        <v>0.154</v>
      </c>
      <c r="P72" s="226">
        <v>0.154</v>
      </c>
      <c r="Q72" s="226">
        <v>0.154</v>
      </c>
      <c r="S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</row>
    <row r="73" spans="1:33" ht="15" customHeight="1" x14ac:dyDescent="0.2">
      <c r="A73" s="449"/>
      <c r="B73" s="79" t="s">
        <v>56</v>
      </c>
      <c r="C73" s="150" t="s">
        <v>45</v>
      </c>
      <c r="D73" s="209">
        <v>0</v>
      </c>
      <c r="E73" s="209">
        <v>0</v>
      </c>
      <c r="F73" s="209">
        <v>0.1</v>
      </c>
      <c r="G73" s="209">
        <v>0.3</v>
      </c>
      <c r="H73" s="209">
        <v>0.6</v>
      </c>
      <c r="I73" s="209">
        <v>0.9</v>
      </c>
      <c r="J73" s="209">
        <v>1.2</v>
      </c>
      <c r="K73" s="209">
        <v>1.5</v>
      </c>
      <c r="L73" s="209">
        <v>1.2</v>
      </c>
      <c r="M73" s="209">
        <v>0.9</v>
      </c>
      <c r="N73" s="209">
        <v>0.6</v>
      </c>
      <c r="O73" s="209">
        <v>0.3</v>
      </c>
      <c r="P73" s="209">
        <v>0</v>
      </c>
      <c r="Q73" s="209">
        <v>0</v>
      </c>
      <c r="S73" s="216"/>
      <c r="U73" s="216"/>
      <c r="V73" s="216"/>
      <c r="W73" s="216"/>
      <c r="X73" s="216"/>
      <c r="Y73" s="216"/>
      <c r="Z73" s="216"/>
      <c r="AA73" s="216"/>
      <c r="AB73" s="216"/>
      <c r="AC73" s="216"/>
      <c r="AD73" s="216"/>
      <c r="AE73" s="216"/>
      <c r="AF73" s="216"/>
      <c r="AG73" s="216"/>
    </row>
    <row r="74" spans="1:33" ht="15" customHeight="1" x14ac:dyDescent="0.2">
      <c r="A74" s="449"/>
      <c r="B74" s="79" t="s">
        <v>55</v>
      </c>
      <c r="C74" s="150" t="s">
        <v>45</v>
      </c>
      <c r="D74" s="26">
        <v>0</v>
      </c>
      <c r="E74" s="26">
        <v>0.01</v>
      </c>
      <c r="F74" s="26">
        <v>0.05</v>
      </c>
      <c r="G74" s="26">
        <v>0.25</v>
      </c>
      <c r="H74" s="26">
        <v>0.5</v>
      </c>
      <c r="I74" s="26">
        <v>0.5</v>
      </c>
      <c r="J74" s="26">
        <v>0.5</v>
      </c>
      <c r="K74" s="26">
        <v>0.5</v>
      </c>
      <c r="L74" s="26">
        <v>0.5</v>
      </c>
      <c r="M74" s="26">
        <v>0.5</v>
      </c>
      <c r="N74" s="26">
        <v>0.5</v>
      </c>
      <c r="O74" s="26">
        <v>0.5</v>
      </c>
      <c r="P74" s="26">
        <v>0.5</v>
      </c>
      <c r="Q74" s="26">
        <v>0.5</v>
      </c>
      <c r="S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/>
    </row>
    <row r="75" spans="1:33" ht="15.75" customHeight="1" x14ac:dyDescent="0.2">
      <c r="A75" s="449"/>
      <c r="B75" s="79" t="s">
        <v>166</v>
      </c>
      <c r="C75" s="150" t="s">
        <v>167</v>
      </c>
      <c r="D75" s="226">
        <v>71</v>
      </c>
      <c r="E75" s="226">
        <v>71</v>
      </c>
      <c r="F75" s="226">
        <v>71</v>
      </c>
      <c r="G75" s="226">
        <v>71</v>
      </c>
      <c r="H75" s="226">
        <v>71</v>
      </c>
      <c r="I75" s="226">
        <v>71</v>
      </c>
      <c r="J75" s="226">
        <v>71</v>
      </c>
      <c r="K75" s="226">
        <v>71</v>
      </c>
      <c r="L75" s="226">
        <v>71</v>
      </c>
      <c r="M75" s="226">
        <v>71</v>
      </c>
      <c r="N75" s="226">
        <v>71</v>
      </c>
      <c r="O75" s="226">
        <v>71</v>
      </c>
      <c r="P75" s="226">
        <v>71</v>
      </c>
      <c r="Q75" s="246">
        <v>71</v>
      </c>
      <c r="S75" s="216"/>
      <c r="U75" s="216"/>
      <c r="V75" s="216"/>
      <c r="W75" s="216"/>
      <c r="X75" s="216"/>
      <c r="Y75" s="216"/>
      <c r="Z75" s="216"/>
      <c r="AA75" s="216"/>
      <c r="AB75" s="216"/>
      <c r="AC75" s="216"/>
      <c r="AD75" s="216"/>
      <c r="AE75" s="216"/>
      <c r="AF75" s="216"/>
      <c r="AG75" s="216"/>
    </row>
    <row r="76" spans="1:33" ht="15.75" customHeight="1" x14ac:dyDescent="0.2">
      <c r="A76" s="449"/>
      <c r="B76" s="79" t="s">
        <v>163</v>
      </c>
      <c r="C76" s="150" t="s">
        <v>167</v>
      </c>
      <c r="D76" s="226">
        <v>30.929411764705883</v>
      </c>
      <c r="E76" s="226">
        <v>30.929411764705883</v>
      </c>
      <c r="F76" s="226">
        <v>30.929411764705883</v>
      </c>
      <c r="G76" s="226">
        <v>30.929411764705883</v>
      </c>
      <c r="H76" s="226">
        <v>30.929411764705883</v>
      </c>
      <c r="I76" s="226">
        <v>30.929411764705883</v>
      </c>
      <c r="J76" s="226">
        <v>30.929411764705883</v>
      </c>
      <c r="K76" s="226">
        <v>30.929411764705883</v>
      </c>
      <c r="L76" s="226">
        <v>30.929411764705883</v>
      </c>
      <c r="M76" s="226">
        <v>30.929411764705883</v>
      </c>
      <c r="N76" s="226">
        <v>30.929411764705883</v>
      </c>
      <c r="O76" s="226">
        <v>30.929411764705883</v>
      </c>
      <c r="P76" s="226">
        <v>30.929411764705883</v>
      </c>
      <c r="Q76" s="226">
        <v>30.929411764705883</v>
      </c>
      <c r="S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</row>
    <row r="77" spans="1:33" ht="16" thickBot="1" x14ac:dyDescent="0.25">
      <c r="A77" s="450"/>
      <c r="B77" s="79" t="s">
        <v>57</v>
      </c>
      <c r="C77" s="150" t="s">
        <v>167</v>
      </c>
      <c r="D77" s="26">
        <v>0</v>
      </c>
      <c r="E77" s="26">
        <v>0</v>
      </c>
      <c r="F77" s="26">
        <v>0.13</v>
      </c>
      <c r="G77" s="26">
        <v>0.13</v>
      </c>
      <c r="H77" s="26">
        <v>0.13</v>
      </c>
      <c r="I77" s="26">
        <v>0.13</v>
      </c>
      <c r="J77" s="26">
        <v>0.13</v>
      </c>
      <c r="K77" s="26">
        <v>0.13</v>
      </c>
      <c r="L77" s="26">
        <v>0.13</v>
      </c>
      <c r="M77" s="26">
        <v>0.13</v>
      </c>
      <c r="N77" s="26">
        <v>0.13</v>
      </c>
      <c r="O77" s="26">
        <v>0.13</v>
      </c>
      <c r="P77" s="26">
        <v>0.13</v>
      </c>
      <c r="Q77" s="26">
        <v>0.13</v>
      </c>
      <c r="S77" s="216"/>
      <c r="U77" s="216"/>
      <c r="V77" s="216"/>
      <c r="W77" s="216"/>
      <c r="X77" s="216"/>
      <c r="Y77" s="216"/>
      <c r="Z77" s="216"/>
      <c r="AA77" s="216"/>
      <c r="AB77" s="216"/>
      <c r="AC77" s="216"/>
      <c r="AD77" s="216"/>
      <c r="AE77" s="216"/>
      <c r="AF77" s="216"/>
      <c r="AG77" s="216"/>
    </row>
    <row r="78" spans="1:33" ht="16" thickBot="1" x14ac:dyDescent="0.25">
      <c r="D78" s="243">
        <v>100</v>
      </c>
      <c r="E78" s="243">
        <v>125</v>
      </c>
      <c r="F78" s="243">
        <v>150</v>
      </c>
      <c r="G78" s="243">
        <v>200</v>
      </c>
      <c r="H78" s="243">
        <v>200</v>
      </c>
      <c r="I78" s="243">
        <v>200</v>
      </c>
      <c r="J78" s="243">
        <v>200</v>
      </c>
      <c r="K78" s="243">
        <v>150</v>
      </c>
      <c r="L78" s="243">
        <v>150</v>
      </c>
      <c r="M78" s="243">
        <v>150</v>
      </c>
      <c r="N78" s="243">
        <v>125</v>
      </c>
      <c r="O78" s="243">
        <v>100</v>
      </c>
      <c r="P78" s="243">
        <v>75</v>
      </c>
      <c r="Q78" s="243">
        <v>50</v>
      </c>
      <c r="S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</row>
    <row r="79" spans="1:33" ht="15" customHeight="1" x14ac:dyDescent="0.2">
      <c r="A79" s="448" t="s">
        <v>179</v>
      </c>
      <c r="B79" s="74" t="s">
        <v>72</v>
      </c>
      <c r="C79" s="14" t="s">
        <v>15</v>
      </c>
      <c r="D79" s="210">
        <v>2017</v>
      </c>
      <c r="E79" s="210">
        <v>2018</v>
      </c>
      <c r="F79" s="210">
        <v>2019</v>
      </c>
      <c r="G79" s="210">
        <v>2020</v>
      </c>
      <c r="H79" s="210">
        <v>2021</v>
      </c>
      <c r="I79" s="210">
        <v>2022</v>
      </c>
      <c r="J79" s="210">
        <v>2023</v>
      </c>
      <c r="K79" s="210">
        <v>2024</v>
      </c>
      <c r="L79" s="210">
        <v>2025</v>
      </c>
      <c r="M79" s="4">
        <v>2026</v>
      </c>
      <c r="N79" s="4">
        <v>2027</v>
      </c>
      <c r="O79" s="4">
        <v>2028</v>
      </c>
      <c r="P79" s="4">
        <v>2029</v>
      </c>
      <c r="Q79" s="4">
        <v>2030</v>
      </c>
      <c r="S79" s="216"/>
      <c r="U79" s="216"/>
      <c r="V79" s="216"/>
      <c r="W79" s="216"/>
      <c r="X79" s="216"/>
      <c r="Y79" s="216"/>
      <c r="Z79" s="216"/>
      <c r="AA79" s="216"/>
      <c r="AB79" s="216"/>
      <c r="AC79" s="216"/>
      <c r="AD79" s="216"/>
      <c r="AE79" s="216"/>
      <c r="AF79" s="216"/>
      <c r="AG79" s="216"/>
    </row>
    <row r="80" spans="1:33" ht="15" customHeight="1" x14ac:dyDescent="0.2">
      <c r="A80" s="449"/>
      <c r="B80" s="74" t="s">
        <v>158</v>
      </c>
      <c r="C80" s="1" t="s">
        <v>18</v>
      </c>
      <c r="D80" s="252">
        <v>18.423134009999998</v>
      </c>
      <c r="E80" s="252">
        <v>21.954198859999998</v>
      </c>
      <c r="F80" s="252">
        <v>25.79566213</v>
      </c>
      <c r="G80" s="252">
        <v>29.947523820000001</v>
      </c>
      <c r="H80" s="252">
        <v>34.409783930000003</v>
      </c>
      <c r="I80" s="252">
        <v>39.182442460000004</v>
      </c>
      <c r="J80" s="252">
        <v>44.265499409999997</v>
      </c>
      <c r="K80" s="252">
        <v>49.658954780000002</v>
      </c>
      <c r="L80" s="252">
        <v>55.362808569999999</v>
      </c>
      <c r="M80" s="252">
        <v>61.377060779999994</v>
      </c>
      <c r="N80" s="252">
        <v>67.701711410000001</v>
      </c>
      <c r="O80" s="252">
        <v>74.336760459999994</v>
      </c>
      <c r="P80" s="252">
        <v>81.282207929999998</v>
      </c>
      <c r="Q80" s="252">
        <v>88.538053819999988</v>
      </c>
      <c r="S80" s="216"/>
      <c r="U80" s="216"/>
      <c r="V80" s="216"/>
      <c r="W80" s="216"/>
      <c r="X80" s="216"/>
      <c r="Y80" s="216"/>
      <c r="Z80" s="216"/>
      <c r="AA80" s="216"/>
      <c r="AB80" s="216"/>
      <c r="AC80" s="216"/>
      <c r="AD80" s="216"/>
      <c r="AE80" s="216"/>
      <c r="AF80" s="216"/>
      <c r="AG80" s="216"/>
    </row>
    <row r="81" spans="1:33" ht="15" customHeight="1" x14ac:dyDescent="0.2">
      <c r="A81" s="449"/>
      <c r="B81" s="74" t="s">
        <v>17</v>
      </c>
      <c r="C81" s="1" t="s">
        <v>18</v>
      </c>
      <c r="D81" s="202">
        <v>1.0083198807897678</v>
      </c>
      <c r="E81" s="202">
        <v>2.0166397615795355</v>
      </c>
      <c r="F81" s="202">
        <v>4.033279523159071</v>
      </c>
      <c r="G81" s="202">
        <v>7.4866509375388048</v>
      </c>
      <c r="H81" s="202">
        <v>11.508297006019333</v>
      </c>
      <c r="I81" s="202">
        <v>16.249135193627929</v>
      </c>
      <c r="J81" s="202">
        <v>22.164050263776673</v>
      </c>
      <c r="K81" s="202">
        <v>30.406059853470754</v>
      </c>
      <c r="L81" s="202">
        <v>41.012873049381184</v>
      </c>
      <c r="M81" s="202">
        <v>51.043503456268887</v>
      </c>
      <c r="N81" s="202">
        <v>70</v>
      </c>
      <c r="O81" s="202">
        <v>70</v>
      </c>
      <c r="P81" s="202">
        <v>70</v>
      </c>
      <c r="Q81" s="202">
        <v>70</v>
      </c>
      <c r="S81" s="216"/>
      <c r="U81" s="216"/>
      <c r="V81" s="216"/>
      <c r="W81" s="216"/>
      <c r="X81" s="216"/>
      <c r="Y81" s="216"/>
      <c r="Z81" s="216"/>
      <c r="AA81" s="216"/>
      <c r="AB81" s="216"/>
      <c r="AC81" s="216"/>
      <c r="AD81" s="216"/>
      <c r="AE81" s="216"/>
      <c r="AF81" s="216"/>
      <c r="AG81" s="216"/>
    </row>
    <row r="82" spans="1:33" ht="15" customHeight="1" x14ac:dyDescent="0.2">
      <c r="A82" s="449"/>
      <c r="B82" s="74" t="s">
        <v>124</v>
      </c>
      <c r="C82" s="1" t="s">
        <v>18</v>
      </c>
      <c r="D82" s="202">
        <v>50</v>
      </c>
      <c r="E82" s="202">
        <v>100</v>
      </c>
      <c r="F82" s="202">
        <v>150</v>
      </c>
      <c r="G82" s="202">
        <v>150</v>
      </c>
      <c r="H82" s="202">
        <v>150</v>
      </c>
      <c r="I82" s="202">
        <v>150</v>
      </c>
      <c r="J82" s="202">
        <v>150</v>
      </c>
      <c r="K82" s="202">
        <v>150</v>
      </c>
      <c r="L82" s="202">
        <v>150</v>
      </c>
      <c r="M82" s="202">
        <v>150</v>
      </c>
      <c r="N82" s="202">
        <v>100</v>
      </c>
      <c r="O82" s="202">
        <v>50</v>
      </c>
      <c r="P82" s="202">
        <v>0</v>
      </c>
      <c r="Q82" s="214">
        <v>0</v>
      </c>
      <c r="S82" s="216"/>
      <c r="U82" s="216"/>
      <c r="V82" s="216"/>
      <c r="W82" s="216"/>
      <c r="X82" s="216"/>
      <c r="Y82" s="216"/>
      <c r="Z82" s="216"/>
      <c r="AA82" s="216"/>
      <c r="AB82" s="216"/>
      <c r="AC82" s="216"/>
      <c r="AD82" s="216"/>
      <c r="AE82" s="216"/>
      <c r="AF82" s="216"/>
      <c r="AG82" s="216"/>
    </row>
    <row r="83" spans="1:33" ht="15" customHeight="1" x14ac:dyDescent="0.2">
      <c r="A83" s="449"/>
      <c r="B83" s="76" t="s">
        <v>16</v>
      </c>
      <c r="C83" s="1" t="s">
        <v>18</v>
      </c>
      <c r="D83" s="202">
        <v>0</v>
      </c>
      <c r="E83" s="202">
        <v>0</v>
      </c>
      <c r="F83" s="202">
        <v>0</v>
      </c>
      <c r="G83" s="202">
        <v>0</v>
      </c>
      <c r="H83" s="202">
        <v>0</v>
      </c>
      <c r="I83" s="202">
        <v>0</v>
      </c>
      <c r="J83" s="202">
        <v>0</v>
      </c>
      <c r="K83" s="202">
        <v>0</v>
      </c>
      <c r="L83" s="202">
        <v>0</v>
      </c>
      <c r="M83" s="202">
        <v>0</v>
      </c>
      <c r="N83" s="202">
        <v>0</v>
      </c>
      <c r="O83" s="202">
        <v>0</v>
      </c>
      <c r="P83" s="202">
        <v>0</v>
      </c>
      <c r="Q83" s="202">
        <v>0</v>
      </c>
      <c r="S83" s="216"/>
      <c r="U83" s="216"/>
      <c r="V83" s="216"/>
      <c r="W83" s="216"/>
      <c r="X83" s="216"/>
      <c r="Y83" s="216"/>
      <c r="Z83" s="216"/>
      <c r="AA83" s="216"/>
      <c r="AB83" s="216"/>
      <c r="AC83" s="216"/>
      <c r="AD83" s="216"/>
      <c r="AE83" s="216"/>
      <c r="AF83" s="216"/>
      <c r="AG83" s="216"/>
    </row>
    <row r="84" spans="1:33" ht="15" customHeight="1" x14ac:dyDescent="0.2">
      <c r="A84" s="449"/>
      <c r="B84" s="74" t="s">
        <v>5</v>
      </c>
      <c r="C84" s="1" t="s">
        <v>112</v>
      </c>
      <c r="D84" s="253">
        <v>0.37959999999999999</v>
      </c>
      <c r="E84" s="253">
        <v>0.71909999999999996</v>
      </c>
      <c r="F84" s="253">
        <v>1.3375999999999999</v>
      </c>
      <c r="G84" s="253">
        <v>2.3818000000000001</v>
      </c>
      <c r="H84" s="253">
        <v>3.8589000000000002</v>
      </c>
      <c r="I84" s="253">
        <v>6.1199000000000003</v>
      </c>
      <c r="J84" s="253">
        <v>9.2230000000000008</v>
      </c>
      <c r="K84" s="253">
        <v>12.8797</v>
      </c>
      <c r="L84" s="253">
        <v>17.098500000000001</v>
      </c>
      <c r="M84" s="203">
        <v>21.6035</v>
      </c>
      <c r="N84" s="203">
        <v>26.108499999999999</v>
      </c>
      <c r="O84" s="203">
        <v>30.613499999999998</v>
      </c>
      <c r="P84" s="203">
        <v>35.118499999999997</v>
      </c>
      <c r="Q84" s="203">
        <v>39.6235</v>
      </c>
      <c r="S84" s="216"/>
      <c r="U84" s="216"/>
      <c r="V84" s="21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/>
    </row>
    <row r="85" spans="1:33" ht="15" customHeight="1" x14ac:dyDescent="0.2">
      <c r="A85" s="449"/>
      <c r="B85" s="74" t="s">
        <v>0</v>
      </c>
      <c r="C85" s="1" t="s">
        <v>19</v>
      </c>
      <c r="D85" s="254">
        <v>973.85187199999996</v>
      </c>
      <c r="E85" s="254">
        <v>1193.638616</v>
      </c>
      <c r="F85" s="254">
        <v>1351.3739760000001</v>
      </c>
      <c r="G85" s="254">
        <v>1562.7517760000001</v>
      </c>
      <c r="H85" s="254">
        <v>1828.233696</v>
      </c>
      <c r="I85" s="254">
        <v>2124.219928</v>
      </c>
      <c r="J85" s="254">
        <v>2444.465056</v>
      </c>
      <c r="K85" s="254">
        <v>2794.8658479999999</v>
      </c>
      <c r="L85" s="254">
        <v>3173.8669199999999</v>
      </c>
      <c r="M85" s="254">
        <v>3567.0877359999999</v>
      </c>
      <c r="N85" s="254">
        <v>3960.308552</v>
      </c>
      <c r="O85" s="254">
        <v>4353.5293680000004</v>
      </c>
      <c r="P85" s="254">
        <v>4746.7501840000004</v>
      </c>
      <c r="Q85" s="254">
        <v>5139.9709999999995</v>
      </c>
      <c r="S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</row>
    <row r="86" spans="1:33" ht="15" customHeight="1" x14ac:dyDescent="0.2">
      <c r="A86" s="449"/>
      <c r="B86" s="74" t="s">
        <v>38</v>
      </c>
      <c r="C86" s="1" t="s">
        <v>18</v>
      </c>
      <c r="D86" s="204">
        <v>170</v>
      </c>
      <c r="E86" s="204">
        <v>200</v>
      </c>
      <c r="F86" s="204">
        <v>275</v>
      </c>
      <c r="G86" s="204">
        <v>350</v>
      </c>
      <c r="H86" s="204">
        <v>425</v>
      </c>
      <c r="I86" s="204">
        <v>500</v>
      </c>
      <c r="J86" s="204">
        <v>500</v>
      </c>
      <c r="K86" s="204">
        <v>500</v>
      </c>
      <c r="L86" s="204">
        <v>500</v>
      </c>
      <c r="M86" s="204">
        <v>500</v>
      </c>
      <c r="N86" s="204">
        <v>500</v>
      </c>
      <c r="O86" s="204">
        <v>500</v>
      </c>
      <c r="P86" s="204">
        <v>500</v>
      </c>
      <c r="Q86" s="204">
        <v>500</v>
      </c>
      <c r="S86" s="216"/>
      <c r="U86" s="216"/>
      <c r="V86" s="216"/>
      <c r="W86" s="216"/>
      <c r="X86" s="216"/>
      <c r="Y86" s="216"/>
      <c r="Z86" s="216"/>
      <c r="AA86" s="216"/>
      <c r="AB86" s="216"/>
      <c r="AC86" s="216"/>
      <c r="AD86" s="216"/>
      <c r="AE86" s="216"/>
      <c r="AF86" s="216"/>
      <c r="AG86" s="216"/>
    </row>
    <row r="87" spans="1:33" ht="15" customHeight="1" x14ac:dyDescent="0.2">
      <c r="A87" s="449"/>
      <c r="B87" s="74" t="s">
        <v>1</v>
      </c>
      <c r="C87" s="1" t="s">
        <v>18</v>
      </c>
      <c r="D87" s="204">
        <v>350</v>
      </c>
      <c r="E87" s="204">
        <v>450</v>
      </c>
      <c r="F87" s="204">
        <v>550</v>
      </c>
      <c r="G87" s="204">
        <v>650</v>
      </c>
      <c r="H87" s="204">
        <v>750</v>
      </c>
      <c r="I87" s="204">
        <v>850</v>
      </c>
      <c r="J87" s="204">
        <v>950</v>
      </c>
      <c r="K87" s="204">
        <v>1050</v>
      </c>
      <c r="L87" s="204">
        <v>1150</v>
      </c>
      <c r="M87" s="204">
        <v>1250</v>
      </c>
      <c r="N87" s="204">
        <v>1150</v>
      </c>
      <c r="O87" s="204">
        <v>1000</v>
      </c>
      <c r="P87" s="204">
        <v>800</v>
      </c>
      <c r="Q87" s="204">
        <v>550</v>
      </c>
      <c r="S87" s="216"/>
      <c r="U87" s="216"/>
      <c r="V87" s="216"/>
      <c r="W87" s="216"/>
      <c r="X87" s="216"/>
      <c r="Y87" s="216"/>
      <c r="Z87" s="216"/>
      <c r="AA87" s="216"/>
      <c r="AB87" s="216"/>
      <c r="AC87" s="216"/>
      <c r="AD87" s="216"/>
      <c r="AE87" s="216"/>
      <c r="AF87" s="216"/>
      <c r="AG87" s="216"/>
    </row>
    <row r="88" spans="1:33" ht="15" customHeight="1" x14ac:dyDescent="0.2">
      <c r="A88" s="449"/>
      <c r="B88" s="76" t="s">
        <v>82</v>
      </c>
      <c r="C88" s="1" t="s">
        <v>61</v>
      </c>
      <c r="D88" s="203">
        <v>152.33881163084706</v>
      </c>
      <c r="E88" s="203">
        <v>156.38432364096082</v>
      </c>
      <c r="F88" s="203">
        <v>173.07206068268016</v>
      </c>
      <c r="G88" s="203">
        <v>192.58570684911132</v>
      </c>
      <c r="H88" s="203">
        <v>212.6794080464044</v>
      </c>
      <c r="I88" s="203">
        <v>234.2083736149327</v>
      </c>
      <c r="J88" s="203">
        <v>255.00855209340375</v>
      </c>
      <c r="K88" s="203">
        <v>283.88488138618277</v>
      </c>
      <c r="L88" s="203">
        <v>288.06425224957241</v>
      </c>
      <c r="M88" s="203">
        <v>294.935673384398</v>
      </c>
      <c r="N88" s="203">
        <v>301.5839964304306</v>
      </c>
      <c r="O88" s="203">
        <v>307.39941994496911</v>
      </c>
      <c r="P88" s="203">
        <v>313.05867479735258</v>
      </c>
      <c r="Q88" s="203">
        <v>319.1864356362014</v>
      </c>
      <c r="S88" s="216"/>
      <c r="U88" s="216"/>
      <c r="V88" s="21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/>
    </row>
    <row r="89" spans="1:33" ht="15" customHeight="1" x14ac:dyDescent="0.2">
      <c r="A89" s="449"/>
      <c r="B89" s="74" t="s">
        <v>33</v>
      </c>
      <c r="C89" s="1" t="s">
        <v>61</v>
      </c>
      <c r="D89" s="203">
        <v>50</v>
      </c>
      <c r="E89" s="203">
        <v>25</v>
      </c>
      <c r="F89" s="203">
        <v>0</v>
      </c>
      <c r="G89" s="203">
        <v>0</v>
      </c>
      <c r="H89" s="203">
        <v>0</v>
      </c>
      <c r="I89" s="203">
        <v>0</v>
      </c>
      <c r="J89" s="203">
        <v>0</v>
      </c>
      <c r="K89" s="203">
        <v>0</v>
      </c>
      <c r="L89" s="203">
        <v>0</v>
      </c>
      <c r="M89" s="203">
        <v>0</v>
      </c>
      <c r="N89" s="203">
        <v>0</v>
      </c>
      <c r="O89" s="203">
        <v>0</v>
      </c>
      <c r="P89" s="203">
        <v>0</v>
      </c>
      <c r="Q89" s="203">
        <v>0</v>
      </c>
      <c r="S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  <c r="AF89" s="216"/>
      <c r="AG89" s="216"/>
    </row>
    <row r="90" spans="1:33" ht="15" customHeight="1" x14ac:dyDescent="0.2">
      <c r="A90" s="449"/>
      <c r="B90" s="76" t="s">
        <v>103</v>
      </c>
      <c r="C90" s="4" t="s">
        <v>112</v>
      </c>
      <c r="D90" s="202">
        <v>2.1729609654822128E-2</v>
      </c>
      <c r="E90" s="202">
        <v>4.2563122435700422E-2</v>
      </c>
      <c r="F90" s="202">
        <v>7.9221596798729643E-2</v>
      </c>
      <c r="G90" s="202">
        <v>0.12104481719249827</v>
      </c>
      <c r="H90" s="202">
        <v>0.1816060687387489</v>
      </c>
      <c r="I90" s="202">
        <v>0.27756822157499184</v>
      </c>
      <c r="J90" s="202">
        <v>0.37832792169431789</v>
      </c>
      <c r="K90" s="202">
        <v>0.5684160505621817</v>
      </c>
      <c r="L90" s="202">
        <v>0.80546664639454091</v>
      </c>
      <c r="M90" s="202">
        <v>1.1207288866548697</v>
      </c>
      <c r="N90" s="202">
        <v>1.5293722472561442</v>
      </c>
      <c r="O90" s="202">
        <v>2.0295901497354025</v>
      </c>
      <c r="P90" s="202">
        <v>2.6791165470450999</v>
      </c>
      <c r="Q90" s="202">
        <v>3.5256743672802955</v>
      </c>
      <c r="S90" s="216"/>
      <c r="U90" s="216"/>
      <c r="V90" s="216"/>
      <c r="W90" s="216"/>
      <c r="X90" s="216"/>
      <c r="Y90" s="216"/>
      <c r="Z90" s="216"/>
      <c r="AA90" s="216"/>
      <c r="AB90" s="216"/>
      <c r="AC90" s="216"/>
      <c r="AD90" s="216"/>
      <c r="AE90" s="216"/>
      <c r="AF90" s="216"/>
      <c r="AG90" s="216"/>
    </row>
    <row r="91" spans="1:33" ht="15" customHeight="1" x14ac:dyDescent="0.2">
      <c r="A91" s="449"/>
      <c r="B91" s="74" t="s">
        <v>89</v>
      </c>
      <c r="C91" s="1" t="s">
        <v>19</v>
      </c>
      <c r="D91" s="205">
        <v>3.7894114404544301</v>
      </c>
      <c r="E91" s="205">
        <v>10.402955513673991</v>
      </c>
      <c r="F91" s="205">
        <v>21.99355244200974</v>
      </c>
      <c r="G91" s="205">
        <v>38.824390017528302</v>
      </c>
      <c r="H91" s="205">
        <v>58.149856742870597</v>
      </c>
      <c r="I91" s="205">
        <v>97.3073839019399</v>
      </c>
      <c r="J91" s="205">
        <v>146.088656830633</v>
      </c>
      <c r="K91" s="205">
        <v>238.50207872244439</v>
      </c>
      <c r="L91" s="205">
        <v>350.525473011901</v>
      </c>
      <c r="M91" s="205">
        <v>483.18676801670301</v>
      </c>
      <c r="N91" s="205">
        <v>623.48797719434697</v>
      </c>
      <c r="O91" s="205">
        <v>756.11606245709004</v>
      </c>
      <c r="P91" s="205">
        <v>889.00870624910499</v>
      </c>
      <c r="Q91" s="205">
        <v>1024.46109319377</v>
      </c>
      <c r="S91" s="216"/>
      <c r="U91" s="216"/>
      <c r="V91" s="216"/>
      <c r="W91" s="216"/>
      <c r="X91" s="216"/>
      <c r="Y91" s="216"/>
      <c r="Z91" s="216"/>
      <c r="AA91" s="216"/>
      <c r="AB91" s="216"/>
      <c r="AC91" s="216"/>
      <c r="AD91" s="216"/>
      <c r="AE91" s="216"/>
      <c r="AF91" s="216"/>
      <c r="AG91" s="216"/>
    </row>
    <row r="92" spans="1:33" ht="15" customHeight="1" x14ac:dyDescent="0.2">
      <c r="A92" s="449"/>
      <c r="B92" s="74" t="s">
        <v>119</v>
      </c>
      <c r="C92" s="1" t="s">
        <v>19</v>
      </c>
      <c r="D92" s="202">
        <v>1233</v>
      </c>
      <c r="E92" s="202">
        <v>1233</v>
      </c>
      <c r="F92" s="202">
        <v>1233</v>
      </c>
      <c r="G92" s="202">
        <v>1233</v>
      </c>
      <c r="H92" s="202">
        <v>1233</v>
      </c>
      <c r="I92" s="202">
        <v>1233</v>
      </c>
      <c r="J92" s="202">
        <v>1233</v>
      </c>
      <c r="K92" s="202">
        <v>1233</v>
      </c>
      <c r="L92" s="202">
        <v>1233</v>
      </c>
      <c r="M92" s="202">
        <v>1233</v>
      </c>
      <c r="N92" s="202">
        <v>1233</v>
      </c>
      <c r="O92" s="202">
        <v>1233</v>
      </c>
      <c r="P92" s="202">
        <v>1233</v>
      </c>
      <c r="Q92" s="202">
        <v>1233</v>
      </c>
      <c r="S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6"/>
    </row>
    <row r="93" spans="1:33" ht="15" customHeight="1" x14ac:dyDescent="0.2">
      <c r="A93" s="449"/>
      <c r="B93" s="74" t="s">
        <v>161</v>
      </c>
      <c r="C93" s="1" t="s">
        <v>157</v>
      </c>
      <c r="D93" s="202">
        <v>0</v>
      </c>
      <c r="E93" s="202">
        <v>0</v>
      </c>
      <c r="F93" s="202">
        <v>0</v>
      </c>
      <c r="G93" s="202">
        <v>0</v>
      </c>
      <c r="H93" s="202">
        <v>0</v>
      </c>
      <c r="I93" s="202">
        <v>0</v>
      </c>
      <c r="J93" s="202">
        <v>0</v>
      </c>
      <c r="K93" s="202">
        <v>0</v>
      </c>
      <c r="L93" s="202">
        <v>0</v>
      </c>
      <c r="M93" s="202">
        <v>0</v>
      </c>
      <c r="N93" s="202">
        <v>0</v>
      </c>
      <c r="O93" s="202">
        <v>0</v>
      </c>
      <c r="P93" s="202">
        <v>0</v>
      </c>
      <c r="Q93" s="202">
        <v>0</v>
      </c>
      <c r="S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  <c r="AF93" s="216"/>
      <c r="AG93" s="216"/>
    </row>
    <row r="94" spans="1:33" ht="15" customHeight="1" x14ac:dyDescent="0.2">
      <c r="A94" s="449"/>
      <c r="B94" s="74" t="s">
        <v>68</v>
      </c>
      <c r="C94" s="1" t="s">
        <v>18</v>
      </c>
      <c r="D94" s="206">
        <v>0</v>
      </c>
      <c r="E94" s="206">
        <v>0</v>
      </c>
      <c r="F94" s="206">
        <v>0</v>
      </c>
      <c r="G94" s="206">
        <v>0</v>
      </c>
      <c r="H94" s="206">
        <v>0</v>
      </c>
      <c r="I94" s="206">
        <v>0</v>
      </c>
      <c r="J94" s="206">
        <v>0</v>
      </c>
      <c r="K94" s="206">
        <v>0</v>
      </c>
      <c r="L94" s="206">
        <v>0</v>
      </c>
      <c r="M94" s="206">
        <v>0</v>
      </c>
      <c r="N94" s="206">
        <v>0</v>
      </c>
      <c r="O94" s="206">
        <v>0</v>
      </c>
      <c r="P94" s="206">
        <v>0</v>
      </c>
      <c r="Q94" s="206">
        <v>0</v>
      </c>
      <c r="S94" s="216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  <c r="AF94" s="216"/>
      <c r="AG94" s="216"/>
    </row>
    <row r="95" spans="1:33" ht="15" customHeight="1" x14ac:dyDescent="0.2">
      <c r="A95" s="449"/>
      <c r="B95" s="79" t="s">
        <v>81</v>
      </c>
      <c r="C95" s="150" t="s">
        <v>43</v>
      </c>
      <c r="D95" s="207">
        <v>7.4999999999999997E-3</v>
      </c>
      <c r="E95" s="207">
        <v>1.4999999999999999E-2</v>
      </c>
      <c r="F95" s="207">
        <v>2.2499999999999999E-2</v>
      </c>
      <c r="G95" s="207">
        <v>0.03</v>
      </c>
      <c r="H95" s="207">
        <v>0.04</v>
      </c>
      <c r="I95" s="207">
        <v>0.06</v>
      </c>
      <c r="J95" s="207">
        <v>0.06</v>
      </c>
      <c r="K95" s="207">
        <v>0.06</v>
      </c>
      <c r="L95" s="207">
        <v>0.06</v>
      </c>
      <c r="M95" s="207">
        <v>0.06</v>
      </c>
      <c r="N95" s="207">
        <v>0.06</v>
      </c>
      <c r="O95" s="207">
        <v>0.06</v>
      </c>
      <c r="P95" s="207">
        <v>0.06</v>
      </c>
      <c r="Q95" s="207">
        <v>0.06</v>
      </c>
      <c r="S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6"/>
    </row>
    <row r="96" spans="1:33" ht="15" customHeight="1" x14ac:dyDescent="0.2">
      <c r="A96" s="449"/>
      <c r="B96" s="79" t="s">
        <v>54</v>
      </c>
      <c r="C96" s="150" t="s">
        <v>45</v>
      </c>
      <c r="D96" s="26">
        <v>3.0000000000000001E-3</v>
      </c>
      <c r="E96" s="26">
        <v>3.0000000000000001E-3</v>
      </c>
      <c r="F96" s="26">
        <v>0.02</v>
      </c>
      <c r="G96" s="26">
        <v>0.25</v>
      </c>
      <c r="H96" s="208">
        <v>0.375</v>
      </c>
      <c r="I96" s="208">
        <v>0.5</v>
      </c>
      <c r="J96" s="208">
        <v>0.625</v>
      </c>
      <c r="K96" s="208">
        <v>0.75</v>
      </c>
      <c r="L96" s="208">
        <v>0.75</v>
      </c>
      <c r="M96" s="208">
        <v>0.75</v>
      </c>
      <c r="N96" s="208">
        <v>0.75</v>
      </c>
      <c r="O96" s="208">
        <v>0.75</v>
      </c>
      <c r="P96" s="208">
        <v>0.75</v>
      </c>
      <c r="Q96" s="208">
        <v>0.75</v>
      </c>
      <c r="S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6"/>
    </row>
    <row r="97" spans="1:33" ht="15" customHeight="1" x14ac:dyDescent="0.2">
      <c r="A97" s="449"/>
      <c r="B97" s="79" t="s">
        <v>76</v>
      </c>
      <c r="C97" s="150" t="s">
        <v>45</v>
      </c>
      <c r="D97" s="226">
        <v>0.154</v>
      </c>
      <c r="E97" s="226">
        <v>0.154</v>
      </c>
      <c r="F97" s="226">
        <v>0.154</v>
      </c>
      <c r="G97" s="226">
        <v>0.154</v>
      </c>
      <c r="H97" s="226">
        <v>0.154</v>
      </c>
      <c r="I97" s="226">
        <v>0.154</v>
      </c>
      <c r="J97" s="226">
        <v>0.154</v>
      </c>
      <c r="K97" s="226">
        <v>0.154</v>
      </c>
      <c r="L97" s="226">
        <v>0.154</v>
      </c>
      <c r="M97" s="226">
        <v>0.154</v>
      </c>
      <c r="N97" s="226">
        <v>0.154</v>
      </c>
      <c r="O97" s="226">
        <v>0.154</v>
      </c>
      <c r="P97" s="226">
        <v>0.154</v>
      </c>
      <c r="Q97" s="226">
        <v>0.154</v>
      </c>
      <c r="S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6"/>
    </row>
    <row r="98" spans="1:33" ht="15" customHeight="1" x14ac:dyDescent="0.2">
      <c r="A98" s="449"/>
      <c r="B98" s="79" t="s">
        <v>56</v>
      </c>
      <c r="C98" s="150" t="s">
        <v>45</v>
      </c>
      <c r="D98" s="209">
        <v>0</v>
      </c>
      <c r="E98" s="209">
        <v>0</v>
      </c>
      <c r="F98" s="209">
        <v>0.1</v>
      </c>
      <c r="G98" s="209">
        <v>0.3</v>
      </c>
      <c r="H98" s="209">
        <v>0.6</v>
      </c>
      <c r="I98" s="209">
        <v>0.9</v>
      </c>
      <c r="J98" s="209">
        <v>1.2</v>
      </c>
      <c r="K98" s="209">
        <v>1.5</v>
      </c>
      <c r="L98" s="209">
        <v>1.5</v>
      </c>
      <c r="M98" s="209">
        <v>1.5</v>
      </c>
      <c r="N98" s="209">
        <v>1.2</v>
      </c>
      <c r="O98" s="209">
        <v>0.9</v>
      </c>
      <c r="P98" s="209">
        <v>0.6</v>
      </c>
      <c r="Q98" s="209">
        <v>0.3</v>
      </c>
      <c r="S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6"/>
    </row>
    <row r="99" spans="1:33" ht="15" customHeight="1" x14ac:dyDescent="0.2">
      <c r="A99" s="449"/>
      <c r="B99" s="79" t="s">
        <v>55</v>
      </c>
      <c r="C99" s="150" t="s">
        <v>45</v>
      </c>
      <c r="D99" s="26">
        <v>0</v>
      </c>
      <c r="E99" s="26">
        <v>0.01</v>
      </c>
      <c r="F99" s="26">
        <v>0.05</v>
      </c>
      <c r="G99" s="26">
        <v>0.25</v>
      </c>
      <c r="H99" s="26">
        <v>0.5</v>
      </c>
      <c r="I99" s="26">
        <v>0.5</v>
      </c>
      <c r="J99" s="26">
        <v>0.5</v>
      </c>
      <c r="K99" s="26">
        <v>0.5</v>
      </c>
      <c r="L99" s="26">
        <v>0.5</v>
      </c>
      <c r="M99" s="26">
        <v>0.5</v>
      </c>
      <c r="N99" s="26">
        <v>0.5</v>
      </c>
      <c r="O99" s="26">
        <v>0.5</v>
      </c>
      <c r="P99" s="26">
        <v>0.5</v>
      </c>
      <c r="Q99" s="26">
        <v>0.5</v>
      </c>
      <c r="S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6"/>
    </row>
    <row r="100" spans="1:33" ht="15.75" customHeight="1" x14ac:dyDescent="0.2">
      <c r="A100" s="449"/>
      <c r="B100" s="79" t="s">
        <v>166</v>
      </c>
      <c r="C100" s="150" t="s">
        <v>167</v>
      </c>
      <c r="D100" s="226">
        <v>71</v>
      </c>
      <c r="E100" s="226">
        <v>71</v>
      </c>
      <c r="F100" s="226">
        <v>71</v>
      </c>
      <c r="G100" s="226">
        <v>71</v>
      </c>
      <c r="H100" s="226">
        <v>71</v>
      </c>
      <c r="I100" s="226">
        <v>71</v>
      </c>
      <c r="J100" s="226">
        <v>71</v>
      </c>
      <c r="K100" s="226">
        <v>71</v>
      </c>
      <c r="L100" s="226">
        <v>71</v>
      </c>
      <c r="M100" s="226">
        <v>71</v>
      </c>
      <c r="N100" s="226">
        <v>71</v>
      </c>
      <c r="O100" s="226">
        <v>71</v>
      </c>
      <c r="P100" s="226">
        <v>71</v>
      </c>
      <c r="Q100" s="246">
        <v>71</v>
      </c>
      <c r="S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/>
    </row>
    <row r="101" spans="1:33" ht="15.75" customHeight="1" x14ac:dyDescent="0.2">
      <c r="A101" s="449"/>
      <c r="B101" s="79" t="s">
        <v>163</v>
      </c>
      <c r="C101" s="150" t="s">
        <v>167</v>
      </c>
      <c r="D101" s="226">
        <v>30.929411764705883</v>
      </c>
      <c r="E101" s="226">
        <v>30.929411764705883</v>
      </c>
      <c r="F101" s="226">
        <v>30.929411764705883</v>
      </c>
      <c r="G101" s="226">
        <v>30.929411764705883</v>
      </c>
      <c r="H101" s="226">
        <v>30.929411764705883</v>
      </c>
      <c r="I101" s="226">
        <v>30.929411764705883</v>
      </c>
      <c r="J101" s="226">
        <v>30.929411764705883</v>
      </c>
      <c r="K101" s="226">
        <v>30.929411764705883</v>
      </c>
      <c r="L101" s="226">
        <v>30.929411764705883</v>
      </c>
      <c r="M101" s="226">
        <v>30.929411764705883</v>
      </c>
      <c r="N101" s="226">
        <v>30.929411764705883</v>
      </c>
      <c r="O101" s="226">
        <v>30.929411764705883</v>
      </c>
      <c r="P101" s="226">
        <v>30.929411764705883</v>
      </c>
      <c r="Q101" s="226">
        <v>30.929411764705883</v>
      </c>
      <c r="S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16"/>
    </row>
    <row r="102" spans="1:33" ht="16" thickBot="1" x14ac:dyDescent="0.25">
      <c r="A102" s="450"/>
      <c r="B102" s="79" t="s">
        <v>57</v>
      </c>
      <c r="C102" s="150" t="s">
        <v>167</v>
      </c>
      <c r="D102" s="26">
        <v>0</v>
      </c>
      <c r="E102" s="26">
        <v>0</v>
      </c>
      <c r="F102" s="26">
        <v>0.13</v>
      </c>
      <c r="G102" s="26">
        <v>0.13</v>
      </c>
      <c r="H102" s="26">
        <v>0.13</v>
      </c>
      <c r="I102" s="26">
        <v>0.13</v>
      </c>
      <c r="J102" s="26">
        <v>0.13</v>
      </c>
      <c r="K102" s="26">
        <v>0.13</v>
      </c>
      <c r="L102" s="26">
        <v>0.13</v>
      </c>
      <c r="M102" s="26">
        <v>0.13</v>
      </c>
      <c r="N102" s="26">
        <v>0.13</v>
      </c>
      <c r="O102" s="26">
        <v>0.13</v>
      </c>
      <c r="P102" s="26">
        <v>0.13</v>
      </c>
      <c r="Q102" s="26">
        <v>0.13</v>
      </c>
      <c r="S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16"/>
    </row>
    <row r="103" spans="1:33" ht="16" thickBot="1" x14ac:dyDescent="0.25">
      <c r="D103" s="243">
        <v>100</v>
      </c>
      <c r="E103" s="243">
        <v>125</v>
      </c>
      <c r="F103" s="243">
        <v>150</v>
      </c>
      <c r="G103" s="243">
        <v>200</v>
      </c>
      <c r="H103" s="243">
        <v>200</v>
      </c>
      <c r="I103" s="243">
        <v>200</v>
      </c>
      <c r="J103" s="243">
        <v>200</v>
      </c>
      <c r="K103" s="243">
        <v>150</v>
      </c>
      <c r="L103" s="243">
        <v>125</v>
      </c>
      <c r="M103" s="243">
        <v>125</v>
      </c>
      <c r="N103" s="243">
        <v>75</v>
      </c>
      <c r="O103" s="243">
        <v>25</v>
      </c>
      <c r="P103" s="243">
        <v>25</v>
      </c>
      <c r="Q103" s="243">
        <v>25</v>
      </c>
      <c r="S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16"/>
    </row>
    <row r="104" spans="1:33" x14ac:dyDescent="0.2">
      <c r="A104" s="448" t="s">
        <v>197</v>
      </c>
      <c r="B104" s="74" t="s">
        <v>72</v>
      </c>
      <c r="C104" s="14" t="s">
        <v>15</v>
      </c>
      <c r="D104" s="210">
        <v>2017</v>
      </c>
      <c r="E104" s="210">
        <v>2018</v>
      </c>
      <c r="F104" s="210">
        <v>2019</v>
      </c>
      <c r="G104" s="210">
        <v>2020</v>
      </c>
      <c r="H104" s="210">
        <v>2021</v>
      </c>
      <c r="I104" s="210">
        <v>2022</v>
      </c>
      <c r="J104" s="210">
        <v>2023</v>
      </c>
      <c r="K104" s="210">
        <v>2024</v>
      </c>
      <c r="L104" s="210">
        <v>2025</v>
      </c>
      <c r="M104" s="4">
        <v>2026</v>
      </c>
      <c r="N104" s="4">
        <v>2027</v>
      </c>
      <c r="O104" s="4">
        <v>2028</v>
      </c>
      <c r="P104" s="4">
        <v>2029</v>
      </c>
      <c r="Q104" s="4">
        <v>2030</v>
      </c>
      <c r="S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6"/>
      <c r="AG104" s="216"/>
    </row>
    <row r="105" spans="1:33" x14ac:dyDescent="0.2">
      <c r="A105" s="449"/>
      <c r="B105" s="74" t="s">
        <v>158</v>
      </c>
      <c r="C105" s="1" t="s">
        <v>18</v>
      </c>
      <c r="D105" s="252">
        <v>18.423134009999998</v>
      </c>
      <c r="E105" s="252">
        <v>21.954198859999998</v>
      </c>
      <c r="F105" s="252">
        <v>25.79566213</v>
      </c>
      <c r="G105" s="252">
        <v>29.947523820000001</v>
      </c>
      <c r="H105" s="252">
        <v>34.409783930000003</v>
      </c>
      <c r="I105" s="252">
        <v>39.182442460000004</v>
      </c>
      <c r="J105" s="252">
        <v>44.265499409999997</v>
      </c>
      <c r="K105" s="252">
        <v>49.658954780000002</v>
      </c>
      <c r="L105" s="252">
        <v>55.362808569999999</v>
      </c>
      <c r="M105" s="252">
        <v>61.377060779999994</v>
      </c>
      <c r="N105" s="252">
        <v>67.701711410000001</v>
      </c>
      <c r="O105" s="252">
        <v>74.336760459999994</v>
      </c>
      <c r="P105" s="252">
        <v>81.282207929999998</v>
      </c>
      <c r="Q105" s="252">
        <v>88.538053819999988</v>
      </c>
      <c r="S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16"/>
    </row>
    <row r="106" spans="1:33" x14ac:dyDescent="0.2">
      <c r="A106" s="449"/>
      <c r="B106" s="74" t="s">
        <v>17</v>
      </c>
      <c r="C106" s="1" t="s">
        <v>18</v>
      </c>
      <c r="D106" s="202">
        <v>1.0083198807897678</v>
      </c>
      <c r="E106" s="202">
        <v>2.0166397615795355</v>
      </c>
      <c r="F106" s="202">
        <v>4.033279523159071</v>
      </c>
      <c r="G106" s="202">
        <v>7.4866509375388048</v>
      </c>
      <c r="H106" s="202">
        <v>11.508297006019333</v>
      </c>
      <c r="I106" s="202">
        <v>16.249135193627929</v>
      </c>
      <c r="J106" s="202">
        <v>20</v>
      </c>
      <c r="K106" s="202">
        <v>24</v>
      </c>
      <c r="L106" s="202">
        <v>27</v>
      </c>
      <c r="M106" s="202">
        <v>27</v>
      </c>
      <c r="N106" s="202">
        <v>27</v>
      </c>
      <c r="O106" s="202">
        <v>27</v>
      </c>
      <c r="P106" s="202">
        <v>27</v>
      </c>
      <c r="Q106" s="202">
        <v>27</v>
      </c>
      <c r="S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6"/>
      <c r="AG106" s="216"/>
    </row>
    <row r="107" spans="1:33" x14ac:dyDescent="0.2">
      <c r="A107" s="449"/>
      <c r="B107" s="74" t="s">
        <v>124</v>
      </c>
      <c r="C107" s="1" t="s">
        <v>18</v>
      </c>
      <c r="D107" s="202">
        <v>50</v>
      </c>
      <c r="E107" s="202">
        <v>100</v>
      </c>
      <c r="F107" s="202">
        <v>150</v>
      </c>
      <c r="G107" s="202">
        <v>150</v>
      </c>
      <c r="H107" s="202">
        <v>150</v>
      </c>
      <c r="I107" s="202">
        <v>150</v>
      </c>
      <c r="J107" s="202">
        <v>150</v>
      </c>
      <c r="K107" s="202">
        <v>150</v>
      </c>
      <c r="L107" s="202">
        <v>150</v>
      </c>
      <c r="M107" s="202">
        <v>100</v>
      </c>
      <c r="N107" s="202">
        <v>50</v>
      </c>
      <c r="O107" s="202">
        <v>0</v>
      </c>
      <c r="P107" s="202">
        <v>0</v>
      </c>
      <c r="Q107" s="214">
        <v>0</v>
      </c>
      <c r="S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/>
    </row>
    <row r="108" spans="1:33" x14ac:dyDescent="0.2">
      <c r="A108" s="449"/>
      <c r="B108" s="76" t="s">
        <v>16</v>
      </c>
      <c r="C108" s="1" t="s">
        <v>18</v>
      </c>
      <c r="D108" s="202">
        <v>0</v>
      </c>
      <c r="E108" s="202">
        <v>0</v>
      </c>
      <c r="F108" s="202">
        <v>0</v>
      </c>
      <c r="G108" s="202">
        <v>0</v>
      </c>
      <c r="H108" s="202">
        <v>0</v>
      </c>
      <c r="I108" s="202">
        <v>0</v>
      </c>
      <c r="J108" s="202">
        <v>0</v>
      </c>
      <c r="K108" s="202">
        <v>0</v>
      </c>
      <c r="L108" s="202">
        <v>0</v>
      </c>
      <c r="M108" s="202">
        <v>0</v>
      </c>
      <c r="N108" s="202">
        <v>0</v>
      </c>
      <c r="O108" s="202">
        <v>0</v>
      </c>
      <c r="P108" s="202">
        <v>0</v>
      </c>
      <c r="Q108" s="202">
        <v>0</v>
      </c>
      <c r="S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6"/>
      <c r="AG108" s="216"/>
    </row>
    <row r="109" spans="1:33" x14ac:dyDescent="0.2">
      <c r="A109" s="449"/>
      <c r="B109" s="74" t="s">
        <v>5</v>
      </c>
      <c r="C109" s="1" t="s">
        <v>112</v>
      </c>
      <c r="D109" s="253">
        <v>0.37959999999999999</v>
      </c>
      <c r="E109" s="253">
        <v>0.71909999999999996</v>
      </c>
      <c r="F109" s="253">
        <v>1.3375999999999999</v>
      </c>
      <c r="G109" s="253">
        <v>2.3818000000000001</v>
      </c>
      <c r="H109" s="253">
        <v>3.8589000000000002</v>
      </c>
      <c r="I109" s="253">
        <v>6.1199000000000003</v>
      </c>
      <c r="J109" s="253">
        <v>12.969796448400741</v>
      </c>
      <c r="K109" s="253">
        <v>23.844189345202228</v>
      </c>
      <c r="L109" s="253">
        <v>34.718582242003706</v>
      </c>
      <c r="M109" s="203">
        <v>46.503340140812966</v>
      </c>
      <c r="N109" s="203">
        <v>60.43963971087399</v>
      </c>
      <c r="O109" s="203">
        <v>76.90295046180654</v>
      </c>
      <c r="P109" s="203">
        <v>95.924299289722157</v>
      </c>
      <c r="Q109" s="203">
        <v>117.46945822516899</v>
      </c>
      <c r="S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/>
    </row>
    <row r="110" spans="1:33" x14ac:dyDescent="0.2">
      <c r="A110" s="449"/>
      <c r="B110" s="74" t="s">
        <v>0</v>
      </c>
      <c r="C110" s="1" t="s">
        <v>19</v>
      </c>
      <c r="D110" s="254">
        <v>973.85187199999996</v>
      </c>
      <c r="E110" s="254">
        <v>1193.638616</v>
      </c>
      <c r="F110" s="254">
        <v>1351.3739760000001</v>
      </c>
      <c r="G110" s="254">
        <v>1562.7517760000001</v>
      </c>
      <c r="H110" s="254">
        <v>1828.233696</v>
      </c>
      <c r="I110" s="254">
        <v>2124.219928</v>
      </c>
      <c r="J110" s="254">
        <v>2685.1889290279537</v>
      </c>
      <c r="K110" s="254">
        <v>3502.6569310838604</v>
      </c>
      <c r="L110" s="254">
        <v>4320.1249331397676</v>
      </c>
      <c r="M110" s="254">
        <v>5190.3348290815702</v>
      </c>
      <c r="N110" s="254">
        <v>6204.5862699682757</v>
      </c>
      <c r="O110" s="254">
        <v>7406.3858761759302</v>
      </c>
      <c r="P110" s="254">
        <v>8799.450102282628</v>
      </c>
      <c r="Q110" s="254">
        <v>10381.371019384236</v>
      </c>
      <c r="S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16"/>
    </row>
    <row r="111" spans="1:33" x14ac:dyDescent="0.2">
      <c r="A111" s="449"/>
      <c r="B111" s="74" t="s">
        <v>38</v>
      </c>
      <c r="C111" s="1" t="s">
        <v>18</v>
      </c>
      <c r="D111" s="204">
        <v>170</v>
      </c>
      <c r="E111" s="204">
        <v>200</v>
      </c>
      <c r="F111" s="204">
        <v>275</v>
      </c>
      <c r="G111" s="204">
        <v>350</v>
      </c>
      <c r="H111" s="204">
        <v>425</v>
      </c>
      <c r="I111" s="204">
        <v>500</v>
      </c>
      <c r="J111" s="204">
        <v>500</v>
      </c>
      <c r="K111" s="204">
        <v>500</v>
      </c>
      <c r="L111" s="204">
        <v>500</v>
      </c>
      <c r="M111" s="204">
        <v>500</v>
      </c>
      <c r="N111" s="204">
        <v>500</v>
      </c>
      <c r="O111" s="204">
        <v>500</v>
      </c>
      <c r="P111" s="204">
        <v>425</v>
      </c>
      <c r="Q111" s="204">
        <v>350</v>
      </c>
      <c r="S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/>
    </row>
    <row r="112" spans="1:33" x14ac:dyDescent="0.2">
      <c r="A112" s="449"/>
      <c r="B112" s="74" t="s">
        <v>1</v>
      </c>
      <c r="C112" s="1" t="s">
        <v>18</v>
      </c>
      <c r="D112" s="204">
        <v>350</v>
      </c>
      <c r="E112" s="204">
        <v>450</v>
      </c>
      <c r="F112" s="204">
        <v>550</v>
      </c>
      <c r="G112" s="204">
        <v>650</v>
      </c>
      <c r="H112" s="204">
        <v>750</v>
      </c>
      <c r="I112" s="204">
        <v>850</v>
      </c>
      <c r="J112" s="204">
        <v>950</v>
      </c>
      <c r="K112" s="204">
        <v>1050</v>
      </c>
      <c r="L112" s="204">
        <v>1150</v>
      </c>
      <c r="M112" s="204">
        <v>1050</v>
      </c>
      <c r="N112" s="204">
        <v>800</v>
      </c>
      <c r="O112" s="204">
        <v>550</v>
      </c>
      <c r="P112" s="204">
        <v>450</v>
      </c>
      <c r="Q112" s="204">
        <v>350</v>
      </c>
      <c r="S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  <c r="AF112" s="216"/>
      <c r="AG112" s="216"/>
    </row>
    <row r="113" spans="1:33" x14ac:dyDescent="0.2">
      <c r="A113" s="449"/>
      <c r="B113" s="76" t="s">
        <v>82</v>
      </c>
      <c r="C113" s="1" t="s">
        <v>61</v>
      </c>
      <c r="D113" s="203">
        <v>152.33881163084706</v>
      </c>
      <c r="E113" s="203">
        <v>156.38432364096082</v>
      </c>
      <c r="F113" s="203">
        <v>173.07206068268016</v>
      </c>
      <c r="G113" s="203">
        <v>192.58570684911132</v>
      </c>
      <c r="H113" s="203">
        <v>212.6794080464044</v>
      </c>
      <c r="I113" s="203">
        <v>234.2083736149327</v>
      </c>
      <c r="J113" s="203">
        <v>255.00855209340375</v>
      </c>
      <c r="K113" s="203">
        <v>283.88488138618277</v>
      </c>
      <c r="L113" s="203">
        <v>288.06425224957241</v>
      </c>
      <c r="M113" s="203">
        <v>294.935673384398</v>
      </c>
      <c r="N113" s="203">
        <v>301.5839964304306</v>
      </c>
      <c r="O113" s="203">
        <v>307.39941994496911</v>
      </c>
      <c r="P113" s="203">
        <v>313.05867479735258</v>
      </c>
      <c r="Q113" s="203">
        <v>319.1864356362014</v>
      </c>
      <c r="S113" s="216"/>
      <c r="U113" s="216"/>
      <c r="V113" s="21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/>
    </row>
    <row r="114" spans="1:33" x14ac:dyDescent="0.2">
      <c r="A114" s="449"/>
      <c r="B114" s="74" t="s">
        <v>33</v>
      </c>
      <c r="C114" s="1" t="s">
        <v>61</v>
      </c>
      <c r="D114" s="203">
        <v>50</v>
      </c>
      <c r="E114" s="203">
        <v>25</v>
      </c>
      <c r="F114" s="203">
        <v>0</v>
      </c>
      <c r="G114" s="203">
        <v>0</v>
      </c>
      <c r="H114" s="203">
        <v>0</v>
      </c>
      <c r="I114" s="203">
        <v>0</v>
      </c>
      <c r="J114" s="203">
        <v>0</v>
      </c>
      <c r="K114" s="203">
        <v>0</v>
      </c>
      <c r="L114" s="203">
        <v>0</v>
      </c>
      <c r="M114" s="203">
        <v>0</v>
      </c>
      <c r="N114" s="203">
        <v>0</v>
      </c>
      <c r="O114" s="203">
        <v>0</v>
      </c>
      <c r="P114" s="203">
        <v>0</v>
      </c>
      <c r="Q114" s="203">
        <v>0</v>
      </c>
      <c r="S114" s="216"/>
      <c r="U114" s="216"/>
      <c r="V114" s="216"/>
      <c r="W114" s="216"/>
      <c r="X114" s="216"/>
      <c r="Y114" s="216"/>
      <c r="Z114" s="216"/>
      <c r="AA114" s="216"/>
      <c r="AB114" s="216"/>
      <c r="AC114" s="216"/>
      <c r="AD114" s="216"/>
      <c r="AE114" s="216"/>
      <c r="AF114" s="216"/>
      <c r="AG114" s="216"/>
    </row>
    <row r="115" spans="1:33" x14ac:dyDescent="0.2">
      <c r="A115" s="449"/>
      <c r="B115" s="76" t="s">
        <v>103</v>
      </c>
      <c r="C115" s="4" t="s">
        <v>112</v>
      </c>
      <c r="D115" s="202">
        <v>2.1729609654822128E-2</v>
      </c>
      <c r="E115" s="202">
        <v>4.2563122435700422E-2</v>
      </c>
      <c r="F115" s="202">
        <v>7.9221596798729643E-2</v>
      </c>
      <c r="G115" s="202">
        <v>0.12104481719249827</v>
      </c>
      <c r="H115" s="202">
        <v>0.1816060687387489</v>
      </c>
      <c r="I115" s="202">
        <v>0.27756822157499184</v>
      </c>
      <c r="J115" s="202">
        <v>0.37832792169431789</v>
      </c>
      <c r="K115" s="202">
        <v>0.5684160505621817</v>
      </c>
      <c r="L115" s="202">
        <v>0.80546664639454091</v>
      </c>
      <c r="M115" s="202">
        <v>1.1207288866548697</v>
      </c>
      <c r="N115" s="202">
        <v>1.5293722472561442</v>
      </c>
      <c r="O115" s="202">
        <v>2.0295901497354025</v>
      </c>
      <c r="P115" s="202">
        <v>2.6791165470450999</v>
      </c>
      <c r="Q115" s="202">
        <v>3.5256743672802955</v>
      </c>
      <c r="S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16"/>
    </row>
    <row r="116" spans="1:33" x14ac:dyDescent="0.2">
      <c r="A116" s="449"/>
      <c r="B116" s="74" t="s">
        <v>89</v>
      </c>
      <c r="C116" s="1" t="s">
        <v>19</v>
      </c>
      <c r="D116" s="205">
        <v>3.7894114404544301</v>
      </c>
      <c r="E116" s="205">
        <v>10.402955513673991</v>
      </c>
      <c r="F116" s="205">
        <v>21.99355244200974</v>
      </c>
      <c r="G116" s="205">
        <v>38.824390017528302</v>
      </c>
      <c r="H116" s="205">
        <v>58.149856742870597</v>
      </c>
      <c r="I116" s="205">
        <v>97.3073839019399</v>
      </c>
      <c r="J116" s="205">
        <v>146.088656830633</v>
      </c>
      <c r="K116" s="205">
        <v>238.50207872244439</v>
      </c>
      <c r="L116" s="205">
        <v>350.525473011901</v>
      </c>
      <c r="M116" s="205">
        <v>483.18676801670301</v>
      </c>
      <c r="N116" s="205">
        <v>623.48797719434697</v>
      </c>
      <c r="O116" s="205">
        <v>756.11606245709004</v>
      </c>
      <c r="P116" s="205">
        <v>889.00870624910499</v>
      </c>
      <c r="Q116" s="205">
        <v>1024.46109319377</v>
      </c>
      <c r="S116" s="216"/>
      <c r="U116" s="216"/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/>
      <c r="AF116" s="216"/>
      <c r="AG116" s="216"/>
    </row>
    <row r="117" spans="1:33" x14ac:dyDescent="0.2">
      <c r="A117" s="449"/>
      <c r="B117" s="74" t="s">
        <v>119</v>
      </c>
      <c r="C117" s="1" t="s">
        <v>19</v>
      </c>
      <c r="D117" s="202">
        <v>1233</v>
      </c>
      <c r="E117" s="202">
        <v>1233</v>
      </c>
      <c r="F117" s="202">
        <v>1233</v>
      </c>
      <c r="G117" s="202">
        <v>1233</v>
      </c>
      <c r="H117" s="202">
        <v>1233</v>
      </c>
      <c r="I117" s="202">
        <v>1233</v>
      </c>
      <c r="J117" s="202">
        <v>1233</v>
      </c>
      <c r="K117" s="202">
        <v>1233</v>
      </c>
      <c r="L117" s="202">
        <v>1233</v>
      </c>
      <c r="M117" s="202">
        <v>1233</v>
      </c>
      <c r="N117" s="202">
        <v>1233</v>
      </c>
      <c r="O117" s="202">
        <v>1233</v>
      </c>
      <c r="P117" s="202">
        <v>1233</v>
      </c>
      <c r="Q117" s="202">
        <v>1233</v>
      </c>
      <c r="S117" s="216"/>
      <c r="U117" s="216"/>
      <c r="V117" s="216"/>
      <c r="W117" s="216"/>
      <c r="X117" s="216"/>
      <c r="Y117" s="216"/>
      <c r="Z117" s="216"/>
      <c r="AA117" s="216"/>
      <c r="AB117" s="216"/>
      <c r="AC117" s="216"/>
      <c r="AD117" s="216"/>
      <c r="AE117" s="216"/>
      <c r="AF117" s="216"/>
      <c r="AG117" s="216"/>
    </row>
    <row r="118" spans="1:33" x14ac:dyDescent="0.2">
      <c r="A118" s="449"/>
      <c r="B118" s="74" t="s">
        <v>161</v>
      </c>
      <c r="C118" s="1" t="s">
        <v>157</v>
      </c>
      <c r="D118" s="202">
        <v>0</v>
      </c>
      <c r="E118" s="202">
        <v>0</v>
      </c>
      <c r="F118" s="202">
        <v>0</v>
      </c>
      <c r="G118" s="202">
        <v>0</v>
      </c>
      <c r="H118" s="202">
        <v>0</v>
      </c>
      <c r="I118" s="202">
        <v>0</v>
      </c>
      <c r="J118" s="202">
        <v>0</v>
      </c>
      <c r="K118" s="202">
        <v>0</v>
      </c>
      <c r="L118" s="202">
        <v>0</v>
      </c>
      <c r="M118" s="202">
        <v>0</v>
      </c>
      <c r="N118" s="202">
        <v>0</v>
      </c>
      <c r="O118" s="202">
        <v>0</v>
      </c>
      <c r="P118" s="202">
        <v>0</v>
      </c>
      <c r="Q118" s="202">
        <v>0</v>
      </c>
      <c r="S118" s="216"/>
      <c r="U118" s="216"/>
      <c r="V118" s="216"/>
      <c r="W118" s="216"/>
      <c r="X118" s="216"/>
      <c r="Y118" s="216"/>
      <c r="Z118" s="216"/>
      <c r="AA118" s="216"/>
      <c r="AB118" s="216"/>
      <c r="AC118" s="216"/>
      <c r="AD118" s="216"/>
      <c r="AE118" s="216"/>
      <c r="AF118" s="216"/>
      <c r="AG118" s="216"/>
    </row>
    <row r="119" spans="1:33" x14ac:dyDescent="0.2">
      <c r="A119" s="449"/>
      <c r="B119" s="74" t="s">
        <v>68</v>
      </c>
      <c r="C119" s="1" t="s">
        <v>18</v>
      </c>
      <c r="D119" s="206">
        <v>0</v>
      </c>
      <c r="E119" s="206">
        <v>0</v>
      </c>
      <c r="F119" s="203">
        <v>0</v>
      </c>
      <c r="G119" s="203">
        <v>0</v>
      </c>
      <c r="H119" s="203">
        <v>0</v>
      </c>
      <c r="I119" s="203">
        <v>0</v>
      </c>
      <c r="J119" s="203">
        <v>0</v>
      </c>
      <c r="K119" s="203">
        <v>0</v>
      </c>
      <c r="L119" s="203">
        <v>0</v>
      </c>
      <c r="M119" s="203">
        <v>0</v>
      </c>
      <c r="N119" s="203">
        <v>0</v>
      </c>
      <c r="O119" s="203">
        <v>0</v>
      </c>
      <c r="P119" s="203">
        <v>0</v>
      </c>
      <c r="Q119" s="203">
        <v>0</v>
      </c>
      <c r="S119" s="216"/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6"/>
      <c r="AG119" s="216"/>
    </row>
    <row r="120" spans="1:33" x14ac:dyDescent="0.2">
      <c r="A120" s="449"/>
      <c r="B120" s="79" t="s">
        <v>81</v>
      </c>
      <c r="C120" s="150" t="s">
        <v>43</v>
      </c>
      <c r="D120" s="207">
        <v>7.4999999999999997E-3</v>
      </c>
      <c r="E120" s="207">
        <v>1.4999999999999999E-2</v>
      </c>
      <c r="F120" s="207">
        <v>2.2499999999999999E-2</v>
      </c>
      <c r="G120" s="207">
        <v>0.03</v>
      </c>
      <c r="H120" s="207">
        <v>0.04</v>
      </c>
      <c r="I120" s="207">
        <v>0.06</v>
      </c>
      <c r="J120" s="207">
        <v>0.06</v>
      </c>
      <c r="K120" s="207">
        <v>0.06</v>
      </c>
      <c r="L120" s="207">
        <v>0.06</v>
      </c>
      <c r="M120" s="207">
        <v>0.06</v>
      </c>
      <c r="N120" s="207">
        <v>0.06</v>
      </c>
      <c r="O120" s="207">
        <v>0.06</v>
      </c>
      <c r="P120" s="207">
        <v>0.06</v>
      </c>
      <c r="Q120" s="207">
        <v>0.06</v>
      </c>
      <c r="S120" s="216"/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  <c r="AF120" s="216"/>
      <c r="AG120" s="216"/>
    </row>
    <row r="121" spans="1:33" x14ac:dyDescent="0.2">
      <c r="A121" s="449"/>
      <c r="B121" s="79" t="s">
        <v>54</v>
      </c>
      <c r="C121" s="150" t="s">
        <v>45</v>
      </c>
      <c r="D121" s="26">
        <v>3.0000000000000001E-3</v>
      </c>
      <c r="E121" s="26">
        <v>3.0000000000000001E-3</v>
      </c>
      <c r="F121" s="26">
        <v>0.02</v>
      </c>
      <c r="G121" s="26">
        <v>0.25</v>
      </c>
      <c r="H121" s="208">
        <v>0.375</v>
      </c>
      <c r="I121" s="208">
        <v>0.5</v>
      </c>
      <c r="J121" s="208">
        <v>0.625</v>
      </c>
      <c r="K121" s="208">
        <v>0.75</v>
      </c>
      <c r="L121" s="208">
        <v>0.75</v>
      </c>
      <c r="M121" s="208">
        <v>0.75</v>
      </c>
      <c r="N121" s="208">
        <v>0.75</v>
      </c>
      <c r="O121" s="208">
        <v>0.75</v>
      </c>
      <c r="P121" s="208">
        <v>0.75</v>
      </c>
      <c r="Q121" s="208">
        <v>0.75</v>
      </c>
      <c r="S121" s="216"/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  <c r="AF121" s="216"/>
      <c r="AG121" s="216"/>
    </row>
    <row r="122" spans="1:33" x14ac:dyDescent="0.2">
      <c r="A122" s="449"/>
      <c r="B122" s="79" t="s">
        <v>76</v>
      </c>
      <c r="C122" s="150" t="s">
        <v>45</v>
      </c>
      <c r="D122" s="226">
        <v>0.154</v>
      </c>
      <c r="E122" s="226">
        <v>0.154</v>
      </c>
      <c r="F122" s="226">
        <v>0.154</v>
      </c>
      <c r="G122" s="226">
        <v>0.154</v>
      </c>
      <c r="H122" s="226">
        <v>0.154</v>
      </c>
      <c r="I122" s="226">
        <v>0.154</v>
      </c>
      <c r="J122" s="226">
        <v>0.154</v>
      </c>
      <c r="K122" s="226">
        <v>0.154</v>
      </c>
      <c r="L122" s="226">
        <v>0.154</v>
      </c>
      <c r="M122" s="226">
        <v>0.154</v>
      </c>
      <c r="N122" s="226">
        <v>0.154</v>
      </c>
      <c r="O122" s="226">
        <v>0.154</v>
      </c>
      <c r="P122" s="226">
        <v>0.154</v>
      </c>
      <c r="Q122" s="226">
        <v>0.154</v>
      </c>
      <c r="S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  <c r="AF122" s="216"/>
      <c r="AG122" s="216"/>
    </row>
    <row r="123" spans="1:33" x14ac:dyDescent="0.2">
      <c r="A123" s="449"/>
      <c r="B123" s="79" t="s">
        <v>56</v>
      </c>
      <c r="C123" s="150" t="s">
        <v>45</v>
      </c>
      <c r="D123" s="209">
        <v>0</v>
      </c>
      <c r="E123" s="209">
        <v>0</v>
      </c>
      <c r="F123" s="209">
        <v>0.1</v>
      </c>
      <c r="G123" s="209">
        <v>0.3</v>
      </c>
      <c r="H123" s="209">
        <v>0.6</v>
      </c>
      <c r="I123" s="209">
        <v>0.9</v>
      </c>
      <c r="J123" s="209">
        <v>1.2</v>
      </c>
      <c r="K123" s="209">
        <v>1.5</v>
      </c>
      <c r="L123" s="209">
        <v>1.2</v>
      </c>
      <c r="M123" s="209">
        <v>0.9</v>
      </c>
      <c r="N123" s="209">
        <v>0.6</v>
      </c>
      <c r="O123" s="209">
        <v>0.3</v>
      </c>
      <c r="P123" s="209">
        <v>0</v>
      </c>
      <c r="Q123" s="209">
        <v>0</v>
      </c>
      <c r="S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  <c r="AF123" s="216"/>
      <c r="AG123" s="216"/>
    </row>
    <row r="124" spans="1:33" x14ac:dyDescent="0.2">
      <c r="A124" s="449"/>
      <c r="B124" s="79" t="s">
        <v>55</v>
      </c>
      <c r="C124" s="150" t="s">
        <v>45</v>
      </c>
      <c r="D124" s="26">
        <v>0</v>
      </c>
      <c r="E124" s="26">
        <v>0.01</v>
      </c>
      <c r="F124" s="26">
        <v>0.05</v>
      </c>
      <c r="G124" s="26">
        <v>0.25</v>
      </c>
      <c r="H124" s="26">
        <v>0.5</v>
      </c>
      <c r="I124" s="26">
        <v>0.5</v>
      </c>
      <c r="J124" s="26">
        <v>0.5</v>
      </c>
      <c r="K124" s="26">
        <v>0.5</v>
      </c>
      <c r="L124" s="26">
        <v>0.5</v>
      </c>
      <c r="M124" s="26">
        <v>0.5</v>
      </c>
      <c r="N124" s="26">
        <v>0.5</v>
      </c>
      <c r="O124" s="26">
        <v>0.5</v>
      </c>
      <c r="P124" s="26">
        <v>0.5</v>
      </c>
      <c r="Q124" s="26">
        <v>0.5</v>
      </c>
      <c r="S124" s="216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  <c r="AF124" s="216"/>
      <c r="AG124" s="216"/>
    </row>
    <row r="125" spans="1:33" x14ac:dyDescent="0.2">
      <c r="A125" s="449"/>
      <c r="B125" s="79" t="s">
        <v>166</v>
      </c>
      <c r="C125" s="150" t="s">
        <v>167</v>
      </c>
      <c r="D125" s="226">
        <v>71</v>
      </c>
      <c r="E125" s="226">
        <v>71</v>
      </c>
      <c r="F125" s="226">
        <v>71</v>
      </c>
      <c r="G125" s="226">
        <v>71</v>
      </c>
      <c r="H125" s="226">
        <v>71</v>
      </c>
      <c r="I125" s="226">
        <v>71</v>
      </c>
      <c r="J125" s="226">
        <v>71</v>
      </c>
      <c r="K125" s="226">
        <v>71</v>
      </c>
      <c r="L125" s="226">
        <v>71</v>
      </c>
      <c r="M125" s="226">
        <v>71</v>
      </c>
      <c r="N125" s="226">
        <v>71</v>
      </c>
      <c r="O125" s="226">
        <v>71</v>
      </c>
      <c r="P125" s="226">
        <v>71</v>
      </c>
      <c r="Q125" s="246">
        <v>71</v>
      </c>
      <c r="S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  <c r="AF125" s="216"/>
      <c r="AG125" s="216"/>
    </row>
    <row r="126" spans="1:33" x14ac:dyDescent="0.2">
      <c r="A126" s="449"/>
      <c r="B126" s="79" t="s">
        <v>163</v>
      </c>
      <c r="C126" s="150" t="s">
        <v>167</v>
      </c>
      <c r="D126" s="226">
        <v>30.929411764705883</v>
      </c>
      <c r="E126" s="226">
        <v>30.929411764705883</v>
      </c>
      <c r="F126" s="226">
        <v>30.929411764705883</v>
      </c>
      <c r="G126" s="226">
        <v>30.929411764705883</v>
      </c>
      <c r="H126" s="226">
        <v>30.929411764705883</v>
      </c>
      <c r="I126" s="226">
        <v>30.929411764705883</v>
      </c>
      <c r="J126" s="226">
        <v>30.929411764705883</v>
      </c>
      <c r="K126" s="226">
        <v>30.929411764705883</v>
      </c>
      <c r="L126" s="226">
        <v>30.929411764705883</v>
      </c>
      <c r="M126" s="226">
        <v>30.929411764705883</v>
      </c>
      <c r="N126" s="226">
        <v>30.929411764705883</v>
      </c>
      <c r="O126" s="226">
        <v>30.929411764705883</v>
      </c>
      <c r="P126" s="226">
        <v>30.929411764705883</v>
      </c>
      <c r="Q126" s="226">
        <v>30.929411764705883</v>
      </c>
      <c r="S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  <c r="AF126" s="216"/>
      <c r="AG126" s="216"/>
    </row>
    <row r="127" spans="1:33" ht="16" thickBot="1" x14ac:dyDescent="0.25">
      <c r="A127" s="450"/>
      <c r="B127" s="79" t="s">
        <v>57</v>
      </c>
      <c r="C127" s="150" t="s">
        <v>167</v>
      </c>
      <c r="D127" s="26">
        <v>0</v>
      </c>
      <c r="E127" s="26">
        <v>0</v>
      </c>
      <c r="F127" s="26">
        <v>0.13</v>
      </c>
      <c r="G127" s="26">
        <v>0.13</v>
      </c>
      <c r="H127" s="26">
        <v>0.13</v>
      </c>
      <c r="I127" s="26">
        <v>0.13</v>
      </c>
      <c r="J127" s="26">
        <v>0.13</v>
      </c>
      <c r="K127" s="26">
        <v>0.13</v>
      </c>
      <c r="L127" s="26">
        <v>0.13</v>
      </c>
      <c r="M127" s="26">
        <v>0.13</v>
      </c>
      <c r="N127" s="26">
        <v>0.13</v>
      </c>
      <c r="O127" s="26">
        <v>0.13</v>
      </c>
      <c r="P127" s="26">
        <v>0.13</v>
      </c>
      <c r="Q127" s="26">
        <v>0.13</v>
      </c>
      <c r="S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  <c r="AF127" s="216"/>
      <c r="AG127" s="216"/>
    </row>
    <row r="128" spans="1:33" ht="16" thickBot="1" x14ac:dyDescent="0.25">
      <c r="D128" s="243">
        <v>100</v>
      </c>
      <c r="E128" s="243">
        <v>125</v>
      </c>
      <c r="F128" s="243">
        <v>125</v>
      </c>
      <c r="G128" s="243">
        <v>125</v>
      </c>
      <c r="H128" s="243">
        <v>125</v>
      </c>
      <c r="I128" s="243">
        <v>125</v>
      </c>
      <c r="J128" s="243">
        <v>125</v>
      </c>
      <c r="K128" s="243">
        <v>125</v>
      </c>
      <c r="L128" s="243">
        <v>115</v>
      </c>
      <c r="M128" s="243">
        <v>115</v>
      </c>
      <c r="N128" s="243">
        <v>115</v>
      </c>
      <c r="O128" s="243">
        <v>125</v>
      </c>
      <c r="P128" s="243">
        <v>125</v>
      </c>
      <c r="Q128" s="243">
        <v>135</v>
      </c>
      <c r="R128" s="174"/>
      <c r="S128" s="216"/>
      <c r="U128" s="218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  <c r="AF128" s="216"/>
      <c r="AG128" s="216"/>
    </row>
    <row r="129" spans="1:35" ht="15" customHeight="1" x14ac:dyDescent="0.2">
      <c r="A129" s="448" t="s">
        <v>194</v>
      </c>
      <c r="B129" s="74" t="s">
        <v>72</v>
      </c>
      <c r="C129" s="14" t="s">
        <v>15</v>
      </c>
      <c r="D129" s="210">
        <v>2017</v>
      </c>
      <c r="E129" s="210">
        <v>2018</v>
      </c>
      <c r="F129" s="210">
        <v>2019</v>
      </c>
      <c r="G129" s="210">
        <v>2020</v>
      </c>
      <c r="H129" s="210">
        <v>2021</v>
      </c>
      <c r="I129" s="210">
        <v>2022</v>
      </c>
      <c r="J129" s="210">
        <v>2023</v>
      </c>
      <c r="K129" s="210">
        <v>2024</v>
      </c>
      <c r="L129" s="210">
        <v>2025</v>
      </c>
      <c r="M129" s="4">
        <v>2026</v>
      </c>
      <c r="N129" s="4">
        <v>2027</v>
      </c>
      <c r="O129" s="4">
        <v>2028</v>
      </c>
      <c r="P129" s="4">
        <v>2029</v>
      </c>
      <c r="Q129" s="4">
        <v>2030</v>
      </c>
      <c r="S129" s="217"/>
      <c r="U129" s="217"/>
      <c r="W129" s="217"/>
      <c r="X129" s="217"/>
      <c r="Y129" s="217"/>
      <c r="Z129" s="217"/>
      <c r="AA129" s="217"/>
      <c r="AB129" s="218"/>
      <c r="AC129" s="218"/>
      <c r="AD129" s="218"/>
      <c r="AE129" s="218"/>
      <c r="AF129" s="218"/>
      <c r="AG129" s="216"/>
    </row>
    <row r="130" spans="1:35" ht="15" customHeight="1" x14ac:dyDescent="0.2">
      <c r="A130" s="449"/>
      <c r="B130" s="74" t="s">
        <v>158</v>
      </c>
      <c r="C130" s="1" t="s">
        <v>18</v>
      </c>
      <c r="D130" s="252">
        <v>18.423134009999998</v>
      </c>
      <c r="E130" s="252">
        <v>21.954198859999998</v>
      </c>
      <c r="F130" s="252">
        <v>25.79566213</v>
      </c>
      <c r="G130" s="252">
        <v>29.947523820000001</v>
      </c>
      <c r="H130" s="252">
        <v>34.409783930000003</v>
      </c>
      <c r="I130" s="252">
        <v>39.182442460000004</v>
      </c>
      <c r="J130" s="252">
        <v>44.265499409999997</v>
      </c>
      <c r="K130" s="252">
        <v>49.658954780000002</v>
      </c>
      <c r="L130" s="252">
        <v>55.362808569999999</v>
      </c>
      <c r="M130" s="252">
        <v>61.377060779999994</v>
      </c>
      <c r="N130" s="252">
        <v>67.701711410000001</v>
      </c>
      <c r="O130" s="252">
        <v>74.336760459999994</v>
      </c>
      <c r="P130" s="252">
        <v>81.282207929999998</v>
      </c>
      <c r="Q130" s="252">
        <v>88.538053819999988</v>
      </c>
      <c r="S130" s="219"/>
      <c r="U130" s="220"/>
      <c r="W130" s="219"/>
      <c r="X130" s="219"/>
      <c r="Y130" s="219"/>
      <c r="Z130" s="219"/>
      <c r="AA130" s="219"/>
      <c r="AB130" s="219"/>
      <c r="AC130" s="219"/>
      <c r="AD130" s="219"/>
      <c r="AE130" s="219"/>
      <c r="AF130" s="219"/>
      <c r="AG130" s="216"/>
    </row>
    <row r="131" spans="1:35" ht="15" customHeight="1" x14ac:dyDescent="0.2">
      <c r="A131" s="449"/>
      <c r="B131" s="74" t="s">
        <v>17</v>
      </c>
      <c r="C131" s="1" t="s">
        <v>18</v>
      </c>
      <c r="D131" s="202">
        <v>1.0083198807897678</v>
      </c>
      <c r="E131" s="202">
        <v>2.0166397615795355</v>
      </c>
      <c r="F131" s="202">
        <v>4.033279523159071</v>
      </c>
      <c r="G131" s="202">
        <v>7.4866509375388048</v>
      </c>
      <c r="H131" s="202">
        <v>11.508297006019333</v>
      </c>
      <c r="I131" s="202">
        <v>16.249135193627929</v>
      </c>
      <c r="J131" s="202">
        <v>22.164050263776673</v>
      </c>
      <c r="K131" s="202">
        <v>30.406059853470754</v>
      </c>
      <c r="L131" s="202">
        <v>41.012873049381184</v>
      </c>
      <c r="M131" s="202">
        <v>51.043503456268887</v>
      </c>
      <c r="N131" s="202">
        <v>70</v>
      </c>
      <c r="O131" s="202">
        <v>95</v>
      </c>
      <c r="P131" s="202">
        <v>120</v>
      </c>
      <c r="Q131" s="202">
        <v>135</v>
      </c>
      <c r="S131" s="220"/>
      <c r="U131" s="220"/>
      <c r="W131" s="220"/>
      <c r="X131" s="220"/>
      <c r="Y131" s="220"/>
      <c r="Z131" s="220"/>
      <c r="AA131" s="220"/>
      <c r="AB131" s="220"/>
      <c r="AC131" s="220"/>
      <c r="AD131" s="220"/>
      <c r="AE131" s="220"/>
      <c r="AF131" s="220"/>
      <c r="AG131" s="216"/>
    </row>
    <row r="132" spans="1:35" ht="15" customHeight="1" x14ac:dyDescent="0.2">
      <c r="A132" s="449"/>
      <c r="B132" s="74" t="s">
        <v>124</v>
      </c>
      <c r="C132" s="1" t="s">
        <v>18</v>
      </c>
      <c r="D132" s="202">
        <v>50</v>
      </c>
      <c r="E132" s="202">
        <v>100</v>
      </c>
      <c r="F132" s="202">
        <v>150</v>
      </c>
      <c r="G132" s="202">
        <v>150</v>
      </c>
      <c r="H132" s="202">
        <v>150</v>
      </c>
      <c r="I132" s="202">
        <v>150</v>
      </c>
      <c r="J132" s="202">
        <v>150</v>
      </c>
      <c r="K132" s="202">
        <v>150</v>
      </c>
      <c r="L132" s="202">
        <v>100</v>
      </c>
      <c r="M132" s="202">
        <v>0</v>
      </c>
      <c r="N132" s="202">
        <v>0</v>
      </c>
      <c r="O132" s="202">
        <v>0</v>
      </c>
      <c r="P132" s="202">
        <v>0</v>
      </c>
      <c r="Q132" s="202">
        <v>0</v>
      </c>
      <c r="S132" s="220"/>
      <c r="U132" s="220"/>
      <c r="W132" s="220"/>
      <c r="X132" s="220"/>
      <c r="Y132" s="220"/>
      <c r="Z132" s="220"/>
      <c r="AA132" s="220"/>
      <c r="AB132" s="220"/>
      <c r="AC132" s="220"/>
      <c r="AD132" s="220"/>
      <c r="AE132" s="220"/>
      <c r="AF132" s="220"/>
      <c r="AG132" s="216"/>
    </row>
    <row r="133" spans="1:35" ht="15" customHeight="1" x14ac:dyDescent="0.2">
      <c r="A133" s="449"/>
      <c r="B133" s="76" t="s">
        <v>16</v>
      </c>
      <c r="C133" s="1" t="s">
        <v>18</v>
      </c>
      <c r="D133" s="202">
        <v>0</v>
      </c>
      <c r="E133" s="202">
        <v>0</v>
      </c>
      <c r="F133" s="202">
        <v>0</v>
      </c>
      <c r="G133" s="202">
        <v>0</v>
      </c>
      <c r="H133" s="202">
        <v>0</v>
      </c>
      <c r="I133" s="202">
        <v>0</v>
      </c>
      <c r="J133" s="202">
        <v>0</v>
      </c>
      <c r="K133" s="202">
        <v>0</v>
      </c>
      <c r="L133" s="202">
        <v>0</v>
      </c>
      <c r="M133" s="202">
        <v>0</v>
      </c>
      <c r="N133" s="202">
        <v>0</v>
      </c>
      <c r="O133" s="202">
        <v>0</v>
      </c>
      <c r="P133" s="202">
        <v>0</v>
      </c>
      <c r="Q133" s="202">
        <v>0</v>
      </c>
      <c r="S133" s="220"/>
      <c r="U133" s="219"/>
      <c r="W133" s="220"/>
      <c r="X133" s="220"/>
      <c r="Y133" s="220"/>
      <c r="Z133" s="220"/>
      <c r="AA133" s="220"/>
      <c r="AB133" s="220"/>
      <c r="AC133" s="220"/>
      <c r="AD133" s="220"/>
      <c r="AE133" s="220"/>
      <c r="AF133" s="220"/>
      <c r="AG133" s="216"/>
    </row>
    <row r="134" spans="1:35" ht="15" customHeight="1" x14ac:dyDescent="0.2">
      <c r="A134" s="449"/>
      <c r="B134" s="74" t="s">
        <v>5</v>
      </c>
      <c r="C134" s="1" t="s">
        <v>112</v>
      </c>
      <c r="D134" s="253">
        <v>0.37959999999999999</v>
      </c>
      <c r="E134" s="253">
        <v>0.71909999999999996</v>
      </c>
      <c r="F134" s="253">
        <v>1.3375999999999999</v>
      </c>
      <c r="G134" s="253">
        <v>2.3818000000000001</v>
      </c>
      <c r="H134" s="253">
        <v>3.8589000000000002</v>
      </c>
      <c r="I134" s="253">
        <v>6.1199000000000003</v>
      </c>
      <c r="J134" s="253">
        <v>9.2230000000000008</v>
      </c>
      <c r="K134" s="253">
        <v>12.8797</v>
      </c>
      <c r="L134" s="253">
        <v>17.098500000000001</v>
      </c>
      <c r="M134" s="203">
        <v>21.6035</v>
      </c>
      <c r="N134" s="203">
        <v>26.108499999999999</v>
      </c>
      <c r="O134" s="203">
        <v>30.613499999999998</v>
      </c>
      <c r="P134" s="203">
        <v>35.118499999999997</v>
      </c>
      <c r="Q134" s="203">
        <v>39.6235</v>
      </c>
      <c r="S134" s="220"/>
      <c r="U134" s="222"/>
      <c r="W134" s="220"/>
      <c r="X134" s="220"/>
      <c r="Y134" s="220"/>
      <c r="Z134" s="220"/>
      <c r="AA134" s="220"/>
      <c r="AB134" s="221"/>
      <c r="AC134" s="221"/>
      <c r="AD134" s="221"/>
      <c r="AE134" s="221"/>
      <c r="AF134" s="221"/>
      <c r="AG134" s="216"/>
    </row>
    <row r="135" spans="1:35" ht="15" customHeight="1" x14ac:dyDescent="0.2">
      <c r="A135" s="449"/>
      <c r="B135" s="74" t="s">
        <v>0</v>
      </c>
      <c r="C135" s="1" t="s">
        <v>19</v>
      </c>
      <c r="D135" s="254">
        <v>973.85187199999996</v>
      </c>
      <c r="E135" s="254">
        <v>1193.638616</v>
      </c>
      <c r="F135" s="254">
        <v>1351.3739760000001</v>
      </c>
      <c r="G135" s="254">
        <v>1562.7517760000001</v>
      </c>
      <c r="H135" s="254">
        <v>1828.233696</v>
      </c>
      <c r="I135" s="254">
        <v>2124.219928</v>
      </c>
      <c r="J135" s="254">
        <v>2444.465056</v>
      </c>
      <c r="K135" s="254">
        <v>2794.8658479999999</v>
      </c>
      <c r="L135" s="254">
        <v>3173.8669199999999</v>
      </c>
      <c r="M135" s="254">
        <v>3567.0877359999999</v>
      </c>
      <c r="N135" s="254">
        <v>3960.308552</v>
      </c>
      <c r="O135" s="254">
        <v>4353.5293680000004</v>
      </c>
      <c r="P135" s="254">
        <v>4746.7501840000004</v>
      </c>
      <c r="Q135" s="254">
        <v>5139.9709999999995</v>
      </c>
      <c r="S135" s="219"/>
      <c r="U135" s="221"/>
      <c r="W135" s="219"/>
      <c r="X135" s="219"/>
      <c r="Y135" s="219"/>
      <c r="Z135" s="219"/>
      <c r="AA135" s="219"/>
      <c r="AB135" s="219"/>
      <c r="AC135" s="219"/>
      <c r="AD135" s="219"/>
      <c r="AE135" s="219"/>
      <c r="AF135" s="219"/>
      <c r="AG135" s="216"/>
    </row>
    <row r="136" spans="1:35" ht="15" customHeight="1" x14ac:dyDescent="0.2">
      <c r="A136" s="449"/>
      <c r="B136" s="74" t="s">
        <v>38</v>
      </c>
      <c r="C136" s="1" t="s">
        <v>18</v>
      </c>
      <c r="D136" s="204">
        <v>170</v>
      </c>
      <c r="E136" s="204">
        <v>200</v>
      </c>
      <c r="F136" s="204">
        <v>275</v>
      </c>
      <c r="G136" s="204">
        <v>350</v>
      </c>
      <c r="H136" s="204">
        <v>425</v>
      </c>
      <c r="I136" s="204">
        <v>500</v>
      </c>
      <c r="J136" s="204">
        <v>500</v>
      </c>
      <c r="K136" s="204">
        <v>500</v>
      </c>
      <c r="L136" s="204">
        <v>500</v>
      </c>
      <c r="M136" s="204">
        <v>500</v>
      </c>
      <c r="N136" s="204">
        <v>500</v>
      </c>
      <c r="O136" s="204">
        <v>500</v>
      </c>
      <c r="P136" s="204">
        <v>500</v>
      </c>
      <c r="Q136" s="204">
        <v>500</v>
      </c>
      <c r="S136" s="222"/>
      <c r="U136" s="220"/>
      <c r="W136" s="222"/>
      <c r="X136" s="222"/>
      <c r="Y136" s="222"/>
      <c r="Z136" s="222"/>
      <c r="AA136" s="222"/>
      <c r="AB136" s="222"/>
      <c r="AC136" s="222"/>
      <c r="AD136" s="222"/>
      <c r="AE136" s="222"/>
      <c r="AF136" s="222"/>
      <c r="AG136" s="216"/>
    </row>
    <row r="137" spans="1:35" ht="15" customHeight="1" x14ac:dyDescent="0.2">
      <c r="A137" s="449"/>
      <c r="B137" s="74" t="s">
        <v>1</v>
      </c>
      <c r="C137" s="1" t="s">
        <v>18</v>
      </c>
      <c r="D137" s="204">
        <v>350</v>
      </c>
      <c r="E137" s="204">
        <v>450</v>
      </c>
      <c r="F137" s="204">
        <v>550</v>
      </c>
      <c r="G137" s="204">
        <v>650</v>
      </c>
      <c r="H137" s="204">
        <v>750</v>
      </c>
      <c r="I137" s="204">
        <v>850</v>
      </c>
      <c r="J137" s="204">
        <v>950</v>
      </c>
      <c r="K137" s="204">
        <v>1050</v>
      </c>
      <c r="L137" s="204">
        <v>1150</v>
      </c>
      <c r="M137" s="204">
        <v>1150</v>
      </c>
      <c r="N137" s="204">
        <v>1150</v>
      </c>
      <c r="O137" s="204">
        <v>1250</v>
      </c>
      <c r="P137" s="204">
        <v>1250</v>
      </c>
      <c r="Q137" s="204">
        <v>1350</v>
      </c>
      <c r="S137" s="222"/>
      <c r="U137" s="216"/>
      <c r="W137" s="222"/>
      <c r="X137" s="222"/>
      <c r="Y137" s="222"/>
      <c r="Z137" s="222"/>
      <c r="AA137" s="222"/>
      <c r="AB137" s="222"/>
      <c r="AC137" s="222"/>
      <c r="AD137" s="222"/>
      <c r="AE137" s="222"/>
      <c r="AF137" s="222"/>
      <c r="AG137" s="216"/>
    </row>
    <row r="138" spans="1:35" ht="15" customHeight="1" x14ac:dyDescent="0.2">
      <c r="A138" s="449"/>
      <c r="B138" s="76" t="s">
        <v>82</v>
      </c>
      <c r="C138" s="1" t="s">
        <v>61</v>
      </c>
      <c r="D138" s="203">
        <v>152.33881163084706</v>
      </c>
      <c r="E138" s="203">
        <v>156.38432364096082</v>
      </c>
      <c r="F138" s="203">
        <v>173.07206068268016</v>
      </c>
      <c r="G138" s="203">
        <v>192.58570684911132</v>
      </c>
      <c r="H138" s="203">
        <v>212.6794080464044</v>
      </c>
      <c r="I138" s="203">
        <v>234.2083736149327</v>
      </c>
      <c r="J138" s="203">
        <v>255.00855209340375</v>
      </c>
      <c r="K138" s="203">
        <v>283.88488138618277</v>
      </c>
      <c r="L138" s="203">
        <v>288.06425224957241</v>
      </c>
      <c r="M138" s="203">
        <v>294.935673384398</v>
      </c>
      <c r="N138" s="203">
        <v>301.5839964304306</v>
      </c>
      <c r="O138" s="203">
        <v>307.39941994496911</v>
      </c>
      <c r="P138" s="203">
        <v>313.05867479735258</v>
      </c>
      <c r="Q138" s="203">
        <v>319.1864356362014</v>
      </c>
      <c r="S138" s="221"/>
      <c r="U138" s="216"/>
      <c r="V138" s="216"/>
      <c r="W138" s="221"/>
      <c r="X138" s="221"/>
      <c r="Y138" s="221"/>
      <c r="Z138" s="221"/>
      <c r="AA138" s="221"/>
      <c r="AB138" s="221"/>
      <c r="AC138" s="221"/>
      <c r="AD138" s="221"/>
      <c r="AE138" s="221"/>
      <c r="AF138" s="221"/>
      <c r="AG138" s="216"/>
    </row>
    <row r="139" spans="1:35" ht="15" customHeight="1" x14ac:dyDescent="0.2">
      <c r="A139" s="449"/>
      <c r="B139" s="74" t="s">
        <v>33</v>
      </c>
      <c r="C139" s="1" t="s">
        <v>61</v>
      </c>
      <c r="D139" s="203">
        <v>50</v>
      </c>
      <c r="E139" s="203">
        <v>25</v>
      </c>
      <c r="F139" s="203">
        <v>0</v>
      </c>
      <c r="G139" s="203">
        <v>0</v>
      </c>
      <c r="H139" s="203">
        <v>0</v>
      </c>
      <c r="I139" s="203">
        <v>0</v>
      </c>
      <c r="J139" s="203">
        <v>0</v>
      </c>
      <c r="K139" s="203">
        <v>0</v>
      </c>
      <c r="L139" s="203">
        <v>0</v>
      </c>
      <c r="M139" s="203">
        <v>0</v>
      </c>
      <c r="N139" s="203">
        <v>0</v>
      </c>
      <c r="O139" s="203">
        <v>0</v>
      </c>
      <c r="P139" s="203">
        <v>0</v>
      </c>
      <c r="Q139" s="203">
        <v>0</v>
      </c>
      <c r="S139" s="221"/>
      <c r="T139" s="221"/>
      <c r="U139" s="221"/>
      <c r="V139" s="221"/>
      <c r="W139" s="221"/>
      <c r="X139" s="221"/>
      <c r="Y139" s="221"/>
      <c r="Z139" s="221"/>
      <c r="AA139" s="221"/>
      <c r="AB139" s="221"/>
      <c r="AC139" s="221"/>
      <c r="AD139" s="221"/>
      <c r="AE139" s="221"/>
      <c r="AF139" s="221"/>
      <c r="AG139" s="216"/>
    </row>
    <row r="140" spans="1:35" ht="15" customHeight="1" x14ac:dyDescent="0.2">
      <c r="A140" s="449"/>
      <c r="B140" s="76" t="s">
        <v>103</v>
      </c>
      <c r="C140" s="4" t="s">
        <v>112</v>
      </c>
      <c r="D140" s="202">
        <v>2.1729609654822128E-2</v>
      </c>
      <c r="E140" s="202">
        <v>4.2563122435700422E-2</v>
      </c>
      <c r="F140" s="202">
        <v>7.9221596798729643E-2</v>
      </c>
      <c r="G140" s="202">
        <v>0.12104481719249827</v>
      </c>
      <c r="H140" s="202">
        <v>0.1816060687387489</v>
      </c>
      <c r="I140" s="202">
        <v>0.27756822157499184</v>
      </c>
      <c r="J140" s="202">
        <v>0.37832792169431789</v>
      </c>
      <c r="K140" s="202">
        <v>0.5684160505621817</v>
      </c>
      <c r="L140" s="202">
        <v>0.80546664639454091</v>
      </c>
      <c r="M140" s="202">
        <v>1.1207288866548697</v>
      </c>
      <c r="N140" s="202">
        <v>1.5293722472561442</v>
      </c>
      <c r="O140" s="202">
        <v>2.0295901497354025</v>
      </c>
      <c r="P140" s="202">
        <v>2.6791165470450999</v>
      </c>
      <c r="Q140" s="202">
        <v>3.5256743672802955</v>
      </c>
      <c r="S140" s="220"/>
      <c r="T140" s="220"/>
      <c r="U140" s="220"/>
      <c r="V140" s="220"/>
      <c r="W140" s="220"/>
      <c r="X140" s="220"/>
      <c r="Y140" s="220"/>
      <c r="Z140" s="220"/>
      <c r="AA140" s="220"/>
      <c r="AB140" s="220"/>
      <c r="AC140" s="220"/>
      <c r="AD140" s="220"/>
      <c r="AE140" s="220"/>
      <c r="AF140" s="220"/>
      <c r="AG140" s="220"/>
      <c r="AH140" s="220"/>
      <c r="AI140" s="220"/>
    </row>
    <row r="141" spans="1:35" ht="15" customHeight="1" x14ac:dyDescent="0.2">
      <c r="A141" s="449"/>
      <c r="B141" s="74" t="s">
        <v>89</v>
      </c>
      <c r="C141" s="1" t="s">
        <v>19</v>
      </c>
      <c r="D141" s="202">
        <v>3.7894114404544301</v>
      </c>
      <c r="E141" s="202">
        <v>10.402955513673991</v>
      </c>
      <c r="F141" s="202">
        <v>21.99355244200974</v>
      </c>
      <c r="G141" s="202">
        <v>38.824390017528302</v>
      </c>
      <c r="H141" s="202">
        <v>58.149856742870597</v>
      </c>
      <c r="I141" s="202">
        <v>97.3073839019399</v>
      </c>
      <c r="J141" s="202">
        <v>146.088656830633</v>
      </c>
      <c r="K141" s="202">
        <v>238.50207872244439</v>
      </c>
      <c r="L141" s="202">
        <v>350.525473011901</v>
      </c>
      <c r="M141" s="202">
        <v>483.18676801670301</v>
      </c>
      <c r="N141" s="202">
        <v>623.48797719434697</v>
      </c>
      <c r="O141" s="202">
        <v>756.11606245709004</v>
      </c>
      <c r="P141" s="202">
        <v>889.00870624910499</v>
      </c>
      <c r="Q141" s="202">
        <v>1024.46109319377</v>
      </c>
      <c r="S141" s="220"/>
      <c r="U141" s="216"/>
      <c r="V141" s="216"/>
      <c r="W141" s="220"/>
      <c r="X141" s="220"/>
      <c r="Y141" s="220"/>
      <c r="Z141" s="220"/>
      <c r="AA141" s="220"/>
      <c r="AB141" s="220"/>
      <c r="AC141" s="220"/>
      <c r="AD141" s="220"/>
      <c r="AE141" s="220"/>
      <c r="AF141" s="220"/>
      <c r="AG141" s="216"/>
    </row>
    <row r="142" spans="1:35" ht="15" customHeight="1" x14ac:dyDescent="0.2">
      <c r="A142" s="449"/>
      <c r="B142" s="74" t="s">
        <v>119</v>
      </c>
      <c r="C142" s="1" t="s">
        <v>19</v>
      </c>
      <c r="D142" s="202">
        <v>1233</v>
      </c>
      <c r="E142" s="202">
        <v>1233</v>
      </c>
      <c r="F142" s="202">
        <v>1233</v>
      </c>
      <c r="G142" s="202">
        <v>1233</v>
      </c>
      <c r="H142" s="202">
        <v>1233</v>
      </c>
      <c r="I142" s="202">
        <v>1233</v>
      </c>
      <c r="J142" s="202">
        <v>1233</v>
      </c>
      <c r="K142" s="202">
        <v>1233</v>
      </c>
      <c r="L142" s="202">
        <v>1233</v>
      </c>
      <c r="M142" s="202">
        <v>1233</v>
      </c>
      <c r="N142" s="202">
        <v>1233</v>
      </c>
      <c r="O142" s="202">
        <v>1233</v>
      </c>
      <c r="P142" s="202">
        <v>1233</v>
      </c>
      <c r="Q142" s="202">
        <v>1233</v>
      </c>
      <c r="S142" s="220"/>
      <c r="W142" s="220"/>
      <c r="X142" s="220"/>
      <c r="Y142" s="220"/>
      <c r="Z142" s="220"/>
      <c r="AA142" s="220"/>
      <c r="AB142" s="220"/>
      <c r="AC142" s="220"/>
      <c r="AD142" s="220"/>
      <c r="AE142" s="220"/>
      <c r="AF142" s="220"/>
      <c r="AG142" s="216"/>
    </row>
    <row r="143" spans="1:35" ht="15" customHeight="1" x14ac:dyDescent="0.2">
      <c r="A143" s="449"/>
      <c r="B143" s="74" t="s">
        <v>161</v>
      </c>
      <c r="C143" s="1" t="s">
        <v>157</v>
      </c>
      <c r="D143" s="206">
        <v>0</v>
      </c>
      <c r="E143" s="206">
        <v>0</v>
      </c>
      <c r="F143" s="202">
        <v>27.82</v>
      </c>
      <c r="G143" s="202">
        <v>27.82</v>
      </c>
      <c r="H143" s="202">
        <v>27.82</v>
      </c>
      <c r="I143" s="202">
        <v>27.82</v>
      </c>
      <c r="J143" s="202">
        <v>27.82</v>
      </c>
      <c r="K143" s="202">
        <v>27.82</v>
      </c>
      <c r="L143" s="202">
        <v>27.82</v>
      </c>
      <c r="M143" s="202">
        <v>27.82</v>
      </c>
      <c r="N143" s="202">
        <v>27.82</v>
      </c>
      <c r="O143" s="202">
        <v>27.82</v>
      </c>
      <c r="P143" s="202">
        <v>27.82</v>
      </c>
      <c r="Q143" s="202">
        <v>27.82</v>
      </c>
      <c r="S143" s="220"/>
      <c r="W143" s="220"/>
      <c r="X143" s="220"/>
      <c r="Y143" s="220"/>
      <c r="Z143" s="220"/>
      <c r="AA143" s="220"/>
      <c r="AB143" s="220"/>
      <c r="AC143" s="220"/>
      <c r="AD143" s="220"/>
      <c r="AE143" s="220"/>
      <c r="AF143" s="220"/>
      <c r="AG143" s="216"/>
    </row>
    <row r="144" spans="1:35" ht="15" customHeight="1" x14ac:dyDescent="0.2">
      <c r="A144" s="449"/>
      <c r="B144" s="74" t="s">
        <v>68</v>
      </c>
      <c r="C144" s="1" t="s">
        <v>18</v>
      </c>
      <c r="D144" s="206">
        <v>0</v>
      </c>
      <c r="E144" s="206">
        <v>0</v>
      </c>
      <c r="F144" s="203">
        <v>20</v>
      </c>
      <c r="G144" s="203">
        <v>40</v>
      </c>
      <c r="H144" s="203">
        <v>80</v>
      </c>
      <c r="I144" s="206">
        <v>150</v>
      </c>
      <c r="J144" s="206">
        <v>200</v>
      </c>
      <c r="K144" s="203">
        <v>200</v>
      </c>
      <c r="L144" s="203">
        <v>225</v>
      </c>
      <c r="M144" s="203">
        <v>225</v>
      </c>
      <c r="N144" s="203">
        <v>225</v>
      </c>
      <c r="O144" s="203">
        <v>250</v>
      </c>
      <c r="P144" s="203">
        <v>250</v>
      </c>
      <c r="Q144" s="203">
        <v>275</v>
      </c>
      <c r="S144" s="223"/>
      <c r="W144" s="221"/>
      <c r="X144" s="221"/>
      <c r="Y144" s="221"/>
      <c r="Z144" s="221"/>
      <c r="AA144" s="221"/>
      <c r="AB144" s="221"/>
      <c r="AC144" s="221"/>
      <c r="AD144" s="221"/>
      <c r="AE144" s="216"/>
    </row>
    <row r="145" spans="1:33" ht="15" customHeight="1" x14ac:dyDescent="0.2">
      <c r="A145" s="449"/>
      <c r="B145" s="79" t="s">
        <v>81</v>
      </c>
      <c r="C145" s="150" t="s">
        <v>43</v>
      </c>
      <c r="D145" s="207">
        <v>7.4999999999999997E-3</v>
      </c>
      <c r="E145" s="207">
        <v>1.4999999999999999E-2</v>
      </c>
      <c r="F145" s="207">
        <v>2.2499999999999999E-2</v>
      </c>
      <c r="G145" s="207">
        <v>0.03</v>
      </c>
      <c r="H145" s="207">
        <v>0.04</v>
      </c>
      <c r="I145" s="207">
        <v>0.06</v>
      </c>
      <c r="J145" s="207">
        <v>0.09</v>
      </c>
      <c r="K145" s="207">
        <v>0.12</v>
      </c>
      <c r="L145" s="207">
        <v>0.16</v>
      </c>
      <c r="M145" s="207">
        <v>0.2</v>
      </c>
      <c r="N145" s="207">
        <v>0.24</v>
      </c>
      <c r="O145" s="207">
        <v>0.28000000000000003</v>
      </c>
      <c r="P145" s="207">
        <v>0.28000000000000003</v>
      </c>
      <c r="Q145" s="207">
        <v>0.28000000000000003</v>
      </c>
      <c r="S145" s="224"/>
      <c r="W145" s="224"/>
      <c r="X145" s="224"/>
      <c r="Y145" s="224"/>
      <c r="Z145" s="224"/>
      <c r="AA145" s="224"/>
      <c r="AB145" s="224"/>
      <c r="AC145" s="224"/>
      <c r="AD145" s="224"/>
      <c r="AE145" s="216"/>
    </row>
    <row r="146" spans="1:33" ht="15" customHeight="1" x14ac:dyDescent="0.2">
      <c r="A146" s="449"/>
      <c r="B146" s="79" t="s">
        <v>54</v>
      </c>
      <c r="C146" s="150" t="s">
        <v>45</v>
      </c>
      <c r="D146" s="26">
        <v>3.0000000000000001E-3</v>
      </c>
      <c r="E146" s="26">
        <v>3.0000000000000001E-3</v>
      </c>
      <c r="F146" s="26">
        <v>0.02</v>
      </c>
      <c r="G146" s="26">
        <v>0.25</v>
      </c>
      <c r="H146" s="26">
        <v>0.375</v>
      </c>
      <c r="I146" s="26">
        <v>0.5</v>
      </c>
      <c r="J146" s="26">
        <v>0.625</v>
      </c>
      <c r="K146" s="26">
        <v>0.75</v>
      </c>
      <c r="L146" s="26">
        <v>0.875</v>
      </c>
      <c r="M146" s="26">
        <v>1</v>
      </c>
      <c r="N146" s="26">
        <v>1.125</v>
      </c>
      <c r="O146" s="26">
        <v>1.25</v>
      </c>
      <c r="P146" s="26">
        <v>1.375</v>
      </c>
      <c r="Q146" s="26">
        <v>1.5</v>
      </c>
      <c r="S146" s="225"/>
      <c r="W146" s="216"/>
      <c r="X146" s="216"/>
      <c r="Y146" s="216"/>
      <c r="Z146" s="216"/>
      <c r="AA146" s="216"/>
      <c r="AB146" s="216"/>
      <c r="AC146" s="216"/>
      <c r="AD146" s="216"/>
      <c r="AE146" s="216"/>
    </row>
    <row r="147" spans="1:33" ht="15" customHeight="1" x14ac:dyDescent="0.2">
      <c r="A147" s="449"/>
      <c r="B147" s="79" t="s">
        <v>76</v>
      </c>
      <c r="C147" s="150" t="s">
        <v>45</v>
      </c>
      <c r="D147" s="226">
        <v>0.154</v>
      </c>
      <c r="E147" s="226">
        <v>0.154</v>
      </c>
      <c r="F147" s="226">
        <v>0.154</v>
      </c>
      <c r="G147" s="226">
        <v>0.154</v>
      </c>
      <c r="H147" s="226">
        <v>0.154</v>
      </c>
      <c r="I147" s="226">
        <v>0.154</v>
      </c>
      <c r="J147" s="226">
        <v>0.154</v>
      </c>
      <c r="K147" s="226">
        <v>0.154</v>
      </c>
      <c r="L147" s="226">
        <v>0.154</v>
      </c>
      <c r="M147" s="226">
        <v>0.154</v>
      </c>
      <c r="N147" s="226">
        <v>0.154</v>
      </c>
      <c r="O147" s="226">
        <v>0.154</v>
      </c>
      <c r="P147" s="226">
        <v>0.154</v>
      </c>
      <c r="Q147" s="226">
        <v>0.154</v>
      </c>
      <c r="S147" s="216"/>
      <c r="W147" s="216"/>
      <c r="X147" s="216"/>
      <c r="Y147" s="216"/>
      <c r="Z147" s="216"/>
      <c r="AA147" s="216"/>
      <c r="AB147" s="216"/>
      <c r="AC147" s="216"/>
      <c r="AD147" s="216"/>
      <c r="AE147" s="216"/>
    </row>
    <row r="148" spans="1:33" ht="15" customHeight="1" x14ac:dyDescent="0.2">
      <c r="A148" s="449"/>
      <c r="B148" s="79" t="s">
        <v>56</v>
      </c>
      <c r="C148" s="150" t="s">
        <v>45</v>
      </c>
      <c r="D148" s="209">
        <v>0</v>
      </c>
      <c r="E148" s="209">
        <v>0</v>
      </c>
      <c r="F148" s="209">
        <v>0</v>
      </c>
      <c r="G148" s="209">
        <v>0</v>
      </c>
      <c r="H148" s="209">
        <v>0</v>
      </c>
      <c r="I148" s="209">
        <v>0</v>
      </c>
      <c r="J148" s="209">
        <v>0</v>
      </c>
      <c r="K148" s="209">
        <v>0</v>
      </c>
      <c r="L148" s="209">
        <v>0</v>
      </c>
      <c r="M148" s="209">
        <v>0</v>
      </c>
      <c r="N148" s="209">
        <v>0</v>
      </c>
      <c r="O148" s="209">
        <v>0</v>
      </c>
      <c r="P148" s="209">
        <v>0</v>
      </c>
      <c r="Q148" s="209">
        <v>0</v>
      </c>
      <c r="S148" s="216"/>
      <c r="W148" s="216"/>
      <c r="X148" s="216"/>
      <c r="Y148" s="216"/>
      <c r="Z148" s="216"/>
      <c r="AA148" s="216"/>
      <c r="AB148" s="216"/>
      <c r="AC148" s="216"/>
      <c r="AD148" s="216"/>
      <c r="AE148" s="216"/>
      <c r="AF148" s="216"/>
      <c r="AG148" s="216"/>
    </row>
    <row r="149" spans="1:33" ht="15.75" customHeight="1" x14ac:dyDescent="0.2">
      <c r="A149" s="449"/>
      <c r="B149" s="79" t="s">
        <v>55</v>
      </c>
      <c r="C149" s="150" t="s">
        <v>45</v>
      </c>
      <c r="D149" s="26">
        <v>0</v>
      </c>
      <c r="E149" s="26">
        <v>0.01</v>
      </c>
      <c r="F149" s="26">
        <v>0.05</v>
      </c>
      <c r="G149" s="26">
        <v>0.25</v>
      </c>
      <c r="H149" s="26">
        <v>0.5</v>
      </c>
      <c r="I149" s="26">
        <v>0.5</v>
      </c>
      <c r="J149" s="26">
        <v>0.5</v>
      </c>
      <c r="K149" s="26">
        <v>0.5</v>
      </c>
      <c r="L149" s="26">
        <v>0.5</v>
      </c>
      <c r="M149" s="26">
        <v>0.5</v>
      </c>
      <c r="N149" s="26">
        <v>0.5</v>
      </c>
      <c r="O149" s="26">
        <v>0.5</v>
      </c>
      <c r="P149" s="26">
        <v>0.5</v>
      </c>
      <c r="Q149" s="26">
        <v>0.5</v>
      </c>
      <c r="S149" s="216"/>
      <c r="W149" s="216"/>
      <c r="X149" s="216"/>
      <c r="Y149" s="216"/>
      <c r="Z149" s="216"/>
      <c r="AA149" s="216"/>
      <c r="AB149" s="216"/>
      <c r="AC149" s="216"/>
      <c r="AD149" s="216"/>
      <c r="AE149" s="216"/>
      <c r="AF149" s="216"/>
      <c r="AG149" s="216"/>
    </row>
    <row r="150" spans="1:33" ht="15.75" customHeight="1" x14ac:dyDescent="0.2">
      <c r="A150" s="449"/>
      <c r="B150" s="79" t="s">
        <v>166</v>
      </c>
      <c r="C150" s="150" t="s">
        <v>167</v>
      </c>
      <c r="D150" s="226">
        <v>71</v>
      </c>
      <c r="E150" s="226">
        <v>71</v>
      </c>
      <c r="F150" s="226">
        <v>71</v>
      </c>
      <c r="G150" s="226">
        <v>71</v>
      </c>
      <c r="H150" s="226">
        <f>G150*0.925</f>
        <v>65.674999999999997</v>
      </c>
      <c r="I150" s="226">
        <f t="shared" ref="I150" si="0">H150*0.925</f>
        <v>60.749375000000001</v>
      </c>
      <c r="J150" s="226">
        <f t="shared" ref="J150" si="1">I150*0.925</f>
        <v>56.193171875000004</v>
      </c>
      <c r="K150" s="226">
        <f t="shared" ref="K150" si="2">J150*0.925</f>
        <v>51.97868398437501</v>
      </c>
      <c r="L150" s="226">
        <f>K150*0.925</f>
        <v>48.080282685546884</v>
      </c>
      <c r="M150" s="226">
        <v>45</v>
      </c>
      <c r="N150" s="226">
        <v>45</v>
      </c>
      <c r="O150" s="226">
        <v>45</v>
      </c>
      <c r="P150" s="226">
        <v>45</v>
      </c>
      <c r="Q150" s="226">
        <v>45</v>
      </c>
      <c r="S150" s="216"/>
      <c r="W150" s="216"/>
      <c r="X150" s="216"/>
      <c r="Y150" s="216"/>
      <c r="Z150" s="216"/>
      <c r="AA150" s="216"/>
      <c r="AB150" s="216"/>
      <c r="AC150" s="216"/>
      <c r="AD150" s="216"/>
      <c r="AE150" s="216"/>
      <c r="AF150" s="216"/>
      <c r="AG150" s="216"/>
    </row>
    <row r="151" spans="1:33" ht="15.75" customHeight="1" x14ac:dyDescent="0.2">
      <c r="A151" s="449"/>
      <c r="B151" s="79" t="s">
        <v>163</v>
      </c>
      <c r="C151" s="150" t="s">
        <v>167</v>
      </c>
      <c r="D151" s="226">
        <v>30.929411764705883</v>
      </c>
      <c r="E151" s="226">
        <v>30.929411764705883</v>
      </c>
      <c r="F151" s="226">
        <v>25</v>
      </c>
      <c r="G151" s="226">
        <v>20</v>
      </c>
      <c r="H151" s="226">
        <v>15</v>
      </c>
      <c r="I151" s="226">
        <v>10</v>
      </c>
      <c r="J151" s="226">
        <v>10</v>
      </c>
      <c r="K151" s="226">
        <v>10</v>
      </c>
      <c r="L151" s="226">
        <v>10</v>
      </c>
      <c r="M151" s="226">
        <v>10</v>
      </c>
      <c r="N151" s="226">
        <v>10</v>
      </c>
      <c r="O151" s="226">
        <v>10</v>
      </c>
      <c r="P151" s="226">
        <v>10</v>
      </c>
      <c r="Q151" s="226">
        <v>10</v>
      </c>
      <c r="S151" s="216"/>
      <c r="W151" s="216"/>
      <c r="X151" s="216"/>
      <c r="Y151" s="216"/>
      <c r="Z151" s="216"/>
      <c r="AA151" s="216"/>
      <c r="AB151" s="216"/>
      <c r="AC151" s="216"/>
      <c r="AD151" s="216"/>
      <c r="AE151" s="216"/>
      <c r="AF151" s="216"/>
      <c r="AG151" s="216"/>
    </row>
    <row r="152" spans="1:33" ht="15.75" customHeight="1" thickBot="1" x14ac:dyDescent="0.25">
      <c r="A152" s="450"/>
      <c r="B152" s="79" t="s">
        <v>57</v>
      </c>
      <c r="C152" s="150" t="s">
        <v>167</v>
      </c>
      <c r="D152" s="26">
        <v>0</v>
      </c>
      <c r="E152" s="26">
        <v>0</v>
      </c>
      <c r="F152" s="26">
        <v>0.13</v>
      </c>
      <c r="G152" s="26">
        <v>0.51</v>
      </c>
      <c r="H152" s="26">
        <v>0.87</v>
      </c>
      <c r="I152" s="26">
        <v>1.22</v>
      </c>
      <c r="J152" s="26">
        <v>1.22</v>
      </c>
      <c r="K152" s="26">
        <v>1.22</v>
      </c>
      <c r="L152" s="26">
        <v>1.22</v>
      </c>
      <c r="M152" s="26">
        <v>1.22</v>
      </c>
      <c r="N152" s="26">
        <v>1.22</v>
      </c>
      <c r="O152" s="26">
        <v>1.22</v>
      </c>
      <c r="P152" s="26">
        <v>1.22</v>
      </c>
      <c r="Q152" s="26">
        <v>1.22</v>
      </c>
      <c r="S152" s="216"/>
      <c r="W152" s="216"/>
      <c r="X152" s="216"/>
      <c r="Y152" s="216"/>
      <c r="Z152" s="216"/>
      <c r="AA152" s="216"/>
      <c r="AB152" s="216"/>
      <c r="AC152" s="216"/>
      <c r="AD152" s="216"/>
      <c r="AE152" s="216"/>
      <c r="AF152" s="216"/>
      <c r="AG152" s="216"/>
    </row>
    <row r="153" spans="1:33" ht="16" thickBot="1" x14ac:dyDescent="0.25">
      <c r="D153" s="243">
        <v>100</v>
      </c>
      <c r="E153" s="243">
        <v>125</v>
      </c>
      <c r="F153" s="243">
        <v>150</v>
      </c>
      <c r="G153" s="243">
        <v>200</v>
      </c>
      <c r="H153" s="243">
        <v>200</v>
      </c>
      <c r="I153" s="243">
        <v>200</v>
      </c>
      <c r="J153" s="243">
        <v>150</v>
      </c>
      <c r="K153" s="243">
        <v>150</v>
      </c>
      <c r="L153" s="243">
        <v>100</v>
      </c>
      <c r="M153" s="243">
        <v>100</v>
      </c>
      <c r="N153" s="243">
        <v>100</v>
      </c>
      <c r="O153" s="243">
        <v>100</v>
      </c>
      <c r="P153" s="243">
        <v>100</v>
      </c>
      <c r="Q153" s="243">
        <v>110</v>
      </c>
      <c r="S153" s="216"/>
      <c r="W153" s="216"/>
      <c r="X153" s="216"/>
      <c r="Y153" s="216"/>
      <c r="Z153" s="216"/>
      <c r="AA153" s="216"/>
      <c r="AB153" s="216"/>
      <c r="AC153" s="216"/>
      <c r="AD153" s="216"/>
      <c r="AE153" s="216"/>
      <c r="AF153" s="216"/>
      <c r="AG153" s="216"/>
    </row>
    <row r="154" spans="1:33" ht="15" customHeight="1" x14ac:dyDescent="0.2">
      <c r="A154" s="448" t="s">
        <v>180</v>
      </c>
      <c r="B154" s="74" t="s">
        <v>72</v>
      </c>
      <c r="C154" s="14" t="s">
        <v>15</v>
      </c>
      <c r="D154" s="210">
        <v>2017</v>
      </c>
      <c r="E154" s="210">
        <v>2018</v>
      </c>
      <c r="F154" s="210">
        <v>2019</v>
      </c>
      <c r="G154" s="210">
        <v>2020</v>
      </c>
      <c r="H154" s="210">
        <v>2021</v>
      </c>
      <c r="I154" s="210">
        <v>2022</v>
      </c>
      <c r="J154" s="210">
        <v>2023</v>
      </c>
      <c r="K154" s="210">
        <v>2024</v>
      </c>
      <c r="L154" s="210">
        <v>2025</v>
      </c>
      <c r="M154" s="4">
        <v>2026</v>
      </c>
      <c r="N154" s="4">
        <v>2027</v>
      </c>
      <c r="O154" s="4">
        <v>2028</v>
      </c>
      <c r="P154" s="4">
        <v>2029</v>
      </c>
      <c r="Q154" s="4">
        <v>2030</v>
      </c>
      <c r="S154" s="216"/>
      <c r="W154" s="216"/>
      <c r="X154" s="216"/>
      <c r="Y154" s="216"/>
      <c r="Z154" s="216"/>
      <c r="AA154" s="216"/>
      <c r="AB154" s="216"/>
      <c r="AC154" s="216"/>
      <c r="AD154" s="216"/>
      <c r="AE154" s="216"/>
      <c r="AF154" s="216"/>
      <c r="AG154" s="216"/>
    </row>
    <row r="155" spans="1:33" ht="15" customHeight="1" x14ac:dyDescent="0.2">
      <c r="A155" s="449"/>
      <c r="B155" s="74" t="s">
        <v>158</v>
      </c>
      <c r="C155" s="1" t="s">
        <v>18</v>
      </c>
      <c r="D155" s="252">
        <v>18.423134009999998</v>
      </c>
      <c r="E155" s="252">
        <v>21.954198859999998</v>
      </c>
      <c r="F155" s="252">
        <v>25.79566213</v>
      </c>
      <c r="G155" s="252">
        <v>29.947523820000001</v>
      </c>
      <c r="H155" s="252">
        <v>34.409783930000003</v>
      </c>
      <c r="I155" s="252">
        <v>39.182442460000004</v>
      </c>
      <c r="J155" s="252">
        <v>44.265499409999997</v>
      </c>
      <c r="K155" s="252">
        <v>49.658954780000002</v>
      </c>
      <c r="L155" s="252">
        <v>55.362808569999999</v>
      </c>
      <c r="M155" s="252">
        <v>61.377060779999994</v>
      </c>
      <c r="N155" s="252">
        <v>67.701711410000001</v>
      </c>
      <c r="O155" s="252">
        <v>74.336760459999994</v>
      </c>
      <c r="P155" s="252">
        <v>81.282207929999998</v>
      </c>
      <c r="Q155" s="252">
        <v>88.538053819999988</v>
      </c>
    </row>
    <row r="156" spans="1:33" ht="15" customHeight="1" x14ac:dyDescent="0.2">
      <c r="A156" s="449"/>
      <c r="B156" s="74" t="s">
        <v>17</v>
      </c>
      <c r="C156" s="1" t="s">
        <v>18</v>
      </c>
      <c r="D156" s="202">
        <v>1.0083198807897678</v>
      </c>
      <c r="E156" s="202">
        <v>2.0166397615795355</v>
      </c>
      <c r="F156" s="202">
        <v>4.033279523159071</v>
      </c>
      <c r="G156" s="202">
        <v>7.4866509375388048</v>
      </c>
      <c r="H156" s="202">
        <v>11.508297006019333</v>
      </c>
      <c r="I156" s="202">
        <v>16.249135193627929</v>
      </c>
      <c r="J156" s="202">
        <v>22.164050263776673</v>
      </c>
      <c r="K156" s="202">
        <v>30.406059853470754</v>
      </c>
      <c r="L156" s="202">
        <v>41.012873049381184</v>
      </c>
      <c r="M156" s="202">
        <v>51.043503456268887</v>
      </c>
      <c r="N156" s="202">
        <v>70</v>
      </c>
      <c r="O156" s="202">
        <v>95</v>
      </c>
      <c r="P156" s="202">
        <v>110</v>
      </c>
      <c r="Q156" s="202">
        <v>125</v>
      </c>
    </row>
    <row r="157" spans="1:33" ht="15" customHeight="1" x14ac:dyDescent="0.2">
      <c r="A157" s="449"/>
      <c r="B157" s="74" t="s">
        <v>124</v>
      </c>
      <c r="C157" s="1" t="s">
        <v>18</v>
      </c>
      <c r="D157" s="202">
        <v>50</v>
      </c>
      <c r="E157" s="202">
        <v>100</v>
      </c>
      <c r="F157" s="202">
        <v>150</v>
      </c>
      <c r="G157" s="202">
        <v>150</v>
      </c>
      <c r="H157" s="202">
        <v>150</v>
      </c>
      <c r="I157" s="202">
        <v>150</v>
      </c>
      <c r="J157" s="202">
        <v>150</v>
      </c>
      <c r="K157" s="202">
        <v>150</v>
      </c>
      <c r="L157" s="202">
        <v>100</v>
      </c>
      <c r="M157" s="202">
        <v>50</v>
      </c>
      <c r="N157" s="202">
        <v>0</v>
      </c>
      <c r="O157" s="202">
        <v>0</v>
      </c>
      <c r="P157" s="202">
        <v>0</v>
      </c>
      <c r="Q157" s="214">
        <v>0</v>
      </c>
    </row>
    <row r="158" spans="1:33" ht="15" customHeight="1" x14ac:dyDescent="0.2">
      <c r="A158" s="449"/>
      <c r="B158" s="76" t="s">
        <v>16</v>
      </c>
      <c r="C158" s="1" t="s">
        <v>18</v>
      </c>
      <c r="D158" s="202">
        <v>0</v>
      </c>
      <c r="E158" s="202">
        <v>0</v>
      </c>
      <c r="F158" s="202">
        <v>0</v>
      </c>
      <c r="G158" s="202">
        <v>0</v>
      </c>
      <c r="H158" s="202">
        <v>0</v>
      </c>
      <c r="I158" s="202">
        <v>0</v>
      </c>
      <c r="J158" s="202">
        <v>0</v>
      </c>
      <c r="K158" s="202">
        <v>0</v>
      </c>
      <c r="L158" s="202">
        <v>0</v>
      </c>
      <c r="M158" s="202">
        <v>0</v>
      </c>
      <c r="N158" s="202">
        <v>0</v>
      </c>
      <c r="O158" s="202">
        <v>0</v>
      </c>
      <c r="P158" s="202">
        <v>0</v>
      </c>
      <c r="Q158" s="202">
        <v>0</v>
      </c>
    </row>
    <row r="159" spans="1:33" ht="15" customHeight="1" x14ac:dyDescent="0.2">
      <c r="A159" s="449"/>
      <c r="B159" s="74" t="s">
        <v>5</v>
      </c>
      <c r="C159" s="1" t="s">
        <v>112</v>
      </c>
      <c r="D159" s="253">
        <v>0.37959999999999999</v>
      </c>
      <c r="E159" s="253">
        <v>0.71909999999999996</v>
      </c>
      <c r="F159" s="253">
        <v>1.3375999999999999</v>
      </c>
      <c r="G159" s="253">
        <v>2.3818000000000001</v>
      </c>
      <c r="H159" s="253">
        <v>3.8589000000000002</v>
      </c>
      <c r="I159" s="253">
        <v>6.1199000000000003</v>
      </c>
      <c r="J159" s="253">
        <v>9.2230000000000008</v>
      </c>
      <c r="K159" s="253">
        <v>12.8797</v>
      </c>
      <c r="L159" s="253">
        <v>17.098500000000001</v>
      </c>
      <c r="M159" s="203">
        <v>21.6035</v>
      </c>
      <c r="N159" s="203">
        <v>26.108499999999999</v>
      </c>
      <c r="O159" s="203">
        <v>30.613499999999998</v>
      </c>
      <c r="P159" s="203">
        <v>35.118499999999997</v>
      </c>
      <c r="Q159" s="203">
        <v>39.6235</v>
      </c>
    </row>
    <row r="160" spans="1:33" ht="15" customHeight="1" x14ac:dyDescent="0.2">
      <c r="A160" s="449"/>
      <c r="B160" s="74" t="s">
        <v>0</v>
      </c>
      <c r="C160" s="1" t="s">
        <v>19</v>
      </c>
      <c r="D160" s="254">
        <v>973.85187199999996</v>
      </c>
      <c r="E160" s="254">
        <v>1193.638616</v>
      </c>
      <c r="F160" s="254">
        <v>1351.3739760000001</v>
      </c>
      <c r="G160" s="254">
        <v>1562.7517760000001</v>
      </c>
      <c r="H160" s="254">
        <v>1828.233696</v>
      </c>
      <c r="I160" s="254">
        <v>2124.219928</v>
      </c>
      <c r="J160" s="254">
        <v>2444.465056</v>
      </c>
      <c r="K160" s="254">
        <v>2794.8658479999999</v>
      </c>
      <c r="L160" s="254">
        <v>3173.8669199999999</v>
      </c>
      <c r="M160" s="254">
        <v>3567.0877359999999</v>
      </c>
      <c r="N160" s="254">
        <v>3960.308552</v>
      </c>
      <c r="O160" s="254">
        <v>4353.5293680000004</v>
      </c>
      <c r="P160" s="254">
        <v>4746.7501840000004</v>
      </c>
      <c r="Q160" s="254">
        <v>5139.9709999999995</v>
      </c>
    </row>
    <row r="161" spans="1:33" ht="15" customHeight="1" x14ac:dyDescent="0.2">
      <c r="A161" s="449"/>
      <c r="B161" s="74" t="s">
        <v>38</v>
      </c>
      <c r="C161" s="1" t="s">
        <v>18</v>
      </c>
      <c r="D161" s="204">
        <v>170</v>
      </c>
      <c r="E161" s="204">
        <v>200</v>
      </c>
      <c r="F161" s="204">
        <v>275</v>
      </c>
      <c r="G161" s="204">
        <v>350</v>
      </c>
      <c r="H161" s="204">
        <v>425</v>
      </c>
      <c r="I161" s="204">
        <v>500</v>
      </c>
      <c r="J161" s="204">
        <v>500</v>
      </c>
      <c r="K161" s="204">
        <v>500</v>
      </c>
      <c r="L161" s="204">
        <v>500</v>
      </c>
      <c r="M161" s="204">
        <v>500</v>
      </c>
      <c r="N161" s="204">
        <v>500</v>
      </c>
      <c r="O161" s="204">
        <v>500</v>
      </c>
      <c r="P161" s="204">
        <v>500</v>
      </c>
      <c r="Q161" s="204">
        <v>500</v>
      </c>
    </row>
    <row r="162" spans="1:33" ht="15" customHeight="1" x14ac:dyDescent="0.2">
      <c r="A162" s="449"/>
      <c r="B162" s="74" t="s">
        <v>1</v>
      </c>
      <c r="C162" s="1" t="s">
        <v>18</v>
      </c>
      <c r="D162" s="204">
        <v>350</v>
      </c>
      <c r="E162" s="204">
        <v>450</v>
      </c>
      <c r="F162" s="204">
        <v>550</v>
      </c>
      <c r="G162" s="204">
        <v>650</v>
      </c>
      <c r="H162" s="204">
        <v>750</v>
      </c>
      <c r="I162" s="204">
        <v>850</v>
      </c>
      <c r="J162" s="204">
        <v>950</v>
      </c>
      <c r="K162" s="204">
        <v>1050</v>
      </c>
      <c r="L162" s="204">
        <v>1150</v>
      </c>
      <c r="M162" s="204">
        <v>1000</v>
      </c>
      <c r="N162" s="204">
        <v>1000</v>
      </c>
      <c r="O162" s="204">
        <v>1000</v>
      </c>
      <c r="P162" s="204">
        <v>1000</v>
      </c>
      <c r="Q162" s="204">
        <v>1100</v>
      </c>
    </row>
    <row r="163" spans="1:33" ht="15" customHeight="1" x14ac:dyDescent="0.2">
      <c r="A163" s="449"/>
      <c r="B163" s="76" t="s">
        <v>82</v>
      </c>
      <c r="C163" s="1" t="s">
        <v>61</v>
      </c>
      <c r="D163" s="203">
        <v>152.33881163084706</v>
      </c>
      <c r="E163" s="203">
        <v>156.38432364096082</v>
      </c>
      <c r="F163" s="203">
        <v>173.07206068268016</v>
      </c>
      <c r="G163" s="203">
        <v>192.58570684911132</v>
      </c>
      <c r="H163" s="203">
        <v>212.6794080464044</v>
      </c>
      <c r="I163" s="203">
        <v>234.2083736149327</v>
      </c>
      <c r="J163" s="203">
        <v>255.00855209340375</v>
      </c>
      <c r="K163" s="203">
        <v>283.88488138618277</v>
      </c>
      <c r="L163" s="203">
        <v>288.06425224957241</v>
      </c>
      <c r="M163" s="203">
        <v>294.935673384398</v>
      </c>
      <c r="N163" s="203">
        <v>301.5839964304306</v>
      </c>
      <c r="O163" s="203">
        <v>307.39941994496911</v>
      </c>
      <c r="P163" s="203">
        <v>313.05867479735258</v>
      </c>
      <c r="Q163" s="203">
        <v>319.1864356362014</v>
      </c>
    </row>
    <row r="164" spans="1:33" ht="15" customHeight="1" x14ac:dyDescent="0.2">
      <c r="A164" s="449"/>
      <c r="B164" s="74" t="s">
        <v>33</v>
      </c>
      <c r="C164" s="1" t="s">
        <v>61</v>
      </c>
      <c r="D164" s="203">
        <v>50</v>
      </c>
      <c r="E164" s="203">
        <v>25</v>
      </c>
      <c r="F164" s="203">
        <v>0</v>
      </c>
      <c r="G164" s="203">
        <v>0</v>
      </c>
      <c r="H164" s="203">
        <v>0</v>
      </c>
      <c r="I164" s="203">
        <v>0</v>
      </c>
      <c r="J164" s="203">
        <v>0</v>
      </c>
      <c r="K164" s="203">
        <v>0</v>
      </c>
      <c r="L164" s="203">
        <v>0</v>
      </c>
      <c r="M164" s="203">
        <v>0</v>
      </c>
      <c r="N164" s="203">
        <v>0</v>
      </c>
      <c r="O164" s="203">
        <v>0</v>
      </c>
      <c r="P164" s="203">
        <v>0</v>
      </c>
      <c r="Q164" s="203">
        <v>0</v>
      </c>
    </row>
    <row r="165" spans="1:33" ht="15" customHeight="1" x14ac:dyDescent="0.2">
      <c r="A165" s="449"/>
      <c r="B165" s="76" t="s">
        <v>103</v>
      </c>
      <c r="C165" s="4" t="s">
        <v>112</v>
      </c>
      <c r="D165" s="202">
        <v>2.1729609654822128E-2</v>
      </c>
      <c r="E165" s="202">
        <v>4.2563122435700422E-2</v>
      </c>
      <c r="F165" s="202">
        <v>7.9221596798729643E-2</v>
      </c>
      <c r="G165" s="202">
        <v>0.12104481719249827</v>
      </c>
      <c r="H165" s="202">
        <v>0.1816060687387489</v>
      </c>
      <c r="I165" s="202">
        <v>0.27756822157499184</v>
      </c>
      <c r="J165" s="202">
        <v>0.37832792169431789</v>
      </c>
      <c r="K165" s="202">
        <v>0.5684160505621817</v>
      </c>
      <c r="L165" s="202">
        <v>0.80546664639454091</v>
      </c>
      <c r="M165" s="202">
        <v>1.1207288866548697</v>
      </c>
      <c r="N165" s="202">
        <v>1.5293722472561442</v>
      </c>
      <c r="O165" s="202">
        <v>2.0295901497354025</v>
      </c>
      <c r="P165" s="202">
        <v>2.6791165470450999</v>
      </c>
      <c r="Q165" s="202">
        <v>3.5256743672802955</v>
      </c>
      <c r="U165" s="101"/>
      <c r="V165" s="101"/>
    </row>
    <row r="166" spans="1:33" ht="15" customHeight="1" x14ac:dyDescent="0.2">
      <c r="A166" s="449"/>
      <c r="B166" s="74" t="s">
        <v>89</v>
      </c>
      <c r="C166" s="1" t="s">
        <v>19</v>
      </c>
      <c r="D166" s="205">
        <v>3.7894114404544301</v>
      </c>
      <c r="E166" s="205">
        <v>10.402955513673991</v>
      </c>
      <c r="F166" s="205">
        <v>21.99355244200974</v>
      </c>
      <c r="G166" s="205">
        <v>38.824390017528302</v>
      </c>
      <c r="H166" s="205">
        <v>58.149856742870597</v>
      </c>
      <c r="I166" s="205">
        <v>97.3073839019399</v>
      </c>
      <c r="J166" s="205">
        <v>146.088656830633</v>
      </c>
      <c r="K166" s="205">
        <v>238.50207872244439</v>
      </c>
      <c r="L166" s="205">
        <v>350.525473011901</v>
      </c>
      <c r="M166" s="205">
        <v>483.18676801670301</v>
      </c>
      <c r="N166" s="205">
        <v>623.48797719434697</v>
      </c>
      <c r="O166" s="205">
        <v>756.11606245709004</v>
      </c>
      <c r="P166" s="205">
        <v>889.00870624910499</v>
      </c>
      <c r="Q166" s="205">
        <v>1024.46109319377</v>
      </c>
      <c r="U166" s="101"/>
      <c r="V166" s="101"/>
    </row>
    <row r="167" spans="1:33" ht="15" customHeight="1" x14ac:dyDescent="0.2">
      <c r="A167" s="449"/>
      <c r="B167" s="74" t="s">
        <v>119</v>
      </c>
      <c r="C167" s="1" t="s">
        <v>19</v>
      </c>
      <c r="D167" s="202">
        <v>1233</v>
      </c>
      <c r="E167" s="202">
        <v>1233</v>
      </c>
      <c r="F167" s="202">
        <v>1233</v>
      </c>
      <c r="G167" s="202">
        <v>1233</v>
      </c>
      <c r="H167" s="202">
        <v>1233</v>
      </c>
      <c r="I167" s="202">
        <v>1233</v>
      </c>
      <c r="J167" s="202">
        <v>1233</v>
      </c>
      <c r="K167" s="202">
        <v>1233</v>
      </c>
      <c r="L167" s="202">
        <v>1233</v>
      </c>
      <c r="M167" s="202">
        <v>1233</v>
      </c>
      <c r="N167" s="202">
        <v>1233</v>
      </c>
      <c r="O167" s="202">
        <v>1233</v>
      </c>
      <c r="P167" s="202">
        <v>1233</v>
      </c>
      <c r="Q167" s="202">
        <v>1233</v>
      </c>
      <c r="U167" s="227"/>
      <c r="V167" s="227"/>
    </row>
    <row r="168" spans="1:33" ht="15" customHeight="1" x14ac:dyDescent="0.2">
      <c r="A168" s="449"/>
      <c r="B168" s="74" t="s">
        <v>161</v>
      </c>
      <c r="C168" s="1" t="s">
        <v>157</v>
      </c>
      <c r="D168" s="206">
        <v>0</v>
      </c>
      <c r="E168" s="206">
        <v>0</v>
      </c>
      <c r="F168" s="202">
        <v>27.82</v>
      </c>
      <c r="G168" s="202">
        <v>27.82</v>
      </c>
      <c r="H168" s="202">
        <v>27.82</v>
      </c>
      <c r="I168" s="202">
        <v>27.82</v>
      </c>
      <c r="J168" s="202">
        <v>27.82</v>
      </c>
      <c r="K168" s="202">
        <v>27.82</v>
      </c>
      <c r="L168" s="202">
        <v>27.82</v>
      </c>
      <c r="M168" s="202">
        <v>27.82</v>
      </c>
      <c r="N168" s="202">
        <v>27.82</v>
      </c>
      <c r="O168" s="202">
        <v>27.82</v>
      </c>
      <c r="P168" s="202">
        <v>27.82</v>
      </c>
      <c r="Q168" s="202">
        <v>27.82</v>
      </c>
      <c r="U168" s="228"/>
      <c r="V168" s="228"/>
    </row>
    <row r="169" spans="1:33" ht="15" customHeight="1" x14ac:dyDescent="0.2">
      <c r="A169" s="449"/>
      <c r="B169" s="74" t="s">
        <v>68</v>
      </c>
      <c r="C169" s="1" t="s">
        <v>18</v>
      </c>
      <c r="D169" s="206">
        <v>0</v>
      </c>
      <c r="E169" s="206">
        <v>0</v>
      </c>
      <c r="F169" s="203">
        <v>20</v>
      </c>
      <c r="G169" s="203">
        <v>40</v>
      </c>
      <c r="H169" s="203">
        <v>80</v>
      </c>
      <c r="I169" s="206">
        <v>150</v>
      </c>
      <c r="J169" s="206">
        <v>200</v>
      </c>
      <c r="K169" s="203">
        <v>200</v>
      </c>
      <c r="L169" s="203">
        <v>225</v>
      </c>
      <c r="M169" s="203">
        <v>200</v>
      </c>
      <c r="N169" s="203">
        <v>200</v>
      </c>
      <c r="O169" s="203">
        <v>200</v>
      </c>
      <c r="P169" s="203">
        <v>200</v>
      </c>
      <c r="Q169" s="203">
        <v>225</v>
      </c>
      <c r="U169" s="228"/>
      <c r="V169" s="228"/>
    </row>
    <row r="170" spans="1:33" ht="15" customHeight="1" x14ac:dyDescent="0.2">
      <c r="A170" s="449"/>
      <c r="B170" s="79" t="s">
        <v>81</v>
      </c>
      <c r="C170" s="150" t="s">
        <v>43</v>
      </c>
      <c r="D170" s="207">
        <v>7.4999999999999997E-3</v>
      </c>
      <c r="E170" s="207">
        <v>1.4999999999999999E-2</v>
      </c>
      <c r="F170" s="207">
        <v>2.2499999999999999E-2</v>
      </c>
      <c r="G170" s="207">
        <v>0.03</v>
      </c>
      <c r="H170" s="207">
        <v>0.04</v>
      </c>
      <c r="I170" s="207">
        <v>0.06</v>
      </c>
      <c r="J170" s="207">
        <v>0.09</v>
      </c>
      <c r="K170" s="207">
        <v>0.12</v>
      </c>
      <c r="L170" s="207">
        <v>0.16</v>
      </c>
      <c r="M170" s="207">
        <v>0.2</v>
      </c>
      <c r="N170" s="207">
        <v>0.22</v>
      </c>
      <c r="O170" s="207">
        <v>0.23</v>
      </c>
      <c r="P170" s="207">
        <v>0.23</v>
      </c>
      <c r="Q170" s="207">
        <v>0.23</v>
      </c>
      <c r="U170" s="228"/>
      <c r="V170" s="228"/>
    </row>
    <row r="171" spans="1:33" ht="15" customHeight="1" x14ac:dyDescent="0.2">
      <c r="A171" s="449"/>
      <c r="B171" s="79" t="s">
        <v>54</v>
      </c>
      <c r="C171" s="150" t="s">
        <v>45</v>
      </c>
      <c r="D171" s="26">
        <v>3.0000000000000001E-3</v>
      </c>
      <c r="E171" s="26">
        <v>3.0000000000000001E-3</v>
      </c>
      <c r="F171" s="26">
        <v>0.02</v>
      </c>
      <c r="G171" s="26">
        <v>0.25</v>
      </c>
      <c r="H171" s="26">
        <v>0.375</v>
      </c>
      <c r="I171" s="251">
        <v>0.5</v>
      </c>
      <c r="J171" s="251">
        <v>0.625</v>
      </c>
      <c r="K171" s="251">
        <v>0.75</v>
      </c>
      <c r="L171" s="251">
        <v>0.875</v>
      </c>
      <c r="M171" s="251">
        <v>1</v>
      </c>
      <c r="N171" s="251">
        <v>1.125</v>
      </c>
      <c r="O171" s="251">
        <v>1.25</v>
      </c>
      <c r="P171" s="251">
        <v>1.375</v>
      </c>
      <c r="Q171" s="251">
        <v>1.5</v>
      </c>
      <c r="R171" s="99"/>
      <c r="U171" s="229"/>
      <c r="V171" s="229"/>
    </row>
    <row r="172" spans="1:33" ht="15" customHeight="1" x14ac:dyDescent="0.2">
      <c r="A172" s="449"/>
      <c r="B172" s="79" t="s">
        <v>76</v>
      </c>
      <c r="C172" s="150" t="s">
        <v>45</v>
      </c>
      <c r="D172" s="226">
        <v>0.154</v>
      </c>
      <c r="E172" s="226">
        <v>0.154</v>
      </c>
      <c r="F172" s="226">
        <v>0.154</v>
      </c>
      <c r="G172" s="226">
        <v>0.154</v>
      </c>
      <c r="H172" s="226">
        <v>0.154</v>
      </c>
      <c r="I172" s="226">
        <v>0.154</v>
      </c>
      <c r="J172" s="226">
        <v>0.154</v>
      </c>
      <c r="K172" s="226">
        <v>0.154</v>
      </c>
      <c r="L172" s="226">
        <v>0.154</v>
      </c>
      <c r="M172" s="226">
        <v>0.154</v>
      </c>
      <c r="N172" s="226">
        <v>0.154</v>
      </c>
      <c r="O172" s="226">
        <v>0.154</v>
      </c>
      <c r="P172" s="226">
        <v>0.154</v>
      </c>
      <c r="Q172" s="226">
        <v>0.154</v>
      </c>
      <c r="U172" s="231"/>
      <c r="V172" s="231"/>
    </row>
    <row r="173" spans="1:33" ht="15" customHeight="1" x14ac:dyDescent="0.2">
      <c r="A173" s="449"/>
      <c r="B173" s="79" t="s">
        <v>56</v>
      </c>
      <c r="C173" s="150" t="s">
        <v>45</v>
      </c>
      <c r="D173" s="209">
        <v>0</v>
      </c>
      <c r="E173" s="209">
        <v>0</v>
      </c>
      <c r="F173" s="209">
        <v>0.1</v>
      </c>
      <c r="G173" s="209">
        <v>0.3</v>
      </c>
      <c r="H173" s="209">
        <v>0.6</v>
      </c>
      <c r="I173" s="209">
        <v>0.9</v>
      </c>
      <c r="J173" s="209">
        <v>1.2</v>
      </c>
      <c r="K173" s="209">
        <v>1.5</v>
      </c>
      <c r="L173" s="209">
        <v>1.2</v>
      </c>
      <c r="M173" s="209">
        <v>0.9</v>
      </c>
      <c r="N173" s="209">
        <v>0.6</v>
      </c>
      <c r="O173" s="209">
        <v>0.3</v>
      </c>
      <c r="P173" s="209">
        <v>0</v>
      </c>
      <c r="Q173" s="209">
        <v>0</v>
      </c>
      <c r="U173" s="235"/>
      <c r="V173" s="235"/>
    </row>
    <row r="174" spans="1:33" ht="15.75" customHeight="1" x14ac:dyDescent="0.2">
      <c r="A174" s="449"/>
      <c r="B174" s="79" t="s">
        <v>55</v>
      </c>
      <c r="C174" s="150" t="s">
        <v>45</v>
      </c>
      <c r="D174" s="26">
        <v>0</v>
      </c>
      <c r="E174" s="26">
        <v>0.01</v>
      </c>
      <c r="F174" s="26">
        <v>0.05</v>
      </c>
      <c r="G174" s="26">
        <v>0.25</v>
      </c>
      <c r="H174" s="26">
        <v>0.5</v>
      </c>
      <c r="I174" s="26">
        <v>0.5</v>
      </c>
      <c r="J174" s="26">
        <v>0.5</v>
      </c>
      <c r="K174" s="26">
        <v>0.5</v>
      </c>
      <c r="L174" s="26">
        <v>0.5</v>
      </c>
      <c r="M174" s="26">
        <v>0.5</v>
      </c>
      <c r="N174" s="26">
        <v>0.5</v>
      </c>
      <c r="O174" s="26">
        <v>0.5</v>
      </c>
      <c r="P174" s="26">
        <v>0.5</v>
      </c>
      <c r="Q174" s="26">
        <v>0.5</v>
      </c>
      <c r="U174" s="235"/>
      <c r="V174" s="235"/>
    </row>
    <row r="175" spans="1:33" ht="15.75" customHeight="1" x14ac:dyDescent="0.2">
      <c r="A175" s="449"/>
      <c r="B175" s="79" t="s">
        <v>166</v>
      </c>
      <c r="C175" s="150" t="s">
        <v>167</v>
      </c>
      <c r="D175" s="226">
        <v>71</v>
      </c>
      <c r="E175" s="226">
        <v>71</v>
      </c>
      <c r="F175" s="226">
        <v>71</v>
      </c>
      <c r="G175" s="226">
        <v>71</v>
      </c>
      <c r="H175" s="226">
        <v>65.674999999999997</v>
      </c>
      <c r="I175" s="226">
        <v>60.749375000000001</v>
      </c>
      <c r="J175" s="226">
        <v>56.193171875000004</v>
      </c>
      <c r="K175" s="226">
        <v>51.97868398437501</v>
      </c>
      <c r="L175" s="226">
        <v>48.080282685546884</v>
      </c>
      <c r="M175" s="226">
        <v>45</v>
      </c>
      <c r="N175" s="226">
        <v>45</v>
      </c>
      <c r="O175" s="226">
        <v>45</v>
      </c>
      <c r="P175" s="226">
        <v>45</v>
      </c>
      <c r="Q175" s="226">
        <v>45</v>
      </c>
      <c r="S175" s="101"/>
      <c r="T175" s="101"/>
      <c r="U175" s="230"/>
      <c r="V175" s="230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</row>
    <row r="176" spans="1:33" ht="15.75" customHeight="1" x14ac:dyDescent="0.2">
      <c r="A176" s="449"/>
      <c r="B176" s="79" t="s">
        <v>163</v>
      </c>
      <c r="C176" s="150" t="s">
        <v>167</v>
      </c>
      <c r="D176" s="226">
        <v>30.929411764705883</v>
      </c>
      <c r="E176" s="226">
        <v>30.929411764705883</v>
      </c>
      <c r="F176" s="226">
        <v>25</v>
      </c>
      <c r="G176" s="226">
        <v>20</v>
      </c>
      <c r="H176" s="226">
        <v>15</v>
      </c>
      <c r="I176" s="226">
        <v>10</v>
      </c>
      <c r="J176" s="226">
        <v>10</v>
      </c>
      <c r="K176" s="226">
        <v>10</v>
      </c>
      <c r="L176" s="226">
        <v>10</v>
      </c>
      <c r="M176" s="226">
        <v>10</v>
      </c>
      <c r="N176" s="226">
        <v>10</v>
      </c>
      <c r="O176" s="226">
        <v>10</v>
      </c>
      <c r="P176" s="226">
        <v>10</v>
      </c>
      <c r="Q176" s="226">
        <v>10</v>
      </c>
      <c r="S176" s="101"/>
      <c r="T176" s="101"/>
      <c r="U176" s="230"/>
      <c r="V176" s="230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</row>
    <row r="177" spans="1:33" ht="15.75" customHeight="1" thickBot="1" x14ac:dyDescent="0.25">
      <c r="A177" s="450"/>
      <c r="B177" s="79" t="s">
        <v>57</v>
      </c>
      <c r="C177" s="150" t="s">
        <v>167</v>
      </c>
      <c r="D177" s="26">
        <v>0</v>
      </c>
      <c r="E177" s="26">
        <v>0</v>
      </c>
      <c r="F177" s="26">
        <v>0.13</v>
      </c>
      <c r="G177" s="26">
        <v>0.51</v>
      </c>
      <c r="H177" s="26">
        <v>0.87</v>
      </c>
      <c r="I177" s="26">
        <v>1.22</v>
      </c>
      <c r="J177" s="26">
        <v>1.22</v>
      </c>
      <c r="K177" s="26">
        <v>1.22</v>
      </c>
      <c r="L177" s="26">
        <v>1.22</v>
      </c>
      <c r="M177" s="26">
        <v>1.22</v>
      </c>
      <c r="N177" s="26">
        <v>1.22</v>
      </c>
      <c r="O177" s="26">
        <v>1.22</v>
      </c>
      <c r="P177" s="26">
        <v>1.22</v>
      </c>
      <c r="Q177" s="26">
        <v>1.22</v>
      </c>
      <c r="S177" s="101"/>
      <c r="T177" s="101"/>
      <c r="U177" s="230"/>
      <c r="V177" s="230"/>
      <c r="W177" s="101"/>
      <c r="X177" s="101"/>
      <c r="Y177" s="101"/>
      <c r="Z177" s="101"/>
      <c r="AA177" s="101"/>
      <c r="AB177" s="101"/>
      <c r="AC177" s="101"/>
      <c r="AD177" s="101"/>
      <c r="AE177" s="101"/>
      <c r="AF177" s="101"/>
      <c r="AG177" s="101"/>
    </row>
    <row r="178" spans="1:33" ht="16" thickBot="1" x14ac:dyDescent="0.25">
      <c r="D178" s="243">
        <v>100</v>
      </c>
      <c r="E178" s="243">
        <v>125</v>
      </c>
      <c r="F178" s="243">
        <v>150</v>
      </c>
      <c r="G178" s="243">
        <v>200</v>
      </c>
      <c r="H178" s="243">
        <v>200</v>
      </c>
      <c r="I178" s="243">
        <v>200</v>
      </c>
      <c r="J178" s="243">
        <v>200</v>
      </c>
      <c r="K178" s="243">
        <v>200</v>
      </c>
      <c r="L178" s="243">
        <v>200</v>
      </c>
      <c r="M178" s="243">
        <v>200</v>
      </c>
      <c r="N178" s="243">
        <v>200</v>
      </c>
      <c r="O178" s="243">
        <v>200</v>
      </c>
      <c r="P178" s="243">
        <v>200</v>
      </c>
      <c r="Q178" s="243">
        <v>200</v>
      </c>
      <c r="S178" s="101"/>
      <c r="T178" s="101"/>
      <c r="U178" s="230"/>
      <c r="V178" s="230"/>
      <c r="W178" s="101"/>
      <c r="X178" s="101"/>
      <c r="Y178" s="101"/>
      <c r="Z178" s="101"/>
      <c r="AA178" s="101"/>
      <c r="AB178" s="101"/>
      <c r="AC178" s="101"/>
      <c r="AD178" s="101"/>
      <c r="AE178" s="101"/>
      <c r="AF178" s="101"/>
      <c r="AG178" s="101"/>
    </row>
    <row r="179" spans="1:33" ht="15" customHeight="1" x14ac:dyDescent="0.2">
      <c r="A179" s="448" t="s">
        <v>181</v>
      </c>
      <c r="B179" s="74" t="s">
        <v>72</v>
      </c>
      <c r="C179" s="14" t="s">
        <v>15</v>
      </c>
      <c r="D179" s="210">
        <v>2017</v>
      </c>
      <c r="E179" s="210">
        <v>2018</v>
      </c>
      <c r="F179" s="210">
        <v>2019</v>
      </c>
      <c r="G179" s="210">
        <v>2020</v>
      </c>
      <c r="H179" s="210">
        <v>2021</v>
      </c>
      <c r="I179" s="210">
        <v>2022</v>
      </c>
      <c r="J179" s="210">
        <v>2023</v>
      </c>
      <c r="K179" s="210">
        <v>2024</v>
      </c>
      <c r="L179" s="210">
        <v>2025</v>
      </c>
      <c r="M179" s="4">
        <v>2026</v>
      </c>
      <c r="N179" s="4">
        <v>2027</v>
      </c>
      <c r="O179" s="4">
        <v>2028</v>
      </c>
      <c r="P179" s="4">
        <v>2029</v>
      </c>
      <c r="Q179" s="4">
        <v>2030</v>
      </c>
      <c r="S179" s="101"/>
      <c r="T179" s="101"/>
      <c r="U179" s="228"/>
      <c r="V179" s="228"/>
      <c r="W179" s="101"/>
      <c r="X179" s="101"/>
      <c r="Y179" s="101"/>
      <c r="Z179" s="101"/>
      <c r="AA179" s="101"/>
      <c r="AB179" s="101"/>
      <c r="AC179" s="101"/>
      <c r="AD179" s="101"/>
      <c r="AE179" s="101"/>
      <c r="AF179" s="101"/>
      <c r="AG179" s="101"/>
    </row>
    <row r="180" spans="1:33" ht="15" customHeight="1" x14ac:dyDescent="0.2">
      <c r="A180" s="449"/>
      <c r="B180" s="74" t="s">
        <v>158</v>
      </c>
      <c r="C180" s="1" t="s">
        <v>18</v>
      </c>
      <c r="D180" s="252">
        <v>18.423134009999998</v>
      </c>
      <c r="E180" s="252">
        <v>21.954198859999998</v>
      </c>
      <c r="F180" s="252">
        <v>25.79566213</v>
      </c>
      <c r="G180" s="252">
        <v>29.947523820000001</v>
      </c>
      <c r="H180" s="252">
        <v>34.409783930000003</v>
      </c>
      <c r="I180" s="252">
        <v>39.182442460000004</v>
      </c>
      <c r="J180" s="252">
        <v>44.265499409999997</v>
      </c>
      <c r="K180" s="252">
        <v>49.658954780000002</v>
      </c>
      <c r="L180" s="252">
        <v>55.362808569999999</v>
      </c>
      <c r="M180" s="252">
        <v>61.377060779999994</v>
      </c>
      <c r="N180" s="252">
        <v>67.701711410000001</v>
      </c>
      <c r="O180" s="252">
        <v>74.336760459999994</v>
      </c>
      <c r="P180" s="252">
        <v>81.282207929999998</v>
      </c>
      <c r="Q180" s="252">
        <v>88.538053819999988</v>
      </c>
      <c r="S180" s="227"/>
      <c r="T180" s="227"/>
      <c r="U180" s="228"/>
      <c r="V180" s="228"/>
      <c r="W180" s="227"/>
      <c r="X180" s="227"/>
      <c r="Y180" s="227"/>
      <c r="Z180" s="227"/>
      <c r="AA180" s="227"/>
      <c r="AB180" s="227"/>
      <c r="AC180" s="227"/>
      <c r="AD180" s="227"/>
      <c r="AE180" s="227"/>
      <c r="AF180" s="227"/>
      <c r="AG180" s="101"/>
    </row>
    <row r="181" spans="1:33" ht="15" customHeight="1" x14ac:dyDescent="0.2">
      <c r="A181" s="449"/>
      <c r="B181" s="74" t="s">
        <v>17</v>
      </c>
      <c r="C181" s="1" t="s">
        <v>18</v>
      </c>
      <c r="D181" s="202">
        <v>1.0083198807897678</v>
      </c>
      <c r="E181" s="202">
        <v>2.0166397615795355</v>
      </c>
      <c r="F181" s="202">
        <v>4.033279523159071</v>
      </c>
      <c r="G181" s="202">
        <v>7.4866509375388048</v>
      </c>
      <c r="H181" s="202">
        <v>11.508297006019333</v>
      </c>
      <c r="I181" s="202">
        <v>16.249135193627929</v>
      </c>
      <c r="J181" s="202">
        <v>22.164050263776673</v>
      </c>
      <c r="K181" s="202">
        <v>30.406059853470754</v>
      </c>
      <c r="L181" s="202">
        <v>41.012873049381184</v>
      </c>
      <c r="M181" s="202">
        <v>51.043503456268887</v>
      </c>
      <c r="N181" s="202">
        <v>70</v>
      </c>
      <c r="O181" s="202">
        <v>95</v>
      </c>
      <c r="P181" s="202">
        <v>120</v>
      </c>
      <c r="Q181" s="202">
        <v>150</v>
      </c>
      <c r="S181" s="228"/>
      <c r="T181" s="228"/>
      <c r="U181" s="228"/>
      <c r="V181" s="228"/>
      <c r="W181" s="228"/>
      <c r="X181" s="228"/>
      <c r="Y181" s="228"/>
      <c r="Z181" s="228"/>
      <c r="AA181" s="228"/>
      <c r="AB181" s="228"/>
      <c r="AC181" s="228"/>
      <c r="AD181" s="228"/>
      <c r="AE181" s="228"/>
      <c r="AF181" s="228"/>
      <c r="AG181" s="101"/>
    </row>
    <row r="182" spans="1:33" ht="15" customHeight="1" x14ac:dyDescent="0.2">
      <c r="A182" s="449"/>
      <c r="B182" s="74" t="s">
        <v>124</v>
      </c>
      <c r="C182" s="1" t="s">
        <v>18</v>
      </c>
      <c r="D182" s="202">
        <v>50</v>
      </c>
      <c r="E182" s="202">
        <v>100</v>
      </c>
      <c r="F182" s="202">
        <v>150</v>
      </c>
      <c r="G182" s="202">
        <v>150</v>
      </c>
      <c r="H182" s="202">
        <v>150</v>
      </c>
      <c r="I182" s="202">
        <v>150</v>
      </c>
      <c r="J182" s="202">
        <v>150</v>
      </c>
      <c r="K182" s="202">
        <v>150</v>
      </c>
      <c r="L182" s="202">
        <v>100</v>
      </c>
      <c r="M182" s="202">
        <v>50</v>
      </c>
      <c r="N182" s="202">
        <v>0</v>
      </c>
      <c r="O182" s="202">
        <v>0</v>
      </c>
      <c r="P182" s="202">
        <v>0</v>
      </c>
      <c r="Q182" s="202">
        <v>0</v>
      </c>
      <c r="S182" s="228"/>
      <c r="T182" s="228"/>
      <c r="U182" s="228"/>
      <c r="V182" s="228"/>
      <c r="W182" s="228"/>
      <c r="X182" s="228"/>
      <c r="Y182" s="228"/>
      <c r="Z182" s="228"/>
      <c r="AA182" s="228"/>
      <c r="AB182" s="228"/>
      <c r="AC182" s="228"/>
      <c r="AD182" s="228"/>
      <c r="AE182" s="228"/>
      <c r="AF182" s="228"/>
      <c r="AG182" s="101"/>
    </row>
    <row r="183" spans="1:33" ht="15" customHeight="1" x14ac:dyDescent="0.2">
      <c r="A183" s="449"/>
      <c r="B183" s="76" t="s">
        <v>16</v>
      </c>
      <c r="C183" s="1" t="s">
        <v>18</v>
      </c>
      <c r="D183" s="202">
        <v>0</v>
      </c>
      <c r="E183" s="202">
        <v>0</v>
      </c>
      <c r="F183" s="202">
        <v>0</v>
      </c>
      <c r="G183" s="202">
        <v>0</v>
      </c>
      <c r="H183" s="202">
        <v>0</v>
      </c>
      <c r="I183" s="202">
        <v>0</v>
      </c>
      <c r="J183" s="202">
        <v>0</v>
      </c>
      <c r="K183" s="202">
        <v>0</v>
      </c>
      <c r="L183" s="202">
        <v>0</v>
      </c>
      <c r="M183" s="202">
        <v>0</v>
      </c>
      <c r="N183" s="202">
        <v>0</v>
      </c>
      <c r="O183" s="202">
        <v>0</v>
      </c>
      <c r="P183" s="202">
        <v>0</v>
      </c>
      <c r="Q183" s="202">
        <v>0</v>
      </c>
      <c r="S183" s="228"/>
      <c r="T183" s="228"/>
      <c r="U183" s="230"/>
      <c r="V183" s="230"/>
      <c r="W183" s="228"/>
      <c r="X183" s="228"/>
      <c r="Y183" s="228"/>
      <c r="Z183" s="228"/>
      <c r="AA183" s="228"/>
      <c r="AB183" s="228"/>
      <c r="AC183" s="228"/>
      <c r="AD183" s="228"/>
      <c r="AE183" s="228"/>
      <c r="AF183" s="228"/>
      <c r="AG183" s="101"/>
    </row>
    <row r="184" spans="1:33" ht="15" customHeight="1" x14ac:dyDescent="0.2">
      <c r="A184" s="449"/>
      <c r="B184" s="74" t="s">
        <v>5</v>
      </c>
      <c r="C184" s="1" t="s">
        <v>112</v>
      </c>
      <c r="D184" s="253">
        <v>0.37959999999999999</v>
      </c>
      <c r="E184" s="253">
        <v>0.71909999999999996</v>
      </c>
      <c r="F184" s="253">
        <v>1.3375999999999999</v>
      </c>
      <c r="G184" s="253">
        <v>2.3818000000000001</v>
      </c>
      <c r="H184" s="253">
        <v>3.8589000000000002</v>
      </c>
      <c r="I184" s="253">
        <v>6.1199000000000003</v>
      </c>
      <c r="J184" s="253">
        <v>9.2230000000000008</v>
      </c>
      <c r="K184" s="253">
        <v>12.8797</v>
      </c>
      <c r="L184" s="253">
        <v>17.098500000000001</v>
      </c>
      <c r="M184" s="203">
        <v>21.6035</v>
      </c>
      <c r="N184" s="203">
        <v>26.108499999999999</v>
      </c>
      <c r="O184" s="203">
        <v>30.613499999999998</v>
      </c>
      <c r="P184" s="203">
        <v>35.118499999999997</v>
      </c>
      <c r="Q184" s="203">
        <v>39.6235</v>
      </c>
      <c r="S184" s="229"/>
      <c r="T184" s="229"/>
      <c r="U184" s="111"/>
      <c r="V184" s="111"/>
      <c r="W184" s="229"/>
      <c r="X184" s="229"/>
      <c r="Y184" s="229"/>
      <c r="Z184" s="229"/>
      <c r="AA184" s="229"/>
      <c r="AB184" s="230"/>
      <c r="AC184" s="230"/>
      <c r="AD184" s="230"/>
      <c r="AE184" s="230"/>
      <c r="AF184" s="230"/>
      <c r="AG184" s="101"/>
    </row>
    <row r="185" spans="1:33" ht="15" customHeight="1" x14ac:dyDescent="0.2">
      <c r="A185" s="449"/>
      <c r="B185" s="74" t="s">
        <v>0</v>
      </c>
      <c r="C185" s="1" t="s">
        <v>19</v>
      </c>
      <c r="D185" s="254">
        <v>973.85187199999996</v>
      </c>
      <c r="E185" s="254">
        <v>1193.638616</v>
      </c>
      <c r="F185" s="254">
        <v>1351.3739760000001</v>
      </c>
      <c r="G185" s="254">
        <v>1562.7517760000001</v>
      </c>
      <c r="H185" s="254">
        <v>1828.233696</v>
      </c>
      <c r="I185" s="254">
        <v>2124.219928</v>
      </c>
      <c r="J185" s="254">
        <v>2444.465056</v>
      </c>
      <c r="K185" s="254">
        <v>2794.8658479999999</v>
      </c>
      <c r="L185" s="254">
        <v>3173.8669199999999</v>
      </c>
      <c r="M185" s="254">
        <v>3567.0877359999999</v>
      </c>
      <c r="N185" s="254">
        <v>3960.308552</v>
      </c>
      <c r="O185" s="254">
        <v>4353.5293680000004</v>
      </c>
      <c r="P185" s="254">
        <v>4746.7501840000004</v>
      </c>
      <c r="Q185" s="254">
        <v>5139.9709999999995</v>
      </c>
      <c r="S185" s="231"/>
      <c r="T185" s="231"/>
      <c r="U185" s="101"/>
      <c r="V185" s="101"/>
      <c r="W185" s="231"/>
      <c r="X185" s="231"/>
      <c r="Y185" s="231"/>
      <c r="Z185" s="231"/>
      <c r="AA185" s="231"/>
      <c r="AB185" s="231"/>
      <c r="AC185" s="231"/>
      <c r="AD185" s="231"/>
      <c r="AE185" s="231"/>
      <c r="AF185" s="231"/>
      <c r="AG185" s="101"/>
    </row>
    <row r="186" spans="1:33" ht="15" customHeight="1" x14ac:dyDescent="0.2">
      <c r="A186" s="449"/>
      <c r="B186" s="74" t="s">
        <v>38</v>
      </c>
      <c r="C186" s="1" t="s">
        <v>18</v>
      </c>
      <c r="D186" s="204">
        <v>170</v>
      </c>
      <c r="E186" s="204">
        <v>200</v>
      </c>
      <c r="F186" s="204">
        <v>275</v>
      </c>
      <c r="G186" s="204">
        <v>350</v>
      </c>
      <c r="H186" s="204">
        <v>425</v>
      </c>
      <c r="I186" s="204">
        <v>500</v>
      </c>
      <c r="J186" s="204">
        <v>500</v>
      </c>
      <c r="K186" s="204">
        <v>500</v>
      </c>
      <c r="L186" s="204">
        <v>500</v>
      </c>
      <c r="M186" s="204">
        <v>500</v>
      </c>
      <c r="N186" s="204">
        <v>500</v>
      </c>
      <c r="O186" s="204">
        <v>500</v>
      </c>
      <c r="P186" s="204">
        <v>500</v>
      </c>
      <c r="Q186" s="204">
        <v>500</v>
      </c>
      <c r="S186" s="232"/>
      <c r="T186" s="235"/>
      <c r="U186" s="101"/>
      <c r="V186" s="101"/>
      <c r="W186" s="232"/>
      <c r="X186" s="232"/>
      <c r="Y186" s="232"/>
      <c r="Z186" s="232"/>
      <c r="AA186" s="232"/>
      <c r="AB186" s="232"/>
      <c r="AC186" s="232"/>
      <c r="AD186" s="232"/>
      <c r="AE186" s="232"/>
      <c r="AF186" s="232"/>
      <c r="AG186" s="101"/>
    </row>
    <row r="187" spans="1:33" ht="15" customHeight="1" x14ac:dyDescent="0.2">
      <c r="A187" s="449"/>
      <c r="B187" s="74" t="s">
        <v>1</v>
      </c>
      <c r="C187" s="1" t="s">
        <v>18</v>
      </c>
      <c r="D187" s="204">
        <v>350</v>
      </c>
      <c r="E187" s="204">
        <v>450</v>
      </c>
      <c r="F187" s="204">
        <v>550</v>
      </c>
      <c r="G187" s="204">
        <v>650</v>
      </c>
      <c r="H187" s="204">
        <v>750</v>
      </c>
      <c r="I187" s="268">
        <v>900</v>
      </c>
      <c r="J187" s="268">
        <v>1050</v>
      </c>
      <c r="K187" s="268">
        <v>1200</v>
      </c>
      <c r="L187" s="268">
        <v>1350</v>
      </c>
      <c r="M187" s="268">
        <v>1500</v>
      </c>
      <c r="N187" s="268">
        <v>1650</v>
      </c>
      <c r="O187" s="268">
        <v>1800</v>
      </c>
      <c r="P187" s="268">
        <v>1950</v>
      </c>
      <c r="Q187" s="268">
        <v>2100</v>
      </c>
      <c r="S187" s="232"/>
      <c r="T187" s="235"/>
      <c r="U187" s="180"/>
      <c r="V187" s="180"/>
      <c r="W187" s="232"/>
      <c r="X187" s="232"/>
      <c r="Y187" s="232"/>
      <c r="Z187" s="232"/>
      <c r="AA187" s="232"/>
      <c r="AB187" s="232"/>
      <c r="AC187" s="232"/>
      <c r="AD187" s="232"/>
      <c r="AE187" s="232"/>
      <c r="AF187" s="232"/>
      <c r="AG187" s="101"/>
    </row>
    <row r="188" spans="1:33" ht="15" customHeight="1" x14ac:dyDescent="0.2">
      <c r="A188" s="449"/>
      <c r="B188" s="76" t="s">
        <v>82</v>
      </c>
      <c r="C188" s="1" t="s">
        <v>61</v>
      </c>
      <c r="D188" s="203">
        <v>152.33881163084706</v>
      </c>
      <c r="E188" s="203">
        <v>156.38432364096082</v>
      </c>
      <c r="F188" s="203">
        <v>173.07206068268016</v>
      </c>
      <c r="G188" s="203">
        <v>192.58570684911132</v>
      </c>
      <c r="H188" s="203">
        <v>212.6794080464044</v>
      </c>
      <c r="I188" s="203">
        <v>234.2083736149327</v>
      </c>
      <c r="J188" s="203">
        <v>255.00855209340375</v>
      </c>
      <c r="K188" s="203">
        <v>283.88488138618277</v>
      </c>
      <c r="L188" s="203">
        <v>288.06425224957241</v>
      </c>
      <c r="M188" s="203">
        <v>294.935673384398</v>
      </c>
      <c r="N188" s="203">
        <v>301.5839964304306</v>
      </c>
      <c r="O188" s="203">
        <v>307.39941994496911</v>
      </c>
      <c r="P188" s="203">
        <v>313.05867479735258</v>
      </c>
      <c r="Q188" s="203">
        <v>319.1864356362014</v>
      </c>
      <c r="S188" s="230"/>
      <c r="T188" s="230"/>
      <c r="U188" s="101"/>
      <c r="V188" s="101"/>
      <c r="W188" s="230"/>
      <c r="X188" s="230"/>
      <c r="Y188" s="230"/>
      <c r="Z188" s="230"/>
      <c r="AA188" s="230"/>
      <c r="AB188" s="230"/>
      <c r="AC188" s="230"/>
      <c r="AD188" s="230"/>
      <c r="AE188" s="230"/>
      <c r="AF188" s="230"/>
      <c r="AG188" s="101"/>
    </row>
    <row r="189" spans="1:33" ht="15" customHeight="1" x14ac:dyDescent="0.2">
      <c r="A189" s="449"/>
      <c r="B189" s="74" t="s">
        <v>33</v>
      </c>
      <c r="C189" s="1" t="s">
        <v>61</v>
      </c>
      <c r="D189" s="203">
        <v>50</v>
      </c>
      <c r="E189" s="203">
        <v>25</v>
      </c>
      <c r="F189" s="203">
        <v>0</v>
      </c>
      <c r="G189" s="203">
        <v>0</v>
      </c>
      <c r="H189" s="203">
        <v>0</v>
      </c>
      <c r="I189" s="203">
        <v>0</v>
      </c>
      <c r="J189" s="203">
        <v>0</v>
      </c>
      <c r="K189" s="203">
        <v>0</v>
      </c>
      <c r="L189" s="203">
        <v>0</v>
      </c>
      <c r="M189" s="203">
        <v>0</v>
      </c>
      <c r="N189" s="203">
        <v>0</v>
      </c>
      <c r="O189" s="203">
        <v>0</v>
      </c>
      <c r="P189" s="203">
        <v>0</v>
      </c>
      <c r="Q189" s="203">
        <v>0</v>
      </c>
      <c r="S189" s="230"/>
      <c r="T189" s="230"/>
      <c r="U189" s="101"/>
      <c r="V189" s="101"/>
      <c r="W189" s="230"/>
      <c r="X189" s="230"/>
      <c r="Y189" s="230"/>
      <c r="Z189" s="230"/>
      <c r="AA189" s="230"/>
      <c r="AB189" s="230"/>
      <c r="AC189" s="230"/>
      <c r="AD189" s="230"/>
      <c r="AE189" s="230"/>
      <c r="AF189" s="230"/>
      <c r="AG189" s="101"/>
    </row>
    <row r="190" spans="1:33" ht="15" customHeight="1" x14ac:dyDescent="0.2">
      <c r="A190" s="449"/>
      <c r="B190" s="76" t="s">
        <v>103</v>
      </c>
      <c r="C190" s="4" t="s">
        <v>112</v>
      </c>
      <c r="D190" s="202">
        <v>2.1729609654822128E-2</v>
      </c>
      <c r="E190" s="202">
        <v>4.2563122435700422E-2</v>
      </c>
      <c r="F190" s="202">
        <v>7.9221596798729643E-2</v>
      </c>
      <c r="G190" s="202">
        <v>0.12104481719249827</v>
      </c>
      <c r="H190" s="202">
        <v>0.1816060687387489</v>
      </c>
      <c r="I190" s="202">
        <v>0.27756822157499184</v>
      </c>
      <c r="J190" s="202">
        <v>0.37832792169431789</v>
      </c>
      <c r="K190" s="202">
        <v>0.5684160505621817</v>
      </c>
      <c r="L190" s="202">
        <v>0.80546664639454091</v>
      </c>
      <c r="M190" s="202">
        <v>1.1207288866548697</v>
      </c>
      <c r="N190" s="202">
        <v>1.5293722472561442</v>
      </c>
      <c r="O190" s="202">
        <v>2.0295901497354025</v>
      </c>
      <c r="P190" s="202">
        <v>2.6791165470450999</v>
      </c>
      <c r="Q190" s="202">
        <v>3.5256743672802955</v>
      </c>
      <c r="S190" s="228"/>
      <c r="T190" s="228"/>
      <c r="U190" s="101"/>
      <c r="V190" s="101"/>
      <c r="W190" s="228"/>
      <c r="X190" s="228"/>
      <c r="Y190" s="228"/>
      <c r="Z190" s="228"/>
      <c r="AA190" s="228"/>
      <c r="AB190" s="228"/>
      <c r="AC190" s="228"/>
      <c r="AD190" s="228"/>
      <c r="AE190" s="228"/>
      <c r="AF190" s="228"/>
      <c r="AG190" s="101"/>
    </row>
    <row r="191" spans="1:33" ht="15" customHeight="1" x14ac:dyDescent="0.2">
      <c r="A191" s="449"/>
      <c r="B191" s="74" t="s">
        <v>89</v>
      </c>
      <c r="C191" s="1" t="s">
        <v>19</v>
      </c>
      <c r="D191" s="202">
        <v>3.7894114404544301</v>
      </c>
      <c r="E191" s="202">
        <v>10.402955513673991</v>
      </c>
      <c r="F191" s="202">
        <v>21.99355244200974</v>
      </c>
      <c r="G191" s="202">
        <v>38.824390017528302</v>
      </c>
      <c r="H191" s="202">
        <v>58.149856742870597</v>
      </c>
      <c r="I191" s="202">
        <v>97.3073839019399</v>
      </c>
      <c r="J191" s="202">
        <v>146.088656830633</v>
      </c>
      <c r="K191" s="202">
        <v>238.50207872244439</v>
      </c>
      <c r="L191" s="202">
        <v>350.525473011901</v>
      </c>
      <c r="M191" s="202">
        <v>483.18676801670301</v>
      </c>
      <c r="N191" s="202">
        <v>623.48797719434697</v>
      </c>
      <c r="O191" s="202">
        <v>756.11606245709004</v>
      </c>
      <c r="P191" s="202">
        <v>889.00870624910499</v>
      </c>
      <c r="Q191" s="202">
        <v>1024.46109319377</v>
      </c>
      <c r="S191" s="228"/>
      <c r="T191" s="228"/>
      <c r="U191" s="101"/>
      <c r="V191" s="101"/>
      <c r="W191" s="228"/>
      <c r="X191" s="228"/>
      <c r="Y191" s="228"/>
      <c r="Z191" s="228"/>
      <c r="AA191" s="228"/>
      <c r="AB191" s="228"/>
      <c r="AC191" s="228"/>
      <c r="AD191" s="228"/>
      <c r="AE191" s="228"/>
      <c r="AF191" s="228"/>
      <c r="AG191" s="101"/>
    </row>
    <row r="192" spans="1:33" ht="15" customHeight="1" x14ac:dyDescent="0.2">
      <c r="A192" s="449"/>
      <c r="B192" s="74" t="s">
        <v>119</v>
      </c>
      <c r="C192" s="1" t="s">
        <v>19</v>
      </c>
      <c r="D192" s="202">
        <v>1233</v>
      </c>
      <c r="E192" s="202">
        <v>1233</v>
      </c>
      <c r="F192" s="202">
        <v>1233</v>
      </c>
      <c r="G192" s="202">
        <v>1233</v>
      </c>
      <c r="H192" s="202">
        <v>1233</v>
      </c>
      <c r="I192" s="202">
        <v>1233</v>
      </c>
      <c r="J192" s="202">
        <v>1233</v>
      </c>
      <c r="K192" s="202">
        <v>1233</v>
      </c>
      <c r="L192" s="202">
        <v>1233</v>
      </c>
      <c r="M192" s="202">
        <v>1233</v>
      </c>
      <c r="N192" s="202">
        <v>1233</v>
      </c>
      <c r="O192" s="202">
        <v>1233</v>
      </c>
      <c r="P192" s="202">
        <v>1233</v>
      </c>
      <c r="Q192" s="202">
        <v>1233</v>
      </c>
      <c r="S192" s="228"/>
      <c r="T192" s="228"/>
      <c r="U192" s="101"/>
      <c r="V192" s="101"/>
      <c r="W192" s="228"/>
      <c r="X192" s="228"/>
      <c r="Y192" s="228"/>
      <c r="Z192" s="228"/>
      <c r="AA192" s="228"/>
      <c r="AB192" s="228"/>
      <c r="AC192" s="228"/>
      <c r="AD192" s="228"/>
      <c r="AE192" s="228"/>
      <c r="AF192" s="228"/>
      <c r="AG192" s="101"/>
    </row>
    <row r="193" spans="1:33" ht="15" customHeight="1" x14ac:dyDescent="0.2">
      <c r="A193" s="449"/>
      <c r="B193" s="74" t="s">
        <v>161</v>
      </c>
      <c r="C193" s="1" t="s">
        <v>157</v>
      </c>
      <c r="D193" s="202">
        <v>0</v>
      </c>
      <c r="E193" s="202">
        <v>0</v>
      </c>
      <c r="F193" s="202">
        <v>27.82</v>
      </c>
      <c r="G193" s="202">
        <v>27.82</v>
      </c>
      <c r="H193" s="202">
        <v>27.82</v>
      </c>
      <c r="I193" s="202">
        <v>27.82</v>
      </c>
      <c r="J193" s="202">
        <v>27.82</v>
      </c>
      <c r="K193" s="202">
        <v>27.82</v>
      </c>
      <c r="L193" s="202">
        <v>27.82</v>
      </c>
      <c r="M193" s="202">
        <v>27.82</v>
      </c>
      <c r="N193" s="202">
        <v>27.82</v>
      </c>
      <c r="O193" s="202">
        <v>27.82</v>
      </c>
      <c r="P193" s="202">
        <v>27.82</v>
      </c>
      <c r="Q193" s="202">
        <v>27.82</v>
      </c>
      <c r="S193" s="228"/>
      <c r="T193" s="228"/>
      <c r="U193" s="236"/>
      <c r="V193" s="101"/>
      <c r="W193" s="228"/>
      <c r="X193" s="228"/>
      <c r="Y193" s="228"/>
      <c r="Z193" s="228"/>
      <c r="AA193" s="228"/>
      <c r="AB193" s="228"/>
      <c r="AC193" s="228"/>
      <c r="AD193" s="228"/>
      <c r="AE193" s="228"/>
      <c r="AF193" s="228"/>
      <c r="AG193" s="101"/>
    </row>
    <row r="194" spans="1:33" ht="15" customHeight="1" x14ac:dyDescent="0.2">
      <c r="A194" s="449"/>
      <c r="B194" s="74" t="s">
        <v>68</v>
      </c>
      <c r="C194" s="1" t="s">
        <v>18</v>
      </c>
      <c r="D194" s="206">
        <v>0</v>
      </c>
      <c r="E194" s="206">
        <v>0</v>
      </c>
      <c r="F194" s="203">
        <v>20</v>
      </c>
      <c r="G194" s="203">
        <v>40</v>
      </c>
      <c r="H194" s="203">
        <v>80</v>
      </c>
      <c r="I194" s="203">
        <v>150</v>
      </c>
      <c r="J194" s="203">
        <v>200</v>
      </c>
      <c r="K194" s="203">
        <v>250</v>
      </c>
      <c r="L194" s="203">
        <v>300</v>
      </c>
      <c r="M194" s="203">
        <v>325</v>
      </c>
      <c r="N194" s="203">
        <v>350</v>
      </c>
      <c r="O194" s="203">
        <v>375</v>
      </c>
      <c r="P194" s="203">
        <v>400</v>
      </c>
      <c r="Q194" s="203">
        <v>425</v>
      </c>
      <c r="S194" s="233"/>
      <c r="T194" s="233"/>
      <c r="U194" s="101"/>
      <c r="V194" s="101"/>
      <c r="W194" s="230"/>
      <c r="X194" s="230"/>
      <c r="Y194" s="230"/>
      <c r="Z194" s="230"/>
      <c r="AA194" s="230"/>
      <c r="AB194" s="230"/>
      <c r="AC194" s="230"/>
      <c r="AD194" s="230"/>
      <c r="AE194" s="230"/>
      <c r="AF194" s="230"/>
      <c r="AG194" s="101"/>
    </row>
    <row r="195" spans="1:33" ht="15" customHeight="1" x14ac:dyDescent="0.2">
      <c r="A195" s="449"/>
      <c r="B195" s="79" t="s">
        <v>81</v>
      </c>
      <c r="C195" s="150" t="s">
        <v>43</v>
      </c>
      <c r="D195" s="207">
        <v>7.4999999999999997E-3</v>
      </c>
      <c r="E195" s="207">
        <v>1.4999999999999999E-2</v>
      </c>
      <c r="F195" s="207">
        <v>2.2499999999999999E-2</v>
      </c>
      <c r="G195" s="207">
        <v>0.03</v>
      </c>
      <c r="H195" s="207">
        <v>0.04</v>
      </c>
      <c r="I195" s="207">
        <v>0.06</v>
      </c>
      <c r="J195" s="207">
        <v>0.09</v>
      </c>
      <c r="K195" s="207">
        <v>0.12</v>
      </c>
      <c r="L195" s="207">
        <v>0.16</v>
      </c>
      <c r="M195" s="207">
        <v>0.2</v>
      </c>
      <c r="N195" s="207">
        <v>0.25</v>
      </c>
      <c r="O195" s="207">
        <v>0.3</v>
      </c>
      <c r="P195" s="207">
        <v>0.35</v>
      </c>
      <c r="Q195" s="207">
        <v>0.38</v>
      </c>
      <c r="S195" s="111"/>
      <c r="T195" s="111"/>
      <c r="U195" s="101"/>
      <c r="V195" s="101"/>
      <c r="W195" s="111"/>
      <c r="X195" s="111"/>
      <c r="Y195" s="111"/>
      <c r="Z195" s="111"/>
      <c r="AA195" s="111"/>
      <c r="AB195" s="111"/>
      <c r="AC195" s="111"/>
      <c r="AD195" s="111"/>
      <c r="AE195" s="111"/>
      <c r="AF195" s="111"/>
      <c r="AG195" s="101"/>
    </row>
    <row r="196" spans="1:33" ht="15" customHeight="1" x14ac:dyDescent="0.2">
      <c r="A196" s="449"/>
      <c r="B196" s="79" t="s">
        <v>54</v>
      </c>
      <c r="C196" s="150" t="s">
        <v>45</v>
      </c>
      <c r="D196" s="26">
        <v>3.0000000000000001E-3</v>
      </c>
      <c r="E196" s="26">
        <v>3.0000000000000001E-3</v>
      </c>
      <c r="F196" s="26">
        <v>0.02</v>
      </c>
      <c r="G196" s="26">
        <v>0.25</v>
      </c>
      <c r="H196" s="26">
        <v>0.375</v>
      </c>
      <c r="I196" s="26">
        <v>0.5</v>
      </c>
      <c r="J196" s="26">
        <v>0.75</v>
      </c>
      <c r="K196" s="26">
        <v>1</v>
      </c>
      <c r="L196" s="26">
        <v>1.25</v>
      </c>
      <c r="M196" s="26">
        <v>1.5</v>
      </c>
      <c r="N196" s="26">
        <v>1.75</v>
      </c>
      <c r="O196" s="26">
        <v>2</v>
      </c>
      <c r="P196" s="26">
        <v>2.25</v>
      </c>
      <c r="Q196" s="26">
        <v>2.25</v>
      </c>
      <c r="S196" s="234"/>
      <c r="T196" s="234"/>
      <c r="W196" s="101"/>
      <c r="X196" s="101"/>
      <c r="Y196" s="101"/>
      <c r="Z196" s="101"/>
      <c r="AA196" s="101"/>
      <c r="AB196" s="101"/>
      <c r="AC196" s="101"/>
      <c r="AD196" s="101"/>
      <c r="AE196" s="101"/>
      <c r="AF196" s="101"/>
      <c r="AG196" s="101"/>
    </row>
    <row r="197" spans="1:33" ht="15" customHeight="1" x14ac:dyDescent="0.2">
      <c r="A197" s="449"/>
      <c r="B197" s="79" t="s">
        <v>76</v>
      </c>
      <c r="C197" s="150" t="s">
        <v>45</v>
      </c>
      <c r="D197" s="226">
        <v>0.154</v>
      </c>
      <c r="E197" s="226">
        <v>0.154</v>
      </c>
      <c r="F197" s="226">
        <v>0.154</v>
      </c>
      <c r="G197" s="226">
        <v>0.154</v>
      </c>
      <c r="H197" s="226">
        <v>0.154</v>
      </c>
      <c r="I197" s="226">
        <v>0.154</v>
      </c>
      <c r="J197" s="226">
        <v>0.154</v>
      </c>
      <c r="K197" s="226">
        <v>0.154</v>
      </c>
      <c r="L197" s="226">
        <v>0.154</v>
      </c>
      <c r="M197" s="226">
        <v>0.154</v>
      </c>
      <c r="N197" s="226">
        <v>0.154</v>
      </c>
      <c r="O197" s="226">
        <v>0.154</v>
      </c>
      <c r="P197" s="226">
        <v>0.154</v>
      </c>
      <c r="Q197" s="226">
        <v>0.154</v>
      </c>
      <c r="S197" s="101"/>
      <c r="T197" s="101"/>
      <c r="W197" s="101"/>
      <c r="X197" s="101"/>
      <c r="Y197" s="101"/>
      <c r="Z197" s="101"/>
      <c r="AA197" s="101"/>
      <c r="AB197" s="101"/>
      <c r="AC197" s="101"/>
      <c r="AD197" s="101"/>
      <c r="AE197" s="101"/>
      <c r="AF197" s="101"/>
      <c r="AG197" s="101"/>
    </row>
    <row r="198" spans="1:33" ht="15" customHeight="1" x14ac:dyDescent="0.2">
      <c r="A198" s="449"/>
      <c r="B198" s="79" t="s">
        <v>56</v>
      </c>
      <c r="C198" s="150" t="s">
        <v>45</v>
      </c>
      <c r="D198" s="209">
        <v>0</v>
      </c>
      <c r="E198" s="209">
        <v>0</v>
      </c>
      <c r="F198" s="209">
        <v>0.1</v>
      </c>
      <c r="G198" s="209">
        <v>0.3</v>
      </c>
      <c r="H198" s="209">
        <v>0.6</v>
      </c>
      <c r="I198" s="209">
        <v>0.9</v>
      </c>
      <c r="J198" s="209">
        <v>1.2</v>
      </c>
      <c r="K198" s="209">
        <v>1.5</v>
      </c>
      <c r="L198" s="209">
        <v>1.5</v>
      </c>
      <c r="M198" s="209">
        <v>1.5</v>
      </c>
      <c r="N198" s="209">
        <v>1.5</v>
      </c>
      <c r="O198" s="209">
        <v>1.5</v>
      </c>
      <c r="P198" s="209">
        <v>1.5</v>
      </c>
      <c r="Q198" s="209">
        <v>1.5</v>
      </c>
      <c r="S198" s="180"/>
      <c r="T198" s="180"/>
      <c r="W198" s="180"/>
      <c r="X198" s="180"/>
      <c r="Y198" s="180"/>
      <c r="Z198" s="180"/>
      <c r="AA198" s="180"/>
      <c r="AB198" s="180"/>
      <c r="AC198" s="180"/>
      <c r="AD198" s="180"/>
      <c r="AE198" s="180"/>
      <c r="AF198" s="180"/>
      <c r="AG198" s="101"/>
    </row>
    <row r="199" spans="1:33" ht="15.75" customHeight="1" x14ac:dyDescent="0.2">
      <c r="A199" s="449"/>
      <c r="B199" s="79" t="s">
        <v>55</v>
      </c>
      <c r="C199" s="150" t="s">
        <v>45</v>
      </c>
      <c r="D199" s="26">
        <v>0</v>
      </c>
      <c r="E199" s="26">
        <v>0.01</v>
      </c>
      <c r="F199" s="26">
        <v>0.05</v>
      </c>
      <c r="G199" s="26">
        <v>0.25</v>
      </c>
      <c r="H199" s="26">
        <v>0.5</v>
      </c>
      <c r="I199" s="26">
        <v>0.5</v>
      </c>
      <c r="J199" s="26">
        <v>0.5</v>
      </c>
      <c r="K199" s="26">
        <v>0.5</v>
      </c>
      <c r="L199" s="26">
        <v>0.5</v>
      </c>
      <c r="M199" s="26">
        <v>0.5</v>
      </c>
      <c r="N199" s="26">
        <v>0.5</v>
      </c>
      <c r="O199" s="26">
        <v>0.5</v>
      </c>
      <c r="P199" s="26">
        <v>0.5</v>
      </c>
      <c r="Q199" s="26">
        <v>0.5</v>
      </c>
      <c r="S199" s="101"/>
      <c r="T199" s="101"/>
      <c r="W199" s="101"/>
      <c r="X199" s="101"/>
      <c r="Y199" s="101"/>
      <c r="Z199" s="101"/>
      <c r="AA199" s="101"/>
      <c r="AB199" s="101"/>
      <c r="AC199" s="101"/>
      <c r="AD199" s="101"/>
      <c r="AE199" s="101"/>
      <c r="AF199" s="101"/>
      <c r="AG199" s="101"/>
    </row>
    <row r="200" spans="1:33" ht="15.75" customHeight="1" x14ac:dyDescent="0.2">
      <c r="A200" s="449"/>
      <c r="B200" s="79" t="s">
        <v>166</v>
      </c>
      <c r="C200" s="150" t="s">
        <v>167</v>
      </c>
      <c r="D200" s="226">
        <v>71</v>
      </c>
      <c r="E200" s="226">
        <v>71</v>
      </c>
      <c r="F200" s="226">
        <v>71</v>
      </c>
      <c r="G200" s="226">
        <v>71</v>
      </c>
      <c r="H200" s="226">
        <f>G200*0.9</f>
        <v>63.9</v>
      </c>
      <c r="I200" s="226">
        <f>H200*0.9</f>
        <v>57.51</v>
      </c>
      <c r="J200" s="226">
        <f>I200*0.9</f>
        <v>51.759</v>
      </c>
      <c r="K200" s="226">
        <f>J200*0.9</f>
        <v>46.583100000000002</v>
      </c>
      <c r="L200" s="226">
        <v>45</v>
      </c>
      <c r="M200" s="226">
        <v>45</v>
      </c>
      <c r="N200" s="226">
        <v>45</v>
      </c>
      <c r="O200" s="226">
        <v>45</v>
      </c>
      <c r="P200" s="226">
        <v>45</v>
      </c>
      <c r="Q200" s="226">
        <v>45</v>
      </c>
      <c r="S200" s="101"/>
      <c r="T200" s="101"/>
      <c r="W200" s="101"/>
      <c r="X200" s="101"/>
      <c r="Y200" s="101"/>
      <c r="Z200" s="101"/>
      <c r="AA200" s="101"/>
      <c r="AB200" s="101"/>
      <c r="AC200" s="101"/>
      <c r="AD200" s="101"/>
      <c r="AE200" s="101"/>
      <c r="AF200" s="101"/>
      <c r="AG200" s="101"/>
    </row>
    <row r="201" spans="1:33" ht="15.75" customHeight="1" x14ac:dyDescent="0.2">
      <c r="A201" s="449"/>
      <c r="B201" s="79" t="s">
        <v>163</v>
      </c>
      <c r="C201" s="150" t="s">
        <v>167</v>
      </c>
      <c r="D201" s="226">
        <v>30.929411764705883</v>
      </c>
      <c r="E201" s="226">
        <v>30.929411764705883</v>
      </c>
      <c r="F201" s="226">
        <v>25</v>
      </c>
      <c r="G201" s="226">
        <v>20</v>
      </c>
      <c r="H201" s="226">
        <v>15</v>
      </c>
      <c r="I201" s="226">
        <v>10</v>
      </c>
      <c r="J201" s="226">
        <v>10</v>
      </c>
      <c r="K201" s="226">
        <v>10</v>
      </c>
      <c r="L201" s="226">
        <v>10</v>
      </c>
      <c r="M201" s="226">
        <v>10</v>
      </c>
      <c r="N201" s="226">
        <v>10</v>
      </c>
      <c r="O201" s="226">
        <v>10</v>
      </c>
      <c r="P201" s="226">
        <v>10</v>
      </c>
      <c r="Q201" s="226">
        <v>10</v>
      </c>
      <c r="S201" s="101"/>
      <c r="T201" s="101"/>
      <c r="W201" s="101"/>
      <c r="X201" s="101"/>
      <c r="Y201" s="101"/>
      <c r="Z201" s="101"/>
      <c r="AA201" s="101"/>
      <c r="AB201" s="101"/>
      <c r="AC201" s="101"/>
      <c r="AD201" s="101"/>
      <c r="AE201" s="101"/>
      <c r="AF201" s="101"/>
      <c r="AG201" s="101"/>
    </row>
    <row r="202" spans="1:33" ht="16" thickBot="1" x14ac:dyDescent="0.25">
      <c r="A202" s="450"/>
      <c r="B202" s="79" t="s">
        <v>57</v>
      </c>
      <c r="C202" s="150" t="s">
        <v>167</v>
      </c>
      <c r="D202" s="26">
        <v>0</v>
      </c>
      <c r="E202" s="26">
        <v>0</v>
      </c>
      <c r="F202" s="26">
        <v>0.13</v>
      </c>
      <c r="G202" s="26">
        <v>0.51</v>
      </c>
      <c r="H202" s="26">
        <v>0.87</v>
      </c>
      <c r="I202" s="26">
        <v>1.22</v>
      </c>
      <c r="J202" s="26">
        <v>1.22</v>
      </c>
      <c r="K202" s="26">
        <v>1.22</v>
      </c>
      <c r="L202" s="26">
        <v>1.22</v>
      </c>
      <c r="M202" s="26">
        <v>1.22</v>
      </c>
      <c r="N202" s="26">
        <v>1.22</v>
      </c>
      <c r="O202" s="26">
        <v>1.22</v>
      </c>
      <c r="P202" s="26">
        <v>1.22</v>
      </c>
      <c r="Q202" s="26">
        <v>1.22</v>
      </c>
      <c r="S202" s="101"/>
      <c r="T202" s="101"/>
      <c r="W202" s="101"/>
      <c r="X202" s="101"/>
      <c r="Y202" s="101"/>
      <c r="Z202" s="101"/>
      <c r="AA202" s="101"/>
      <c r="AB202" s="101"/>
      <c r="AC202" s="101"/>
      <c r="AD202" s="101"/>
      <c r="AE202" s="101"/>
      <c r="AF202" s="101"/>
      <c r="AG202" s="101"/>
    </row>
    <row r="203" spans="1:33" ht="16" thickBot="1" x14ac:dyDescent="0.25">
      <c r="D203" s="243">
        <v>100</v>
      </c>
      <c r="E203" s="243">
        <v>125</v>
      </c>
      <c r="F203" s="243">
        <v>125</v>
      </c>
      <c r="G203" s="243">
        <v>125</v>
      </c>
      <c r="H203" s="243">
        <v>125</v>
      </c>
      <c r="I203" s="243">
        <v>125</v>
      </c>
      <c r="J203" s="243">
        <v>100</v>
      </c>
      <c r="K203" s="243">
        <v>100</v>
      </c>
      <c r="L203" s="243">
        <v>100</v>
      </c>
      <c r="M203" s="243">
        <v>100</v>
      </c>
      <c r="N203" s="243">
        <v>85</v>
      </c>
      <c r="O203" s="243">
        <v>85</v>
      </c>
      <c r="P203" s="243">
        <v>85</v>
      </c>
      <c r="Q203" s="243">
        <v>85</v>
      </c>
    </row>
    <row r="204" spans="1:33" ht="15" customHeight="1" x14ac:dyDescent="0.2">
      <c r="A204" s="448" t="s">
        <v>193</v>
      </c>
      <c r="B204" s="74" t="s">
        <v>72</v>
      </c>
      <c r="C204" s="14" t="s">
        <v>15</v>
      </c>
      <c r="D204" s="210">
        <v>2017</v>
      </c>
      <c r="E204" s="210">
        <v>2018</v>
      </c>
      <c r="F204" s="210">
        <v>2019</v>
      </c>
      <c r="G204" s="210">
        <v>2020</v>
      </c>
      <c r="H204" s="210">
        <v>2021</v>
      </c>
      <c r="I204" s="210">
        <v>2022</v>
      </c>
      <c r="J204" s="210">
        <v>2023</v>
      </c>
      <c r="K204" s="210">
        <v>2024</v>
      </c>
      <c r="L204" s="210">
        <v>2025</v>
      </c>
      <c r="M204" s="4">
        <v>2026</v>
      </c>
      <c r="N204" s="4">
        <v>2027</v>
      </c>
      <c r="O204" s="4">
        <v>2028</v>
      </c>
      <c r="P204" s="4">
        <v>2029</v>
      </c>
      <c r="Q204" s="4">
        <v>2030</v>
      </c>
    </row>
    <row r="205" spans="1:33" ht="15" customHeight="1" x14ac:dyDescent="0.2">
      <c r="A205" s="449"/>
      <c r="B205" s="74" t="s">
        <v>158</v>
      </c>
      <c r="C205" s="1" t="s">
        <v>18</v>
      </c>
      <c r="D205" s="252">
        <v>18.423134009999998</v>
      </c>
      <c r="E205" s="252">
        <v>21.954198859999998</v>
      </c>
      <c r="F205" s="252">
        <v>25.79566213</v>
      </c>
      <c r="G205" s="252">
        <v>29.947523820000001</v>
      </c>
      <c r="H205" s="252">
        <v>34.409783930000003</v>
      </c>
      <c r="I205" s="252">
        <v>39.182442460000004</v>
      </c>
      <c r="J205" s="252">
        <v>44.265499409999997</v>
      </c>
      <c r="K205" s="252">
        <v>49.658954780000002</v>
      </c>
      <c r="L205" s="252">
        <v>55.362808569999999</v>
      </c>
      <c r="M205" s="252">
        <v>61.377060779999994</v>
      </c>
      <c r="N205" s="252">
        <v>67.701711410000001</v>
      </c>
      <c r="O205" s="252">
        <v>74.336760459999994</v>
      </c>
      <c r="P205" s="252">
        <v>81.282207929999998</v>
      </c>
      <c r="Q205" s="252">
        <v>88.538053819999988</v>
      </c>
    </row>
    <row r="206" spans="1:33" ht="15" customHeight="1" x14ac:dyDescent="0.2">
      <c r="A206" s="449"/>
      <c r="B206" s="74" t="s">
        <v>17</v>
      </c>
      <c r="C206" s="1" t="s">
        <v>18</v>
      </c>
      <c r="D206" s="202">
        <v>1.0083198807897678</v>
      </c>
      <c r="E206" s="202">
        <v>2.0166397615795355</v>
      </c>
      <c r="F206" s="202">
        <v>4.033279523159071</v>
      </c>
      <c r="G206" s="202">
        <v>7.4866509375388048</v>
      </c>
      <c r="H206" s="202">
        <v>11.508297006019333</v>
      </c>
      <c r="I206" s="202">
        <v>16.249135193627929</v>
      </c>
      <c r="J206" s="202">
        <v>22.164050263776673</v>
      </c>
      <c r="K206" s="202">
        <v>30.406059853470754</v>
      </c>
      <c r="L206" s="202">
        <v>41.012873049381184</v>
      </c>
      <c r="M206" s="202">
        <v>51.043503456268887</v>
      </c>
      <c r="N206" s="202">
        <v>70</v>
      </c>
      <c r="O206" s="202">
        <v>95</v>
      </c>
      <c r="P206" s="202">
        <v>110</v>
      </c>
      <c r="Q206" s="202">
        <v>110</v>
      </c>
    </row>
    <row r="207" spans="1:33" ht="15" customHeight="1" x14ac:dyDescent="0.2">
      <c r="A207" s="449"/>
      <c r="B207" s="74" t="s">
        <v>124</v>
      </c>
      <c r="C207" s="1" t="s">
        <v>18</v>
      </c>
      <c r="D207" s="202">
        <v>50</v>
      </c>
      <c r="E207" s="202">
        <v>100</v>
      </c>
      <c r="F207" s="202">
        <v>150</v>
      </c>
      <c r="G207" s="202">
        <v>150</v>
      </c>
      <c r="H207" s="202">
        <v>150</v>
      </c>
      <c r="I207" s="202">
        <v>150</v>
      </c>
      <c r="J207" s="202">
        <v>150</v>
      </c>
      <c r="K207" s="202">
        <v>100</v>
      </c>
      <c r="L207" s="202">
        <v>50</v>
      </c>
      <c r="M207" s="202">
        <v>0</v>
      </c>
      <c r="N207" s="202">
        <v>0</v>
      </c>
      <c r="O207" s="202">
        <v>0</v>
      </c>
      <c r="P207" s="202">
        <v>0</v>
      </c>
      <c r="Q207" s="202">
        <v>0</v>
      </c>
    </row>
    <row r="208" spans="1:33" ht="15" customHeight="1" x14ac:dyDescent="0.2">
      <c r="A208" s="449"/>
      <c r="B208" s="76" t="s">
        <v>16</v>
      </c>
      <c r="C208" s="1" t="s">
        <v>18</v>
      </c>
      <c r="D208" s="202">
        <v>0</v>
      </c>
      <c r="E208" s="202">
        <v>0</v>
      </c>
      <c r="F208" s="202">
        <v>0</v>
      </c>
      <c r="G208" s="202">
        <v>0</v>
      </c>
      <c r="H208" s="202">
        <v>0</v>
      </c>
      <c r="I208" s="202">
        <v>0</v>
      </c>
      <c r="J208" s="202">
        <v>0</v>
      </c>
      <c r="K208" s="202">
        <v>0</v>
      </c>
      <c r="L208" s="202">
        <v>0</v>
      </c>
      <c r="M208" s="202">
        <v>0</v>
      </c>
      <c r="N208" s="202">
        <v>0</v>
      </c>
      <c r="O208" s="202">
        <v>0</v>
      </c>
      <c r="P208" s="202">
        <v>0</v>
      </c>
      <c r="Q208" s="202">
        <v>0</v>
      </c>
    </row>
    <row r="209" spans="1:17" ht="15" customHeight="1" x14ac:dyDescent="0.2">
      <c r="A209" s="449"/>
      <c r="B209" s="74" t="s">
        <v>5</v>
      </c>
      <c r="C209" s="1" t="s">
        <v>112</v>
      </c>
      <c r="D209" s="253">
        <v>0.37959999999999999</v>
      </c>
      <c r="E209" s="253">
        <v>0.71909999999999996</v>
      </c>
      <c r="F209" s="253">
        <v>1.3375999999999999</v>
      </c>
      <c r="G209" s="253">
        <v>2.3818000000000001</v>
      </c>
      <c r="H209" s="253">
        <v>3.8589000000000002</v>
      </c>
      <c r="I209" s="253">
        <v>6.1199000000000003</v>
      </c>
      <c r="J209" s="253">
        <v>12.969796448400741</v>
      </c>
      <c r="K209" s="253">
        <v>23.844189345202228</v>
      </c>
      <c r="L209" s="253">
        <v>34.718582242003706</v>
      </c>
      <c r="M209" s="203">
        <v>46.503340140812966</v>
      </c>
      <c r="N209" s="203">
        <v>60.43963971087399</v>
      </c>
      <c r="O209" s="203">
        <v>76.90295046180654</v>
      </c>
      <c r="P209" s="203">
        <v>95.924299289722157</v>
      </c>
      <c r="Q209" s="203">
        <v>117.46945822516899</v>
      </c>
    </row>
    <row r="210" spans="1:17" ht="15" customHeight="1" x14ac:dyDescent="0.2">
      <c r="A210" s="449"/>
      <c r="B210" s="74" t="s">
        <v>0</v>
      </c>
      <c r="C210" s="1" t="s">
        <v>19</v>
      </c>
      <c r="D210" s="254">
        <v>973.85187199999996</v>
      </c>
      <c r="E210" s="254">
        <v>1193.638616</v>
      </c>
      <c r="F210" s="254">
        <v>1351.3739760000001</v>
      </c>
      <c r="G210" s="254">
        <v>1562.7517760000001</v>
      </c>
      <c r="H210" s="254">
        <v>1828.233696</v>
      </c>
      <c r="I210" s="254">
        <v>2124.219928</v>
      </c>
      <c r="J210" s="254">
        <v>2685.1889290279537</v>
      </c>
      <c r="K210" s="254">
        <v>3502.6569310838604</v>
      </c>
      <c r="L210" s="254">
        <v>4320.1249331397676</v>
      </c>
      <c r="M210" s="254">
        <v>5190.3348290815702</v>
      </c>
      <c r="N210" s="254">
        <v>6204.5862699682757</v>
      </c>
      <c r="O210" s="254">
        <v>7406.3858761759302</v>
      </c>
      <c r="P210" s="254">
        <v>8799.450102282628</v>
      </c>
      <c r="Q210" s="254">
        <v>10381.371019384236</v>
      </c>
    </row>
    <row r="211" spans="1:17" ht="15" customHeight="1" x14ac:dyDescent="0.2">
      <c r="A211" s="449"/>
      <c r="B211" s="74" t="s">
        <v>38</v>
      </c>
      <c r="C211" s="1" t="s">
        <v>18</v>
      </c>
      <c r="D211" s="204">
        <v>170</v>
      </c>
      <c r="E211" s="204">
        <v>200</v>
      </c>
      <c r="F211" s="204">
        <v>275</v>
      </c>
      <c r="G211" s="204">
        <v>350</v>
      </c>
      <c r="H211" s="204">
        <v>425</v>
      </c>
      <c r="I211" s="204">
        <v>500</v>
      </c>
      <c r="J211" s="204">
        <v>500</v>
      </c>
      <c r="K211" s="204">
        <v>500</v>
      </c>
      <c r="L211" s="204">
        <v>500</v>
      </c>
      <c r="M211" s="204">
        <v>500</v>
      </c>
      <c r="N211" s="204">
        <v>500</v>
      </c>
      <c r="O211" s="204">
        <v>500</v>
      </c>
      <c r="P211" s="204">
        <v>500</v>
      </c>
      <c r="Q211" s="204">
        <v>500</v>
      </c>
    </row>
    <row r="212" spans="1:17" ht="15" customHeight="1" x14ac:dyDescent="0.2">
      <c r="A212" s="449"/>
      <c r="B212" s="74" t="s">
        <v>1</v>
      </c>
      <c r="C212" s="1" t="s">
        <v>18</v>
      </c>
      <c r="D212" s="204">
        <v>350</v>
      </c>
      <c r="E212" s="204">
        <v>450</v>
      </c>
      <c r="F212" s="204">
        <v>550</v>
      </c>
      <c r="G212" s="204">
        <v>650</v>
      </c>
      <c r="H212" s="204">
        <v>750</v>
      </c>
      <c r="I212" s="204">
        <v>950</v>
      </c>
      <c r="J212" s="204">
        <v>1000</v>
      </c>
      <c r="K212" s="204">
        <v>1000</v>
      </c>
      <c r="L212" s="204">
        <v>1000</v>
      </c>
      <c r="M212" s="204">
        <v>1000</v>
      </c>
      <c r="N212" s="204">
        <v>900</v>
      </c>
      <c r="O212" s="204">
        <v>900</v>
      </c>
      <c r="P212" s="204">
        <v>900</v>
      </c>
      <c r="Q212" s="204">
        <v>900</v>
      </c>
    </row>
    <row r="213" spans="1:17" ht="15" customHeight="1" x14ac:dyDescent="0.2">
      <c r="A213" s="449"/>
      <c r="B213" s="76" t="s">
        <v>82</v>
      </c>
      <c r="C213" s="1" t="s">
        <v>61</v>
      </c>
      <c r="D213" s="203">
        <v>152.33881163084706</v>
      </c>
      <c r="E213" s="203">
        <v>156.38432364096082</v>
      </c>
      <c r="F213" s="203">
        <v>173.07206068268016</v>
      </c>
      <c r="G213" s="203">
        <v>192.58570684911132</v>
      </c>
      <c r="H213" s="203">
        <v>212.6794080464044</v>
      </c>
      <c r="I213" s="203">
        <v>234.2083736149327</v>
      </c>
      <c r="J213" s="203">
        <v>255.00855209340375</v>
      </c>
      <c r="K213" s="203">
        <v>283.88488138618277</v>
      </c>
      <c r="L213" s="203">
        <v>288.06425224957241</v>
      </c>
      <c r="M213" s="203">
        <v>294.935673384398</v>
      </c>
      <c r="N213" s="203">
        <v>301.5839964304306</v>
      </c>
      <c r="O213" s="203">
        <v>307.39941994496911</v>
      </c>
      <c r="P213" s="203">
        <v>313.05867479735258</v>
      </c>
      <c r="Q213" s="203">
        <v>319.1864356362014</v>
      </c>
    </row>
    <row r="214" spans="1:17" ht="15" customHeight="1" x14ac:dyDescent="0.2">
      <c r="A214" s="449"/>
      <c r="B214" s="74" t="s">
        <v>33</v>
      </c>
      <c r="C214" s="1" t="s">
        <v>61</v>
      </c>
      <c r="D214" s="203">
        <v>50</v>
      </c>
      <c r="E214" s="203">
        <v>25</v>
      </c>
      <c r="F214" s="203">
        <v>0</v>
      </c>
      <c r="G214" s="203">
        <v>0</v>
      </c>
      <c r="H214" s="203">
        <v>0</v>
      </c>
      <c r="I214" s="203">
        <v>0</v>
      </c>
      <c r="J214" s="203">
        <v>0</v>
      </c>
      <c r="K214" s="203">
        <v>0</v>
      </c>
      <c r="L214" s="203">
        <v>0</v>
      </c>
      <c r="M214" s="203">
        <v>0</v>
      </c>
      <c r="N214" s="203">
        <v>0</v>
      </c>
      <c r="O214" s="203">
        <v>0</v>
      </c>
      <c r="P214" s="203">
        <v>0</v>
      </c>
      <c r="Q214" s="203">
        <v>0</v>
      </c>
    </row>
    <row r="215" spans="1:17" ht="15" customHeight="1" x14ac:dyDescent="0.2">
      <c r="A215" s="449"/>
      <c r="B215" s="76" t="s">
        <v>103</v>
      </c>
      <c r="C215" s="4" t="s">
        <v>112</v>
      </c>
      <c r="D215" s="202">
        <v>2.1729609654822128E-2</v>
      </c>
      <c r="E215" s="202">
        <v>4.2563122435700422E-2</v>
      </c>
      <c r="F215" s="202">
        <v>7.9221596798729643E-2</v>
      </c>
      <c r="G215" s="202">
        <v>0.12104481719249827</v>
      </c>
      <c r="H215" s="202">
        <v>0.1816060687387489</v>
      </c>
      <c r="I215" s="202">
        <v>0.27756822157499184</v>
      </c>
      <c r="J215" s="202">
        <v>0.37832792169431789</v>
      </c>
      <c r="K215" s="202">
        <v>0.5684160505621817</v>
      </c>
      <c r="L215" s="202">
        <v>0.80546664639454091</v>
      </c>
      <c r="M215" s="202">
        <v>1.1207288866548697</v>
      </c>
      <c r="N215" s="202">
        <v>1.5293722472561442</v>
      </c>
      <c r="O215" s="202">
        <v>2.0295901497354025</v>
      </c>
      <c r="P215" s="202">
        <v>2.6791165470450999</v>
      </c>
      <c r="Q215" s="202">
        <v>3.5256743672802955</v>
      </c>
    </row>
    <row r="216" spans="1:17" ht="15" customHeight="1" x14ac:dyDescent="0.2">
      <c r="A216" s="449"/>
      <c r="B216" s="74" t="s">
        <v>89</v>
      </c>
      <c r="C216" s="1" t="s">
        <v>19</v>
      </c>
      <c r="D216" s="205">
        <v>3.7894114404544301</v>
      </c>
      <c r="E216" s="205">
        <v>10.402955513673991</v>
      </c>
      <c r="F216" s="205">
        <v>21.99355244200974</v>
      </c>
      <c r="G216" s="205">
        <v>38.824390017528302</v>
      </c>
      <c r="H216" s="205">
        <v>58.149856742870597</v>
      </c>
      <c r="I216" s="205">
        <v>97.3073839019399</v>
      </c>
      <c r="J216" s="205">
        <v>146.088656830633</v>
      </c>
      <c r="K216" s="205">
        <v>238.50207872244439</v>
      </c>
      <c r="L216" s="205">
        <v>350.525473011901</v>
      </c>
      <c r="M216" s="205">
        <v>483.18676801670301</v>
      </c>
      <c r="N216" s="205">
        <v>623.48797719434697</v>
      </c>
      <c r="O216" s="205">
        <v>756.11606245709004</v>
      </c>
      <c r="P216" s="205">
        <v>889.00870624910499</v>
      </c>
      <c r="Q216" s="205">
        <v>1024.46109319377</v>
      </c>
    </row>
    <row r="217" spans="1:17" ht="15" customHeight="1" x14ac:dyDescent="0.2">
      <c r="A217" s="449"/>
      <c r="B217" s="74" t="s">
        <v>119</v>
      </c>
      <c r="C217" s="1" t="s">
        <v>19</v>
      </c>
      <c r="D217" s="202">
        <v>1233</v>
      </c>
      <c r="E217" s="202">
        <v>1233</v>
      </c>
      <c r="F217" s="202">
        <v>1233</v>
      </c>
      <c r="G217" s="202">
        <v>1233</v>
      </c>
      <c r="H217" s="202">
        <v>1233</v>
      </c>
      <c r="I217" s="202">
        <v>1233</v>
      </c>
      <c r="J217" s="202">
        <v>1233</v>
      </c>
      <c r="K217" s="202">
        <v>1233</v>
      </c>
      <c r="L217" s="202">
        <v>1233</v>
      </c>
      <c r="M217" s="202">
        <v>1233</v>
      </c>
      <c r="N217" s="202">
        <v>1233</v>
      </c>
      <c r="O217" s="202">
        <v>1233</v>
      </c>
      <c r="P217" s="202">
        <v>1233</v>
      </c>
      <c r="Q217" s="202">
        <v>1233</v>
      </c>
    </row>
    <row r="218" spans="1:17" ht="15" customHeight="1" x14ac:dyDescent="0.2">
      <c r="A218" s="449"/>
      <c r="B218" s="74" t="s">
        <v>161</v>
      </c>
      <c r="C218" s="1" t="s">
        <v>157</v>
      </c>
      <c r="D218" s="202">
        <v>0</v>
      </c>
      <c r="E218" s="202">
        <v>0</v>
      </c>
      <c r="F218" s="202">
        <v>27.82</v>
      </c>
      <c r="G218" s="202">
        <v>27.82</v>
      </c>
      <c r="H218" s="202">
        <v>27.82</v>
      </c>
      <c r="I218" s="202">
        <v>27.82</v>
      </c>
      <c r="J218" s="202">
        <v>27.82</v>
      </c>
      <c r="K218" s="202">
        <v>27.82</v>
      </c>
      <c r="L218" s="202">
        <v>27.82</v>
      </c>
      <c r="M218" s="202">
        <v>27.82</v>
      </c>
      <c r="N218" s="202">
        <v>27.82</v>
      </c>
      <c r="O218" s="202">
        <v>27.82</v>
      </c>
      <c r="P218" s="202">
        <v>27.82</v>
      </c>
      <c r="Q218" s="202">
        <v>27.82</v>
      </c>
    </row>
    <row r="219" spans="1:17" ht="15" customHeight="1" x14ac:dyDescent="0.2">
      <c r="A219" s="449"/>
      <c r="B219" s="74" t="s">
        <v>68</v>
      </c>
      <c r="C219" s="1" t="s">
        <v>18</v>
      </c>
      <c r="D219" s="206">
        <v>0</v>
      </c>
      <c r="E219" s="206">
        <v>0</v>
      </c>
      <c r="F219" s="206">
        <v>20</v>
      </c>
      <c r="G219" s="206">
        <v>40</v>
      </c>
      <c r="H219" s="206">
        <v>80</v>
      </c>
      <c r="I219" s="206">
        <v>150</v>
      </c>
      <c r="J219" s="206">
        <v>200</v>
      </c>
      <c r="K219" s="206">
        <v>200</v>
      </c>
      <c r="L219" s="206">
        <v>200</v>
      </c>
      <c r="M219" s="206">
        <v>200</v>
      </c>
      <c r="N219" s="206">
        <v>175</v>
      </c>
      <c r="O219" s="206">
        <v>175</v>
      </c>
      <c r="P219" s="206">
        <v>175</v>
      </c>
      <c r="Q219" s="206">
        <v>175</v>
      </c>
    </row>
    <row r="220" spans="1:17" ht="15" customHeight="1" x14ac:dyDescent="0.2">
      <c r="A220" s="449"/>
      <c r="B220" s="79" t="s">
        <v>81</v>
      </c>
      <c r="C220" s="150" t="s">
        <v>43</v>
      </c>
      <c r="D220" s="207">
        <v>7.4999999999999997E-3</v>
      </c>
      <c r="E220" s="207">
        <v>1.4999999999999999E-2</v>
      </c>
      <c r="F220" s="207">
        <v>2.2499999999999999E-2</v>
      </c>
      <c r="G220" s="207">
        <v>0.03</v>
      </c>
      <c r="H220" s="207">
        <v>0.04</v>
      </c>
      <c r="I220" s="207">
        <v>0.06</v>
      </c>
      <c r="J220" s="207">
        <v>0.08</v>
      </c>
      <c r="K220" s="207">
        <v>0.1</v>
      </c>
      <c r="L220" s="207">
        <v>0.12</v>
      </c>
      <c r="M220" s="207">
        <v>0.14000000000000001</v>
      </c>
      <c r="N220" s="207">
        <v>0.16</v>
      </c>
      <c r="O220" s="207">
        <v>0.16</v>
      </c>
      <c r="P220" s="207">
        <v>0.16</v>
      </c>
      <c r="Q220" s="207">
        <v>0.16</v>
      </c>
    </row>
    <row r="221" spans="1:17" ht="15" customHeight="1" x14ac:dyDescent="0.2">
      <c r="A221" s="449"/>
      <c r="B221" s="79" t="s">
        <v>54</v>
      </c>
      <c r="C221" s="150" t="s">
        <v>45</v>
      </c>
      <c r="D221" s="26">
        <v>3.0000000000000001E-3</v>
      </c>
      <c r="E221" s="26">
        <v>3.0000000000000001E-3</v>
      </c>
      <c r="F221" s="26">
        <v>0.02</v>
      </c>
      <c r="G221" s="26">
        <v>0.25</v>
      </c>
      <c r="H221" s="26">
        <v>0.375</v>
      </c>
      <c r="I221" s="26">
        <v>0.5</v>
      </c>
      <c r="J221" s="26">
        <v>0.625</v>
      </c>
      <c r="K221" s="26">
        <v>0.75</v>
      </c>
      <c r="L221" s="26">
        <v>0.875</v>
      </c>
      <c r="M221" s="26">
        <v>1</v>
      </c>
      <c r="N221" s="26">
        <v>1</v>
      </c>
      <c r="O221" s="26">
        <v>1</v>
      </c>
      <c r="P221" s="26">
        <v>1</v>
      </c>
      <c r="Q221" s="26">
        <v>1</v>
      </c>
    </row>
    <row r="222" spans="1:17" ht="15" customHeight="1" x14ac:dyDescent="0.2">
      <c r="A222" s="449"/>
      <c r="B222" s="79" t="s">
        <v>76</v>
      </c>
      <c r="C222" s="150" t="s">
        <v>45</v>
      </c>
      <c r="D222" s="226">
        <v>0.154</v>
      </c>
      <c r="E222" s="226">
        <v>0.154</v>
      </c>
      <c r="F222" s="226">
        <v>0.154</v>
      </c>
      <c r="G222" s="226">
        <v>0.154</v>
      </c>
      <c r="H222" s="226">
        <v>0.154</v>
      </c>
      <c r="I222" s="226">
        <v>0.154</v>
      </c>
      <c r="J222" s="226">
        <v>0.154</v>
      </c>
      <c r="K222" s="226">
        <v>0.154</v>
      </c>
      <c r="L222" s="226">
        <v>0.154</v>
      </c>
      <c r="M222" s="226">
        <v>0.154</v>
      </c>
      <c r="N222" s="226">
        <v>0.154</v>
      </c>
      <c r="O222" s="226">
        <v>0.154</v>
      </c>
      <c r="P222" s="226">
        <v>0.154</v>
      </c>
      <c r="Q222" s="226">
        <v>0.154</v>
      </c>
    </row>
    <row r="223" spans="1:17" ht="15" customHeight="1" x14ac:dyDescent="0.2">
      <c r="A223" s="449"/>
      <c r="B223" s="79" t="s">
        <v>56</v>
      </c>
      <c r="C223" s="150" t="s">
        <v>45</v>
      </c>
      <c r="D223" s="209">
        <v>0</v>
      </c>
      <c r="E223" s="209">
        <v>0</v>
      </c>
      <c r="F223" s="209">
        <v>0</v>
      </c>
      <c r="G223" s="209">
        <v>0</v>
      </c>
      <c r="H223" s="209">
        <v>0</v>
      </c>
      <c r="I223" s="209">
        <v>0</v>
      </c>
      <c r="J223" s="209">
        <v>0</v>
      </c>
      <c r="K223" s="209">
        <v>0</v>
      </c>
      <c r="L223" s="209">
        <v>0</v>
      </c>
      <c r="M223" s="209">
        <v>0</v>
      </c>
      <c r="N223" s="209">
        <v>0</v>
      </c>
      <c r="O223" s="209">
        <v>0</v>
      </c>
      <c r="P223" s="209">
        <v>0</v>
      </c>
      <c r="Q223" s="209">
        <v>0</v>
      </c>
    </row>
    <row r="224" spans="1:17" ht="15.75" customHeight="1" x14ac:dyDescent="0.2">
      <c r="A224" s="449"/>
      <c r="B224" s="79" t="s">
        <v>55</v>
      </c>
      <c r="C224" s="150" t="s">
        <v>45</v>
      </c>
      <c r="D224" s="26">
        <v>0</v>
      </c>
      <c r="E224" s="26">
        <v>0.01</v>
      </c>
      <c r="F224" s="26">
        <v>0.05</v>
      </c>
      <c r="G224" s="26">
        <v>0.25</v>
      </c>
      <c r="H224" s="26">
        <v>0.5</v>
      </c>
      <c r="I224" s="26">
        <v>0.5</v>
      </c>
      <c r="J224" s="26">
        <v>0.5</v>
      </c>
      <c r="K224" s="26">
        <v>0.5</v>
      </c>
      <c r="L224" s="26">
        <v>0.5</v>
      </c>
      <c r="M224" s="26">
        <v>0.5</v>
      </c>
      <c r="N224" s="26">
        <v>0.5</v>
      </c>
      <c r="O224" s="26">
        <v>0.5</v>
      </c>
      <c r="P224" s="26">
        <v>0.5</v>
      </c>
      <c r="Q224" s="26">
        <v>0.5</v>
      </c>
    </row>
    <row r="225" spans="1:17" ht="15.75" customHeight="1" x14ac:dyDescent="0.2">
      <c r="A225" s="449"/>
      <c r="B225" s="79" t="s">
        <v>166</v>
      </c>
      <c r="C225" s="150" t="s">
        <v>167</v>
      </c>
      <c r="D225" s="226">
        <v>71</v>
      </c>
      <c r="E225" s="226">
        <v>71</v>
      </c>
      <c r="F225" s="226">
        <v>71</v>
      </c>
      <c r="G225" s="226">
        <v>71</v>
      </c>
      <c r="H225" s="226">
        <v>65.674999999999997</v>
      </c>
      <c r="I225" s="226">
        <v>60.749375000000001</v>
      </c>
      <c r="J225" s="226">
        <v>56.193171875000004</v>
      </c>
      <c r="K225" s="226">
        <v>51.97868398437501</v>
      </c>
      <c r="L225" s="226">
        <v>48.080282685546884</v>
      </c>
      <c r="M225" s="226">
        <v>45</v>
      </c>
      <c r="N225" s="226">
        <v>45</v>
      </c>
      <c r="O225" s="226">
        <v>45</v>
      </c>
      <c r="P225" s="226">
        <v>45</v>
      </c>
      <c r="Q225" s="226">
        <v>45</v>
      </c>
    </row>
    <row r="226" spans="1:17" ht="15.75" customHeight="1" x14ac:dyDescent="0.2">
      <c r="A226" s="449"/>
      <c r="B226" s="79" t="s">
        <v>163</v>
      </c>
      <c r="C226" s="150" t="s">
        <v>167</v>
      </c>
      <c r="D226" s="226">
        <v>30.929411764705883</v>
      </c>
      <c r="E226" s="226">
        <v>30.929411764705883</v>
      </c>
      <c r="F226" s="226">
        <v>25</v>
      </c>
      <c r="G226" s="226">
        <v>20</v>
      </c>
      <c r="H226" s="226">
        <v>15</v>
      </c>
      <c r="I226" s="226">
        <v>10</v>
      </c>
      <c r="J226" s="226">
        <v>10</v>
      </c>
      <c r="K226" s="226">
        <v>10</v>
      </c>
      <c r="L226" s="226">
        <v>10</v>
      </c>
      <c r="M226" s="226">
        <v>10</v>
      </c>
      <c r="N226" s="226">
        <v>10</v>
      </c>
      <c r="O226" s="226">
        <v>10</v>
      </c>
      <c r="P226" s="226">
        <v>10</v>
      </c>
      <c r="Q226" s="226">
        <v>10</v>
      </c>
    </row>
    <row r="227" spans="1:17" ht="16" thickBot="1" x14ac:dyDescent="0.25">
      <c r="A227" s="450"/>
      <c r="B227" s="79" t="s">
        <v>57</v>
      </c>
      <c r="C227" s="150" t="s">
        <v>167</v>
      </c>
      <c r="D227" s="26">
        <v>0</v>
      </c>
      <c r="E227" s="26">
        <v>0</v>
      </c>
      <c r="F227" s="26">
        <v>0.13</v>
      </c>
      <c r="G227" s="26">
        <v>0.51</v>
      </c>
      <c r="H227" s="26">
        <v>0.87</v>
      </c>
      <c r="I227" s="26">
        <v>1.22</v>
      </c>
      <c r="J227" s="26">
        <v>1.22</v>
      </c>
      <c r="K227" s="26">
        <v>1.22</v>
      </c>
      <c r="L227" s="26">
        <v>1.22</v>
      </c>
      <c r="M227" s="26">
        <v>1.22</v>
      </c>
      <c r="N227" s="26">
        <v>1.22</v>
      </c>
      <c r="O227" s="26">
        <v>1.22</v>
      </c>
      <c r="P227" s="26">
        <v>1.22</v>
      </c>
      <c r="Q227" s="26">
        <v>1.22</v>
      </c>
    </row>
    <row r="228" spans="1:17" ht="16" thickBot="1" x14ac:dyDescent="0.25">
      <c r="D228" s="243">
        <v>100</v>
      </c>
      <c r="E228" s="243">
        <v>125</v>
      </c>
      <c r="F228" s="243">
        <v>150</v>
      </c>
      <c r="G228" s="243">
        <v>150</v>
      </c>
      <c r="H228" s="243">
        <v>150</v>
      </c>
      <c r="I228" s="243">
        <v>200</v>
      </c>
      <c r="J228" s="243">
        <v>200</v>
      </c>
      <c r="K228" s="243">
        <v>150</v>
      </c>
      <c r="L228" s="243">
        <v>150</v>
      </c>
      <c r="M228" s="243">
        <v>150</v>
      </c>
      <c r="N228" s="243">
        <v>150</v>
      </c>
      <c r="O228" s="243">
        <v>150</v>
      </c>
      <c r="P228" s="243">
        <v>175</v>
      </c>
      <c r="Q228" s="243">
        <v>175</v>
      </c>
    </row>
    <row r="229" spans="1:17" ht="15" customHeight="1" x14ac:dyDescent="0.2">
      <c r="A229" s="448" t="s">
        <v>195</v>
      </c>
      <c r="B229" s="74" t="s">
        <v>72</v>
      </c>
      <c r="C229" s="14" t="s">
        <v>15</v>
      </c>
      <c r="D229" s="210">
        <v>2017</v>
      </c>
      <c r="E229" s="210">
        <v>2018</v>
      </c>
      <c r="F229" s="210">
        <v>2019</v>
      </c>
      <c r="G229" s="210">
        <v>2020</v>
      </c>
      <c r="H229" s="210">
        <v>2021</v>
      </c>
      <c r="I229" s="210">
        <v>2022</v>
      </c>
      <c r="J229" s="210">
        <v>2023</v>
      </c>
      <c r="K229" s="210">
        <v>2024</v>
      </c>
      <c r="L229" s="210">
        <v>2025</v>
      </c>
      <c r="M229" s="4">
        <v>2026</v>
      </c>
      <c r="N229" s="4">
        <v>2027</v>
      </c>
      <c r="O229" s="4">
        <v>2028</v>
      </c>
      <c r="P229" s="4">
        <v>2029</v>
      </c>
      <c r="Q229" s="4">
        <v>2030</v>
      </c>
    </row>
    <row r="230" spans="1:17" ht="15" customHeight="1" x14ac:dyDescent="0.2">
      <c r="A230" s="449"/>
      <c r="B230" s="74" t="s">
        <v>158</v>
      </c>
      <c r="C230" s="1" t="s">
        <v>18</v>
      </c>
      <c r="D230" s="252">
        <v>18.423134009999998</v>
      </c>
      <c r="E230" s="252">
        <v>21.954198859999998</v>
      </c>
      <c r="F230" s="252">
        <v>25.79566213</v>
      </c>
      <c r="G230" s="252">
        <v>29.947523820000001</v>
      </c>
      <c r="H230" s="252">
        <v>34.409783930000003</v>
      </c>
      <c r="I230" s="252">
        <v>39.182442460000004</v>
      </c>
      <c r="J230" s="252">
        <v>44.265499409999997</v>
      </c>
      <c r="K230" s="252">
        <v>49.658954780000002</v>
      </c>
      <c r="L230" s="252">
        <v>55.362808569999999</v>
      </c>
      <c r="M230" s="252">
        <v>61.377060779999994</v>
      </c>
      <c r="N230" s="252">
        <v>67.701711410000001</v>
      </c>
      <c r="O230" s="252">
        <v>74.336760459999994</v>
      </c>
      <c r="P230" s="252">
        <v>81.282207929999998</v>
      </c>
      <c r="Q230" s="252">
        <v>88.538053819999988</v>
      </c>
    </row>
    <row r="231" spans="1:17" ht="15" customHeight="1" x14ac:dyDescent="0.2">
      <c r="A231" s="449"/>
      <c r="B231" s="74" t="s">
        <v>17</v>
      </c>
      <c r="C231" s="1" t="s">
        <v>18</v>
      </c>
      <c r="D231" s="202">
        <v>1.0083198807897678</v>
      </c>
      <c r="E231" s="202">
        <v>2.0166397615795355</v>
      </c>
      <c r="F231" s="202">
        <v>4.033279523159071</v>
      </c>
      <c r="G231" s="202">
        <v>7.4866509375388048</v>
      </c>
      <c r="H231" s="202">
        <v>11.508297006019333</v>
      </c>
      <c r="I231" s="202">
        <v>16.249135193627929</v>
      </c>
      <c r="J231" s="202">
        <v>22.164050263776673</v>
      </c>
      <c r="K231" s="202">
        <v>30.406059853470754</v>
      </c>
      <c r="L231" s="202">
        <v>41.012873049381184</v>
      </c>
      <c r="M231" s="202">
        <v>51.043503456268887</v>
      </c>
      <c r="N231" s="202">
        <v>70</v>
      </c>
      <c r="O231" s="202">
        <v>95</v>
      </c>
      <c r="P231" s="202">
        <v>120</v>
      </c>
      <c r="Q231" s="202">
        <v>160</v>
      </c>
    </row>
    <row r="232" spans="1:17" ht="15" customHeight="1" x14ac:dyDescent="0.2">
      <c r="A232" s="449"/>
      <c r="B232" s="74" t="s">
        <v>124</v>
      </c>
      <c r="C232" s="1" t="s">
        <v>18</v>
      </c>
      <c r="D232" s="202">
        <v>50</v>
      </c>
      <c r="E232" s="202">
        <v>100</v>
      </c>
      <c r="F232" s="202">
        <v>150</v>
      </c>
      <c r="G232" s="202">
        <v>150</v>
      </c>
      <c r="H232" s="202">
        <v>150</v>
      </c>
      <c r="I232" s="202">
        <v>150</v>
      </c>
      <c r="J232" s="202">
        <v>150</v>
      </c>
      <c r="K232" s="202">
        <v>100</v>
      </c>
      <c r="L232" s="202">
        <v>50</v>
      </c>
      <c r="M232" s="202">
        <v>0</v>
      </c>
      <c r="N232" s="202">
        <v>0</v>
      </c>
      <c r="O232" s="202">
        <v>0</v>
      </c>
      <c r="P232" s="202">
        <v>0</v>
      </c>
      <c r="Q232" s="202">
        <v>0</v>
      </c>
    </row>
    <row r="233" spans="1:17" ht="15" customHeight="1" x14ac:dyDescent="0.2">
      <c r="A233" s="449"/>
      <c r="B233" s="76" t="s">
        <v>16</v>
      </c>
      <c r="C233" s="1" t="s">
        <v>18</v>
      </c>
      <c r="D233" s="202">
        <v>0</v>
      </c>
      <c r="E233" s="202">
        <v>0</v>
      </c>
      <c r="F233" s="202">
        <v>0</v>
      </c>
      <c r="G233" s="202">
        <v>0</v>
      </c>
      <c r="H233" s="202">
        <v>0</v>
      </c>
      <c r="I233" s="202">
        <v>0</v>
      </c>
      <c r="J233" s="202">
        <v>0</v>
      </c>
      <c r="K233" s="202">
        <v>0</v>
      </c>
      <c r="L233" s="202">
        <v>0</v>
      </c>
      <c r="M233" s="202">
        <v>0</v>
      </c>
      <c r="N233" s="202">
        <v>0</v>
      </c>
      <c r="O233" s="202">
        <v>0</v>
      </c>
      <c r="P233" s="202">
        <v>0</v>
      </c>
      <c r="Q233" s="202">
        <v>0</v>
      </c>
    </row>
    <row r="234" spans="1:17" ht="15" customHeight="1" x14ac:dyDescent="0.2">
      <c r="A234" s="449"/>
      <c r="B234" s="74" t="s">
        <v>5</v>
      </c>
      <c r="C234" s="1" t="s">
        <v>112</v>
      </c>
      <c r="D234" s="253">
        <v>0.37959999999999999</v>
      </c>
      <c r="E234" s="253">
        <v>0.71909999999999996</v>
      </c>
      <c r="F234" s="253">
        <v>1.3375999999999999</v>
      </c>
      <c r="G234" s="253">
        <v>2.3818000000000001</v>
      </c>
      <c r="H234" s="253">
        <v>3.8589000000000002</v>
      </c>
      <c r="I234" s="253">
        <v>6.1199000000000003</v>
      </c>
      <c r="J234" s="253">
        <v>9.2230000000000008</v>
      </c>
      <c r="K234" s="253">
        <v>12.8797</v>
      </c>
      <c r="L234" s="253">
        <v>17.098500000000001</v>
      </c>
      <c r="M234" s="203">
        <v>21.6035</v>
      </c>
      <c r="N234" s="203">
        <v>26.108499999999999</v>
      </c>
      <c r="O234" s="203">
        <v>30.613499999999998</v>
      </c>
      <c r="P234" s="203">
        <v>35.118499999999997</v>
      </c>
      <c r="Q234" s="203">
        <v>39.6235</v>
      </c>
    </row>
    <row r="235" spans="1:17" ht="15" customHeight="1" x14ac:dyDescent="0.2">
      <c r="A235" s="449"/>
      <c r="B235" s="74" t="s">
        <v>0</v>
      </c>
      <c r="C235" s="1" t="s">
        <v>19</v>
      </c>
      <c r="D235" s="254">
        <v>973.85187199999996</v>
      </c>
      <c r="E235" s="254">
        <v>1193.638616</v>
      </c>
      <c r="F235" s="254">
        <v>1351.3739760000001</v>
      </c>
      <c r="G235" s="254">
        <v>1562.7517760000001</v>
      </c>
      <c r="H235" s="254">
        <v>1828.233696</v>
      </c>
      <c r="I235" s="254">
        <v>2124.219928</v>
      </c>
      <c r="J235" s="254">
        <v>2444.465056</v>
      </c>
      <c r="K235" s="254">
        <v>2794.8658479999999</v>
      </c>
      <c r="L235" s="254">
        <v>3173.8669199999999</v>
      </c>
      <c r="M235" s="254">
        <v>3567.0877359999999</v>
      </c>
      <c r="N235" s="254">
        <v>3960.308552</v>
      </c>
      <c r="O235" s="254">
        <v>4353.5293680000004</v>
      </c>
      <c r="P235" s="254">
        <v>4746.7501840000004</v>
      </c>
      <c r="Q235" s="254">
        <v>5139.9709999999995</v>
      </c>
    </row>
    <row r="236" spans="1:17" ht="15" customHeight="1" x14ac:dyDescent="0.2">
      <c r="A236" s="449"/>
      <c r="B236" s="74" t="s">
        <v>38</v>
      </c>
      <c r="C236" s="1" t="s">
        <v>18</v>
      </c>
      <c r="D236" s="204">
        <v>170</v>
      </c>
      <c r="E236" s="204">
        <v>200</v>
      </c>
      <c r="F236" s="204">
        <v>275</v>
      </c>
      <c r="G236" s="204">
        <v>350</v>
      </c>
      <c r="H236" s="204">
        <v>425</v>
      </c>
      <c r="I236" s="204">
        <v>500</v>
      </c>
      <c r="J236" s="204">
        <v>500</v>
      </c>
      <c r="K236" s="204">
        <v>500</v>
      </c>
      <c r="L236" s="204">
        <v>500</v>
      </c>
      <c r="M236" s="204">
        <v>500</v>
      </c>
      <c r="N236" s="204">
        <v>500</v>
      </c>
      <c r="O236" s="204">
        <v>500</v>
      </c>
      <c r="P236" s="204">
        <v>500</v>
      </c>
      <c r="Q236" s="204">
        <v>500</v>
      </c>
    </row>
    <row r="237" spans="1:17" ht="15" customHeight="1" x14ac:dyDescent="0.2">
      <c r="A237" s="449"/>
      <c r="B237" s="74" t="s">
        <v>1</v>
      </c>
      <c r="C237" s="1" t="s">
        <v>18</v>
      </c>
      <c r="D237" s="204">
        <v>350</v>
      </c>
      <c r="E237" s="204">
        <v>450</v>
      </c>
      <c r="F237" s="204">
        <v>550</v>
      </c>
      <c r="G237" s="204">
        <v>650</v>
      </c>
      <c r="H237" s="204">
        <v>750</v>
      </c>
      <c r="I237" s="204">
        <v>850</v>
      </c>
      <c r="J237" s="204">
        <v>950</v>
      </c>
      <c r="K237" s="204">
        <v>1050</v>
      </c>
      <c r="L237" s="204">
        <v>1150</v>
      </c>
      <c r="M237" s="204">
        <v>1250</v>
      </c>
      <c r="N237" s="204">
        <v>1350</v>
      </c>
      <c r="O237" s="204">
        <v>1450</v>
      </c>
      <c r="P237" s="204">
        <v>1550</v>
      </c>
      <c r="Q237" s="204">
        <v>1650</v>
      </c>
    </row>
    <row r="238" spans="1:17" ht="15" customHeight="1" x14ac:dyDescent="0.2">
      <c r="A238" s="449"/>
      <c r="B238" s="76" t="s">
        <v>82</v>
      </c>
      <c r="C238" s="1" t="s">
        <v>61</v>
      </c>
      <c r="D238" s="203">
        <v>152.33881163084706</v>
      </c>
      <c r="E238" s="203">
        <v>156.38432364096082</v>
      </c>
      <c r="F238" s="203">
        <v>173.07206068268016</v>
      </c>
      <c r="G238" s="203">
        <v>192.58570684911132</v>
      </c>
      <c r="H238" s="203">
        <v>212.6794080464044</v>
      </c>
      <c r="I238" s="203">
        <v>234.2083736149327</v>
      </c>
      <c r="J238" s="203">
        <v>255.00855209340375</v>
      </c>
      <c r="K238" s="203">
        <v>283.88488138618277</v>
      </c>
      <c r="L238" s="203">
        <v>288.06425224957241</v>
      </c>
      <c r="M238" s="203">
        <v>294.935673384398</v>
      </c>
      <c r="N238" s="203">
        <v>301.5839964304306</v>
      </c>
      <c r="O238" s="203">
        <v>307.39941994496911</v>
      </c>
      <c r="P238" s="203">
        <v>313.05867479735258</v>
      </c>
      <c r="Q238" s="203">
        <v>319.1864356362014</v>
      </c>
    </row>
    <row r="239" spans="1:17" ht="15" customHeight="1" x14ac:dyDescent="0.2">
      <c r="A239" s="449"/>
      <c r="B239" s="74" t="s">
        <v>33</v>
      </c>
      <c r="C239" s="1" t="s">
        <v>61</v>
      </c>
      <c r="D239" s="203">
        <v>50</v>
      </c>
      <c r="E239" s="203">
        <v>25</v>
      </c>
      <c r="F239" s="203">
        <v>0</v>
      </c>
      <c r="G239" s="203">
        <v>0</v>
      </c>
      <c r="H239" s="203">
        <v>0</v>
      </c>
      <c r="I239" s="203">
        <v>0</v>
      </c>
      <c r="J239" s="203">
        <v>0</v>
      </c>
      <c r="K239" s="203">
        <v>0</v>
      </c>
      <c r="L239" s="203">
        <v>0</v>
      </c>
      <c r="M239" s="203">
        <v>0</v>
      </c>
      <c r="N239" s="203">
        <v>0</v>
      </c>
      <c r="O239" s="203">
        <v>0</v>
      </c>
      <c r="P239" s="203">
        <v>0</v>
      </c>
      <c r="Q239" s="203">
        <v>0</v>
      </c>
    </row>
    <row r="240" spans="1:17" ht="15" customHeight="1" x14ac:dyDescent="0.2">
      <c r="A240" s="449"/>
      <c r="B240" s="76" t="s">
        <v>103</v>
      </c>
      <c r="C240" s="4" t="s">
        <v>112</v>
      </c>
      <c r="D240" s="202">
        <v>2.1729609654822128E-2</v>
      </c>
      <c r="E240" s="202">
        <v>4.2563122435700422E-2</v>
      </c>
      <c r="F240" s="202">
        <v>7.9221596798729643E-2</v>
      </c>
      <c r="G240" s="202">
        <v>0.12104481719249827</v>
      </c>
      <c r="H240" s="202">
        <v>0.1816060687387489</v>
      </c>
      <c r="I240" s="202">
        <v>0.27756822157499184</v>
      </c>
      <c r="J240" s="202">
        <v>0.37832792169431789</v>
      </c>
      <c r="K240" s="202">
        <v>0.5684160505621817</v>
      </c>
      <c r="L240" s="202">
        <v>0.80546664639454091</v>
      </c>
      <c r="M240" s="202">
        <v>1.1207288866548697</v>
      </c>
      <c r="N240" s="202">
        <v>1.5293722472561442</v>
      </c>
      <c r="O240" s="202">
        <v>2.0295901497354025</v>
      </c>
      <c r="P240" s="202">
        <v>2.6791165470450999</v>
      </c>
      <c r="Q240" s="202">
        <v>3.5256743672802955</v>
      </c>
    </row>
    <row r="241" spans="1:17" ht="15" customHeight="1" x14ac:dyDescent="0.2">
      <c r="A241" s="449"/>
      <c r="B241" s="74" t="s">
        <v>89</v>
      </c>
      <c r="C241" s="1" t="s">
        <v>19</v>
      </c>
      <c r="D241" s="202">
        <v>3.7894114404544301</v>
      </c>
      <c r="E241" s="202">
        <v>10.402955513673991</v>
      </c>
      <c r="F241" s="202">
        <v>21.99355244200974</v>
      </c>
      <c r="G241" s="202">
        <v>38.824390017528302</v>
      </c>
      <c r="H241" s="202">
        <v>58.149856742870597</v>
      </c>
      <c r="I241" s="202">
        <v>97.3073839019399</v>
      </c>
      <c r="J241" s="202">
        <v>146.088656830633</v>
      </c>
      <c r="K241" s="202">
        <v>238.50207872244439</v>
      </c>
      <c r="L241" s="202">
        <v>350.525473011901</v>
      </c>
      <c r="M241" s="202">
        <v>483.18676801670301</v>
      </c>
      <c r="N241" s="202">
        <v>623.48797719434697</v>
      </c>
      <c r="O241" s="202">
        <v>756.11606245709004</v>
      </c>
      <c r="P241" s="202">
        <v>889.00870624910499</v>
      </c>
      <c r="Q241" s="202">
        <v>1024.46109319377</v>
      </c>
    </row>
    <row r="242" spans="1:17" ht="15" customHeight="1" x14ac:dyDescent="0.2">
      <c r="A242" s="449"/>
      <c r="B242" s="74" t="s">
        <v>119</v>
      </c>
      <c r="C242" s="1" t="s">
        <v>19</v>
      </c>
      <c r="D242" s="202">
        <v>1233</v>
      </c>
      <c r="E242" s="202">
        <v>1233</v>
      </c>
      <c r="F242" s="202">
        <v>1233</v>
      </c>
      <c r="G242" s="202">
        <v>1233</v>
      </c>
      <c r="H242" s="202">
        <v>1233</v>
      </c>
      <c r="I242" s="202">
        <v>1233</v>
      </c>
      <c r="J242" s="202">
        <v>1233</v>
      </c>
      <c r="K242" s="202">
        <v>1233</v>
      </c>
      <c r="L242" s="202">
        <v>1233</v>
      </c>
      <c r="M242" s="202">
        <v>1233</v>
      </c>
      <c r="N242" s="202">
        <v>1233</v>
      </c>
      <c r="O242" s="202">
        <v>1233</v>
      </c>
      <c r="P242" s="202">
        <v>1233</v>
      </c>
      <c r="Q242" s="202">
        <v>1233</v>
      </c>
    </row>
    <row r="243" spans="1:17" ht="15" customHeight="1" x14ac:dyDescent="0.2">
      <c r="A243" s="449"/>
      <c r="B243" s="74" t="s">
        <v>161</v>
      </c>
      <c r="C243" s="1" t="s">
        <v>157</v>
      </c>
      <c r="D243" s="202">
        <v>0</v>
      </c>
      <c r="E243" s="202">
        <v>0</v>
      </c>
      <c r="F243" s="202">
        <v>27.82</v>
      </c>
      <c r="G243" s="202">
        <v>27.82</v>
      </c>
      <c r="H243" s="202">
        <v>27.82</v>
      </c>
      <c r="I243" s="202">
        <v>27.82</v>
      </c>
      <c r="J243" s="202">
        <v>27.82</v>
      </c>
      <c r="K243" s="202">
        <v>27.82</v>
      </c>
      <c r="L243" s="202">
        <v>27.82</v>
      </c>
      <c r="M243" s="202">
        <v>27.82</v>
      </c>
      <c r="N243" s="202">
        <v>27.82</v>
      </c>
      <c r="O243" s="202">
        <v>27.82</v>
      </c>
      <c r="P243" s="202">
        <v>27.82</v>
      </c>
      <c r="Q243" s="202">
        <v>27.82</v>
      </c>
    </row>
    <row r="244" spans="1:17" ht="15" customHeight="1" x14ac:dyDescent="0.2">
      <c r="A244" s="449"/>
      <c r="B244" s="74" t="s">
        <v>68</v>
      </c>
      <c r="C244" s="1" t="s">
        <v>18</v>
      </c>
      <c r="D244" s="206">
        <v>0</v>
      </c>
      <c r="E244" s="206">
        <v>0</v>
      </c>
      <c r="F244" s="203">
        <v>20</v>
      </c>
      <c r="G244" s="203">
        <v>40</v>
      </c>
      <c r="H244" s="203">
        <v>100</v>
      </c>
      <c r="I244" s="203">
        <v>150</v>
      </c>
      <c r="J244" s="203">
        <v>200</v>
      </c>
      <c r="K244" s="203">
        <v>200</v>
      </c>
      <c r="L244" s="203">
        <v>225</v>
      </c>
      <c r="M244" s="203">
        <v>250</v>
      </c>
      <c r="N244" s="203">
        <v>275</v>
      </c>
      <c r="O244" s="203">
        <v>300</v>
      </c>
      <c r="P244" s="203">
        <v>300</v>
      </c>
      <c r="Q244" s="203">
        <v>325</v>
      </c>
    </row>
    <row r="245" spans="1:17" ht="15" customHeight="1" x14ac:dyDescent="0.2">
      <c r="A245" s="449"/>
      <c r="B245" s="79" t="s">
        <v>81</v>
      </c>
      <c r="C245" s="150" t="s">
        <v>43</v>
      </c>
      <c r="D245" s="207">
        <v>7.4999999999999997E-3</v>
      </c>
      <c r="E245" s="207">
        <v>1.4999999999999999E-2</v>
      </c>
      <c r="F245" s="207">
        <v>2.2499999999999999E-2</v>
      </c>
      <c r="G245" s="207">
        <v>2.5000000000000001E-2</v>
      </c>
      <c r="H245" s="207">
        <v>0.04</v>
      </c>
      <c r="I245" s="207">
        <v>0.06</v>
      </c>
      <c r="J245" s="207">
        <v>0.09</v>
      </c>
      <c r="K245" s="207">
        <v>0.12</v>
      </c>
      <c r="L245" s="207">
        <v>0.16</v>
      </c>
      <c r="M245" s="207">
        <v>0.2</v>
      </c>
      <c r="N245" s="207">
        <v>0.24</v>
      </c>
      <c r="O245" s="207">
        <v>0.28000000000000003</v>
      </c>
      <c r="P245" s="207">
        <v>0.32</v>
      </c>
      <c r="Q245" s="207">
        <v>0.36</v>
      </c>
    </row>
    <row r="246" spans="1:17" ht="15" customHeight="1" x14ac:dyDescent="0.2">
      <c r="A246" s="449"/>
      <c r="B246" s="79" t="s">
        <v>54</v>
      </c>
      <c r="C246" s="150" t="s">
        <v>45</v>
      </c>
      <c r="D246" s="26">
        <v>3.0000000000000001E-3</v>
      </c>
      <c r="E246" s="26">
        <v>3.0000000000000001E-3</v>
      </c>
      <c r="F246" s="26">
        <v>0.02</v>
      </c>
      <c r="G246" s="26">
        <v>0.25</v>
      </c>
      <c r="H246" s="26">
        <v>0.375</v>
      </c>
      <c r="I246" s="26">
        <v>0.5</v>
      </c>
      <c r="J246" s="26">
        <v>0.75</v>
      </c>
      <c r="K246" s="26">
        <v>1</v>
      </c>
      <c r="L246" s="26">
        <v>1.25</v>
      </c>
      <c r="M246" s="26">
        <v>1.5</v>
      </c>
      <c r="N246" s="26">
        <v>1.75</v>
      </c>
      <c r="O246" s="26">
        <v>2</v>
      </c>
      <c r="P246" s="26">
        <v>2.25</v>
      </c>
      <c r="Q246" s="26">
        <v>2.25</v>
      </c>
    </row>
    <row r="247" spans="1:17" ht="15" customHeight="1" x14ac:dyDescent="0.2">
      <c r="A247" s="449"/>
      <c r="B247" s="79" t="s">
        <v>76</v>
      </c>
      <c r="C247" s="150" t="s">
        <v>45</v>
      </c>
      <c r="D247" s="226">
        <v>0.154</v>
      </c>
      <c r="E247" s="226">
        <v>0.154</v>
      </c>
      <c r="F247" s="226">
        <v>0.154</v>
      </c>
      <c r="G247" s="226">
        <v>0.154</v>
      </c>
      <c r="H247" s="226">
        <v>0.154</v>
      </c>
      <c r="I247" s="226">
        <v>0.154</v>
      </c>
      <c r="J247" s="226">
        <v>0.154</v>
      </c>
      <c r="K247" s="226">
        <v>0.154</v>
      </c>
      <c r="L247" s="226">
        <v>0.154</v>
      </c>
      <c r="M247" s="226">
        <v>0.154</v>
      </c>
      <c r="N247" s="226">
        <v>0.154</v>
      </c>
      <c r="O247" s="226">
        <v>0.154</v>
      </c>
      <c r="P247" s="226">
        <v>0.154</v>
      </c>
      <c r="Q247" s="226">
        <v>0.154</v>
      </c>
    </row>
    <row r="248" spans="1:17" ht="15" customHeight="1" x14ac:dyDescent="0.2">
      <c r="A248" s="449"/>
      <c r="B248" s="79" t="s">
        <v>56</v>
      </c>
      <c r="C248" s="150" t="s">
        <v>45</v>
      </c>
      <c r="D248" s="209">
        <v>0</v>
      </c>
      <c r="E248" s="209">
        <v>0</v>
      </c>
      <c r="F248" s="209">
        <v>0.1</v>
      </c>
      <c r="G248" s="209">
        <v>0.3</v>
      </c>
      <c r="H248" s="209">
        <v>0.6</v>
      </c>
      <c r="I248" s="209">
        <v>0.9</v>
      </c>
      <c r="J248" s="209">
        <v>1.2</v>
      </c>
      <c r="K248" s="209">
        <v>1.5</v>
      </c>
      <c r="L248" s="209">
        <v>1.5</v>
      </c>
      <c r="M248" s="209">
        <v>1.5</v>
      </c>
      <c r="N248" s="209">
        <v>1.5</v>
      </c>
      <c r="O248" s="209">
        <v>1.5</v>
      </c>
      <c r="P248" s="209">
        <v>1.5</v>
      </c>
      <c r="Q248" s="209">
        <v>1.5</v>
      </c>
    </row>
    <row r="249" spans="1:17" ht="15" customHeight="1" x14ac:dyDescent="0.2">
      <c r="A249" s="449"/>
      <c r="B249" s="79" t="s">
        <v>55</v>
      </c>
      <c r="C249" s="150" t="s">
        <v>45</v>
      </c>
      <c r="D249" s="26">
        <v>0</v>
      </c>
      <c r="E249" s="26">
        <v>0.01</v>
      </c>
      <c r="F249" s="26">
        <v>0.05</v>
      </c>
      <c r="G249" s="26">
        <v>0.25</v>
      </c>
      <c r="H249" s="26">
        <v>0.5</v>
      </c>
      <c r="I249" s="26">
        <v>0.5</v>
      </c>
      <c r="J249" s="26">
        <v>0.5</v>
      </c>
      <c r="K249" s="26">
        <v>0.5</v>
      </c>
      <c r="L249" s="26">
        <v>0.5</v>
      </c>
      <c r="M249" s="26">
        <v>0.5</v>
      </c>
      <c r="N249" s="26">
        <v>0.5</v>
      </c>
      <c r="O249" s="26">
        <v>0.5</v>
      </c>
      <c r="P249" s="26">
        <v>0.5</v>
      </c>
      <c r="Q249" s="26">
        <v>0.5</v>
      </c>
    </row>
    <row r="250" spans="1:17" ht="15.75" customHeight="1" x14ac:dyDescent="0.2">
      <c r="A250" s="449"/>
      <c r="B250" s="79" t="s">
        <v>166</v>
      </c>
      <c r="C250" s="150" t="s">
        <v>167</v>
      </c>
      <c r="D250" s="226">
        <v>71</v>
      </c>
      <c r="E250" s="226">
        <v>71</v>
      </c>
      <c r="F250" s="226">
        <v>71</v>
      </c>
      <c r="G250" s="226">
        <v>71</v>
      </c>
      <c r="H250" s="226">
        <f>G250*0.9</f>
        <v>63.9</v>
      </c>
      <c r="I250" s="226">
        <f>H250*0.9</f>
        <v>57.51</v>
      </c>
      <c r="J250" s="226">
        <f>I250*0.9</f>
        <v>51.759</v>
      </c>
      <c r="K250" s="226">
        <f>J250*0.9</f>
        <v>46.583100000000002</v>
      </c>
      <c r="L250" s="226">
        <v>45</v>
      </c>
      <c r="M250" s="226">
        <v>45</v>
      </c>
      <c r="N250" s="226">
        <v>45</v>
      </c>
      <c r="O250" s="226">
        <v>45</v>
      </c>
      <c r="P250" s="226">
        <v>45</v>
      </c>
      <c r="Q250" s="226">
        <v>45</v>
      </c>
    </row>
    <row r="251" spans="1:17" ht="15.75" customHeight="1" x14ac:dyDescent="0.2">
      <c r="A251" s="449"/>
      <c r="B251" s="79" t="s">
        <v>163</v>
      </c>
      <c r="C251" s="150" t="s">
        <v>167</v>
      </c>
      <c r="D251" s="226">
        <v>30.929411764705883</v>
      </c>
      <c r="E251" s="226">
        <v>30.929411764705883</v>
      </c>
      <c r="F251" s="226">
        <v>25</v>
      </c>
      <c r="G251" s="226">
        <v>20</v>
      </c>
      <c r="H251" s="226">
        <v>15</v>
      </c>
      <c r="I251" s="226">
        <v>10</v>
      </c>
      <c r="J251" s="226">
        <v>10</v>
      </c>
      <c r="K251" s="226">
        <v>10</v>
      </c>
      <c r="L251" s="226">
        <v>10</v>
      </c>
      <c r="M251" s="226">
        <v>10</v>
      </c>
      <c r="N251" s="226">
        <v>10</v>
      </c>
      <c r="O251" s="226">
        <v>10</v>
      </c>
      <c r="P251" s="226">
        <v>10</v>
      </c>
      <c r="Q251" s="226">
        <v>10</v>
      </c>
    </row>
    <row r="252" spans="1:17" ht="16" thickBot="1" x14ac:dyDescent="0.25">
      <c r="A252" s="450"/>
      <c r="B252" s="79" t="s">
        <v>57</v>
      </c>
      <c r="C252" s="150" t="s">
        <v>167</v>
      </c>
      <c r="D252" s="26">
        <v>0</v>
      </c>
      <c r="E252" s="26">
        <v>0</v>
      </c>
      <c r="F252" s="26">
        <v>0.13</v>
      </c>
      <c r="G252" s="26">
        <v>0.51</v>
      </c>
      <c r="H252" s="26">
        <v>0.87</v>
      </c>
      <c r="I252" s="26">
        <v>1.22</v>
      </c>
      <c r="J252" s="26">
        <v>1.22</v>
      </c>
      <c r="K252" s="26">
        <v>1.22</v>
      </c>
      <c r="L252" s="26">
        <v>1.22</v>
      </c>
      <c r="M252" s="26">
        <v>1.22</v>
      </c>
      <c r="N252" s="26">
        <v>1.22</v>
      </c>
      <c r="O252" s="26">
        <v>1.22</v>
      </c>
      <c r="P252" s="26">
        <v>1.22</v>
      </c>
      <c r="Q252" s="26">
        <v>1.22</v>
      </c>
    </row>
    <row r="253" spans="1:17" ht="16" thickBot="1" x14ac:dyDescent="0.25">
      <c r="D253" s="243">
        <v>100</v>
      </c>
      <c r="E253" s="243">
        <v>125</v>
      </c>
      <c r="F253" s="243">
        <v>150</v>
      </c>
      <c r="G253" s="243">
        <v>150</v>
      </c>
      <c r="H253" s="243">
        <v>150</v>
      </c>
      <c r="I253" s="243">
        <v>200</v>
      </c>
      <c r="J253" s="243">
        <v>150</v>
      </c>
      <c r="K253" s="243">
        <v>150</v>
      </c>
      <c r="L253" s="243">
        <v>125</v>
      </c>
      <c r="M253" s="243">
        <v>125</v>
      </c>
      <c r="N253" s="243">
        <v>125</v>
      </c>
      <c r="O253" s="243">
        <v>125</v>
      </c>
      <c r="P253" s="243">
        <v>125</v>
      </c>
      <c r="Q253" s="243">
        <v>130</v>
      </c>
    </row>
    <row r="254" spans="1:17" x14ac:dyDescent="0.2">
      <c r="A254" s="448" t="s">
        <v>196</v>
      </c>
      <c r="B254" s="74" t="s">
        <v>72</v>
      </c>
      <c r="C254" s="14" t="s">
        <v>15</v>
      </c>
      <c r="D254" s="210">
        <v>2017</v>
      </c>
      <c r="E254" s="210">
        <v>2018</v>
      </c>
      <c r="F254" s="210">
        <v>2019</v>
      </c>
      <c r="G254" s="210">
        <v>2020</v>
      </c>
      <c r="H254" s="210">
        <v>2021</v>
      </c>
      <c r="I254" s="210">
        <v>2022</v>
      </c>
      <c r="J254" s="210">
        <v>2023</v>
      </c>
      <c r="K254" s="210">
        <v>2024</v>
      </c>
      <c r="L254" s="210">
        <v>2025</v>
      </c>
      <c r="M254" s="4">
        <v>2026</v>
      </c>
      <c r="N254" s="4">
        <v>2027</v>
      </c>
      <c r="O254" s="4">
        <v>2028</v>
      </c>
      <c r="P254" s="4">
        <v>2029</v>
      </c>
      <c r="Q254" s="4">
        <v>2030</v>
      </c>
    </row>
    <row r="255" spans="1:17" x14ac:dyDescent="0.2">
      <c r="A255" s="449"/>
      <c r="B255" s="74" t="s">
        <v>158</v>
      </c>
      <c r="C255" s="1" t="s">
        <v>18</v>
      </c>
      <c r="D255" s="252">
        <v>18.423134009999998</v>
      </c>
      <c r="E255" s="252">
        <v>21.954198859999998</v>
      </c>
      <c r="F255" s="252">
        <v>25.79566213</v>
      </c>
      <c r="G255" s="252">
        <v>29.947523820000001</v>
      </c>
      <c r="H255" s="252">
        <v>34.409783930000003</v>
      </c>
      <c r="I255" s="252">
        <v>39.182442460000004</v>
      </c>
      <c r="J255" s="252">
        <v>44.265499409999997</v>
      </c>
      <c r="K255" s="252">
        <v>49.658954780000002</v>
      </c>
      <c r="L255" s="252">
        <v>55.362808569999999</v>
      </c>
      <c r="M255" s="252">
        <v>61.377060779999994</v>
      </c>
      <c r="N255" s="252">
        <v>67.701711410000001</v>
      </c>
      <c r="O255" s="252">
        <v>74.336760459999994</v>
      </c>
      <c r="P255" s="252">
        <v>81.282207929999998</v>
      </c>
      <c r="Q255" s="252">
        <v>88.538053819999988</v>
      </c>
    </row>
    <row r="256" spans="1:17" x14ac:dyDescent="0.2">
      <c r="A256" s="449"/>
      <c r="B256" s="74" t="s">
        <v>17</v>
      </c>
      <c r="C256" s="1" t="s">
        <v>18</v>
      </c>
      <c r="D256" s="202">
        <v>1.0083198807897678</v>
      </c>
      <c r="E256" s="202">
        <v>2.0166397615795355</v>
      </c>
      <c r="F256" s="202">
        <v>4.033279523159071</v>
      </c>
      <c r="G256" s="202">
        <v>7.4866509375388048</v>
      </c>
      <c r="H256" s="202">
        <v>11.508297006019333</v>
      </c>
      <c r="I256" s="202">
        <v>16.249135193627929</v>
      </c>
      <c r="J256" s="202">
        <v>22.164050263776673</v>
      </c>
      <c r="K256" s="202">
        <v>30.406059853470754</v>
      </c>
      <c r="L256" s="202">
        <v>41.012873049381184</v>
      </c>
      <c r="M256" s="202">
        <v>51.043503456268887</v>
      </c>
      <c r="N256" s="202">
        <v>70</v>
      </c>
      <c r="O256" s="202">
        <v>95</v>
      </c>
      <c r="P256" s="202">
        <v>120</v>
      </c>
      <c r="Q256" s="202">
        <v>135</v>
      </c>
    </row>
    <row r="257" spans="1:17" x14ac:dyDescent="0.2">
      <c r="A257" s="449"/>
      <c r="B257" s="74" t="s">
        <v>124</v>
      </c>
      <c r="C257" s="1" t="s">
        <v>18</v>
      </c>
      <c r="D257" s="202">
        <v>50</v>
      </c>
      <c r="E257" s="202">
        <v>100</v>
      </c>
      <c r="F257" s="202">
        <v>150</v>
      </c>
      <c r="G257" s="202">
        <v>150</v>
      </c>
      <c r="H257" s="202">
        <v>150</v>
      </c>
      <c r="I257" s="202">
        <v>150</v>
      </c>
      <c r="J257" s="202">
        <v>150</v>
      </c>
      <c r="K257" s="202">
        <v>100</v>
      </c>
      <c r="L257" s="202">
        <v>50</v>
      </c>
      <c r="M257" s="202">
        <v>0</v>
      </c>
      <c r="N257" s="202">
        <v>0</v>
      </c>
      <c r="O257" s="202">
        <v>0</v>
      </c>
      <c r="P257" s="202">
        <v>0</v>
      </c>
      <c r="Q257" s="202">
        <v>0</v>
      </c>
    </row>
    <row r="258" spans="1:17" x14ac:dyDescent="0.2">
      <c r="A258" s="449"/>
      <c r="B258" s="76" t="s">
        <v>16</v>
      </c>
      <c r="C258" s="1" t="s">
        <v>18</v>
      </c>
      <c r="D258" s="202">
        <v>0</v>
      </c>
      <c r="E258" s="202">
        <v>0</v>
      </c>
      <c r="F258" s="202">
        <v>0</v>
      </c>
      <c r="G258" s="202">
        <v>0</v>
      </c>
      <c r="H258" s="202">
        <v>0</v>
      </c>
      <c r="I258" s="202">
        <v>0</v>
      </c>
      <c r="J258" s="202">
        <v>0</v>
      </c>
      <c r="K258" s="202">
        <v>0</v>
      </c>
      <c r="L258" s="202">
        <v>0</v>
      </c>
      <c r="M258" s="202">
        <v>0</v>
      </c>
      <c r="N258" s="202">
        <v>0</v>
      </c>
      <c r="O258" s="202">
        <v>0</v>
      </c>
      <c r="P258" s="202">
        <v>0</v>
      </c>
      <c r="Q258" s="202">
        <v>0</v>
      </c>
    </row>
    <row r="259" spans="1:17" x14ac:dyDescent="0.2">
      <c r="A259" s="449"/>
      <c r="B259" s="74" t="s">
        <v>5</v>
      </c>
      <c r="C259" s="1" t="s">
        <v>112</v>
      </c>
      <c r="D259" s="253">
        <v>0.37959999999999999</v>
      </c>
      <c r="E259" s="253">
        <v>0.71909999999999996</v>
      </c>
      <c r="F259" s="253">
        <v>1.3375999999999999</v>
      </c>
      <c r="G259" s="253">
        <v>2.3818000000000001</v>
      </c>
      <c r="H259" s="253">
        <v>3.8589000000000002</v>
      </c>
      <c r="I259" s="253">
        <v>6.1199000000000003</v>
      </c>
      <c r="J259" s="253">
        <v>12.969796448400741</v>
      </c>
      <c r="K259" s="253">
        <v>23.844189345202228</v>
      </c>
      <c r="L259" s="253">
        <v>34.718582242003706</v>
      </c>
      <c r="M259" s="203">
        <v>46.503340140812966</v>
      </c>
      <c r="N259" s="203">
        <v>60.43963971087399</v>
      </c>
      <c r="O259" s="203">
        <v>76.90295046180654</v>
      </c>
      <c r="P259" s="203">
        <v>95.924299289722157</v>
      </c>
      <c r="Q259" s="203">
        <v>117.46945822516899</v>
      </c>
    </row>
    <row r="260" spans="1:17" x14ac:dyDescent="0.2">
      <c r="A260" s="449"/>
      <c r="B260" s="74" t="s">
        <v>0</v>
      </c>
      <c r="C260" s="1" t="s">
        <v>19</v>
      </c>
      <c r="D260" s="254">
        <v>973.85187199999996</v>
      </c>
      <c r="E260" s="254">
        <v>1193.638616</v>
      </c>
      <c r="F260" s="254">
        <v>1351.3739760000001</v>
      </c>
      <c r="G260" s="254">
        <v>1562.7517760000001</v>
      </c>
      <c r="H260" s="254">
        <v>1828.233696</v>
      </c>
      <c r="I260" s="254">
        <v>2124.219928</v>
      </c>
      <c r="J260" s="254">
        <v>2685.1889290279537</v>
      </c>
      <c r="K260" s="254">
        <v>3502.6569310838604</v>
      </c>
      <c r="L260" s="254">
        <v>4320.1249331397676</v>
      </c>
      <c r="M260" s="254">
        <v>5190.3348290815702</v>
      </c>
      <c r="N260" s="254">
        <v>6204.5862699682757</v>
      </c>
      <c r="O260" s="254">
        <v>7406.3858761759302</v>
      </c>
      <c r="P260" s="254">
        <v>8799.450102282628</v>
      </c>
      <c r="Q260" s="254">
        <v>10381.371019384236</v>
      </c>
    </row>
    <row r="261" spans="1:17" x14ac:dyDescent="0.2">
      <c r="A261" s="449"/>
      <c r="B261" s="74" t="s">
        <v>38</v>
      </c>
      <c r="C261" s="1" t="s">
        <v>18</v>
      </c>
      <c r="D261" s="204">
        <v>170</v>
      </c>
      <c r="E261" s="204">
        <v>200</v>
      </c>
      <c r="F261" s="204">
        <v>275</v>
      </c>
      <c r="G261" s="204">
        <v>350</v>
      </c>
      <c r="H261" s="204">
        <v>425</v>
      </c>
      <c r="I261" s="204">
        <v>500</v>
      </c>
      <c r="J261" s="204">
        <v>500</v>
      </c>
      <c r="K261" s="204">
        <v>500</v>
      </c>
      <c r="L261" s="204">
        <v>500</v>
      </c>
      <c r="M261" s="204">
        <v>500</v>
      </c>
      <c r="N261" s="204">
        <v>500</v>
      </c>
      <c r="O261" s="204">
        <v>500</v>
      </c>
      <c r="P261" s="204">
        <v>500</v>
      </c>
      <c r="Q261" s="204">
        <v>500</v>
      </c>
    </row>
    <row r="262" spans="1:17" x14ac:dyDescent="0.2">
      <c r="A262" s="449"/>
      <c r="B262" s="74" t="s">
        <v>1</v>
      </c>
      <c r="C262" s="1" t="s">
        <v>18</v>
      </c>
      <c r="D262" s="204">
        <v>350</v>
      </c>
      <c r="E262" s="204">
        <v>450</v>
      </c>
      <c r="F262" s="204">
        <v>550</v>
      </c>
      <c r="G262" s="204">
        <v>650</v>
      </c>
      <c r="H262" s="204">
        <v>750</v>
      </c>
      <c r="I262" s="204">
        <v>850</v>
      </c>
      <c r="J262" s="204">
        <v>950</v>
      </c>
      <c r="K262" s="204">
        <v>1050</v>
      </c>
      <c r="L262" s="204">
        <v>1150</v>
      </c>
      <c r="M262" s="204">
        <v>1250</v>
      </c>
      <c r="N262" s="204">
        <v>1250</v>
      </c>
      <c r="O262" s="204">
        <v>1250</v>
      </c>
      <c r="P262" s="204">
        <v>1250</v>
      </c>
      <c r="Q262" s="204">
        <v>1300</v>
      </c>
    </row>
    <row r="263" spans="1:17" x14ac:dyDescent="0.2">
      <c r="A263" s="449"/>
      <c r="B263" s="76" t="s">
        <v>82</v>
      </c>
      <c r="C263" s="1" t="s">
        <v>61</v>
      </c>
      <c r="D263" s="203">
        <v>152.33881163084706</v>
      </c>
      <c r="E263" s="203">
        <v>156.38432364096082</v>
      </c>
      <c r="F263" s="203">
        <v>173.07206068268016</v>
      </c>
      <c r="G263" s="203">
        <v>192.58570684911132</v>
      </c>
      <c r="H263" s="203">
        <v>212.6794080464044</v>
      </c>
      <c r="I263" s="203">
        <v>234.2083736149327</v>
      </c>
      <c r="J263" s="203">
        <v>255.00855209340375</v>
      </c>
      <c r="K263" s="203">
        <v>283.88488138618277</v>
      </c>
      <c r="L263" s="203">
        <v>288.06425224957241</v>
      </c>
      <c r="M263" s="203">
        <v>294.935673384398</v>
      </c>
      <c r="N263" s="203">
        <v>301.5839964304306</v>
      </c>
      <c r="O263" s="203">
        <v>307.39941994496911</v>
      </c>
      <c r="P263" s="203">
        <v>313.05867479735258</v>
      </c>
      <c r="Q263" s="203">
        <v>319.1864356362014</v>
      </c>
    </row>
    <row r="264" spans="1:17" x14ac:dyDescent="0.2">
      <c r="A264" s="449"/>
      <c r="B264" s="74" t="s">
        <v>33</v>
      </c>
      <c r="C264" s="1" t="s">
        <v>61</v>
      </c>
      <c r="D264" s="203">
        <v>50</v>
      </c>
      <c r="E264" s="203">
        <v>25</v>
      </c>
      <c r="F264" s="203">
        <v>0</v>
      </c>
      <c r="G264" s="203">
        <v>0</v>
      </c>
      <c r="H264" s="203">
        <v>0</v>
      </c>
      <c r="I264" s="203">
        <v>0</v>
      </c>
      <c r="J264" s="203">
        <v>0</v>
      </c>
      <c r="K264" s="203">
        <v>0</v>
      </c>
      <c r="L264" s="203">
        <v>0</v>
      </c>
      <c r="M264" s="203">
        <v>0</v>
      </c>
      <c r="N264" s="203">
        <v>0</v>
      </c>
      <c r="O264" s="203">
        <v>0</v>
      </c>
      <c r="P264" s="203">
        <v>0</v>
      </c>
      <c r="Q264" s="203">
        <v>0</v>
      </c>
    </row>
    <row r="265" spans="1:17" x14ac:dyDescent="0.2">
      <c r="A265" s="449"/>
      <c r="B265" s="76" t="s">
        <v>103</v>
      </c>
      <c r="C265" s="4" t="s">
        <v>112</v>
      </c>
      <c r="D265" s="202">
        <v>2.1729609654822128E-2</v>
      </c>
      <c r="E265" s="202">
        <v>4.2563122435700422E-2</v>
      </c>
      <c r="F265" s="202">
        <v>7.9221596798729643E-2</v>
      </c>
      <c r="G265" s="202">
        <v>0.12104481719249827</v>
      </c>
      <c r="H265" s="202">
        <v>0.1816060687387489</v>
      </c>
      <c r="I265" s="202">
        <v>0.27756822157499184</v>
      </c>
      <c r="J265" s="202">
        <v>0.37832792169431789</v>
      </c>
      <c r="K265" s="202">
        <v>0.5684160505621817</v>
      </c>
      <c r="L265" s="202">
        <v>0.80546664639454091</v>
      </c>
      <c r="M265" s="202">
        <v>1.1207288866548697</v>
      </c>
      <c r="N265" s="202">
        <v>1.5293722472561442</v>
      </c>
      <c r="O265" s="202">
        <v>2.0295901497354025</v>
      </c>
      <c r="P265" s="202">
        <v>2.6791165470450999</v>
      </c>
      <c r="Q265" s="202">
        <v>3.5256743672802955</v>
      </c>
    </row>
    <row r="266" spans="1:17" x14ac:dyDescent="0.2">
      <c r="A266" s="449"/>
      <c r="B266" s="74" t="s">
        <v>89</v>
      </c>
      <c r="C266" s="1" t="s">
        <v>19</v>
      </c>
      <c r="D266" s="202">
        <v>3.7894114404544301</v>
      </c>
      <c r="E266" s="202">
        <v>10.402955513673991</v>
      </c>
      <c r="F266" s="202">
        <v>21.99355244200974</v>
      </c>
      <c r="G266" s="202">
        <v>38.824390017528302</v>
      </c>
      <c r="H266" s="202">
        <v>58.149856742870597</v>
      </c>
      <c r="I266" s="202">
        <v>97.3073839019399</v>
      </c>
      <c r="J266" s="202">
        <v>146.088656830633</v>
      </c>
      <c r="K266" s="202">
        <v>238.50207872244439</v>
      </c>
      <c r="L266" s="202">
        <v>350.525473011901</v>
      </c>
      <c r="M266" s="202">
        <v>483.18676801670301</v>
      </c>
      <c r="N266" s="202">
        <v>623.48797719434697</v>
      </c>
      <c r="O266" s="202">
        <v>756.11606245709004</v>
      </c>
      <c r="P266" s="202">
        <v>889.00870624910499</v>
      </c>
      <c r="Q266" s="202">
        <v>1024.46109319377</v>
      </c>
    </row>
    <row r="267" spans="1:17" x14ac:dyDescent="0.2">
      <c r="A267" s="449"/>
      <c r="B267" s="74" t="s">
        <v>119</v>
      </c>
      <c r="C267" s="1" t="s">
        <v>19</v>
      </c>
      <c r="D267" s="202">
        <v>1233</v>
      </c>
      <c r="E267" s="202">
        <v>1233</v>
      </c>
      <c r="F267" s="202">
        <v>1233</v>
      </c>
      <c r="G267" s="202">
        <v>1233</v>
      </c>
      <c r="H267" s="202">
        <v>1233</v>
      </c>
      <c r="I267" s="202">
        <v>1233</v>
      </c>
      <c r="J267" s="202">
        <v>1233</v>
      </c>
      <c r="K267" s="202">
        <v>1233</v>
      </c>
      <c r="L267" s="202">
        <v>1233</v>
      </c>
      <c r="M267" s="202">
        <v>1233</v>
      </c>
      <c r="N267" s="202">
        <v>1233</v>
      </c>
      <c r="O267" s="202">
        <v>1233</v>
      </c>
      <c r="P267" s="202">
        <v>1233</v>
      </c>
      <c r="Q267" s="202">
        <v>1233</v>
      </c>
    </row>
    <row r="268" spans="1:17" x14ac:dyDescent="0.2">
      <c r="A268" s="449"/>
      <c r="B268" s="74" t="s">
        <v>161</v>
      </c>
      <c r="C268" s="1" t="s">
        <v>157</v>
      </c>
      <c r="D268" s="202">
        <v>0</v>
      </c>
      <c r="E268" s="202">
        <v>0</v>
      </c>
      <c r="F268" s="202">
        <v>27.82</v>
      </c>
      <c r="G268" s="202">
        <v>27.82</v>
      </c>
      <c r="H268" s="202">
        <v>27.82</v>
      </c>
      <c r="I268" s="202">
        <v>27.82</v>
      </c>
      <c r="J268" s="202">
        <v>27.82</v>
      </c>
      <c r="K268" s="202">
        <v>27.82</v>
      </c>
      <c r="L268" s="202">
        <v>27.82</v>
      </c>
      <c r="M268" s="202">
        <v>27.82</v>
      </c>
      <c r="N268" s="202">
        <v>27.82</v>
      </c>
      <c r="O268" s="202">
        <v>27.82</v>
      </c>
      <c r="P268" s="202">
        <v>27.82</v>
      </c>
      <c r="Q268" s="202">
        <v>27.82</v>
      </c>
    </row>
    <row r="269" spans="1:17" x14ac:dyDescent="0.2">
      <c r="A269" s="449"/>
      <c r="B269" s="74" t="s">
        <v>68</v>
      </c>
      <c r="C269" s="1" t="s">
        <v>18</v>
      </c>
      <c r="D269" s="206">
        <v>0</v>
      </c>
      <c r="E269" s="206">
        <v>0</v>
      </c>
      <c r="F269" s="203">
        <v>20</v>
      </c>
      <c r="G269" s="203">
        <v>40</v>
      </c>
      <c r="H269" s="203">
        <v>80</v>
      </c>
      <c r="I269" s="203">
        <v>150</v>
      </c>
      <c r="J269" s="203">
        <v>200</v>
      </c>
      <c r="K269" s="203">
        <v>200</v>
      </c>
      <c r="L269" s="203">
        <v>225</v>
      </c>
      <c r="M269" s="203">
        <v>250</v>
      </c>
      <c r="N269" s="203">
        <v>250</v>
      </c>
      <c r="O269" s="203">
        <v>250</v>
      </c>
      <c r="P269" s="203">
        <v>250</v>
      </c>
      <c r="Q269" s="203">
        <v>250</v>
      </c>
    </row>
    <row r="270" spans="1:17" x14ac:dyDescent="0.2">
      <c r="A270" s="449"/>
      <c r="B270" s="79" t="s">
        <v>81</v>
      </c>
      <c r="C270" s="150" t="s">
        <v>43</v>
      </c>
      <c r="D270" s="207">
        <v>7.4999999999999997E-3</v>
      </c>
      <c r="E270" s="207">
        <v>1.4999999999999999E-2</v>
      </c>
      <c r="F270" s="207">
        <v>2.2499999999999999E-2</v>
      </c>
      <c r="G270" s="207">
        <v>0.03</v>
      </c>
      <c r="H270" s="207">
        <v>0.04</v>
      </c>
      <c r="I270" s="207">
        <v>0.06</v>
      </c>
      <c r="J270" s="207">
        <v>0.09</v>
      </c>
      <c r="K270" s="207">
        <v>0.12</v>
      </c>
      <c r="L270" s="207">
        <v>0.16</v>
      </c>
      <c r="M270" s="207">
        <v>0.2</v>
      </c>
      <c r="N270" s="207">
        <v>0.24</v>
      </c>
      <c r="O270" s="207">
        <v>0.27</v>
      </c>
      <c r="P270" s="207">
        <v>0.27</v>
      </c>
      <c r="Q270" s="207">
        <v>0.27</v>
      </c>
    </row>
    <row r="271" spans="1:17" x14ac:dyDescent="0.2">
      <c r="A271" s="449"/>
      <c r="B271" s="79" t="s">
        <v>54</v>
      </c>
      <c r="C271" s="150" t="s">
        <v>45</v>
      </c>
      <c r="D271" s="26">
        <v>3.0000000000000001E-3</v>
      </c>
      <c r="E271" s="26">
        <v>3.0000000000000001E-3</v>
      </c>
      <c r="F271" s="26">
        <v>0.02</v>
      </c>
      <c r="G271" s="26">
        <v>0.25</v>
      </c>
      <c r="H271" s="26">
        <v>0.375</v>
      </c>
      <c r="I271" s="251">
        <v>0.5</v>
      </c>
      <c r="J271" s="251">
        <v>0.625</v>
      </c>
      <c r="K271" s="251">
        <v>0.75</v>
      </c>
      <c r="L271" s="251">
        <v>0.875</v>
      </c>
      <c r="M271" s="251">
        <v>1</v>
      </c>
      <c r="N271" s="251">
        <v>1.125</v>
      </c>
      <c r="O271" s="251">
        <v>1.25</v>
      </c>
      <c r="P271" s="251">
        <v>1.375</v>
      </c>
      <c r="Q271" s="251">
        <v>1.5</v>
      </c>
    </row>
    <row r="272" spans="1:17" x14ac:dyDescent="0.2">
      <c r="A272" s="449"/>
      <c r="B272" s="79" t="s">
        <v>76</v>
      </c>
      <c r="C272" s="150" t="s">
        <v>45</v>
      </c>
      <c r="D272" s="226">
        <v>0.154</v>
      </c>
      <c r="E272" s="226">
        <v>0.154</v>
      </c>
      <c r="F272" s="226">
        <v>0.154</v>
      </c>
      <c r="G272" s="226">
        <v>0.154</v>
      </c>
      <c r="H272" s="226">
        <v>0.154</v>
      </c>
      <c r="I272" s="226">
        <v>0.154</v>
      </c>
      <c r="J272" s="226">
        <v>0.154</v>
      </c>
      <c r="K272" s="226">
        <v>0.154</v>
      </c>
      <c r="L272" s="226">
        <v>0.154</v>
      </c>
      <c r="M272" s="226">
        <v>0.154</v>
      </c>
      <c r="N272" s="226">
        <v>0.154</v>
      </c>
      <c r="O272" s="226">
        <v>0.154</v>
      </c>
      <c r="P272" s="226">
        <v>0.154</v>
      </c>
      <c r="Q272" s="226">
        <v>0.154</v>
      </c>
    </row>
    <row r="273" spans="1:19" x14ac:dyDescent="0.2">
      <c r="A273" s="449"/>
      <c r="B273" s="79" t="s">
        <v>56</v>
      </c>
      <c r="C273" s="150" t="s">
        <v>45</v>
      </c>
      <c r="D273" s="209">
        <v>0</v>
      </c>
      <c r="E273" s="209">
        <v>0</v>
      </c>
      <c r="F273" s="209">
        <v>0.1</v>
      </c>
      <c r="G273" s="209">
        <v>0.3</v>
      </c>
      <c r="H273" s="209">
        <v>0.6</v>
      </c>
      <c r="I273" s="209">
        <v>0.9</v>
      </c>
      <c r="J273" s="209">
        <v>1.2</v>
      </c>
      <c r="K273" s="209">
        <v>1.5</v>
      </c>
      <c r="L273" s="209">
        <v>1.2</v>
      </c>
      <c r="M273" s="209">
        <v>0.9</v>
      </c>
      <c r="N273" s="209">
        <v>0.6</v>
      </c>
      <c r="O273" s="209">
        <v>0.3</v>
      </c>
      <c r="P273" s="209">
        <v>0</v>
      </c>
      <c r="Q273" s="209">
        <v>0</v>
      </c>
    </row>
    <row r="274" spans="1:19" x14ac:dyDescent="0.2">
      <c r="A274" s="449"/>
      <c r="B274" s="79" t="s">
        <v>55</v>
      </c>
      <c r="C274" s="150" t="s">
        <v>45</v>
      </c>
      <c r="D274" s="26">
        <v>0</v>
      </c>
      <c r="E274" s="26">
        <v>0.01</v>
      </c>
      <c r="F274" s="26">
        <v>0.05</v>
      </c>
      <c r="G274" s="26">
        <v>0.25</v>
      </c>
      <c r="H274" s="26">
        <v>0.5</v>
      </c>
      <c r="I274" s="26">
        <v>0.5</v>
      </c>
      <c r="J274" s="26">
        <v>0.5</v>
      </c>
      <c r="K274" s="26">
        <v>0.5</v>
      </c>
      <c r="L274" s="26">
        <v>0.5</v>
      </c>
      <c r="M274" s="26">
        <v>0.5</v>
      </c>
      <c r="N274" s="26">
        <v>0.5</v>
      </c>
      <c r="O274" s="26">
        <v>0.5</v>
      </c>
      <c r="P274" s="26">
        <v>0.5</v>
      </c>
      <c r="Q274" s="26">
        <v>0.5</v>
      </c>
    </row>
    <row r="275" spans="1:19" x14ac:dyDescent="0.2">
      <c r="A275" s="449"/>
      <c r="B275" s="79" t="s">
        <v>166</v>
      </c>
      <c r="C275" s="150" t="s">
        <v>167</v>
      </c>
      <c r="D275" s="226">
        <v>71</v>
      </c>
      <c r="E275" s="226">
        <v>71</v>
      </c>
      <c r="F275" s="226">
        <v>71</v>
      </c>
      <c r="G275" s="226">
        <v>71</v>
      </c>
      <c r="H275" s="226">
        <f>G275*0.9</f>
        <v>63.9</v>
      </c>
      <c r="I275" s="226">
        <f>H275*0.9</f>
        <v>57.51</v>
      </c>
      <c r="J275" s="226">
        <f>I275*0.9</f>
        <v>51.759</v>
      </c>
      <c r="K275" s="226">
        <f>J275*0.9</f>
        <v>46.583100000000002</v>
      </c>
      <c r="L275" s="226">
        <v>45</v>
      </c>
      <c r="M275" s="226">
        <v>45</v>
      </c>
      <c r="N275" s="226">
        <v>45</v>
      </c>
      <c r="O275" s="226">
        <v>45</v>
      </c>
      <c r="P275" s="226">
        <v>45</v>
      </c>
      <c r="Q275" s="226">
        <v>45</v>
      </c>
    </row>
    <row r="276" spans="1:19" x14ac:dyDescent="0.2">
      <c r="A276" s="449"/>
      <c r="B276" s="79" t="s">
        <v>163</v>
      </c>
      <c r="C276" s="150" t="s">
        <v>167</v>
      </c>
      <c r="D276" s="226">
        <v>30.929411764705883</v>
      </c>
      <c r="E276" s="226">
        <v>30.929411764705883</v>
      </c>
      <c r="F276" s="226">
        <v>25</v>
      </c>
      <c r="G276" s="226">
        <v>20</v>
      </c>
      <c r="H276" s="226">
        <v>15</v>
      </c>
      <c r="I276" s="226">
        <v>10</v>
      </c>
      <c r="J276" s="226">
        <v>10</v>
      </c>
      <c r="K276" s="226">
        <v>10</v>
      </c>
      <c r="L276" s="226">
        <v>10</v>
      </c>
      <c r="M276" s="226">
        <v>10</v>
      </c>
      <c r="N276" s="226">
        <v>10</v>
      </c>
      <c r="O276" s="226">
        <v>10</v>
      </c>
      <c r="P276" s="226">
        <v>10</v>
      </c>
      <c r="Q276" s="226">
        <v>10</v>
      </c>
    </row>
    <row r="277" spans="1:19" ht="16" thickBot="1" x14ac:dyDescent="0.25">
      <c r="A277" s="450"/>
      <c r="B277" s="79" t="s">
        <v>57</v>
      </c>
      <c r="C277" s="150" t="s">
        <v>167</v>
      </c>
      <c r="D277" s="26">
        <v>0</v>
      </c>
      <c r="E277" s="26">
        <v>0</v>
      </c>
      <c r="F277" s="26">
        <v>0.13</v>
      </c>
      <c r="G277" s="26">
        <v>0.51</v>
      </c>
      <c r="H277" s="26">
        <v>0.87</v>
      </c>
      <c r="I277" s="26">
        <v>1.22</v>
      </c>
      <c r="J277" s="26">
        <v>1.22</v>
      </c>
      <c r="K277" s="26">
        <v>1.22</v>
      </c>
      <c r="L277" s="26">
        <v>1.22</v>
      </c>
      <c r="M277" s="26">
        <v>1.22</v>
      </c>
      <c r="N277" s="26">
        <v>1.22</v>
      </c>
      <c r="O277" s="26">
        <v>1.22</v>
      </c>
      <c r="P277" s="26">
        <v>1.22</v>
      </c>
      <c r="Q277" s="26">
        <v>1.22</v>
      </c>
    </row>
    <row r="278" spans="1:19" ht="16" thickBot="1" x14ac:dyDescent="0.25">
      <c r="D278" s="243">
        <v>100</v>
      </c>
      <c r="E278" s="243">
        <v>125</v>
      </c>
      <c r="F278" s="243">
        <v>150</v>
      </c>
      <c r="G278" s="243">
        <v>175</v>
      </c>
      <c r="H278" s="243">
        <v>200</v>
      </c>
      <c r="I278" s="243">
        <v>200</v>
      </c>
      <c r="J278" s="243">
        <v>200</v>
      </c>
      <c r="K278" s="243">
        <v>200</v>
      </c>
      <c r="L278" s="243">
        <v>175</v>
      </c>
      <c r="M278" s="243">
        <v>175</v>
      </c>
      <c r="N278" s="243">
        <v>175</v>
      </c>
      <c r="O278" s="243">
        <v>150</v>
      </c>
      <c r="P278" s="243">
        <v>150</v>
      </c>
      <c r="Q278" s="243">
        <v>150</v>
      </c>
    </row>
    <row r="279" spans="1:19" x14ac:dyDescent="0.2">
      <c r="A279" s="451" t="s">
        <v>198</v>
      </c>
      <c r="B279" s="74" t="s">
        <v>72</v>
      </c>
      <c r="C279" s="14" t="s">
        <v>15</v>
      </c>
      <c r="D279" s="210">
        <v>2017</v>
      </c>
      <c r="E279" s="210">
        <v>2018</v>
      </c>
      <c r="F279" s="210">
        <v>2019</v>
      </c>
      <c r="G279" s="210">
        <v>2020</v>
      </c>
      <c r="H279" s="210">
        <v>2021</v>
      </c>
      <c r="I279" s="210">
        <v>2022</v>
      </c>
      <c r="J279" s="210">
        <v>2023</v>
      </c>
      <c r="K279" s="210">
        <v>2024</v>
      </c>
      <c r="L279" s="210">
        <v>2025</v>
      </c>
      <c r="M279" s="4">
        <v>2026</v>
      </c>
      <c r="N279" s="4">
        <v>2027</v>
      </c>
      <c r="O279" s="4">
        <v>2028</v>
      </c>
      <c r="P279" s="4">
        <v>2029</v>
      </c>
      <c r="Q279" s="4">
        <v>2030</v>
      </c>
    </row>
    <row r="280" spans="1:19" x14ac:dyDescent="0.2">
      <c r="A280" s="452"/>
      <c r="B280" s="74" t="s">
        <v>158</v>
      </c>
      <c r="C280" s="1" t="s">
        <v>18</v>
      </c>
      <c r="D280" s="252">
        <v>18.423134009999998</v>
      </c>
      <c r="E280" s="252">
        <v>21.954198859999998</v>
      </c>
      <c r="F280" s="252">
        <v>25.79566213</v>
      </c>
      <c r="G280" s="252">
        <v>29.947523820000001</v>
      </c>
      <c r="H280" s="252">
        <v>34.409783930000003</v>
      </c>
      <c r="I280" s="252">
        <v>39.182442460000004</v>
      </c>
      <c r="J280" s="252">
        <v>44.265499409999997</v>
      </c>
      <c r="K280" s="252">
        <v>49.658954780000002</v>
      </c>
      <c r="L280" s="252">
        <v>55.362808569999999</v>
      </c>
      <c r="M280" s="252">
        <v>61.377060779999994</v>
      </c>
      <c r="N280" s="252">
        <v>67.701711410000001</v>
      </c>
      <c r="O280" s="252">
        <v>74.336760459999994</v>
      </c>
      <c r="P280" s="252">
        <v>81.282207929999998</v>
      </c>
      <c r="Q280" s="252">
        <v>88.538053819999988</v>
      </c>
      <c r="S280" s="215"/>
    </row>
    <row r="281" spans="1:19" x14ac:dyDescent="0.2">
      <c r="A281" s="452"/>
      <c r="B281" s="74" t="s">
        <v>17</v>
      </c>
      <c r="C281" s="1" t="s">
        <v>18</v>
      </c>
      <c r="D281" s="202">
        <v>1.0083198807897678</v>
      </c>
      <c r="E281" s="202">
        <v>2.0166397615795355</v>
      </c>
      <c r="F281" s="202">
        <v>4.033279523159071</v>
      </c>
      <c r="G281" s="202">
        <v>7.4866509375388048</v>
      </c>
      <c r="H281" s="202">
        <v>11.508297006019333</v>
      </c>
      <c r="I281" s="202">
        <v>16.249135193627929</v>
      </c>
      <c r="J281" s="202">
        <v>22.164050263776673</v>
      </c>
      <c r="K281" s="202">
        <v>30.406059853470754</v>
      </c>
      <c r="L281" s="202">
        <v>41.012873049381184</v>
      </c>
      <c r="M281" s="202">
        <v>51.043503456268887</v>
      </c>
      <c r="N281" s="202">
        <v>70</v>
      </c>
      <c r="O281" s="202">
        <v>95</v>
      </c>
      <c r="P281" s="202">
        <v>120</v>
      </c>
      <c r="Q281" s="202">
        <v>150</v>
      </c>
    </row>
    <row r="282" spans="1:19" x14ac:dyDescent="0.2">
      <c r="A282" s="452"/>
      <c r="B282" s="74" t="s">
        <v>124</v>
      </c>
      <c r="C282" s="1" t="s">
        <v>18</v>
      </c>
      <c r="D282" s="202">
        <v>50</v>
      </c>
      <c r="E282" s="202">
        <v>100</v>
      </c>
      <c r="F282" s="202">
        <v>150</v>
      </c>
      <c r="G282" s="202">
        <v>150</v>
      </c>
      <c r="H282" s="202">
        <v>150</v>
      </c>
      <c r="I282" s="202">
        <v>150</v>
      </c>
      <c r="J282" s="202">
        <v>150</v>
      </c>
      <c r="K282" s="202">
        <v>150</v>
      </c>
      <c r="L282" s="202">
        <v>100</v>
      </c>
      <c r="M282" s="202">
        <v>50</v>
      </c>
      <c r="N282" s="202">
        <v>0</v>
      </c>
      <c r="O282" s="202">
        <v>0</v>
      </c>
      <c r="P282" s="202">
        <v>0</v>
      </c>
      <c r="Q282" s="202">
        <v>0</v>
      </c>
    </row>
    <row r="283" spans="1:19" x14ac:dyDescent="0.2">
      <c r="A283" s="452"/>
      <c r="B283" s="76" t="s">
        <v>16</v>
      </c>
      <c r="C283" s="1" t="s">
        <v>18</v>
      </c>
      <c r="D283" s="202">
        <v>0</v>
      </c>
      <c r="E283" s="202">
        <v>0</v>
      </c>
      <c r="F283" s="202">
        <v>0</v>
      </c>
      <c r="G283" s="202">
        <v>0</v>
      </c>
      <c r="H283" s="202">
        <v>0</v>
      </c>
      <c r="I283" s="202">
        <v>0</v>
      </c>
      <c r="J283" s="202">
        <v>0</v>
      </c>
      <c r="K283" s="202">
        <v>0</v>
      </c>
      <c r="L283" s="202">
        <v>0</v>
      </c>
      <c r="M283" s="202">
        <v>0</v>
      </c>
      <c r="N283" s="202">
        <v>0</v>
      </c>
      <c r="O283" s="202">
        <v>0</v>
      </c>
      <c r="P283" s="202">
        <v>0</v>
      </c>
      <c r="Q283" s="202">
        <v>0</v>
      </c>
    </row>
    <row r="284" spans="1:19" x14ac:dyDescent="0.2">
      <c r="A284" s="452"/>
      <c r="B284" s="74" t="s">
        <v>5</v>
      </c>
      <c r="C284" s="1" t="s">
        <v>112</v>
      </c>
      <c r="D284" s="253">
        <v>0.37959999999999999</v>
      </c>
      <c r="E284" s="253">
        <v>0.71909999999999996</v>
      </c>
      <c r="F284" s="253">
        <v>1.3375999999999999</v>
      </c>
      <c r="G284" s="253">
        <v>2.3818000000000001</v>
      </c>
      <c r="H284" s="253">
        <v>3.8589000000000002</v>
      </c>
      <c r="I284" s="253">
        <v>6.1199000000000003</v>
      </c>
      <c r="J284" s="253">
        <v>12.969796448400741</v>
      </c>
      <c r="K284" s="253">
        <v>23.844189345202228</v>
      </c>
      <c r="L284" s="253">
        <v>34.718582242003706</v>
      </c>
      <c r="M284" s="203">
        <v>46.503340140812966</v>
      </c>
      <c r="N284" s="203">
        <v>60.43963971087399</v>
      </c>
      <c r="O284" s="203">
        <v>76.90295046180654</v>
      </c>
      <c r="P284" s="203">
        <v>95.924299289722157</v>
      </c>
      <c r="Q284" s="203">
        <v>117.46945822516899</v>
      </c>
    </row>
    <row r="285" spans="1:19" x14ac:dyDescent="0.2">
      <c r="A285" s="452"/>
      <c r="B285" s="74" t="s">
        <v>0</v>
      </c>
      <c r="C285" s="1" t="s">
        <v>19</v>
      </c>
      <c r="D285" s="254">
        <v>973.85187199999996</v>
      </c>
      <c r="E285" s="254">
        <v>1193.638616</v>
      </c>
      <c r="F285" s="254">
        <v>1351.3739760000001</v>
      </c>
      <c r="G285" s="254">
        <v>1562.7517760000001</v>
      </c>
      <c r="H285" s="254">
        <v>1828.233696</v>
      </c>
      <c r="I285" s="254">
        <v>2124.219928</v>
      </c>
      <c r="J285" s="254">
        <v>2685.1889290279537</v>
      </c>
      <c r="K285" s="254">
        <v>3502.6569310838604</v>
      </c>
      <c r="L285" s="254">
        <v>4320.1249331397676</v>
      </c>
      <c r="M285" s="254">
        <v>5190.3348290815702</v>
      </c>
      <c r="N285" s="254">
        <v>6204.5862699682757</v>
      </c>
      <c r="O285" s="254">
        <v>7406.3858761759302</v>
      </c>
      <c r="P285" s="254">
        <v>8799.450102282628</v>
      </c>
      <c r="Q285" s="254">
        <v>10381.371019384236</v>
      </c>
    </row>
    <row r="286" spans="1:19" x14ac:dyDescent="0.2">
      <c r="A286" s="452"/>
      <c r="B286" s="74" t="s">
        <v>38</v>
      </c>
      <c r="C286" s="1" t="s">
        <v>18</v>
      </c>
      <c r="D286" s="204">
        <v>170</v>
      </c>
      <c r="E286" s="204">
        <v>200</v>
      </c>
      <c r="F286" s="204">
        <v>275</v>
      </c>
      <c r="G286" s="204">
        <v>350</v>
      </c>
      <c r="H286" s="204">
        <v>425</v>
      </c>
      <c r="I286" s="204">
        <v>500</v>
      </c>
      <c r="J286" s="204">
        <v>500</v>
      </c>
      <c r="K286" s="204">
        <v>500</v>
      </c>
      <c r="L286" s="204">
        <v>500</v>
      </c>
      <c r="M286" s="204">
        <v>500</v>
      </c>
      <c r="N286" s="204">
        <v>500</v>
      </c>
      <c r="O286" s="204">
        <v>500</v>
      </c>
      <c r="P286" s="204">
        <v>500</v>
      </c>
      <c r="Q286" s="204">
        <v>500</v>
      </c>
    </row>
    <row r="287" spans="1:19" x14ac:dyDescent="0.2">
      <c r="A287" s="452"/>
      <c r="B287" s="74" t="s">
        <v>1</v>
      </c>
      <c r="C287" s="1" t="s">
        <v>18</v>
      </c>
      <c r="D287" s="204">
        <v>350</v>
      </c>
      <c r="E287" s="204">
        <v>450</v>
      </c>
      <c r="F287" s="204">
        <v>550</v>
      </c>
      <c r="G287" s="204">
        <v>650</v>
      </c>
      <c r="H287" s="204">
        <v>750</v>
      </c>
      <c r="I287" s="268">
        <v>900</v>
      </c>
      <c r="J287" s="268">
        <v>1050</v>
      </c>
      <c r="K287" s="268">
        <v>1200</v>
      </c>
      <c r="L287" s="204">
        <v>1300</v>
      </c>
      <c r="M287" s="204">
        <v>1400</v>
      </c>
      <c r="N287" s="204">
        <v>1500</v>
      </c>
      <c r="O287" s="204">
        <v>1500</v>
      </c>
      <c r="P287" s="204">
        <v>1500</v>
      </c>
      <c r="Q287" s="204">
        <v>1500</v>
      </c>
    </row>
    <row r="288" spans="1:19" x14ac:dyDescent="0.2">
      <c r="A288" s="452"/>
      <c r="B288" s="76" t="s">
        <v>82</v>
      </c>
      <c r="C288" s="1" t="s">
        <v>61</v>
      </c>
      <c r="D288" s="203">
        <v>152.33881163084706</v>
      </c>
      <c r="E288" s="203">
        <v>156.38432364096082</v>
      </c>
      <c r="F288" s="203">
        <v>173.07206068268016</v>
      </c>
      <c r="G288" s="203">
        <v>192.58570684911132</v>
      </c>
      <c r="H288" s="203">
        <v>212.6794080464044</v>
      </c>
      <c r="I288" s="203">
        <v>234.2083736149327</v>
      </c>
      <c r="J288" s="203">
        <v>255.00855209340375</v>
      </c>
      <c r="K288" s="203">
        <v>283.88488138618277</v>
      </c>
      <c r="L288" s="203">
        <v>288.06425224957241</v>
      </c>
      <c r="M288" s="203">
        <v>294.935673384398</v>
      </c>
      <c r="N288" s="203">
        <v>301.5839964304306</v>
      </c>
      <c r="O288" s="203">
        <v>307.39941994496911</v>
      </c>
      <c r="P288" s="203">
        <v>313.05867479735258</v>
      </c>
      <c r="Q288" s="203">
        <v>319.1864356362014</v>
      </c>
    </row>
    <row r="289" spans="1:17" x14ac:dyDescent="0.2">
      <c r="A289" s="452"/>
      <c r="B289" s="74" t="s">
        <v>33</v>
      </c>
      <c r="C289" s="1" t="s">
        <v>61</v>
      </c>
      <c r="D289" s="203">
        <v>50</v>
      </c>
      <c r="E289" s="203">
        <v>25</v>
      </c>
      <c r="F289" s="203">
        <v>0</v>
      </c>
      <c r="G289" s="203">
        <v>0</v>
      </c>
      <c r="H289" s="203">
        <v>0</v>
      </c>
      <c r="I289" s="203">
        <v>0</v>
      </c>
      <c r="J289" s="203">
        <v>0</v>
      </c>
      <c r="K289" s="203">
        <v>0</v>
      </c>
      <c r="L289" s="203">
        <v>0</v>
      </c>
      <c r="M289" s="203">
        <v>0</v>
      </c>
      <c r="N289" s="203">
        <v>0</v>
      </c>
      <c r="O289" s="203">
        <v>0</v>
      </c>
      <c r="P289" s="203">
        <v>0</v>
      </c>
      <c r="Q289" s="203">
        <v>0</v>
      </c>
    </row>
    <row r="290" spans="1:17" x14ac:dyDescent="0.2">
      <c r="A290" s="452"/>
      <c r="B290" s="76" t="s">
        <v>103</v>
      </c>
      <c r="C290" s="4" t="s">
        <v>112</v>
      </c>
      <c r="D290" s="202">
        <v>2.1729609654822128E-2</v>
      </c>
      <c r="E290" s="202">
        <v>4.2563122435700422E-2</v>
      </c>
      <c r="F290" s="202">
        <v>7.9221596798729643E-2</v>
      </c>
      <c r="G290" s="202">
        <v>0.12104481719249827</v>
      </c>
      <c r="H290" s="202">
        <v>0.1816060687387489</v>
      </c>
      <c r="I290" s="202">
        <v>0.27756822157499184</v>
      </c>
      <c r="J290" s="202">
        <v>0.37832792169431789</v>
      </c>
      <c r="K290" s="202">
        <v>0.5684160505621817</v>
      </c>
      <c r="L290" s="202">
        <v>0.80546664639454091</v>
      </c>
      <c r="M290" s="202">
        <v>1.1207288866548697</v>
      </c>
      <c r="N290" s="202">
        <v>1.5293722472561442</v>
      </c>
      <c r="O290" s="202">
        <v>2.0295901497354025</v>
      </c>
      <c r="P290" s="202">
        <v>2.6791165470450999</v>
      </c>
      <c r="Q290" s="202">
        <v>3.5256743672802955</v>
      </c>
    </row>
    <row r="291" spans="1:17" x14ac:dyDescent="0.2">
      <c r="A291" s="452"/>
      <c r="B291" s="74" t="s">
        <v>89</v>
      </c>
      <c r="C291" s="1" t="s">
        <v>19</v>
      </c>
      <c r="D291" s="202">
        <v>3.7894114404544301</v>
      </c>
      <c r="E291" s="202">
        <v>10.402955513673991</v>
      </c>
      <c r="F291" s="202">
        <v>21.99355244200974</v>
      </c>
      <c r="G291" s="202">
        <v>38.824390017528302</v>
      </c>
      <c r="H291" s="202">
        <v>58.149856742870597</v>
      </c>
      <c r="I291" s="202">
        <v>97.3073839019399</v>
      </c>
      <c r="J291" s="202">
        <v>146.088656830633</v>
      </c>
      <c r="K291" s="202">
        <v>238.50207872244439</v>
      </c>
      <c r="L291" s="202">
        <v>350.525473011901</v>
      </c>
      <c r="M291" s="202">
        <v>483.18676801670301</v>
      </c>
      <c r="N291" s="202">
        <v>623.48797719434697</v>
      </c>
      <c r="O291" s="202">
        <v>756.11606245709004</v>
      </c>
      <c r="P291" s="202">
        <v>889.00870624910499</v>
      </c>
      <c r="Q291" s="202">
        <v>1024.46109319377</v>
      </c>
    </row>
    <row r="292" spans="1:17" x14ac:dyDescent="0.2">
      <c r="A292" s="452"/>
      <c r="B292" s="74" t="s">
        <v>119</v>
      </c>
      <c r="C292" s="1" t="s">
        <v>19</v>
      </c>
      <c r="D292" s="202">
        <v>1233</v>
      </c>
      <c r="E292" s="202">
        <v>1233</v>
      </c>
      <c r="F292" s="202">
        <v>1233</v>
      </c>
      <c r="G292" s="202">
        <v>1233</v>
      </c>
      <c r="H292" s="202">
        <v>1233</v>
      </c>
      <c r="I292" s="202">
        <v>1233</v>
      </c>
      <c r="J292" s="202">
        <v>1233</v>
      </c>
      <c r="K292" s="202">
        <v>1233</v>
      </c>
      <c r="L292" s="202">
        <v>1233</v>
      </c>
      <c r="M292" s="202">
        <v>1233</v>
      </c>
      <c r="N292" s="202">
        <v>1233</v>
      </c>
      <c r="O292" s="202">
        <v>1233</v>
      </c>
      <c r="P292" s="202">
        <v>1233</v>
      </c>
      <c r="Q292" s="202">
        <v>1233</v>
      </c>
    </row>
    <row r="293" spans="1:17" x14ac:dyDescent="0.2">
      <c r="A293" s="452"/>
      <c r="B293" s="74" t="s">
        <v>161</v>
      </c>
      <c r="C293" s="1" t="s">
        <v>157</v>
      </c>
      <c r="D293" s="202">
        <v>0</v>
      </c>
      <c r="E293" s="202">
        <v>0</v>
      </c>
      <c r="F293" s="202">
        <v>27.82</v>
      </c>
      <c r="G293" s="202">
        <v>27.82</v>
      </c>
      <c r="H293" s="202">
        <v>27.82</v>
      </c>
      <c r="I293" s="202">
        <v>27.82</v>
      </c>
      <c r="J293" s="202">
        <v>27.82</v>
      </c>
      <c r="K293" s="202">
        <v>27.82</v>
      </c>
      <c r="L293" s="202">
        <v>27.82</v>
      </c>
      <c r="M293" s="202">
        <v>27.82</v>
      </c>
      <c r="N293" s="202">
        <v>27.82</v>
      </c>
      <c r="O293" s="202">
        <v>27.82</v>
      </c>
      <c r="P293" s="202">
        <v>27.82</v>
      </c>
      <c r="Q293" s="202">
        <v>27.82</v>
      </c>
    </row>
    <row r="294" spans="1:17" x14ac:dyDescent="0.2">
      <c r="A294" s="452"/>
      <c r="B294" s="74" t="s">
        <v>68</v>
      </c>
      <c r="C294" s="1" t="s">
        <v>18</v>
      </c>
      <c r="D294" s="206">
        <v>0</v>
      </c>
      <c r="E294" s="206">
        <v>0</v>
      </c>
      <c r="F294" s="203">
        <v>20</v>
      </c>
      <c r="G294" s="203">
        <v>40</v>
      </c>
      <c r="H294" s="203">
        <v>80</v>
      </c>
      <c r="I294" s="203">
        <v>150</v>
      </c>
      <c r="J294" s="203">
        <v>200</v>
      </c>
      <c r="K294" s="203">
        <v>250</v>
      </c>
      <c r="L294" s="203">
        <v>250</v>
      </c>
      <c r="M294" s="203">
        <v>275</v>
      </c>
      <c r="N294" s="203">
        <v>300</v>
      </c>
      <c r="O294" s="203">
        <v>300</v>
      </c>
      <c r="P294" s="203">
        <v>300</v>
      </c>
      <c r="Q294" s="203">
        <v>300</v>
      </c>
    </row>
    <row r="295" spans="1:17" x14ac:dyDescent="0.2">
      <c r="A295" s="452"/>
      <c r="B295" s="79" t="s">
        <v>81</v>
      </c>
      <c r="C295" s="150" t="s">
        <v>43</v>
      </c>
      <c r="D295" s="207">
        <v>7.4999999999999997E-3</v>
      </c>
      <c r="E295" s="207">
        <v>1.4999999999999999E-2</v>
      </c>
      <c r="F295" s="207">
        <v>2.2499999999999999E-2</v>
      </c>
      <c r="G295" s="207">
        <v>0.03</v>
      </c>
      <c r="H295" s="207">
        <v>0.04</v>
      </c>
      <c r="I295" s="207">
        <v>0.06</v>
      </c>
      <c r="J295" s="207">
        <v>0.09</v>
      </c>
      <c r="K295" s="207">
        <v>0.12</v>
      </c>
      <c r="L295" s="207">
        <v>0.16</v>
      </c>
      <c r="M295" s="207">
        <v>0.2</v>
      </c>
      <c r="N295" s="207">
        <v>0.24</v>
      </c>
      <c r="O295" s="207">
        <v>0.28000000000000003</v>
      </c>
      <c r="P295" s="207">
        <v>0.32</v>
      </c>
      <c r="Q295" s="207">
        <v>0.32</v>
      </c>
    </row>
    <row r="296" spans="1:17" x14ac:dyDescent="0.2">
      <c r="A296" s="452"/>
      <c r="B296" s="79" t="s">
        <v>54</v>
      </c>
      <c r="C296" s="150" t="s">
        <v>45</v>
      </c>
      <c r="D296" s="26">
        <v>3.0000000000000001E-3</v>
      </c>
      <c r="E296" s="26">
        <v>3.0000000000000001E-3</v>
      </c>
      <c r="F296" s="26">
        <v>0.02</v>
      </c>
      <c r="G296" s="26">
        <v>0.25</v>
      </c>
      <c r="H296" s="26">
        <v>0.375</v>
      </c>
      <c r="I296" s="26">
        <v>0.5</v>
      </c>
      <c r="J296" s="26">
        <v>0.75</v>
      </c>
      <c r="K296" s="26">
        <v>1</v>
      </c>
      <c r="L296" s="26">
        <v>1.25</v>
      </c>
      <c r="M296" s="26">
        <v>1.5</v>
      </c>
      <c r="N296" s="26">
        <v>1.75</v>
      </c>
      <c r="O296" s="26">
        <v>2</v>
      </c>
      <c r="P296" s="26">
        <v>2</v>
      </c>
      <c r="Q296" s="26">
        <v>2</v>
      </c>
    </row>
    <row r="297" spans="1:17" x14ac:dyDescent="0.2">
      <c r="A297" s="452"/>
      <c r="B297" s="79" t="s">
        <v>76</v>
      </c>
      <c r="C297" s="150" t="s">
        <v>45</v>
      </c>
      <c r="D297" s="226">
        <v>0.154</v>
      </c>
      <c r="E297" s="226">
        <v>0.154</v>
      </c>
      <c r="F297" s="226">
        <v>0.154</v>
      </c>
      <c r="G297" s="226">
        <v>0.154</v>
      </c>
      <c r="H297" s="226">
        <v>0.154</v>
      </c>
      <c r="I297" s="226">
        <v>0.154</v>
      </c>
      <c r="J297" s="226">
        <v>0.154</v>
      </c>
      <c r="K297" s="226">
        <v>0.154</v>
      </c>
      <c r="L297" s="226">
        <v>0.154</v>
      </c>
      <c r="M297" s="226">
        <v>0.154</v>
      </c>
      <c r="N297" s="226">
        <v>0.154</v>
      </c>
      <c r="O297" s="226">
        <v>0.154</v>
      </c>
      <c r="P297" s="226">
        <v>0.154</v>
      </c>
      <c r="Q297" s="226">
        <v>0.154</v>
      </c>
    </row>
    <row r="298" spans="1:17" x14ac:dyDescent="0.2">
      <c r="A298" s="452"/>
      <c r="B298" s="79" t="s">
        <v>56</v>
      </c>
      <c r="C298" s="150" t="s">
        <v>45</v>
      </c>
      <c r="D298" s="209">
        <v>0</v>
      </c>
      <c r="E298" s="209">
        <v>0</v>
      </c>
      <c r="F298" s="209">
        <v>0.1</v>
      </c>
      <c r="G298" s="209">
        <v>0.3</v>
      </c>
      <c r="H298" s="209">
        <v>0.6</v>
      </c>
      <c r="I298" s="209">
        <v>0.9</v>
      </c>
      <c r="J298" s="209">
        <v>1.2</v>
      </c>
      <c r="K298" s="209">
        <v>1.5</v>
      </c>
      <c r="L298" s="209">
        <v>1.5</v>
      </c>
      <c r="M298" s="209">
        <v>1.5</v>
      </c>
      <c r="N298" s="209">
        <v>1.5</v>
      </c>
      <c r="O298" s="209">
        <v>1.5</v>
      </c>
      <c r="P298" s="209">
        <v>1.5</v>
      </c>
      <c r="Q298" s="209">
        <v>1.5</v>
      </c>
    </row>
    <row r="299" spans="1:17" x14ac:dyDescent="0.2">
      <c r="A299" s="452"/>
      <c r="B299" s="79" t="s">
        <v>55</v>
      </c>
      <c r="C299" s="150" t="s">
        <v>45</v>
      </c>
      <c r="D299" s="26">
        <v>0</v>
      </c>
      <c r="E299" s="26">
        <v>0.01</v>
      </c>
      <c r="F299" s="26">
        <v>0.05</v>
      </c>
      <c r="G299" s="26">
        <v>0.25</v>
      </c>
      <c r="H299" s="26">
        <v>0.5</v>
      </c>
      <c r="I299" s="26">
        <v>0.5</v>
      </c>
      <c r="J299" s="26">
        <v>0.5</v>
      </c>
      <c r="K299" s="26">
        <v>0.5</v>
      </c>
      <c r="L299" s="26">
        <v>0.5</v>
      </c>
      <c r="M299" s="26">
        <v>0.5</v>
      </c>
      <c r="N299" s="26">
        <v>0.5</v>
      </c>
      <c r="O299" s="26">
        <v>0.5</v>
      </c>
      <c r="P299" s="26">
        <v>0.5</v>
      </c>
      <c r="Q299" s="26">
        <v>0.5</v>
      </c>
    </row>
    <row r="300" spans="1:17" x14ac:dyDescent="0.2">
      <c r="A300" s="452"/>
      <c r="B300" s="79" t="s">
        <v>166</v>
      </c>
      <c r="C300" s="150" t="s">
        <v>167</v>
      </c>
      <c r="D300" s="226">
        <v>71</v>
      </c>
      <c r="E300" s="226">
        <v>71</v>
      </c>
      <c r="F300" s="226">
        <v>71</v>
      </c>
      <c r="G300" s="226">
        <v>71</v>
      </c>
      <c r="H300" s="226">
        <f>G300*0.9</f>
        <v>63.9</v>
      </c>
      <c r="I300" s="226">
        <f>H300*0.9</f>
        <v>57.51</v>
      </c>
      <c r="J300" s="226">
        <f>I300*0.9</f>
        <v>51.759</v>
      </c>
      <c r="K300" s="226">
        <f>J300*0.9</f>
        <v>46.583100000000002</v>
      </c>
      <c r="L300" s="226">
        <v>45</v>
      </c>
      <c r="M300" s="226">
        <v>45</v>
      </c>
      <c r="N300" s="226">
        <v>45</v>
      </c>
      <c r="O300" s="226">
        <v>45</v>
      </c>
      <c r="P300" s="226">
        <v>45</v>
      </c>
      <c r="Q300" s="226">
        <v>45</v>
      </c>
    </row>
    <row r="301" spans="1:17" x14ac:dyDescent="0.2">
      <c r="A301" s="452"/>
      <c r="B301" s="79" t="s">
        <v>163</v>
      </c>
      <c r="C301" s="150" t="s">
        <v>167</v>
      </c>
      <c r="D301" s="226">
        <v>30.929411764705883</v>
      </c>
      <c r="E301" s="226">
        <v>30.929411764705883</v>
      </c>
      <c r="F301" s="226">
        <v>25</v>
      </c>
      <c r="G301" s="226">
        <v>20</v>
      </c>
      <c r="H301" s="226">
        <v>15</v>
      </c>
      <c r="I301" s="226">
        <v>10</v>
      </c>
      <c r="J301" s="226">
        <v>10</v>
      </c>
      <c r="K301" s="226">
        <v>10</v>
      </c>
      <c r="L301" s="226">
        <v>10</v>
      </c>
      <c r="M301" s="226">
        <v>10</v>
      </c>
      <c r="N301" s="226">
        <v>10</v>
      </c>
      <c r="O301" s="226">
        <v>10</v>
      </c>
      <c r="P301" s="226">
        <v>10</v>
      </c>
      <c r="Q301" s="226">
        <v>10</v>
      </c>
    </row>
    <row r="302" spans="1:17" ht="16" thickBot="1" x14ac:dyDescent="0.25">
      <c r="A302" s="453"/>
      <c r="B302" s="79" t="s">
        <v>57</v>
      </c>
      <c r="C302" s="150" t="s">
        <v>167</v>
      </c>
      <c r="D302" s="26">
        <v>0</v>
      </c>
      <c r="E302" s="26">
        <v>0</v>
      </c>
      <c r="F302" s="26">
        <v>0.13</v>
      </c>
      <c r="G302" s="26">
        <v>0.51</v>
      </c>
      <c r="H302" s="26">
        <v>0.87</v>
      </c>
      <c r="I302" s="26">
        <v>1.22</v>
      </c>
      <c r="J302" s="26">
        <v>1.22</v>
      </c>
      <c r="K302" s="26">
        <v>1.22</v>
      </c>
      <c r="L302" s="26">
        <v>1.22</v>
      </c>
      <c r="M302" s="26">
        <v>1.22</v>
      </c>
      <c r="N302" s="26">
        <v>1.22</v>
      </c>
      <c r="O302" s="26">
        <v>1.22</v>
      </c>
      <c r="P302" s="26">
        <v>1.22</v>
      </c>
      <c r="Q302" s="26">
        <v>1.22</v>
      </c>
    </row>
  </sheetData>
  <sortState ref="Q35:R41">
    <sortCondition ref="Q35:Q41"/>
  </sortState>
  <mergeCells count="12">
    <mergeCell ref="A79:A102"/>
    <mergeCell ref="A54:A77"/>
    <mergeCell ref="A29:A52"/>
    <mergeCell ref="A4:A27"/>
    <mergeCell ref="A279:A302"/>
    <mergeCell ref="A254:A277"/>
    <mergeCell ref="A229:A252"/>
    <mergeCell ref="A104:A127"/>
    <mergeCell ref="A204:A227"/>
    <mergeCell ref="A179:A202"/>
    <mergeCell ref="A154:A177"/>
    <mergeCell ref="A129:A15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3"/>
  <sheetViews>
    <sheetView workbookViewId="0">
      <selection activeCell="F10" sqref="F10:F11"/>
    </sheetView>
  </sheetViews>
  <sheetFormatPr baseColWidth="10" defaultColWidth="7.5" defaultRowHeight="14" x14ac:dyDescent="0.2"/>
  <cols>
    <col min="1" max="1" width="29" style="283" bestFit="1" customWidth="1"/>
    <col min="2" max="2" width="36.33203125" style="283" customWidth="1"/>
    <col min="3" max="3" width="15.1640625" style="283" customWidth="1"/>
    <col min="4" max="6" width="8.83203125" style="283" customWidth="1"/>
    <col min="7" max="20" width="8.5" style="283" bestFit="1" customWidth="1"/>
    <col min="21" max="21" width="7.5" style="283"/>
    <col min="22" max="22" width="40.83203125" style="283" customWidth="1"/>
    <col min="23" max="16384" width="7.5" style="283"/>
  </cols>
  <sheetData>
    <row r="1" spans="1:22" ht="29" x14ac:dyDescent="0.2">
      <c r="A1" s="279" t="s">
        <v>272</v>
      </c>
      <c r="B1" s="280" t="s">
        <v>273</v>
      </c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 t="s">
        <v>274</v>
      </c>
      <c r="P1" s="281" t="s">
        <v>274</v>
      </c>
      <c r="Q1" s="281" t="s">
        <v>274</v>
      </c>
      <c r="R1" s="281" t="s">
        <v>274</v>
      </c>
      <c r="S1" s="281" t="s">
        <v>274</v>
      </c>
      <c r="T1" s="282" t="s">
        <v>274</v>
      </c>
      <c r="V1" s="283" t="s">
        <v>275</v>
      </c>
    </row>
    <row r="2" spans="1:22" ht="29" x14ac:dyDescent="0.25">
      <c r="A2" s="284" t="s">
        <v>129</v>
      </c>
      <c r="B2" s="285" t="s">
        <v>276</v>
      </c>
      <c r="C2" s="282" t="s">
        <v>274</v>
      </c>
      <c r="D2" s="286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</row>
    <row r="3" spans="1:22" ht="31" x14ac:dyDescent="0.25">
      <c r="A3" s="288" t="s">
        <v>147</v>
      </c>
      <c r="B3" s="289">
        <v>48</v>
      </c>
      <c r="C3" s="290" t="s">
        <v>277</v>
      </c>
      <c r="D3" s="291">
        <v>98.471999999999994</v>
      </c>
      <c r="E3" s="291">
        <v>98.95</v>
      </c>
      <c r="F3" s="291">
        <v>98.47</v>
      </c>
      <c r="G3" s="291">
        <v>98.47</v>
      </c>
      <c r="H3" s="291">
        <v>98.47</v>
      </c>
      <c r="I3" s="291">
        <v>99.97</v>
      </c>
      <c r="J3" s="291">
        <v>99.97</v>
      </c>
      <c r="K3" s="291">
        <v>99.97</v>
      </c>
      <c r="L3" s="291">
        <v>99.97</v>
      </c>
      <c r="M3" s="291">
        <v>99.97</v>
      </c>
      <c r="N3" s="291">
        <v>99.97</v>
      </c>
      <c r="O3" s="291">
        <v>99.97</v>
      </c>
      <c r="P3" s="291">
        <v>99.97</v>
      </c>
      <c r="Q3" s="291">
        <v>99.97</v>
      </c>
      <c r="R3" s="291">
        <v>99.97</v>
      </c>
      <c r="S3" s="291">
        <v>99.97</v>
      </c>
      <c r="T3" s="291">
        <v>99.97</v>
      </c>
      <c r="V3" s="283" t="s">
        <v>278</v>
      </c>
    </row>
    <row r="4" spans="1:22" ht="15" x14ac:dyDescent="0.2">
      <c r="A4" s="284" t="s">
        <v>274</v>
      </c>
      <c r="B4" s="292" t="s">
        <v>274</v>
      </c>
      <c r="C4" s="290" t="s">
        <v>279</v>
      </c>
      <c r="D4" s="291">
        <v>102.01</v>
      </c>
      <c r="E4" s="291">
        <v>98.03</v>
      </c>
      <c r="F4" s="291">
        <v>102.01</v>
      </c>
      <c r="G4" s="291">
        <v>102.01</v>
      </c>
      <c r="H4" s="291">
        <v>102.01</v>
      </c>
      <c r="I4" s="291">
        <v>100.95</v>
      </c>
      <c r="J4" s="291">
        <v>100.95</v>
      </c>
      <c r="K4" s="291">
        <v>100.95</v>
      </c>
      <c r="L4" s="291">
        <v>100.95</v>
      </c>
      <c r="M4" s="291">
        <v>100.95</v>
      </c>
      <c r="N4" s="291">
        <v>100.95</v>
      </c>
      <c r="O4" s="291">
        <v>100.95</v>
      </c>
      <c r="P4" s="291">
        <v>100.95</v>
      </c>
      <c r="Q4" s="291">
        <v>100.95</v>
      </c>
      <c r="R4" s="291">
        <v>100.95</v>
      </c>
      <c r="S4" s="291">
        <v>100.95</v>
      </c>
      <c r="T4" s="291">
        <v>100.95</v>
      </c>
      <c r="V4" s="283" t="s">
        <v>278</v>
      </c>
    </row>
    <row r="5" spans="1:22" ht="15" x14ac:dyDescent="0.2">
      <c r="A5" s="284" t="s">
        <v>80</v>
      </c>
      <c r="B5" s="293" t="s">
        <v>274</v>
      </c>
      <c r="C5" s="294">
        <v>2010</v>
      </c>
      <c r="D5" s="294">
        <v>2014</v>
      </c>
      <c r="E5" s="294">
        <v>2015</v>
      </c>
      <c r="F5" s="294">
        <v>2016</v>
      </c>
      <c r="G5" s="294">
        <v>2017</v>
      </c>
      <c r="H5" s="294">
        <v>2018</v>
      </c>
      <c r="I5" s="294">
        <v>2019</v>
      </c>
      <c r="J5" s="294">
        <v>2020</v>
      </c>
      <c r="K5" s="294">
        <v>2021</v>
      </c>
      <c r="L5" s="294">
        <v>2022</v>
      </c>
      <c r="M5" s="294">
        <v>2023</v>
      </c>
      <c r="N5" s="294">
        <v>2024</v>
      </c>
      <c r="O5" s="294">
        <v>2025</v>
      </c>
      <c r="P5" s="294">
        <v>2026</v>
      </c>
      <c r="Q5" s="294">
        <v>2027</v>
      </c>
      <c r="R5" s="294">
        <v>2028</v>
      </c>
      <c r="S5" s="294">
        <v>2029</v>
      </c>
      <c r="T5" s="294">
        <v>2030</v>
      </c>
    </row>
    <row r="6" spans="1:22" ht="15" x14ac:dyDescent="0.2">
      <c r="A6" s="295" t="s">
        <v>280</v>
      </c>
      <c r="B6" s="296" t="s">
        <v>49</v>
      </c>
      <c r="C6" s="297">
        <v>98.471999999999994</v>
      </c>
      <c r="D6" s="298">
        <v>97.96</v>
      </c>
      <c r="E6" s="298">
        <v>97.96</v>
      </c>
      <c r="F6" s="298">
        <v>96.5</v>
      </c>
      <c r="G6" s="299">
        <v>95.02</v>
      </c>
      <c r="H6" s="299">
        <v>93.55</v>
      </c>
      <c r="I6" s="300">
        <v>93.721874999999997</v>
      </c>
      <c r="J6" s="300">
        <v>92.472250000000003</v>
      </c>
      <c r="K6" s="300">
        <v>91.222624999999994</v>
      </c>
      <c r="L6" s="300">
        <v>89.972999999999999</v>
      </c>
      <c r="M6" s="300">
        <v>88.72337499999999</v>
      </c>
      <c r="N6" s="300">
        <v>87.473749999999995</v>
      </c>
      <c r="O6" s="300">
        <v>86.224125000000001</v>
      </c>
      <c r="P6" s="300">
        <v>84.974499999999992</v>
      </c>
      <c r="Q6" s="300">
        <v>83.724874999999997</v>
      </c>
      <c r="R6" s="300">
        <v>82.475249999999988</v>
      </c>
      <c r="S6" s="300">
        <v>81.225624999999994</v>
      </c>
      <c r="T6" s="300">
        <v>79.975999999999999</v>
      </c>
      <c r="V6" s="283" t="s">
        <v>278</v>
      </c>
    </row>
    <row r="7" spans="1:22" ht="15" x14ac:dyDescent="0.2">
      <c r="A7" s="301"/>
      <c r="B7" s="296" t="s">
        <v>50</v>
      </c>
      <c r="C7" s="297">
        <v>102.01</v>
      </c>
      <c r="D7" s="298">
        <v>97.05</v>
      </c>
      <c r="E7" s="298">
        <v>97.05</v>
      </c>
      <c r="F7" s="298">
        <v>99.97</v>
      </c>
      <c r="G7" s="299">
        <v>98.44</v>
      </c>
      <c r="H7" s="299">
        <v>96.91</v>
      </c>
      <c r="I7" s="300">
        <v>94.640625</v>
      </c>
      <c r="J7" s="300">
        <v>93.378750000000011</v>
      </c>
      <c r="K7" s="300">
        <v>92.116875000000007</v>
      </c>
      <c r="L7" s="300">
        <v>90.855000000000004</v>
      </c>
      <c r="M7" s="300">
        <v>89.593125000000001</v>
      </c>
      <c r="N7" s="300">
        <v>88.331249999999997</v>
      </c>
      <c r="O7" s="300">
        <v>87.069375000000008</v>
      </c>
      <c r="P7" s="300">
        <v>85.807500000000005</v>
      </c>
      <c r="Q7" s="300">
        <v>84.545625000000001</v>
      </c>
      <c r="R7" s="300">
        <v>83.283749999999998</v>
      </c>
      <c r="S7" s="300">
        <v>82.021875000000009</v>
      </c>
      <c r="T7" s="300">
        <v>80.760000000000005</v>
      </c>
      <c r="V7" s="283" t="s">
        <v>278</v>
      </c>
    </row>
    <row r="8" spans="1:22" ht="15" x14ac:dyDescent="0.2">
      <c r="A8" s="301"/>
      <c r="B8" s="296" t="s">
        <v>69</v>
      </c>
      <c r="C8" s="302">
        <v>94</v>
      </c>
      <c r="D8" s="298" t="s">
        <v>274</v>
      </c>
      <c r="E8" s="298" t="s">
        <v>274</v>
      </c>
      <c r="F8" s="298" t="s">
        <v>274</v>
      </c>
      <c r="G8" s="299" t="s">
        <v>274</v>
      </c>
      <c r="H8" s="299">
        <v>89.3</v>
      </c>
      <c r="I8" s="300">
        <v>88.125</v>
      </c>
      <c r="J8" s="300">
        <v>86.95</v>
      </c>
      <c r="K8" s="300">
        <v>85.774999999999991</v>
      </c>
      <c r="L8" s="300">
        <v>84.600000000000009</v>
      </c>
      <c r="M8" s="300">
        <v>83.424999999999997</v>
      </c>
      <c r="N8" s="300">
        <v>82.25</v>
      </c>
      <c r="O8" s="300">
        <v>81.075000000000003</v>
      </c>
      <c r="P8" s="300">
        <v>79.899999999999991</v>
      </c>
      <c r="Q8" s="300">
        <v>78.725000000000009</v>
      </c>
      <c r="R8" s="300">
        <v>77.55</v>
      </c>
      <c r="S8" s="300">
        <v>76.375</v>
      </c>
      <c r="T8" s="300">
        <v>75.2</v>
      </c>
      <c r="V8" s="283" t="s">
        <v>278</v>
      </c>
    </row>
    <row r="9" spans="1:22" ht="15" x14ac:dyDescent="0.2">
      <c r="A9" s="301"/>
      <c r="B9" s="296" t="s">
        <v>84</v>
      </c>
      <c r="C9" s="296" t="s">
        <v>43</v>
      </c>
      <c r="D9" s="303">
        <v>0.01</v>
      </c>
      <c r="E9" s="303">
        <v>0.01</v>
      </c>
      <c r="F9" s="303">
        <v>0.02</v>
      </c>
      <c r="G9" s="304">
        <v>3.5000000000000003E-2</v>
      </c>
      <c r="H9" s="304">
        <v>0.05</v>
      </c>
      <c r="I9" s="304">
        <v>6.25E-2</v>
      </c>
      <c r="J9" s="304">
        <v>7.4999999999999997E-2</v>
      </c>
      <c r="K9" s="304">
        <v>8.7499999999999994E-2</v>
      </c>
      <c r="L9" s="304">
        <v>0.1</v>
      </c>
      <c r="M9" s="304">
        <v>0.1125</v>
      </c>
      <c r="N9" s="304">
        <v>0.125</v>
      </c>
      <c r="O9" s="304">
        <v>0.13750000000000001</v>
      </c>
      <c r="P9" s="304">
        <v>0.15</v>
      </c>
      <c r="Q9" s="304">
        <v>0.16250000000000001</v>
      </c>
      <c r="R9" s="304">
        <v>0.17499999999999999</v>
      </c>
      <c r="S9" s="304">
        <v>0.1875</v>
      </c>
      <c r="T9" s="304">
        <v>0.2</v>
      </c>
      <c r="V9" s="283" t="s">
        <v>278</v>
      </c>
    </row>
    <row r="10" spans="1:22" ht="15" x14ac:dyDescent="0.2">
      <c r="A10" s="301"/>
      <c r="B10" s="305" t="s">
        <v>85</v>
      </c>
      <c r="C10" s="296" t="s">
        <v>83</v>
      </c>
      <c r="D10" s="306" t="s">
        <v>274</v>
      </c>
      <c r="E10" s="306" t="s">
        <v>274</v>
      </c>
      <c r="F10" s="307">
        <v>15611.995010252302</v>
      </c>
      <c r="G10" s="308">
        <v>15613.221889947101</v>
      </c>
      <c r="H10" s="308">
        <v>15454.497952026331</v>
      </c>
      <c r="I10" s="308">
        <v>15226.583691569889</v>
      </c>
      <c r="J10" s="308">
        <v>14973.663722530142</v>
      </c>
      <c r="K10" s="308">
        <v>14725.543362135073</v>
      </c>
      <c r="L10" s="308">
        <v>14468.368868833168</v>
      </c>
      <c r="M10" s="308">
        <v>14201.225530972712</v>
      </c>
      <c r="N10" s="308">
        <v>13955.117815190621</v>
      </c>
      <c r="O10" s="308">
        <v>13703.691415892667</v>
      </c>
      <c r="P10" s="308">
        <v>13466.818689413165</v>
      </c>
      <c r="Q10" s="308">
        <v>13271.493387949422</v>
      </c>
      <c r="R10" s="308">
        <v>13133.406071620229</v>
      </c>
      <c r="S10" s="308">
        <v>13028.263612139499</v>
      </c>
      <c r="T10" s="308">
        <v>12945.818131712233</v>
      </c>
      <c r="V10" s="283" t="s">
        <v>281</v>
      </c>
    </row>
    <row r="11" spans="1:22" ht="15" x14ac:dyDescent="0.2">
      <c r="A11" s="72"/>
      <c r="B11" s="309" t="s">
        <v>86</v>
      </c>
      <c r="C11" s="296" t="s">
        <v>61</v>
      </c>
      <c r="D11" s="306" t="s">
        <v>274</v>
      </c>
      <c r="E11" s="306" t="s">
        <v>274</v>
      </c>
      <c r="F11" s="307">
        <v>4071.0255827727819</v>
      </c>
      <c r="G11" s="308">
        <v>3978.7517286479051</v>
      </c>
      <c r="H11" s="308">
        <v>3976.5949797222024</v>
      </c>
      <c r="I11" s="308">
        <v>3972.593518959668</v>
      </c>
      <c r="J11" s="308">
        <v>3968.8694257413467</v>
      </c>
      <c r="K11" s="308">
        <v>3971.6940618810158</v>
      </c>
      <c r="L11" s="308">
        <v>3980.3981798097338</v>
      </c>
      <c r="M11" s="308">
        <v>3989.0129570986642</v>
      </c>
      <c r="N11" s="308">
        <v>3990.0038913400331</v>
      </c>
      <c r="O11" s="308">
        <v>3970.7195232432382</v>
      </c>
      <c r="P11" s="308">
        <v>3972.325163439421</v>
      </c>
      <c r="Q11" s="308">
        <v>3963.91747526582</v>
      </c>
      <c r="R11" s="308">
        <v>3957.0434699528028</v>
      </c>
      <c r="S11" s="308">
        <v>3948.2670703793342</v>
      </c>
      <c r="T11" s="308">
        <v>3946.1068927724455</v>
      </c>
      <c r="V11" s="283" t="s">
        <v>281</v>
      </c>
    </row>
    <row r="12" spans="1:22" ht="15" x14ac:dyDescent="0.2">
      <c r="A12" s="72" t="s">
        <v>274</v>
      </c>
      <c r="B12" s="310" t="s">
        <v>26</v>
      </c>
      <c r="C12" s="296" t="s">
        <v>45</v>
      </c>
      <c r="D12" s="311" t="s">
        <v>274</v>
      </c>
      <c r="E12" s="311">
        <v>2.9100000000000006</v>
      </c>
      <c r="F12" s="311">
        <v>2.579917</v>
      </c>
      <c r="G12" s="312">
        <v>2.2905251287337904</v>
      </c>
      <c r="H12" s="312">
        <v>1.3073998277848524</v>
      </c>
      <c r="I12" s="312">
        <v>1.0396124380083354</v>
      </c>
      <c r="J12" s="312">
        <v>1.1622949677546544</v>
      </c>
      <c r="K12" s="312">
        <v>0.34440837070475538</v>
      </c>
      <c r="L12" s="312">
        <v>0.20421648253987712</v>
      </c>
      <c r="M12" s="312">
        <v>1.1103059984024348</v>
      </c>
      <c r="N12" s="312">
        <v>2.3691940585840783</v>
      </c>
      <c r="O12" s="312">
        <v>3.5373684048620504</v>
      </c>
      <c r="P12" s="312">
        <v>4.6252679728747097</v>
      </c>
      <c r="Q12" s="312">
        <v>6.158398204709016</v>
      </c>
      <c r="R12" s="312">
        <v>8.2349881281941144</v>
      </c>
      <c r="S12" s="312">
        <v>9.7930155370771281</v>
      </c>
      <c r="T12" s="312">
        <v>12.014306918643531</v>
      </c>
      <c r="V12" s="283" t="s">
        <v>281</v>
      </c>
    </row>
    <row r="13" spans="1:22" ht="15" x14ac:dyDescent="0.2">
      <c r="A13" s="313" t="s">
        <v>274</v>
      </c>
      <c r="B13" s="309" t="s">
        <v>42</v>
      </c>
      <c r="C13" s="314" t="s">
        <v>45</v>
      </c>
      <c r="D13" s="315" t="s">
        <v>274</v>
      </c>
      <c r="E13" s="315">
        <v>7.43</v>
      </c>
      <c r="F13" s="315">
        <v>10.009917</v>
      </c>
      <c r="G13" s="316">
        <v>10.009917</v>
      </c>
      <c r="H13" s="316">
        <v>11.317316827784852</v>
      </c>
      <c r="I13" s="316">
        <v>12.356929265793188</v>
      </c>
      <c r="J13" s="316">
        <v>13.519224233547842</v>
      </c>
      <c r="K13" s="316">
        <v>13.863632604252597</v>
      </c>
      <c r="L13" s="316">
        <v>14.067849086792474</v>
      </c>
      <c r="M13" s="316">
        <v>15.178155085194909</v>
      </c>
      <c r="N13" s="316">
        <v>17.547349143778987</v>
      </c>
      <c r="O13" s="316">
        <v>21.084717548641038</v>
      </c>
      <c r="P13" s="316">
        <v>25.709985521515748</v>
      </c>
      <c r="Q13" s="316">
        <v>31.868383726224764</v>
      </c>
      <c r="R13" s="316">
        <v>40.103371854418882</v>
      </c>
      <c r="S13" s="316">
        <v>49.896387391496006</v>
      </c>
      <c r="T13" s="316">
        <v>61.910694310139533</v>
      </c>
      <c r="V13" s="283" t="s">
        <v>281</v>
      </c>
    </row>
    <row r="14" spans="1:22" ht="16" x14ac:dyDescent="0.2">
      <c r="A14" s="317" t="s">
        <v>274</v>
      </c>
      <c r="B14" s="318"/>
      <c r="C14" s="319"/>
      <c r="D14" s="320"/>
      <c r="E14" s="321"/>
      <c r="F14" s="321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</row>
    <row r="15" spans="1:22" ht="22" thickBot="1" x14ac:dyDescent="0.3">
      <c r="A15" s="317" t="s">
        <v>274</v>
      </c>
      <c r="B15" s="323" t="s">
        <v>274</v>
      </c>
      <c r="C15" s="324" t="s">
        <v>274</v>
      </c>
      <c r="D15" s="325" t="s">
        <v>51</v>
      </c>
      <c r="E15" s="326"/>
      <c r="F15" s="326"/>
      <c r="G15" s="326"/>
      <c r="H15" s="326"/>
      <c r="I15" s="326" t="s">
        <v>274</v>
      </c>
      <c r="J15" s="326" t="s">
        <v>274</v>
      </c>
      <c r="K15" s="326" t="s">
        <v>274</v>
      </c>
      <c r="L15" s="326" t="s">
        <v>274</v>
      </c>
      <c r="M15" s="326" t="s">
        <v>274</v>
      </c>
      <c r="N15" s="326" t="s">
        <v>274</v>
      </c>
      <c r="O15" s="326" t="s">
        <v>274</v>
      </c>
      <c r="P15" s="326" t="s">
        <v>274</v>
      </c>
      <c r="Q15" s="326" t="s">
        <v>274</v>
      </c>
      <c r="R15" s="326" t="s">
        <v>274</v>
      </c>
      <c r="S15" s="326" t="s">
        <v>274</v>
      </c>
      <c r="T15" s="327" t="s">
        <v>274</v>
      </c>
    </row>
    <row r="16" spans="1:22" ht="15" customHeight="1" x14ac:dyDescent="0.2">
      <c r="A16" s="328" t="s">
        <v>51</v>
      </c>
      <c r="B16" s="329" t="s">
        <v>72</v>
      </c>
      <c r="C16" s="330" t="s">
        <v>15</v>
      </c>
      <c r="D16" s="331">
        <v>2014</v>
      </c>
      <c r="E16" s="331">
        <v>2015</v>
      </c>
      <c r="F16" s="331">
        <v>2016</v>
      </c>
      <c r="G16" s="331">
        <v>2017</v>
      </c>
      <c r="H16" s="331">
        <v>2018</v>
      </c>
      <c r="I16" s="331">
        <v>2019</v>
      </c>
      <c r="J16" s="331">
        <v>2020</v>
      </c>
      <c r="K16" s="331">
        <v>2021</v>
      </c>
      <c r="L16" s="331">
        <v>2022</v>
      </c>
      <c r="M16" s="331">
        <v>2023</v>
      </c>
      <c r="N16" s="331">
        <v>2024</v>
      </c>
      <c r="O16" s="331">
        <v>2025</v>
      </c>
      <c r="P16" s="294">
        <v>2026</v>
      </c>
      <c r="Q16" s="294">
        <v>2027</v>
      </c>
      <c r="R16" s="294">
        <v>2028</v>
      </c>
      <c r="S16" s="294">
        <v>2029</v>
      </c>
      <c r="T16" s="294">
        <v>2030</v>
      </c>
    </row>
    <row r="17" spans="1:22" ht="16.5" customHeight="1" x14ac:dyDescent="0.2">
      <c r="A17" s="332" t="s">
        <v>274</v>
      </c>
      <c r="B17" s="329" t="s">
        <v>99</v>
      </c>
      <c r="C17" s="296" t="s">
        <v>43</v>
      </c>
      <c r="D17" s="315">
        <v>0.10186582521607902</v>
      </c>
      <c r="E17" s="315">
        <v>0.1016114894477783</v>
      </c>
      <c r="F17" s="315">
        <v>0.10260858391159085</v>
      </c>
      <c r="G17" s="333">
        <v>0.10194524384135575</v>
      </c>
      <c r="H17" s="333">
        <v>0.10223251656464971</v>
      </c>
      <c r="I17" s="333">
        <v>0.10252635741092812</v>
      </c>
      <c r="J17" s="333">
        <v>0.10282479418576286</v>
      </c>
      <c r="K17" s="333">
        <v>0.10300408126804958</v>
      </c>
      <c r="L17" s="333">
        <v>0.10334966834498774</v>
      </c>
      <c r="M17" s="333">
        <v>0.10384523759449417</v>
      </c>
      <c r="N17" s="333">
        <v>0.10402060948484525</v>
      </c>
      <c r="O17" s="333">
        <v>0.10419776076516284</v>
      </c>
      <c r="P17" s="333">
        <v>0.10437833698041012</v>
      </c>
      <c r="Q17" s="333">
        <v>0.1045648843300151</v>
      </c>
      <c r="R17" s="333">
        <v>0.10475841344909052</v>
      </c>
      <c r="S17" s="333">
        <v>0.10495968083533111</v>
      </c>
      <c r="T17" s="333">
        <v>0.10468091626604835</v>
      </c>
      <c r="V17" s="283" t="s">
        <v>282</v>
      </c>
    </row>
    <row r="18" spans="1:22" ht="16.5" customHeight="1" x14ac:dyDescent="0.2">
      <c r="A18" s="332" t="s">
        <v>274</v>
      </c>
      <c r="B18" s="329" t="s">
        <v>158</v>
      </c>
      <c r="C18" s="296" t="s">
        <v>18</v>
      </c>
      <c r="D18" s="315">
        <v>30.222222222221944</v>
      </c>
      <c r="E18" s="315">
        <v>26.555555555555429</v>
      </c>
      <c r="F18" s="315">
        <v>45.111111111111086</v>
      </c>
      <c r="G18" s="334">
        <v>41.524114186585741</v>
      </c>
      <c r="H18" s="334">
        <v>47.818206692383875</v>
      </c>
      <c r="I18" s="334">
        <v>53.854809897356589</v>
      </c>
      <c r="J18" s="334">
        <v>59.662845106671874</v>
      </c>
      <c r="K18" s="334">
        <v>62.8147346314205</v>
      </c>
      <c r="L18" s="334">
        <v>65.517579345587805</v>
      </c>
      <c r="M18" s="334">
        <v>67.766495090602177</v>
      </c>
      <c r="N18" s="334">
        <v>69.704535136454496</v>
      </c>
      <c r="O18" s="334">
        <v>71.250071459346501</v>
      </c>
      <c r="P18" s="334">
        <v>72.552347521066565</v>
      </c>
      <c r="Q18" s="334">
        <v>73.771121507852371</v>
      </c>
      <c r="R18" s="334">
        <v>75.028432296127107</v>
      </c>
      <c r="S18" s="334">
        <v>76.22945854975714</v>
      </c>
      <c r="T18" s="334">
        <v>77.34165680093578</v>
      </c>
      <c r="V18" s="283" t="s">
        <v>283</v>
      </c>
    </row>
    <row r="19" spans="1:22" ht="16.5" customHeight="1" x14ac:dyDescent="0.2">
      <c r="A19" s="332" t="s">
        <v>274</v>
      </c>
      <c r="B19" s="329" t="s">
        <v>22</v>
      </c>
      <c r="C19" s="296" t="s">
        <v>18</v>
      </c>
      <c r="D19" s="315">
        <v>1485</v>
      </c>
      <c r="E19" s="315">
        <v>1507</v>
      </c>
      <c r="F19" s="315">
        <v>1597</v>
      </c>
      <c r="G19" s="308">
        <v>1578.3295830121979</v>
      </c>
      <c r="H19" s="308">
        <v>1564.0167235604399</v>
      </c>
      <c r="I19" s="308">
        <v>1542.5945510049482</v>
      </c>
      <c r="J19" s="308">
        <v>1518.4410330630228</v>
      </c>
      <c r="K19" s="308">
        <v>1488.7309508260205</v>
      </c>
      <c r="L19" s="308">
        <v>1456.7093441185571</v>
      </c>
      <c r="M19" s="308">
        <v>1422.276718554758</v>
      </c>
      <c r="N19" s="308">
        <v>1381.6485683571182</v>
      </c>
      <c r="O19" s="308">
        <v>1337.5291731460954</v>
      </c>
      <c r="P19" s="308">
        <v>1292.6068891061957</v>
      </c>
      <c r="Q19" s="308">
        <v>1249.0389365537858</v>
      </c>
      <c r="R19" s="308">
        <v>1208.4961408925199</v>
      </c>
      <c r="S19" s="308">
        <v>1169.09645252068</v>
      </c>
      <c r="T19" s="308">
        <v>1125.0929216454301</v>
      </c>
      <c r="V19" s="283" t="s">
        <v>281</v>
      </c>
    </row>
    <row r="20" spans="1:22" ht="16.5" customHeight="1" x14ac:dyDescent="0.2">
      <c r="A20" s="332" t="s">
        <v>274</v>
      </c>
      <c r="B20" s="329" t="s">
        <v>17</v>
      </c>
      <c r="C20" s="296" t="s">
        <v>18</v>
      </c>
      <c r="D20" s="315">
        <v>0</v>
      </c>
      <c r="E20" s="315">
        <v>0</v>
      </c>
      <c r="F20" s="315">
        <v>0</v>
      </c>
      <c r="G20" s="335">
        <v>0.2223294927128292</v>
      </c>
      <c r="H20" s="335">
        <v>11.657136514388879</v>
      </c>
      <c r="I20" s="335">
        <v>25.263759581907422</v>
      </c>
      <c r="J20" s="335">
        <v>44.399064627702558</v>
      </c>
      <c r="K20" s="335">
        <v>72.365956961261674</v>
      </c>
      <c r="L20" s="335">
        <v>98.96905885385813</v>
      </c>
      <c r="M20" s="335">
        <v>126.73619269001205</v>
      </c>
      <c r="N20" s="335">
        <v>160.2979309015995</v>
      </c>
      <c r="O20" s="335">
        <v>200.38464322407643</v>
      </c>
      <c r="P20" s="335">
        <v>247.72986658000238</v>
      </c>
      <c r="Q20" s="335">
        <v>303.05645554591746</v>
      </c>
      <c r="R20" s="335">
        <v>367.06260509421855</v>
      </c>
      <c r="S20" s="335">
        <v>440.40822373287261</v>
      </c>
      <c r="T20" s="335">
        <v>523.70209772246653</v>
      </c>
      <c r="V20" s="336" t="s">
        <v>284</v>
      </c>
    </row>
    <row r="21" spans="1:22" ht="16.5" customHeight="1" x14ac:dyDescent="0.2">
      <c r="A21" s="332" t="s">
        <v>274</v>
      </c>
      <c r="B21" s="329" t="s">
        <v>124</v>
      </c>
      <c r="C21" s="296" t="s">
        <v>18</v>
      </c>
      <c r="D21" s="315">
        <v>8.8000000000000007</v>
      </c>
      <c r="E21" s="315">
        <v>41.9</v>
      </c>
      <c r="F21" s="315">
        <v>31.9</v>
      </c>
      <c r="G21" s="335">
        <v>88.674598054904379</v>
      </c>
      <c r="H21" s="335">
        <v>115.31814075199236</v>
      </c>
      <c r="I21" s="335">
        <v>140.17246358860473</v>
      </c>
      <c r="J21" s="335">
        <v>196.53892912470937</v>
      </c>
      <c r="K21" s="335">
        <v>198.29109914106624</v>
      </c>
      <c r="L21" s="335">
        <v>199.13524183882251</v>
      </c>
      <c r="M21" s="335">
        <v>198.64954729926106</v>
      </c>
      <c r="N21" s="335">
        <v>195.41610199288303</v>
      </c>
      <c r="O21" s="335">
        <v>189.52408832033652</v>
      </c>
      <c r="P21" s="335">
        <v>181.11201723787346</v>
      </c>
      <c r="Q21" s="335">
        <v>170.27684658141629</v>
      </c>
      <c r="R21" s="335">
        <v>157.06759334901625</v>
      </c>
      <c r="S21" s="335">
        <v>140.87972423230943</v>
      </c>
      <c r="T21" s="335">
        <v>120.27816478459278</v>
      </c>
      <c r="V21" s="283" t="s">
        <v>285</v>
      </c>
    </row>
    <row r="22" spans="1:22" ht="16.5" customHeight="1" x14ac:dyDescent="0.2">
      <c r="A22" s="332" t="s">
        <v>274</v>
      </c>
      <c r="B22" s="337" t="s">
        <v>125</v>
      </c>
      <c r="C22" s="296" t="s">
        <v>18</v>
      </c>
      <c r="D22" s="315">
        <v>1476.2</v>
      </c>
      <c r="E22" s="315">
        <v>1465.1</v>
      </c>
      <c r="F22" s="315">
        <v>1565.1</v>
      </c>
      <c r="G22" s="335">
        <v>1489.4326554645806</v>
      </c>
      <c r="H22" s="335">
        <v>1437.0414462940587</v>
      </c>
      <c r="I22" s="335">
        <v>1377.158327834436</v>
      </c>
      <c r="J22" s="335">
        <v>1277.5030393106108</v>
      </c>
      <c r="K22" s="335">
        <v>1218.0738947236925</v>
      </c>
      <c r="L22" s="335">
        <v>1158.6050434258764</v>
      </c>
      <c r="M22" s="335">
        <v>1096.8909785654848</v>
      </c>
      <c r="N22" s="335">
        <v>1025.9345354626357</v>
      </c>
      <c r="O22" s="335">
        <v>947.6204416016825</v>
      </c>
      <c r="P22" s="335">
        <v>863.7650052883198</v>
      </c>
      <c r="Q22" s="335">
        <v>775.70563442645209</v>
      </c>
      <c r="R22" s="335">
        <v>684.36594244928506</v>
      </c>
      <c r="S22" s="335">
        <v>587.80850455549785</v>
      </c>
      <c r="T22" s="335">
        <v>481.11265913837099</v>
      </c>
      <c r="V22" s="283" t="s">
        <v>285</v>
      </c>
    </row>
    <row r="23" spans="1:22" ht="16.5" customHeight="1" x14ac:dyDescent="0.2">
      <c r="A23" s="332" t="s">
        <v>274</v>
      </c>
      <c r="B23" s="338" t="s">
        <v>16</v>
      </c>
      <c r="C23" s="296" t="s">
        <v>18</v>
      </c>
      <c r="D23" s="315">
        <v>0</v>
      </c>
      <c r="E23" s="315">
        <v>0</v>
      </c>
      <c r="F23" s="315">
        <v>0</v>
      </c>
      <c r="G23" s="335">
        <v>0</v>
      </c>
      <c r="H23" s="335">
        <v>0.13312664893414566</v>
      </c>
      <c r="I23" s="335">
        <v>0.55454536619873229</v>
      </c>
      <c r="J23" s="335">
        <v>1.2379632411269319</v>
      </c>
      <c r="K23" s="335">
        <v>2.2170098987156486</v>
      </c>
      <c r="L23" s="335">
        <v>3.4507142800569413</v>
      </c>
      <c r="M23" s="335">
        <v>3.9362335671013882</v>
      </c>
      <c r="N23" s="335">
        <v>4.5208807378839211</v>
      </c>
      <c r="O23" s="335">
        <v>5.2284709755248278</v>
      </c>
      <c r="P23" s="335">
        <v>6.0875953626012427</v>
      </c>
      <c r="Q23" s="335">
        <v>7.1321088685478271</v>
      </c>
      <c r="R23" s="335">
        <v>8.4015502056568678</v>
      </c>
      <c r="S23" s="335">
        <v>9.941466857460199</v>
      </c>
      <c r="T23" s="335">
        <v>49.203668871233781</v>
      </c>
      <c r="V23" s="336" t="s">
        <v>284</v>
      </c>
    </row>
    <row r="24" spans="1:22" ht="16.5" customHeight="1" x14ac:dyDescent="0.2">
      <c r="A24" s="332" t="s">
        <v>274</v>
      </c>
      <c r="B24" s="329" t="s">
        <v>5</v>
      </c>
      <c r="C24" s="296" t="s">
        <v>112</v>
      </c>
      <c r="D24" s="315">
        <v>3.4090909090909088E-2</v>
      </c>
      <c r="E24" s="315">
        <v>0.36363636363636359</v>
      </c>
      <c r="F24" s="315">
        <v>0</v>
      </c>
      <c r="G24" s="335">
        <v>6.8683571446330509</v>
      </c>
      <c r="H24" s="335">
        <v>7.9670767874395301</v>
      </c>
      <c r="I24" s="335">
        <v>9.0378769430147372</v>
      </c>
      <c r="J24" s="335">
        <v>10.126121948271084</v>
      </c>
      <c r="K24" s="335">
        <v>14.039354582416028</v>
      </c>
      <c r="L24" s="335">
        <v>20.473703165502673</v>
      </c>
      <c r="M24" s="335">
        <v>29.177951074798727</v>
      </c>
      <c r="N24" s="335">
        <v>40.335138035349139</v>
      </c>
      <c r="O24" s="335">
        <v>53.625955540006522</v>
      </c>
      <c r="P24" s="335">
        <v>68.753028363440208</v>
      </c>
      <c r="Q24" s="335">
        <v>86.003780460086602</v>
      </c>
      <c r="R24" s="335">
        <v>105.31287393030723</v>
      </c>
      <c r="S24" s="335">
        <v>126.52545456212647</v>
      </c>
      <c r="T24" s="335">
        <v>149.14129997031444</v>
      </c>
      <c r="V24" s="283" t="s">
        <v>286</v>
      </c>
    </row>
    <row r="25" spans="1:22" ht="16.5" customHeight="1" x14ac:dyDescent="0.2">
      <c r="A25" s="332" t="s">
        <v>274</v>
      </c>
      <c r="B25" s="329" t="s">
        <v>0</v>
      </c>
      <c r="C25" s="296" t="s">
        <v>19</v>
      </c>
      <c r="D25" s="315">
        <v>272</v>
      </c>
      <c r="E25" s="315">
        <v>417</v>
      </c>
      <c r="F25" s="315">
        <v>710</v>
      </c>
      <c r="G25" s="335">
        <v>1294.7712441481481</v>
      </c>
      <c r="H25" s="335">
        <v>1513.3897103869817</v>
      </c>
      <c r="I25" s="335">
        <v>1732.4131111250031</v>
      </c>
      <c r="J25" s="335">
        <v>1957.6403881983292</v>
      </c>
      <c r="K25" s="335">
        <v>2489.1583148892423</v>
      </c>
      <c r="L25" s="335">
        <v>3295.971244138037</v>
      </c>
      <c r="M25" s="335">
        <v>4342.519591857872</v>
      </c>
      <c r="N25" s="335">
        <v>5653.5749773276348</v>
      </c>
      <c r="O25" s="335">
        <v>7166.9100647080004</v>
      </c>
      <c r="P25" s="335">
        <v>8834.7733514216507</v>
      </c>
      <c r="Q25" s="335">
        <v>10712.870224492661</v>
      </c>
      <c r="R25" s="335">
        <v>12801.796426387617</v>
      </c>
      <c r="S25" s="335">
        <v>15046.307954273834</v>
      </c>
      <c r="T25" s="335">
        <v>17390.471836234861</v>
      </c>
      <c r="V25" s="283" t="s">
        <v>287</v>
      </c>
    </row>
    <row r="26" spans="1:22" ht="16.5" customHeight="1" x14ac:dyDescent="0.2">
      <c r="A26" s="332" t="s">
        <v>274</v>
      </c>
      <c r="B26" s="329" t="s">
        <v>93</v>
      </c>
      <c r="C26" s="296" t="s">
        <v>83</v>
      </c>
      <c r="D26" s="315" t="s">
        <v>274</v>
      </c>
      <c r="E26" s="315" t="s">
        <v>274</v>
      </c>
      <c r="F26" s="315" t="s">
        <v>274</v>
      </c>
      <c r="G26" s="339">
        <v>15458.611591341938</v>
      </c>
      <c r="H26" s="339">
        <v>15273.940087617955</v>
      </c>
      <c r="I26" s="339">
        <v>15020.107782611321</v>
      </c>
      <c r="J26" s="339">
        <v>14740.56900998614</v>
      </c>
      <c r="K26" s="339">
        <v>14426.146735248802</v>
      </c>
      <c r="L26" s="339">
        <v>14067.049621345286</v>
      </c>
      <c r="M26" s="339">
        <v>13666.771265335696</v>
      </c>
      <c r="N26" s="339">
        <v>13253.224390711172</v>
      </c>
      <c r="O26" s="339">
        <v>12807.457396888227</v>
      </c>
      <c r="P26" s="339">
        <v>12355.158845814407</v>
      </c>
      <c r="Q26" s="339">
        <v>11916.691553976358</v>
      </c>
      <c r="R26" s="339">
        <v>11507.852353446517</v>
      </c>
      <c r="S26" s="339">
        <v>11110.586940222671</v>
      </c>
      <c r="T26" s="339">
        <v>10721.853570087824</v>
      </c>
      <c r="V26" s="283" t="s">
        <v>281</v>
      </c>
    </row>
    <row r="27" spans="1:22" ht="16.5" customHeight="1" x14ac:dyDescent="0.2">
      <c r="A27" s="332" t="s">
        <v>274</v>
      </c>
      <c r="B27" s="329" t="s">
        <v>73</v>
      </c>
      <c r="C27" s="296" t="s">
        <v>18</v>
      </c>
      <c r="D27" s="315">
        <v>13093</v>
      </c>
      <c r="E27" s="315">
        <v>13324</v>
      </c>
      <c r="F27" s="315">
        <v>13967</v>
      </c>
      <c r="G27" s="340">
        <v>13903.801054375348</v>
      </c>
      <c r="H27" s="340">
        <v>13734.4730940022</v>
      </c>
      <c r="I27" s="340">
        <v>13502.684872177953</v>
      </c>
      <c r="J27" s="340">
        <v>13247.58647781694</v>
      </c>
      <c r="K27" s="340">
        <v>12962.177900879391</v>
      </c>
      <c r="L27" s="340">
        <v>12634.799000937395</v>
      </c>
      <c r="M27" s="340">
        <v>12269.905921510208</v>
      </c>
      <c r="N27" s="340">
        <v>11896.280780716526</v>
      </c>
      <c r="O27" s="340">
        <v>11493.690695306426</v>
      </c>
      <c r="P27" s="340">
        <v>11085.167210403713</v>
      </c>
      <c r="Q27" s="340">
        <v>10688.937913066249</v>
      </c>
      <c r="R27" s="340">
        <v>10319.131741800911</v>
      </c>
      <c r="S27" s="340">
        <v>9959.4911159268468</v>
      </c>
      <c r="T27" s="340">
        <v>9573.5356006535694</v>
      </c>
      <c r="V27" s="283" t="s">
        <v>288</v>
      </c>
    </row>
    <row r="28" spans="1:22" ht="17.25" customHeight="1" x14ac:dyDescent="0.2">
      <c r="A28" s="332" t="s">
        <v>274</v>
      </c>
      <c r="B28" s="341" t="s">
        <v>274</v>
      </c>
      <c r="C28" s="296" t="s">
        <v>274</v>
      </c>
      <c r="D28" s="342" t="s">
        <v>274</v>
      </c>
      <c r="E28" s="342" t="s">
        <v>274</v>
      </c>
      <c r="F28" s="343" t="s">
        <v>274</v>
      </c>
      <c r="G28" s="343" t="s">
        <v>274</v>
      </c>
      <c r="H28" s="343" t="s">
        <v>274</v>
      </c>
      <c r="I28" s="343" t="s">
        <v>274</v>
      </c>
      <c r="J28" s="343" t="s">
        <v>274</v>
      </c>
      <c r="K28" s="343" t="s">
        <v>274</v>
      </c>
      <c r="L28" s="343" t="s">
        <v>274</v>
      </c>
      <c r="M28" s="343" t="s">
        <v>274</v>
      </c>
      <c r="N28" s="343" t="s">
        <v>274</v>
      </c>
      <c r="O28" s="343" t="s">
        <v>274</v>
      </c>
      <c r="P28" s="343" t="s">
        <v>274</v>
      </c>
      <c r="Q28" s="343" t="s">
        <v>274</v>
      </c>
      <c r="R28" s="343" t="s">
        <v>274</v>
      </c>
      <c r="S28" s="343" t="s">
        <v>274</v>
      </c>
      <c r="T28" s="343" t="s">
        <v>274</v>
      </c>
    </row>
    <row r="29" spans="1:22" ht="15" customHeight="1" x14ac:dyDescent="0.2">
      <c r="A29" s="332" t="s">
        <v>274</v>
      </c>
      <c r="B29" s="329" t="s">
        <v>72</v>
      </c>
      <c r="C29" s="330" t="s">
        <v>15</v>
      </c>
      <c r="D29" s="331">
        <v>2014</v>
      </c>
      <c r="E29" s="331">
        <v>2015</v>
      </c>
      <c r="F29" s="331">
        <v>2016</v>
      </c>
      <c r="G29" s="331">
        <v>2017</v>
      </c>
      <c r="H29" s="331">
        <v>2018</v>
      </c>
      <c r="I29" s="331">
        <v>2019</v>
      </c>
      <c r="J29" s="331">
        <v>2020</v>
      </c>
      <c r="K29" s="331">
        <v>2021</v>
      </c>
      <c r="L29" s="331">
        <v>2022</v>
      </c>
      <c r="M29" s="331">
        <v>2023</v>
      </c>
      <c r="N29" s="331">
        <v>2024</v>
      </c>
      <c r="O29" s="331">
        <v>2025</v>
      </c>
      <c r="P29" s="294">
        <v>2026</v>
      </c>
      <c r="Q29" s="294">
        <v>2027</v>
      </c>
      <c r="R29" s="294">
        <v>2028</v>
      </c>
      <c r="S29" s="294">
        <v>2029</v>
      </c>
      <c r="T29" s="294">
        <v>2030</v>
      </c>
    </row>
    <row r="30" spans="1:22" ht="16.5" customHeight="1" x14ac:dyDescent="0.2">
      <c r="A30" s="332" t="s">
        <v>274</v>
      </c>
      <c r="B30" s="329" t="s">
        <v>38</v>
      </c>
      <c r="C30" s="296" t="s">
        <v>18</v>
      </c>
      <c r="D30" s="315">
        <v>67</v>
      </c>
      <c r="E30" s="315">
        <v>126</v>
      </c>
      <c r="F30" s="315">
        <v>163</v>
      </c>
      <c r="G30" s="335">
        <v>182.20646805704038</v>
      </c>
      <c r="H30" s="335">
        <v>209.50549471023331</v>
      </c>
      <c r="I30" s="335">
        <v>236.1353512501891</v>
      </c>
      <c r="J30" s="335">
        <v>262.21128586012372</v>
      </c>
      <c r="K30" s="335">
        <v>312.74341614231281</v>
      </c>
      <c r="L30" s="335">
        <v>363.40035568747567</v>
      </c>
      <c r="M30" s="335">
        <v>413.85613702437735</v>
      </c>
      <c r="N30" s="335">
        <v>463.28501689876288</v>
      </c>
      <c r="O30" s="335">
        <v>510.0833592573394</v>
      </c>
      <c r="P30" s="335">
        <v>507.29363119218908</v>
      </c>
      <c r="Q30" s="335">
        <v>503.25956469501619</v>
      </c>
      <c r="R30" s="335">
        <v>499.6434857000034</v>
      </c>
      <c r="S30" s="335">
        <v>495.77043724420332</v>
      </c>
      <c r="T30" s="335">
        <v>492.82728872653678</v>
      </c>
      <c r="V30" s="283" t="s">
        <v>289</v>
      </c>
    </row>
    <row r="31" spans="1:22" ht="30" x14ac:dyDescent="0.2">
      <c r="A31" s="332" t="s">
        <v>274</v>
      </c>
      <c r="B31" s="344" t="s">
        <v>290</v>
      </c>
      <c r="C31" s="296" t="s">
        <v>18</v>
      </c>
      <c r="D31" s="315">
        <v>113</v>
      </c>
      <c r="E31" s="315">
        <v>165</v>
      </c>
      <c r="F31" s="315">
        <v>249</v>
      </c>
      <c r="G31" s="335">
        <v>363.01195526417274</v>
      </c>
      <c r="H31" s="335">
        <v>501.79326029366166</v>
      </c>
      <c r="I31" s="335">
        <v>633.45931421213709</v>
      </c>
      <c r="J31" s="335">
        <v>782.99326848871613</v>
      </c>
      <c r="K31" s="335">
        <v>870.06292268340405</v>
      </c>
      <c r="L31" s="335">
        <v>957.57386225094581</v>
      </c>
      <c r="M31" s="335">
        <v>1004.7199731304286</v>
      </c>
      <c r="N31" s="335">
        <v>1012.2290784871431</v>
      </c>
      <c r="O31" s="335">
        <v>1022.024497992363</v>
      </c>
      <c r="P31" s="335">
        <v>993.11058485674153</v>
      </c>
      <c r="Q31" s="335">
        <v>967.51740980553836</v>
      </c>
      <c r="R31" s="335">
        <v>945.83367395286712</v>
      </c>
      <c r="S31" s="335">
        <v>928.68585475840132</v>
      </c>
      <c r="T31" s="335">
        <v>916.72841791970995</v>
      </c>
      <c r="V31" s="283" t="s">
        <v>291</v>
      </c>
    </row>
    <row r="32" spans="1:22" ht="16.5" customHeight="1" x14ac:dyDescent="0.2">
      <c r="A32" s="332" t="s">
        <v>274</v>
      </c>
      <c r="B32" s="338" t="s">
        <v>82</v>
      </c>
      <c r="C32" s="296" t="s">
        <v>61</v>
      </c>
      <c r="D32" s="315">
        <v>126</v>
      </c>
      <c r="E32" s="315">
        <v>138</v>
      </c>
      <c r="F32" s="315">
        <v>142</v>
      </c>
      <c r="G32" s="335">
        <v>242.18019805144201</v>
      </c>
      <c r="H32" s="335">
        <v>273.66454455804796</v>
      </c>
      <c r="I32" s="335">
        <v>306.63518480326468</v>
      </c>
      <c r="J32" s="335">
        <v>340.59928662741288</v>
      </c>
      <c r="K32" s="335">
        <v>372.13510073357207</v>
      </c>
      <c r="L32" s="335">
        <v>402.02340328940113</v>
      </c>
      <c r="M32" s="335">
        <v>429.73555591492021</v>
      </c>
      <c r="N32" s="335">
        <v>454.44145071437208</v>
      </c>
      <c r="O32" s="335">
        <v>472.35362004392732</v>
      </c>
      <c r="P32" s="335">
        <v>494.90891513673245</v>
      </c>
      <c r="Q32" s="335">
        <v>515.60211639119359</v>
      </c>
      <c r="R32" s="335">
        <v>534.88291792751352</v>
      </c>
      <c r="S32" s="335">
        <v>553.95612432351459</v>
      </c>
      <c r="T32" s="335">
        <v>573.45791559761358</v>
      </c>
      <c r="V32" s="283" t="s">
        <v>292</v>
      </c>
    </row>
    <row r="33" spans="1:22" ht="16.5" customHeight="1" x14ac:dyDescent="0.2">
      <c r="A33" s="332" t="s">
        <v>274</v>
      </c>
      <c r="B33" s="329" t="s">
        <v>33</v>
      </c>
      <c r="C33" s="296" t="s">
        <v>61</v>
      </c>
      <c r="D33" s="315">
        <v>97</v>
      </c>
      <c r="E33" s="315">
        <v>69</v>
      </c>
      <c r="F33" s="315">
        <v>55</v>
      </c>
      <c r="G33" s="335">
        <v>70.302308188170187</v>
      </c>
      <c r="H33" s="335">
        <v>0</v>
      </c>
      <c r="I33" s="335">
        <v>0</v>
      </c>
      <c r="J33" s="335">
        <v>0</v>
      </c>
      <c r="K33" s="335">
        <v>0</v>
      </c>
      <c r="L33" s="335">
        <v>0</v>
      </c>
      <c r="M33" s="335">
        <v>0</v>
      </c>
      <c r="N33" s="335">
        <v>0</v>
      </c>
      <c r="O33" s="335">
        <v>0</v>
      </c>
      <c r="P33" s="335">
        <v>0</v>
      </c>
      <c r="Q33" s="335">
        <v>0</v>
      </c>
      <c r="R33" s="335">
        <v>0</v>
      </c>
      <c r="S33" s="335">
        <v>0</v>
      </c>
      <c r="T33" s="335">
        <v>0</v>
      </c>
      <c r="V33" s="283" t="s">
        <v>293</v>
      </c>
    </row>
    <row r="34" spans="1:22" ht="16.5" customHeight="1" x14ac:dyDescent="0.2">
      <c r="A34" s="332" t="s">
        <v>274</v>
      </c>
      <c r="B34" s="338" t="s">
        <v>34</v>
      </c>
      <c r="C34" s="345" t="s">
        <v>61</v>
      </c>
      <c r="D34" s="315">
        <v>29</v>
      </c>
      <c r="E34" s="315">
        <v>68</v>
      </c>
      <c r="F34" s="315">
        <v>87</v>
      </c>
      <c r="G34" s="308">
        <v>171.87788986327161</v>
      </c>
      <c r="H34" s="308">
        <v>273.66454455804796</v>
      </c>
      <c r="I34" s="308">
        <v>306.63518480326468</v>
      </c>
      <c r="J34" s="308">
        <v>340.59928662741288</v>
      </c>
      <c r="K34" s="308">
        <v>372.13510073357207</v>
      </c>
      <c r="L34" s="308">
        <v>402.02340328940113</v>
      </c>
      <c r="M34" s="308">
        <v>429.73555591492021</v>
      </c>
      <c r="N34" s="308">
        <v>454.44145071437208</v>
      </c>
      <c r="O34" s="308">
        <v>472.35362004392732</v>
      </c>
      <c r="P34" s="308">
        <v>494.90891513673245</v>
      </c>
      <c r="Q34" s="308">
        <v>515.60211639119359</v>
      </c>
      <c r="R34" s="308">
        <v>534.88291792751352</v>
      </c>
      <c r="S34" s="308">
        <v>553.95612432351459</v>
      </c>
      <c r="T34" s="308">
        <v>573.45791559761358</v>
      </c>
      <c r="V34" s="283" t="s">
        <v>294</v>
      </c>
    </row>
    <row r="35" spans="1:22" ht="16.5" customHeight="1" x14ac:dyDescent="0.2">
      <c r="A35" s="332" t="s">
        <v>274</v>
      </c>
      <c r="B35" s="338"/>
      <c r="C35" s="345"/>
      <c r="D35" s="346"/>
      <c r="E35" s="346"/>
      <c r="F35" s="346"/>
      <c r="G35" s="335" t="s">
        <v>274</v>
      </c>
      <c r="H35" s="335" t="s">
        <v>274</v>
      </c>
      <c r="I35" s="335" t="s">
        <v>274</v>
      </c>
      <c r="J35" s="335" t="s">
        <v>274</v>
      </c>
      <c r="K35" s="335" t="s">
        <v>274</v>
      </c>
      <c r="L35" s="335" t="s">
        <v>274</v>
      </c>
      <c r="M35" s="335" t="s">
        <v>274</v>
      </c>
      <c r="N35" s="335" t="s">
        <v>274</v>
      </c>
      <c r="O35" s="335" t="s">
        <v>274</v>
      </c>
      <c r="P35" s="335" t="s">
        <v>274</v>
      </c>
      <c r="Q35" s="335" t="s">
        <v>274</v>
      </c>
      <c r="R35" s="335" t="s">
        <v>274</v>
      </c>
      <c r="S35" s="335" t="s">
        <v>274</v>
      </c>
      <c r="T35" s="335" t="s">
        <v>274</v>
      </c>
    </row>
    <row r="36" spans="1:22" ht="16.5" customHeight="1" x14ac:dyDescent="0.2">
      <c r="A36" s="332" t="s">
        <v>274</v>
      </c>
      <c r="B36" s="347" t="s">
        <v>89</v>
      </c>
      <c r="C36" s="296" t="s">
        <v>19</v>
      </c>
      <c r="D36" s="315">
        <v>0</v>
      </c>
      <c r="E36" s="315">
        <v>0</v>
      </c>
      <c r="F36" s="315">
        <v>0</v>
      </c>
      <c r="G36" s="335">
        <v>0</v>
      </c>
      <c r="H36" s="335">
        <v>0</v>
      </c>
      <c r="I36" s="335">
        <v>0</v>
      </c>
      <c r="J36" s="335">
        <v>0</v>
      </c>
      <c r="K36" s="335">
        <v>0</v>
      </c>
      <c r="L36" s="335">
        <v>0</v>
      </c>
      <c r="M36" s="335">
        <v>85.106916284022731</v>
      </c>
      <c r="N36" s="335">
        <v>256.83143753723169</v>
      </c>
      <c r="O36" s="335">
        <v>494.65727531944833</v>
      </c>
      <c r="P36" s="335">
        <v>786.78315957400571</v>
      </c>
      <c r="Q36" s="335">
        <v>1128.7291163547952</v>
      </c>
      <c r="R36" s="335">
        <v>1470.9330744728325</v>
      </c>
      <c r="S36" s="335">
        <v>1918.4890627596535</v>
      </c>
      <c r="T36" s="335">
        <v>2434.6491715625875</v>
      </c>
    </row>
    <row r="37" spans="1:22" ht="16.5" customHeight="1" x14ac:dyDescent="0.2">
      <c r="A37" s="332" t="s">
        <v>274</v>
      </c>
      <c r="B37" s="348" t="s">
        <v>119</v>
      </c>
      <c r="C37" s="296" t="s">
        <v>19</v>
      </c>
      <c r="D37" s="315">
        <v>0</v>
      </c>
      <c r="E37" s="315">
        <v>1200</v>
      </c>
      <c r="F37" s="315">
        <v>1233</v>
      </c>
      <c r="G37" s="335">
        <v>1233.0002890853402</v>
      </c>
      <c r="H37" s="335">
        <v>1233.0002890853402</v>
      </c>
      <c r="I37" s="335">
        <v>1233.0002890853402</v>
      </c>
      <c r="J37" s="335">
        <v>1233.0002890853402</v>
      </c>
      <c r="K37" s="335">
        <v>1233.0002890853402</v>
      </c>
      <c r="L37" s="335">
        <v>1233.0002890853402</v>
      </c>
      <c r="M37" s="335">
        <v>1233.0002890853402</v>
      </c>
      <c r="N37" s="335">
        <v>1233.0002890853402</v>
      </c>
      <c r="O37" s="335">
        <v>1233.0002890853402</v>
      </c>
      <c r="P37" s="335">
        <v>1233.0002890853402</v>
      </c>
      <c r="Q37" s="335">
        <v>1233.0002890853402</v>
      </c>
      <c r="R37" s="335">
        <v>1233.0002890853402</v>
      </c>
      <c r="S37" s="335">
        <v>1233.0002890853402</v>
      </c>
      <c r="T37" s="335">
        <v>1233.0002890853402</v>
      </c>
      <c r="V37" s="283" t="s">
        <v>295</v>
      </c>
    </row>
    <row r="38" spans="1:22" ht="16.5" customHeight="1" x14ac:dyDescent="0.2">
      <c r="A38" s="332" t="s">
        <v>274</v>
      </c>
      <c r="B38" s="329" t="s">
        <v>94</v>
      </c>
      <c r="C38" s="296" t="s">
        <v>61</v>
      </c>
      <c r="D38" s="315" t="s">
        <v>274</v>
      </c>
      <c r="E38" s="315" t="s">
        <v>274</v>
      </c>
      <c r="F38" s="315">
        <v>3814.4881390399182</v>
      </c>
      <c r="G38" s="339">
        <v>3631.2948034611559</v>
      </c>
      <c r="H38" s="339">
        <v>3600.8175232173144</v>
      </c>
      <c r="I38" s="339">
        <v>3567.1590962918367</v>
      </c>
      <c r="J38" s="339">
        <v>3532.8837888026087</v>
      </c>
      <c r="K38" s="339">
        <v>3507.3440238092894</v>
      </c>
      <c r="L38" s="339">
        <v>3489.1671178159768</v>
      </c>
      <c r="M38" s="339">
        <v>3472.8619604087935</v>
      </c>
      <c r="N38" s="339">
        <v>3451.6411755461659</v>
      </c>
      <c r="O38" s="339">
        <v>3416.2637503751962</v>
      </c>
      <c r="P38" s="339">
        <v>3397.5997419691407</v>
      </c>
      <c r="Q38" s="339">
        <v>3370.5909415633537</v>
      </c>
      <c r="R38" s="339">
        <v>3346.3795167053358</v>
      </c>
      <c r="S38" s="339">
        <v>3320.4473211829522</v>
      </c>
      <c r="T38" s="339">
        <v>3300.7442692191767</v>
      </c>
      <c r="V38" s="283" t="s">
        <v>281</v>
      </c>
    </row>
    <row r="39" spans="1:22" ht="16.5" customHeight="1" x14ac:dyDescent="0.2">
      <c r="A39" s="332" t="s">
        <v>274</v>
      </c>
      <c r="B39" s="329" t="s">
        <v>4</v>
      </c>
      <c r="C39" s="296" t="s">
        <v>18</v>
      </c>
      <c r="D39" s="315">
        <v>3444</v>
      </c>
      <c r="E39" s="315">
        <v>3475</v>
      </c>
      <c r="F39" s="315">
        <v>3421</v>
      </c>
      <c r="G39" s="339">
        <v>3110.3863786964771</v>
      </c>
      <c r="H39" s="339">
        <v>2920.496028800826</v>
      </c>
      <c r="I39" s="339">
        <v>2734.9124182445935</v>
      </c>
      <c r="J39" s="339">
        <v>2532.0040663971763</v>
      </c>
      <c r="K39" s="339">
        <v>2375.1168153293188</v>
      </c>
      <c r="L39" s="339">
        <v>2225.0498852718961</v>
      </c>
      <c r="M39" s="339">
        <v>2115.9613633908748</v>
      </c>
      <c r="N39" s="339">
        <v>2041.1366804257946</v>
      </c>
      <c r="O39" s="339">
        <v>1952.418420877766</v>
      </c>
      <c r="P39" s="339">
        <v>1964.2486688847896</v>
      </c>
      <c r="Q39" s="339">
        <v>1965.6995977244917</v>
      </c>
      <c r="R39" s="339">
        <v>1965.7865250913123</v>
      </c>
      <c r="S39" s="339">
        <v>1960.0203880679815</v>
      </c>
      <c r="T39" s="339">
        <v>1954.6068187231615</v>
      </c>
      <c r="V39" s="283" t="s">
        <v>296</v>
      </c>
    </row>
    <row r="40" spans="1:22" ht="16.5" customHeight="1" x14ac:dyDescent="0.2">
      <c r="A40" s="332" t="s">
        <v>274</v>
      </c>
      <c r="B40" s="329" t="s">
        <v>66</v>
      </c>
      <c r="C40" s="296" t="s">
        <v>43</v>
      </c>
      <c r="D40" s="315">
        <v>1.84878587196468E-2</v>
      </c>
      <c r="E40" s="315">
        <v>3.3457249070631967E-2</v>
      </c>
      <c r="F40" s="315">
        <v>4.2525436994521264E-2</v>
      </c>
      <c r="G40" s="333">
        <v>4.9843043196702373E-2</v>
      </c>
      <c r="H40" s="333">
        <v>5.7686490339289569E-2</v>
      </c>
      <c r="I40" s="333">
        <v>6.5511135299904752E-2</v>
      </c>
      <c r="J40" s="333">
        <v>7.3300529451771346E-2</v>
      </c>
      <c r="K40" s="333">
        <v>8.7900553944534429E-2</v>
      </c>
      <c r="L40" s="333">
        <v>0.10248107319927094</v>
      </c>
      <c r="M40" s="333">
        <v>0.11708919204334152</v>
      </c>
      <c r="N40" s="333">
        <v>0.13174041053076394</v>
      </c>
      <c r="O40" s="333">
        <v>0.14638528125305184</v>
      </c>
      <c r="P40" s="333">
        <v>0.14641975633351037</v>
      </c>
      <c r="Q40" s="333">
        <v>0.14644638312466837</v>
      </c>
      <c r="R40" s="333">
        <v>0.1464687376512416</v>
      </c>
      <c r="S40" s="333">
        <v>0.14648363221514754</v>
      </c>
      <c r="T40" s="333">
        <v>0.14649330554338214</v>
      </c>
      <c r="V40" s="283" t="s">
        <v>281</v>
      </c>
    </row>
    <row r="41" spans="1:22" ht="30" x14ac:dyDescent="0.2">
      <c r="A41" s="332" t="s">
        <v>274</v>
      </c>
      <c r="B41" s="344" t="s">
        <v>297</v>
      </c>
      <c r="C41" s="296" t="s">
        <v>43</v>
      </c>
      <c r="D41" s="315">
        <v>3.1181015452538631E-2</v>
      </c>
      <c r="E41" s="315">
        <v>4.3813064259160914E-2</v>
      </c>
      <c r="F41" s="315">
        <v>6.4962170623532475E-2</v>
      </c>
      <c r="G41" s="333">
        <v>9.9302844515307104E-2</v>
      </c>
      <c r="H41" s="333">
        <v>0.13816674403832249</v>
      </c>
      <c r="I41" s="333">
        <v>0.17574089868639672</v>
      </c>
      <c r="J41" s="333">
        <v>0.21888387049828401</v>
      </c>
      <c r="K41" s="333">
        <v>0.24454235940068628</v>
      </c>
      <c r="L41" s="333">
        <v>0.27004155481741554</v>
      </c>
      <c r="M41" s="333">
        <v>0.28425783589798553</v>
      </c>
      <c r="N41" s="333">
        <v>0.28783895331588732</v>
      </c>
      <c r="O41" s="333">
        <v>0.29330371373797859</v>
      </c>
      <c r="P41" s="333">
        <v>0.28664071635440042</v>
      </c>
      <c r="Q41" s="333">
        <v>0.28154343248704039</v>
      </c>
      <c r="R41" s="333">
        <v>0.27726782839532882</v>
      </c>
      <c r="S41" s="333">
        <v>0.27439570206730834</v>
      </c>
      <c r="T41" s="333">
        <v>0.27249825506544062</v>
      </c>
      <c r="V41" s="283" t="s">
        <v>281</v>
      </c>
    </row>
    <row r="42" spans="1:22" ht="16.5" customHeight="1" x14ac:dyDescent="0.2">
      <c r="A42" s="332" t="s">
        <v>274</v>
      </c>
      <c r="B42" s="349"/>
      <c r="C42" s="350"/>
      <c r="D42" s="351"/>
      <c r="E42" s="351"/>
      <c r="F42" s="351"/>
      <c r="G42" s="352"/>
      <c r="H42" s="352"/>
      <c r="I42" s="352"/>
      <c r="J42" s="352"/>
      <c r="K42" s="352"/>
      <c r="L42" s="352"/>
      <c r="M42" s="352"/>
      <c r="N42" s="352"/>
      <c r="O42" s="352"/>
      <c r="P42" s="352"/>
      <c r="Q42" s="352"/>
      <c r="R42" s="352"/>
      <c r="S42" s="352"/>
      <c r="T42" s="353"/>
    </row>
    <row r="43" spans="1:22" ht="15" customHeight="1" x14ac:dyDescent="0.2">
      <c r="A43" s="332" t="s">
        <v>274</v>
      </c>
      <c r="B43" s="329" t="s">
        <v>72</v>
      </c>
      <c r="C43" s="330" t="s">
        <v>15</v>
      </c>
      <c r="D43" s="331">
        <v>2014</v>
      </c>
      <c r="E43" s="331">
        <v>2015</v>
      </c>
      <c r="F43" s="331">
        <v>2016</v>
      </c>
      <c r="G43" s="331">
        <v>2017</v>
      </c>
      <c r="H43" s="331">
        <v>2018</v>
      </c>
      <c r="I43" s="331">
        <v>2019</v>
      </c>
      <c r="J43" s="331">
        <v>2020</v>
      </c>
      <c r="K43" s="331">
        <v>2021</v>
      </c>
      <c r="L43" s="331">
        <v>2022</v>
      </c>
      <c r="M43" s="331">
        <v>2023</v>
      </c>
      <c r="N43" s="331">
        <v>2024</v>
      </c>
      <c r="O43" s="331">
        <v>2025</v>
      </c>
      <c r="P43" s="294">
        <v>2026</v>
      </c>
      <c r="Q43" s="294">
        <v>2027</v>
      </c>
      <c r="R43" s="294">
        <v>2028</v>
      </c>
      <c r="S43" s="294">
        <v>2029</v>
      </c>
      <c r="T43" s="294">
        <v>2030</v>
      </c>
    </row>
    <row r="44" spans="1:22" ht="16.5" customHeight="1" x14ac:dyDescent="0.2">
      <c r="A44" s="332" t="s">
        <v>274</v>
      </c>
      <c r="B44" s="329" t="s">
        <v>155</v>
      </c>
      <c r="C44" s="330" t="s">
        <v>157</v>
      </c>
      <c r="D44" s="315" t="s">
        <v>274</v>
      </c>
      <c r="E44" s="315" t="s">
        <v>274</v>
      </c>
      <c r="F44" s="315" t="s">
        <v>274</v>
      </c>
      <c r="G44" s="354">
        <v>0</v>
      </c>
      <c r="H44" s="354">
        <v>0</v>
      </c>
      <c r="I44" s="355">
        <v>20.583656705544129</v>
      </c>
      <c r="J44" s="356">
        <v>25.366686341215548</v>
      </c>
      <c r="K44" s="356">
        <v>27.819999999999997</v>
      </c>
      <c r="L44" s="356">
        <v>27.819999999999997</v>
      </c>
      <c r="M44" s="356">
        <v>27.819999999999997</v>
      </c>
      <c r="N44" s="356">
        <v>27.819999999999997</v>
      </c>
      <c r="O44" s="356">
        <v>27.819999999999997</v>
      </c>
      <c r="P44" s="356">
        <v>27.819999999999997</v>
      </c>
      <c r="Q44" s="356">
        <v>27.819999999999997</v>
      </c>
      <c r="R44" s="356">
        <v>27.819999999999997</v>
      </c>
      <c r="S44" s="356">
        <v>26.719576279413712</v>
      </c>
      <c r="T44" s="356">
        <v>25.366686341215548</v>
      </c>
      <c r="V44" s="283" t="s">
        <v>298</v>
      </c>
    </row>
    <row r="45" spans="1:22" ht="16.5" customHeight="1" x14ac:dyDescent="0.2">
      <c r="A45" s="332" t="s">
        <v>274</v>
      </c>
      <c r="B45" s="329" t="s">
        <v>156</v>
      </c>
      <c r="C45" s="330" t="s">
        <v>157</v>
      </c>
      <c r="D45" s="315" t="s">
        <v>274</v>
      </c>
      <c r="E45" s="315">
        <v>0</v>
      </c>
      <c r="F45" s="315">
        <v>0</v>
      </c>
      <c r="G45" s="335">
        <v>0</v>
      </c>
      <c r="H45" s="335">
        <v>0</v>
      </c>
      <c r="I45" s="357">
        <v>7.2363432944558674</v>
      </c>
      <c r="J45" s="356">
        <v>2.4533136587844488</v>
      </c>
      <c r="K45" s="356">
        <v>0</v>
      </c>
      <c r="L45" s="356">
        <v>0</v>
      </c>
      <c r="M45" s="356">
        <v>0</v>
      </c>
      <c r="N45" s="356">
        <v>0</v>
      </c>
      <c r="O45" s="356">
        <v>0</v>
      </c>
      <c r="P45" s="356">
        <v>0</v>
      </c>
      <c r="Q45" s="356">
        <v>0</v>
      </c>
      <c r="R45" s="356">
        <v>0</v>
      </c>
      <c r="S45" s="356">
        <v>1.100423720586285</v>
      </c>
      <c r="T45" s="356">
        <v>2.4533136587844488</v>
      </c>
      <c r="V45" s="283" t="s">
        <v>299</v>
      </c>
    </row>
    <row r="46" spans="1:22" ht="16.5" customHeight="1" x14ac:dyDescent="0.2">
      <c r="A46" s="332" t="s">
        <v>274</v>
      </c>
      <c r="B46" s="329" t="s">
        <v>161</v>
      </c>
      <c r="C46" s="330" t="s">
        <v>157</v>
      </c>
      <c r="D46" s="315" t="s">
        <v>274</v>
      </c>
      <c r="E46" s="315">
        <v>0</v>
      </c>
      <c r="F46" s="315">
        <v>0</v>
      </c>
      <c r="G46" s="335">
        <v>0</v>
      </c>
      <c r="H46" s="335">
        <v>0</v>
      </c>
      <c r="I46" s="335">
        <v>27.819999999999997</v>
      </c>
      <c r="J46" s="358">
        <v>27.819999999999997</v>
      </c>
      <c r="K46" s="358">
        <v>27.819999999999997</v>
      </c>
      <c r="L46" s="358">
        <v>27.819999999999997</v>
      </c>
      <c r="M46" s="358">
        <v>27.819999999999997</v>
      </c>
      <c r="N46" s="358">
        <v>27.819999999999997</v>
      </c>
      <c r="O46" s="358">
        <v>27.819999999999997</v>
      </c>
      <c r="P46" s="358">
        <v>27.819999999999997</v>
      </c>
      <c r="Q46" s="358">
        <v>27.819999999999997</v>
      </c>
      <c r="R46" s="358">
        <v>27.819999999999997</v>
      </c>
      <c r="S46" s="358">
        <v>27.819999999999997</v>
      </c>
      <c r="T46" s="358">
        <v>27.819999999999997</v>
      </c>
      <c r="V46" s="283" t="s">
        <v>295</v>
      </c>
    </row>
    <row r="47" spans="1:22" ht="16.5" customHeight="1" x14ac:dyDescent="0.2">
      <c r="A47" s="332" t="s">
        <v>274</v>
      </c>
      <c r="B47" s="329"/>
      <c r="C47" s="296"/>
      <c r="D47" s="315"/>
      <c r="E47" s="315"/>
      <c r="F47" s="315"/>
      <c r="G47" s="335"/>
      <c r="H47" s="335"/>
      <c r="I47" s="335"/>
      <c r="J47" s="358"/>
      <c r="K47" s="358"/>
      <c r="L47" s="358"/>
      <c r="M47" s="358"/>
      <c r="N47" s="358"/>
      <c r="O47" s="358"/>
      <c r="P47" s="358"/>
      <c r="Q47" s="358"/>
      <c r="R47" s="358"/>
      <c r="S47" s="358"/>
      <c r="T47" s="358"/>
    </row>
    <row r="48" spans="1:22" ht="17.25" customHeight="1" thickBot="1" x14ac:dyDescent="0.25">
      <c r="A48" s="359" t="s">
        <v>274</v>
      </c>
      <c r="B48" s="360" t="s">
        <v>127</v>
      </c>
      <c r="C48" s="296" t="s">
        <v>61</v>
      </c>
      <c r="D48" s="315" t="s">
        <v>274</v>
      </c>
      <c r="E48" s="315" t="s">
        <v>274</v>
      </c>
      <c r="F48" s="315">
        <v>0</v>
      </c>
      <c r="G48" s="355">
        <v>0.87142692850550896</v>
      </c>
      <c r="H48" s="355">
        <v>1.2097469570876205</v>
      </c>
      <c r="I48" s="355">
        <v>1.6625321057282072</v>
      </c>
      <c r="J48" s="356">
        <v>2.2838533357270374</v>
      </c>
      <c r="K48" s="356">
        <v>3.1943530262377946</v>
      </c>
      <c r="L48" s="356">
        <v>4.5871787569042946</v>
      </c>
      <c r="M48" s="356">
        <v>10.883965501549524</v>
      </c>
      <c r="N48" s="356">
        <v>22.710790510894622</v>
      </c>
      <c r="O48" s="356">
        <v>23.045140179965792</v>
      </c>
      <c r="P48" s="356">
        <v>32.422065109169104</v>
      </c>
      <c r="Q48" s="356">
        <v>45.566551133668838</v>
      </c>
      <c r="R48" s="356">
        <v>63.852225570654035</v>
      </c>
      <c r="S48" s="356">
        <v>65.742321707444034</v>
      </c>
      <c r="T48" s="356">
        <v>67.029151483602291</v>
      </c>
      <c r="V48" s="283" t="s">
        <v>300</v>
      </c>
    </row>
    <row r="49" spans="1:23" ht="15" x14ac:dyDescent="0.2">
      <c r="A49" s="361" t="s">
        <v>274</v>
      </c>
      <c r="B49" s="330" t="s">
        <v>274</v>
      </c>
      <c r="C49" s="296" t="s">
        <v>274</v>
      </c>
      <c r="D49" s="362" t="s">
        <v>274</v>
      </c>
      <c r="E49" s="362" t="s">
        <v>274</v>
      </c>
      <c r="F49" s="362" t="s">
        <v>274</v>
      </c>
      <c r="G49" s="363" t="s">
        <v>274</v>
      </c>
      <c r="H49" s="363" t="s">
        <v>274</v>
      </c>
      <c r="I49" s="363" t="s">
        <v>274</v>
      </c>
      <c r="J49" s="363" t="s">
        <v>274</v>
      </c>
      <c r="K49" s="363" t="s">
        <v>274</v>
      </c>
      <c r="L49" s="363" t="s">
        <v>274</v>
      </c>
      <c r="M49" s="363" t="s">
        <v>274</v>
      </c>
      <c r="N49" s="363" t="s">
        <v>274</v>
      </c>
      <c r="O49" s="363" t="s">
        <v>274</v>
      </c>
      <c r="P49" s="363" t="s">
        <v>274</v>
      </c>
      <c r="Q49" s="363" t="s">
        <v>274</v>
      </c>
      <c r="R49" s="363" t="s">
        <v>274</v>
      </c>
      <c r="S49" s="363" t="s">
        <v>274</v>
      </c>
      <c r="T49" s="363" t="s">
        <v>274</v>
      </c>
    </row>
    <row r="50" spans="1:23" ht="22" thickBot="1" x14ac:dyDescent="0.3">
      <c r="A50" s="364" t="s">
        <v>274</v>
      </c>
      <c r="B50" s="365" t="s">
        <v>274</v>
      </c>
      <c r="C50" s="365" t="s">
        <v>274</v>
      </c>
      <c r="D50" s="366" t="s">
        <v>46</v>
      </c>
      <c r="E50" s="367"/>
      <c r="F50" s="367"/>
      <c r="G50" s="367"/>
      <c r="H50" s="367"/>
      <c r="I50" s="367"/>
      <c r="J50" s="367"/>
      <c r="K50" s="367"/>
      <c r="L50" s="367"/>
      <c r="M50" s="367" t="s">
        <v>274</v>
      </c>
      <c r="N50" s="367" t="s">
        <v>274</v>
      </c>
      <c r="O50" s="367" t="s">
        <v>274</v>
      </c>
      <c r="P50" s="367" t="s">
        <v>274</v>
      </c>
      <c r="Q50" s="367" t="s">
        <v>274</v>
      </c>
      <c r="R50" s="367" t="s">
        <v>274</v>
      </c>
      <c r="S50" s="367" t="s">
        <v>274</v>
      </c>
      <c r="T50" s="368" t="s">
        <v>274</v>
      </c>
    </row>
    <row r="51" spans="1:23" ht="15" customHeight="1" x14ac:dyDescent="0.2">
      <c r="A51" s="328" t="s">
        <v>116</v>
      </c>
      <c r="B51" s="329" t="s">
        <v>72</v>
      </c>
      <c r="C51" s="330" t="s">
        <v>15</v>
      </c>
      <c r="D51" s="331">
        <v>2014</v>
      </c>
      <c r="E51" s="331">
        <v>2015</v>
      </c>
      <c r="F51" s="331">
        <v>2016</v>
      </c>
      <c r="G51" s="331">
        <v>2017</v>
      </c>
      <c r="H51" s="331">
        <v>2018</v>
      </c>
      <c r="I51" s="331">
        <v>2019</v>
      </c>
      <c r="J51" s="331">
        <v>2020</v>
      </c>
      <c r="K51" s="331">
        <v>2021</v>
      </c>
      <c r="L51" s="331">
        <v>2022</v>
      </c>
      <c r="M51" s="331">
        <v>2023</v>
      </c>
      <c r="N51" s="331">
        <v>2024</v>
      </c>
      <c r="O51" s="331">
        <v>2025</v>
      </c>
      <c r="P51" s="294">
        <v>2026</v>
      </c>
      <c r="Q51" s="294">
        <v>2027</v>
      </c>
      <c r="R51" s="294">
        <v>2028</v>
      </c>
      <c r="S51" s="294">
        <v>2029</v>
      </c>
      <c r="T51" s="294">
        <v>2030</v>
      </c>
    </row>
    <row r="52" spans="1:23" ht="16.5" customHeight="1" x14ac:dyDescent="0.2">
      <c r="A52" s="332" t="s">
        <v>274</v>
      </c>
      <c r="B52" s="337" t="s">
        <v>125</v>
      </c>
      <c r="C52" s="296" t="s">
        <v>44</v>
      </c>
      <c r="D52" s="315" t="s">
        <v>274</v>
      </c>
      <c r="E52" s="315" t="s">
        <v>274</v>
      </c>
      <c r="F52" s="315">
        <v>70.623999999999995</v>
      </c>
      <c r="G52" s="335">
        <v>70.24799999999999</v>
      </c>
      <c r="H52" s="335">
        <v>69.871999999999986</v>
      </c>
      <c r="I52" s="335">
        <v>69.495999999999981</v>
      </c>
      <c r="J52" s="335">
        <v>69.119999999999976</v>
      </c>
      <c r="K52" s="335">
        <v>68.743999999999971</v>
      </c>
      <c r="L52" s="335">
        <v>66.469706730398954</v>
      </c>
      <c r="M52" s="335">
        <v>63.981807193167938</v>
      </c>
      <c r="N52" s="335">
        <v>61.1846769086021</v>
      </c>
      <c r="O52" s="335">
        <v>57.95623169148304</v>
      </c>
      <c r="P52" s="335">
        <v>54.132689153903627</v>
      </c>
      <c r="Q52" s="335">
        <v>49.476091937576385</v>
      </c>
      <c r="R52" s="335">
        <v>43.615840946075707</v>
      </c>
      <c r="S52" s="335">
        <v>39.544468279869307</v>
      </c>
      <c r="T52" s="335">
        <v>33.36</v>
      </c>
      <c r="V52" s="283" t="s">
        <v>301</v>
      </c>
    </row>
    <row r="53" spans="1:23" ht="16.5" customHeight="1" x14ac:dyDescent="0.2">
      <c r="A53" s="332" t="s">
        <v>274</v>
      </c>
      <c r="B53" s="329" t="s">
        <v>124</v>
      </c>
      <c r="C53" s="296" t="s">
        <v>44</v>
      </c>
      <c r="D53" s="315" t="s">
        <v>274</v>
      </c>
      <c r="E53" s="315" t="s">
        <v>274</v>
      </c>
      <c r="F53" s="315">
        <v>45</v>
      </c>
      <c r="G53" s="335">
        <v>37.787118644067796</v>
      </c>
      <c r="H53" s="335">
        <v>35.786666666666662</v>
      </c>
      <c r="I53" s="335">
        <v>34.003573883161501</v>
      </c>
      <c r="J53" s="335">
        <v>32.506666666666653</v>
      </c>
      <c r="K53" s="335">
        <v>30.750476190476181</v>
      </c>
      <c r="L53" s="335">
        <v>29.153939393939385</v>
      </c>
      <c r="M53" s="335">
        <v>27.696231884057969</v>
      </c>
      <c r="N53" s="335">
        <v>26.360000000000003</v>
      </c>
      <c r="O53" s="335">
        <v>26.503999999999998</v>
      </c>
      <c r="P53" s="335">
        <v>26.636923076923079</v>
      </c>
      <c r="Q53" s="335">
        <v>26.760000000000009</v>
      </c>
      <c r="R53" s="335">
        <v>26.874285714285712</v>
      </c>
      <c r="S53" s="335">
        <v>26.980689655172419</v>
      </c>
      <c r="T53" s="335">
        <v>27.08</v>
      </c>
      <c r="V53" s="283" t="s">
        <v>302</v>
      </c>
    </row>
    <row r="54" spans="1:23" ht="16.5" customHeight="1" x14ac:dyDescent="0.2">
      <c r="A54" s="332" t="s">
        <v>274</v>
      </c>
      <c r="B54" s="360" t="s">
        <v>17</v>
      </c>
      <c r="C54" s="296" t="s">
        <v>44</v>
      </c>
      <c r="D54" s="315" t="s">
        <v>274</v>
      </c>
      <c r="E54" s="315" t="s">
        <v>274</v>
      </c>
      <c r="F54" s="315">
        <v>30</v>
      </c>
      <c r="G54" s="335">
        <v>23.557383822933328</v>
      </c>
      <c r="H54" s="335">
        <v>22.930501990399996</v>
      </c>
      <c r="I54" s="335">
        <v>22.316980157866663</v>
      </c>
      <c r="J54" s="335">
        <v>21.716818325333328</v>
      </c>
      <c r="K54" s="335">
        <v>21.130016492799992</v>
      </c>
      <c r="L54" s="335">
        <v>20.556574660266666</v>
      </c>
      <c r="M54" s="335">
        <v>19.996492827733331</v>
      </c>
      <c r="N54" s="335">
        <v>19.449770995199991</v>
      </c>
      <c r="O54" s="335">
        <v>18.916409162666664</v>
      </c>
      <c r="P54" s="335">
        <v>18.396407330133325</v>
      </c>
      <c r="Q54" s="335">
        <v>17.889765497599992</v>
      </c>
      <c r="R54" s="335">
        <v>17.396483665066658</v>
      </c>
      <c r="S54" s="335">
        <v>16.916561832533326</v>
      </c>
      <c r="T54" s="335">
        <v>16.450000000000003</v>
      </c>
      <c r="V54" s="283" t="s">
        <v>303</v>
      </c>
    </row>
    <row r="55" spans="1:23" ht="16.5" customHeight="1" x14ac:dyDescent="0.2">
      <c r="A55" s="332" t="s">
        <v>274</v>
      </c>
      <c r="B55" s="369" t="s">
        <v>16</v>
      </c>
      <c r="C55" s="296" t="s">
        <v>44</v>
      </c>
      <c r="D55" s="315" t="s">
        <v>274</v>
      </c>
      <c r="E55" s="315" t="s">
        <v>274</v>
      </c>
      <c r="F55" s="315">
        <v>30</v>
      </c>
      <c r="G55" s="335">
        <v>18</v>
      </c>
      <c r="H55" s="335">
        <v>18.541781990400001</v>
      </c>
      <c r="I55" s="335">
        <v>18.338300157866662</v>
      </c>
      <c r="J55" s="335">
        <v>18.134818325333331</v>
      </c>
      <c r="K55" s="335">
        <v>17.931336492799996</v>
      </c>
      <c r="L55" s="335">
        <v>17.727854660266665</v>
      </c>
      <c r="M55" s="335">
        <v>17.52437282773333</v>
      </c>
      <c r="N55" s="335">
        <v>17.320890995199996</v>
      </c>
      <c r="O55" s="335">
        <v>17.117409162666664</v>
      </c>
      <c r="P55" s="335">
        <v>16.91392733013333</v>
      </c>
      <c r="Q55" s="335">
        <v>16.710445497599999</v>
      </c>
      <c r="R55" s="335">
        <v>16.506963665066664</v>
      </c>
      <c r="S55" s="335">
        <v>16.303481832533329</v>
      </c>
      <c r="T55" s="335">
        <v>16.099999999999998</v>
      </c>
      <c r="V55" s="283" t="s">
        <v>303</v>
      </c>
    </row>
    <row r="56" spans="1:23" ht="16.5" customHeight="1" x14ac:dyDescent="0.2">
      <c r="A56" s="332" t="s">
        <v>274</v>
      </c>
      <c r="B56" s="370" t="s">
        <v>104</v>
      </c>
      <c r="C56" s="296" t="s">
        <v>44</v>
      </c>
      <c r="D56" s="315" t="s">
        <v>274</v>
      </c>
      <c r="E56" s="315" t="s">
        <v>274</v>
      </c>
      <c r="F56" s="315">
        <v>35.332000000000001</v>
      </c>
      <c r="G56" s="335">
        <v>40.311999999999998</v>
      </c>
      <c r="H56" s="335">
        <v>40.311999999999998</v>
      </c>
      <c r="I56" s="335">
        <v>40.311999999999998</v>
      </c>
      <c r="J56" s="335">
        <v>40.311999999999998</v>
      </c>
      <c r="K56" s="335">
        <v>40.311999999999998</v>
      </c>
      <c r="L56" s="335">
        <v>40.311999999999998</v>
      </c>
      <c r="M56" s="335">
        <v>40.311999999999998</v>
      </c>
      <c r="N56" s="335">
        <v>40.311999999999998</v>
      </c>
      <c r="O56" s="335">
        <v>40.311999999999998</v>
      </c>
      <c r="P56" s="335">
        <v>40.311999999999998</v>
      </c>
      <c r="Q56" s="335">
        <v>40.311999999999998</v>
      </c>
      <c r="R56" s="335">
        <v>40.311999999999998</v>
      </c>
      <c r="S56" s="335">
        <v>40.311999999999998</v>
      </c>
      <c r="T56" s="335">
        <v>40.311999999999998</v>
      </c>
      <c r="V56" s="283" t="s">
        <v>303</v>
      </c>
    </row>
    <row r="57" spans="1:23" ht="16.5" customHeight="1" x14ac:dyDescent="0.2">
      <c r="A57" s="332" t="s">
        <v>274</v>
      </c>
      <c r="B57" s="370" t="s">
        <v>163</v>
      </c>
      <c r="C57" s="296" t="s">
        <v>44</v>
      </c>
      <c r="D57" s="315" t="s">
        <v>274</v>
      </c>
      <c r="E57" s="315" t="s">
        <v>274</v>
      </c>
      <c r="F57" s="315">
        <v>30.929411764705883</v>
      </c>
      <c r="G57" s="357">
        <v>23.868507024577521</v>
      </c>
      <c r="H57" s="357">
        <v>22.198588334051657</v>
      </c>
      <c r="I57" s="357">
        <v>18.353536205515244</v>
      </c>
      <c r="J57" s="357">
        <v>15.061792786767928</v>
      </c>
      <c r="K57" s="357">
        <v>14.31149447213849</v>
      </c>
      <c r="L57" s="357">
        <v>13.517031364061937</v>
      </c>
      <c r="M57" s="357">
        <v>12.680212331175829</v>
      </c>
      <c r="N57" s="357">
        <v>11.802751357674166</v>
      </c>
      <c r="O57" s="357">
        <v>10.886286523707538</v>
      </c>
      <c r="P57" s="357">
        <v>9.9323993125663517</v>
      </c>
      <c r="Q57" s="357">
        <v>8.9426343880675674</v>
      </c>
      <c r="R57" s="357">
        <v>7.918519991451423</v>
      </c>
      <c r="S57" s="357">
        <v>6.8615891139429745</v>
      </c>
      <c r="T57" s="357">
        <v>5.7734016089962683</v>
      </c>
      <c r="V57" s="283" t="s">
        <v>304</v>
      </c>
    </row>
    <row r="58" spans="1:23" ht="16.5" customHeight="1" x14ac:dyDescent="0.2">
      <c r="A58" s="332" t="s">
        <v>274</v>
      </c>
      <c r="B58" s="369" t="s">
        <v>38</v>
      </c>
      <c r="C58" s="296" t="s">
        <v>44</v>
      </c>
      <c r="D58" s="315" t="s">
        <v>274</v>
      </c>
      <c r="E58" s="315" t="s">
        <v>274</v>
      </c>
      <c r="F58" s="315">
        <v>16.940000000000001</v>
      </c>
      <c r="G58" s="371">
        <v>29.380504884252058</v>
      </c>
      <c r="H58" s="371">
        <v>29.80469696652457</v>
      </c>
      <c r="I58" s="371">
        <v>30.228889048797082</v>
      </c>
      <c r="J58" s="371">
        <v>30.653081131069591</v>
      </c>
      <c r="K58" s="371">
        <v>30.914352978300283</v>
      </c>
      <c r="L58" s="371">
        <v>31.175624825530988</v>
      </c>
      <c r="M58" s="371">
        <v>31.436896672761694</v>
      </c>
      <c r="N58" s="371">
        <v>31.071254290938594</v>
      </c>
      <c r="O58" s="371">
        <v>30.705611909115497</v>
      </c>
      <c r="P58" s="371">
        <v>30.339969527292393</v>
      </c>
      <c r="Q58" s="371">
        <v>29.974327145469299</v>
      </c>
      <c r="R58" s="371">
        <v>29.608684763646199</v>
      </c>
      <c r="S58" s="371">
        <v>29.243042381823102</v>
      </c>
      <c r="T58" s="371">
        <v>28.877399999999998</v>
      </c>
      <c r="V58" s="283" t="s">
        <v>305</v>
      </c>
    </row>
    <row r="59" spans="1:23" ht="30" x14ac:dyDescent="0.2">
      <c r="A59" s="332" t="s">
        <v>274</v>
      </c>
      <c r="B59" s="344" t="s">
        <v>290</v>
      </c>
      <c r="C59" s="296" t="s">
        <v>44</v>
      </c>
      <c r="D59" s="315" t="s">
        <v>274</v>
      </c>
      <c r="E59" s="315" t="s">
        <v>274</v>
      </c>
      <c r="F59" s="315">
        <v>35.86</v>
      </c>
      <c r="G59" s="371">
        <v>29.922066666666662</v>
      </c>
      <c r="H59" s="371">
        <v>30.020606243679566</v>
      </c>
      <c r="I59" s="371">
        <v>30.099696310456462</v>
      </c>
      <c r="J59" s="371">
        <v>30.172333019774609</v>
      </c>
      <c r="K59" s="371">
        <v>30.229681551221852</v>
      </c>
      <c r="L59" s="371">
        <v>30.288098229142957</v>
      </c>
      <c r="M59" s="371">
        <v>30.32863904483882</v>
      </c>
      <c r="N59" s="371">
        <v>30.335106994073463</v>
      </c>
      <c r="O59" s="371">
        <v>30.308906775907207</v>
      </c>
      <c r="P59" s="371">
        <v>30.215606670196106</v>
      </c>
      <c r="Q59" s="371">
        <v>30.055993936110038</v>
      </c>
      <c r="R59" s="371">
        <v>29.815930979960424</v>
      </c>
      <c r="S59" s="371">
        <v>29.481345443990374</v>
      </c>
      <c r="T59" s="371">
        <v>29.039632355210355</v>
      </c>
      <c r="V59" s="283" t="s">
        <v>305</v>
      </c>
    </row>
    <row r="60" spans="1:23" ht="16.5" customHeight="1" x14ac:dyDescent="0.2">
      <c r="A60" s="332" t="s">
        <v>274</v>
      </c>
      <c r="B60" s="369" t="s">
        <v>39</v>
      </c>
      <c r="C60" s="296" t="s">
        <v>44</v>
      </c>
      <c r="D60" s="315" t="s">
        <v>274</v>
      </c>
      <c r="E60" s="315" t="s">
        <v>274</v>
      </c>
      <c r="F60" s="315">
        <v>68.52</v>
      </c>
      <c r="G60" s="372">
        <v>72.802499999999995</v>
      </c>
      <c r="H60" s="372">
        <v>72.802499999999995</v>
      </c>
      <c r="I60" s="372">
        <v>79.03</v>
      </c>
      <c r="J60" s="372">
        <v>79.03</v>
      </c>
      <c r="K60" s="372">
        <v>79.03</v>
      </c>
      <c r="L60" s="372">
        <v>79.03</v>
      </c>
      <c r="M60" s="372">
        <v>79.03</v>
      </c>
      <c r="N60" s="372">
        <v>79.03</v>
      </c>
      <c r="O60" s="372">
        <v>79.03</v>
      </c>
      <c r="P60" s="372">
        <v>79.03</v>
      </c>
      <c r="Q60" s="372">
        <v>79.03</v>
      </c>
      <c r="R60" s="372">
        <v>79.03</v>
      </c>
      <c r="S60" s="372">
        <v>79.03</v>
      </c>
      <c r="T60" s="372">
        <v>79.03</v>
      </c>
      <c r="V60" s="283" t="s">
        <v>278</v>
      </c>
    </row>
    <row r="61" spans="1:23" ht="16.5" customHeight="1" x14ac:dyDescent="0.2">
      <c r="A61" s="332" t="s">
        <v>274</v>
      </c>
      <c r="B61" s="373" t="s">
        <v>74</v>
      </c>
      <c r="C61" s="296" t="s">
        <v>44</v>
      </c>
      <c r="D61" s="315" t="s">
        <v>274</v>
      </c>
      <c r="E61" s="315" t="s">
        <v>274</v>
      </c>
      <c r="F61" s="315">
        <v>32.54</v>
      </c>
      <c r="G61" s="372">
        <v>40</v>
      </c>
      <c r="H61" s="372">
        <v>40</v>
      </c>
      <c r="I61" s="372">
        <v>40</v>
      </c>
      <c r="J61" s="372">
        <v>40</v>
      </c>
      <c r="K61" s="372">
        <v>40</v>
      </c>
      <c r="L61" s="372">
        <v>40</v>
      </c>
      <c r="M61" s="372">
        <v>40</v>
      </c>
      <c r="N61" s="372">
        <v>40</v>
      </c>
      <c r="O61" s="372">
        <v>40</v>
      </c>
      <c r="P61" s="372">
        <v>40</v>
      </c>
      <c r="Q61" s="372">
        <v>40</v>
      </c>
      <c r="R61" s="372">
        <v>40</v>
      </c>
      <c r="S61" s="372">
        <v>40</v>
      </c>
      <c r="T61" s="372">
        <v>40</v>
      </c>
      <c r="V61" s="283" t="s">
        <v>306</v>
      </c>
      <c r="W61" s="283" t="s">
        <v>307</v>
      </c>
    </row>
    <row r="62" spans="1:23" ht="16.5" customHeight="1" x14ac:dyDescent="0.2">
      <c r="A62" s="332" t="s">
        <v>274</v>
      </c>
      <c r="B62" s="373" t="s">
        <v>75</v>
      </c>
      <c r="C62" s="296" t="s">
        <v>44</v>
      </c>
      <c r="D62" s="315" t="s">
        <v>274</v>
      </c>
      <c r="E62" s="315" t="s">
        <v>274</v>
      </c>
      <c r="F62" s="315">
        <v>-273</v>
      </c>
      <c r="G62" s="372">
        <v>-273</v>
      </c>
      <c r="H62" s="372">
        <v>-273</v>
      </c>
      <c r="I62" s="372">
        <v>-273</v>
      </c>
      <c r="J62" s="372">
        <v>-273</v>
      </c>
      <c r="K62" s="372">
        <v>-273</v>
      </c>
      <c r="L62" s="372">
        <v>-273</v>
      </c>
      <c r="M62" s="372">
        <v>-273</v>
      </c>
      <c r="N62" s="372">
        <v>-273</v>
      </c>
      <c r="O62" s="372">
        <v>-273</v>
      </c>
      <c r="P62" s="372">
        <v>-273</v>
      </c>
      <c r="Q62" s="372">
        <v>-273</v>
      </c>
      <c r="R62" s="372">
        <v>-273</v>
      </c>
      <c r="S62" s="372">
        <v>-273</v>
      </c>
      <c r="T62" s="372">
        <v>-273</v>
      </c>
      <c r="V62" s="283" t="s">
        <v>295</v>
      </c>
    </row>
    <row r="63" spans="1:23" ht="16.5" customHeight="1" x14ac:dyDescent="0.2">
      <c r="A63" s="332" t="s">
        <v>274</v>
      </c>
      <c r="B63" s="369" t="s">
        <v>81</v>
      </c>
      <c r="C63" s="296" t="s">
        <v>43</v>
      </c>
      <c r="D63" s="315" t="s">
        <v>274</v>
      </c>
      <c r="E63" s="315" t="s">
        <v>274</v>
      </c>
      <c r="F63" s="315">
        <v>0</v>
      </c>
      <c r="G63" s="374">
        <v>5.0700350650029896E-3</v>
      </c>
      <c r="H63" s="374">
        <v>4.4205469109682809E-3</v>
      </c>
      <c r="I63" s="374">
        <v>5.4218569431126375E-3</v>
      </c>
      <c r="J63" s="374">
        <v>6.7053967092578848E-3</v>
      </c>
      <c r="K63" s="374">
        <v>8.5838530682564463E-3</v>
      </c>
      <c r="L63" s="374">
        <v>1.141022815928495E-2</v>
      </c>
      <c r="M63" s="374">
        <v>2.532712351059066E-2</v>
      </c>
      <c r="N63" s="374">
        <v>4.9975173864958297E-2</v>
      </c>
      <c r="O63" s="374">
        <v>4.8787897884264485E-2</v>
      </c>
      <c r="P63" s="374">
        <v>6.5511176132706364E-2</v>
      </c>
      <c r="Q63" s="374">
        <v>8.8375415238010666E-2</v>
      </c>
      <c r="R63" s="374">
        <v>0.11937607919516172</v>
      </c>
      <c r="S63" s="374">
        <v>0.11867784978048193</v>
      </c>
      <c r="T63" s="374">
        <v>0.11688591204421633</v>
      </c>
      <c r="V63" s="283" t="s">
        <v>308</v>
      </c>
    </row>
    <row r="64" spans="1:23" ht="16.5" customHeight="1" x14ac:dyDescent="0.2">
      <c r="A64" s="332" t="s">
        <v>274</v>
      </c>
      <c r="B64" s="369" t="s">
        <v>121</v>
      </c>
      <c r="C64" s="296" t="s">
        <v>44</v>
      </c>
      <c r="D64" s="315" t="s">
        <v>274</v>
      </c>
      <c r="E64" s="315" t="s">
        <v>274</v>
      </c>
      <c r="F64" s="315">
        <v>32.54</v>
      </c>
      <c r="G64" s="357">
        <v>38.41307902465406</v>
      </c>
      <c r="H64" s="357">
        <v>38.616368816866931</v>
      </c>
      <c r="I64" s="357">
        <v>38.302958776805752</v>
      </c>
      <c r="J64" s="357">
        <v>37.901210830002285</v>
      </c>
      <c r="K64" s="357">
        <v>37.313253989635726</v>
      </c>
      <c r="L64" s="357">
        <v>36.428598586143814</v>
      </c>
      <c r="M64" s="357">
        <v>32.072610341185126</v>
      </c>
      <c r="N64" s="357">
        <v>24.357770580268056</v>
      </c>
      <c r="O64" s="357">
        <v>24.729387962225218</v>
      </c>
      <c r="P64" s="357">
        <v>19.495001870462907</v>
      </c>
      <c r="Q64" s="357">
        <v>12.338495030502663</v>
      </c>
      <c r="R64" s="357">
        <v>2.6352872119143882</v>
      </c>
      <c r="S64" s="357">
        <v>2.8538330187091532</v>
      </c>
      <c r="T64" s="357">
        <v>3.414709530160291</v>
      </c>
      <c r="V64" s="283" t="s">
        <v>281</v>
      </c>
    </row>
    <row r="65" spans="1:22" ht="16.5" customHeight="1" x14ac:dyDescent="0.2">
      <c r="A65" s="332" t="s">
        <v>274</v>
      </c>
      <c r="B65" s="369"/>
      <c r="C65" s="296"/>
      <c r="D65" s="315"/>
      <c r="E65" s="315"/>
      <c r="F65" s="315"/>
      <c r="G65" s="357"/>
      <c r="H65" s="357"/>
      <c r="I65" s="357"/>
      <c r="J65" s="357"/>
      <c r="K65" s="357"/>
      <c r="L65" s="357"/>
      <c r="M65" s="357"/>
      <c r="N65" s="357"/>
      <c r="O65" s="357"/>
      <c r="P65" s="357"/>
      <c r="Q65" s="357"/>
      <c r="R65" s="357"/>
      <c r="S65" s="357"/>
      <c r="T65" s="357"/>
    </row>
    <row r="66" spans="1:22" ht="16.5" customHeight="1" x14ac:dyDescent="0.2">
      <c r="A66" s="332" t="s">
        <v>274</v>
      </c>
      <c r="B66" s="369" t="s">
        <v>91</v>
      </c>
      <c r="C66" s="296" t="s">
        <v>44</v>
      </c>
      <c r="D66" s="315" t="s">
        <v>274</v>
      </c>
      <c r="E66" s="315" t="s">
        <v>274</v>
      </c>
      <c r="F66" s="315">
        <v>38.948148148148142</v>
      </c>
      <c r="G66" s="357">
        <v>30.056638475393914</v>
      </c>
      <c r="H66" s="357">
        <v>27.95377790213912</v>
      </c>
      <c r="I66" s="357">
        <v>23.111860406945119</v>
      </c>
      <c r="J66" s="357">
        <v>18.966702027781832</v>
      </c>
      <c r="K66" s="357">
        <v>18.021881927878098</v>
      </c>
      <c r="L66" s="357">
        <v>17.021446902892809</v>
      </c>
      <c r="M66" s="357">
        <v>15.967674787406597</v>
      </c>
      <c r="N66" s="357">
        <v>14.862723931885986</v>
      </c>
      <c r="O66" s="357">
        <v>13.70865710392801</v>
      </c>
      <c r="P66" s="357">
        <v>12.507465801009479</v>
      </c>
      <c r="Q66" s="357">
        <v>11.261095155344343</v>
      </c>
      <c r="R66" s="357">
        <v>9.971469618864754</v>
      </c>
      <c r="S66" s="357">
        <v>8.6405196249652256</v>
      </c>
      <c r="T66" s="357">
        <v>7.270209433550856</v>
      </c>
      <c r="V66" s="283" t="s">
        <v>309</v>
      </c>
    </row>
    <row r="67" spans="1:22" ht="16.5" customHeight="1" x14ac:dyDescent="0.2">
      <c r="A67" s="332" t="s">
        <v>274</v>
      </c>
      <c r="B67" s="369" t="s">
        <v>120</v>
      </c>
      <c r="C67" s="296" t="s">
        <v>44</v>
      </c>
      <c r="D67" s="315">
        <v>34.903333333333329</v>
      </c>
      <c r="E67" s="315">
        <v>34.903333333333329</v>
      </c>
      <c r="F67" s="315">
        <v>26.964102564102564</v>
      </c>
      <c r="G67" s="357">
        <v>20.808442021426558</v>
      </c>
      <c r="H67" s="357">
        <v>19.352615470711701</v>
      </c>
      <c r="I67" s="357">
        <v>16.000518743269698</v>
      </c>
      <c r="J67" s="357">
        <v>13.130793711541271</v>
      </c>
      <c r="K67" s="357">
        <v>12.476687488530992</v>
      </c>
      <c r="L67" s="357">
        <v>11.784078625079639</v>
      </c>
      <c r="M67" s="357">
        <v>11.054544083589184</v>
      </c>
      <c r="N67" s="357">
        <v>10.2895781066903</v>
      </c>
      <c r="O67" s="357">
        <v>9.4906087642578534</v>
      </c>
      <c r="P67" s="357">
        <v>8.6590147853142554</v>
      </c>
      <c r="Q67" s="357">
        <v>7.7961427998537767</v>
      </c>
      <c r="R67" s="357">
        <v>6.9033251207525224</v>
      </c>
      <c r="S67" s="357">
        <v>5.9818982018990035</v>
      </c>
      <c r="T67" s="357">
        <v>5.0332219155352087</v>
      </c>
      <c r="V67" s="283" t="s">
        <v>309</v>
      </c>
    </row>
    <row r="68" spans="1:22" ht="16.5" customHeight="1" x14ac:dyDescent="0.2">
      <c r="A68" s="332" t="s">
        <v>274</v>
      </c>
      <c r="B68" s="369" t="s">
        <v>3</v>
      </c>
      <c r="C68" s="296" t="s">
        <v>44</v>
      </c>
      <c r="D68" s="315">
        <v>99.18</v>
      </c>
      <c r="E68" s="315">
        <v>99.18</v>
      </c>
      <c r="F68" s="315">
        <v>99.78</v>
      </c>
      <c r="G68" s="375">
        <v>99.78</v>
      </c>
      <c r="H68" s="375">
        <v>99.78</v>
      </c>
      <c r="I68" s="375">
        <v>101.43</v>
      </c>
      <c r="J68" s="375">
        <v>101.43</v>
      </c>
      <c r="K68" s="375">
        <v>101.43</v>
      </c>
      <c r="L68" s="375">
        <v>101.43</v>
      </c>
      <c r="M68" s="375">
        <v>101.43</v>
      </c>
      <c r="N68" s="375">
        <v>101.43</v>
      </c>
      <c r="O68" s="375">
        <v>101.43</v>
      </c>
      <c r="P68" s="375">
        <v>101.43</v>
      </c>
      <c r="Q68" s="375">
        <v>101.43</v>
      </c>
      <c r="R68" s="375">
        <v>101.43</v>
      </c>
      <c r="S68" s="375">
        <v>101.43</v>
      </c>
      <c r="T68" s="375">
        <v>101.43</v>
      </c>
      <c r="V68" s="283" t="s">
        <v>278</v>
      </c>
    </row>
    <row r="69" spans="1:22" ht="16.5" customHeight="1" x14ac:dyDescent="0.2">
      <c r="A69" s="332" t="s">
        <v>274</v>
      </c>
      <c r="B69" s="369" t="s">
        <v>4</v>
      </c>
      <c r="C69" s="296" t="s">
        <v>44</v>
      </c>
      <c r="D69" s="315">
        <v>98.03</v>
      </c>
      <c r="E69" s="315">
        <v>98.03</v>
      </c>
      <c r="F69" s="315">
        <v>102.01</v>
      </c>
      <c r="G69" s="375">
        <v>102.01</v>
      </c>
      <c r="H69" s="375">
        <v>102.01</v>
      </c>
      <c r="I69" s="375">
        <v>100.95</v>
      </c>
      <c r="J69" s="375">
        <v>100.95</v>
      </c>
      <c r="K69" s="375">
        <v>100.95</v>
      </c>
      <c r="L69" s="375">
        <v>100.95</v>
      </c>
      <c r="M69" s="375">
        <v>100.95</v>
      </c>
      <c r="N69" s="375">
        <v>100.95</v>
      </c>
      <c r="O69" s="375">
        <v>100.95</v>
      </c>
      <c r="P69" s="375">
        <v>100.95</v>
      </c>
      <c r="Q69" s="375">
        <v>100.95</v>
      </c>
      <c r="R69" s="375">
        <v>100.95</v>
      </c>
      <c r="S69" s="375">
        <v>100.95</v>
      </c>
      <c r="T69" s="375">
        <v>100.95</v>
      </c>
      <c r="V69" s="283" t="s">
        <v>278</v>
      </c>
    </row>
    <row r="70" spans="1:22" ht="16.5" customHeight="1" x14ac:dyDescent="0.2">
      <c r="A70" s="332" t="s">
        <v>274</v>
      </c>
      <c r="B70" s="369" t="s">
        <v>155</v>
      </c>
      <c r="C70" s="296" t="s">
        <v>44</v>
      </c>
      <c r="D70" s="315" t="s">
        <v>274</v>
      </c>
      <c r="E70" s="315" t="s">
        <v>274</v>
      </c>
      <c r="F70" s="315" t="s">
        <v>274</v>
      </c>
      <c r="G70" s="375" t="s">
        <v>274</v>
      </c>
      <c r="H70" s="375" t="s">
        <v>274</v>
      </c>
      <c r="I70" s="371">
        <v>32.19</v>
      </c>
      <c r="J70" s="371">
        <v>32.19</v>
      </c>
      <c r="K70" s="371">
        <v>32.19</v>
      </c>
      <c r="L70" s="371">
        <v>32.19</v>
      </c>
      <c r="M70" s="371">
        <v>32.19</v>
      </c>
      <c r="N70" s="371">
        <v>32.19</v>
      </c>
      <c r="O70" s="371">
        <v>32.19</v>
      </c>
      <c r="P70" s="371">
        <v>32.19</v>
      </c>
      <c r="Q70" s="371">
        <v>32.19</v>
      </c>
      <c r="R70" s="371">
        <v>32.19</v>
      </c>
      <c r="S70" s="371">
        <v>32.19</v>
      </c>
      <c r="T70" s="371">
        <v>32.19</v>
      </c>
      <c r="V70" s="283" t="s">
        <v>295</v>
      </c>
    </row>
    <row r="71" spans="1:22" ht="16.5" customHeight="1" x14ac:dyDescent="0.2">
      <c r="A71" s="332" t="s">
        <v>274</v>
      </c>
      <c r="B71" s="369" t="s">
        <v>156</v>
      </c>
      <c r="C71" s="296" t="s">
        <v>274</v>
      </c>
      <c r="D71" s="315" t="s">
        <v>274</v>
      </c>
      <c r="E71" s="315">
        <v>83.38</v>
      </c>
      <c r="F71" s="315">
        <v>83.38</v>
      </c>
      <c r="G71" s="371">
        <v>83.38</v>
      </c>
      <c r="H71" s="371">
        <v>83.38</v>
      </c>
      <c r="I71" s="371">
        <v>83.38</v>
      </c>
      <c r="J71" s="371">
        <v>83.38</v>
      </c>
      <c r="K71" s="371">
        <v>83.38</v>
      </c>
      <c r="L71" s="371">
        <v>83.38</v>
      </c>
      <c r="M71" s="371">
        <v>83.38</v>
      </c>
      <c r="N71" s="371">
        <v>83.38</v>
      </c>
      <c r="O71" s="371">
        <v>83.38</v>
      </c>
      <c r="P71" s="371">
        <v>83.38</v>
      </c>
      <c r="Q71" s="371">
        <v>83.38</v>
      </c>
      <c r="R71" s="371">
        <v>83.38</v>
      </c>
      <c r="S71" s="371">
        <v>83.38</v>
      </c>
      <c r="T71" s="371">
        <v>83.38</v>
      </c>
      <c r="V71" s="283" t="s">
        <v>295</v>
      </c>
    </row>
    <row r="72" spans="1:22" ht="17.25" customHeight="1" thickBot="1" x14ac:dyDescent="0.25">
      <c r="A72" s="359" t="s">
        <v>274</v>
      </c>
      <c r="B72" s="369"/>
      <c r="C72" s="296"/>
      <c r="D72" s="315"/>
      <c r="E72" s="315"/>
      <c r="F72" s="315"/>
      <c r="G72" s="375"/>
      <c r="H72" s="375"/>
      <c r="I72" s="371"/>
      <c r="J72" s="371"/>
      <c r="K72" s="371"/>
      <c r="L72" s="371"/>
      <c r="M72" s="371"/>
      <c r="N72" s="371"/>
      <c r="O72" s="371"/>
      <c r="P72" s="371"/>
      <c r="Q72" s="371"/>
      <c r="R72" s="371"/>
      <c r="S72" s="371"/>
      <c r="T72" s="371"/>
    </row>
    <row r="73" spans="1:22" ht="15" x14ac:dyDescent="0.2">
      <c r="A73" s="376" t="s">
        <v>274</v>
      </c>
      <c r="B73" s="377"/>
      <c r="C73" s="364"/>
      <c r="D73" s="364"/>
      <c r="E73" s="364"/>
      <c r="F73" s="364"/>
      <c r="G73" s="364"/>
      <c r="H73" s="364"/>
      <c r="I73" s="364"/>
      <c r="J73" s="364"/>
      <c r="K73" s="364"/>
      <c r="L73" s="364"/>
      <c r="M73" s="364"/>
      <c r="N73" s="364"/>
      <c r="O73" s="364"/>
      <c r="P73" s="364"/>
      <c r="Q73" s="364"/>
      <c r="R73" s="364"/>
      <c r="S73" s="364"/>
      <c r="T73" s="364"/>
    </row>
    <row r="74" spans="1:22" ht="22" thickBot="1" x14ac:dyDescent="0.3">
      <c r="A74" s="364" t="s">
        <v>274</v>
      </c>
      <c r="B74" s="365" t="s">
        <v>274</v>
      </c>
      <c r="C74" s="365" t="s">
        <v>274</v>
      </c>
      <c r="D74" s="378" t="s">
        <v>48</v>
      </c>
      <c r="E74" s="379"/>
      <c r="F74" s="379"/>
      <c r="G74" s="379"/>
      <c r="H74" s="379"/>
      <c r="I74" s="379"/>
      <c r="J74" s="379"/>
      <c r="K74" s="379"/>
      <c r="L74" s="379"/>
      <c r="M74" s="379"/>
      <c r="N74" s="379"/>
      <c r="O74" s="379"/>
      <c r="P74" s="379" t="s">
        <v>274</v>
      </c>
      <c r="Q74" s="379" t="s">
        <v>274</v>
      </c>
      <c r="R74" s="379" t="s">
        <v>274</v>
      </c>
      <c r="S74" s="379" t="s">
        <v>274</v>
      </c>
      <c r="T74" s="380" t="s">
        <v>274</v>
      </c>
    </row>
    <row r="75" spans="1:22" ht="15" customHeight="1" x14ac:dyDescent="0.2">
      <c r="A75" s="328" t="s">
        <v>117</v>
      </c>
      <c r="B75" s="329" t="s">
        <v>72</v>
      </c>
      <c r="C75" s="330" t="s">
        <v>15</v>
      </c>
      <c r="D75" s="331">
        <v>2014</v>
      </c>
      <c r="E75" s="331">
        <v>2015</v>
      </c>
      <c r="F75" s="331">
        <v>2016</v>
      </c>
      <c r="G75" s="331">
        <v>2017</v>
      </c>
      <c r="H75" s="331">
        <v>2018</v>
      </c>
      <c r="I75" s="331">
        <v>2019</v>
      </c>
      <c r="J75" s="331">
        <v>2020</v>
      </c>
      <c r="K75" s="331">
        <v>2021</v>
      </c>
      <c r="L75" s="331">
        <v>2022</v>
      </c>
      <c r="M75" s="331">
        <v>2023</v>
      </c>
      <c r="N75" s="331">
        <v>2024</v>
      </c>
      <c r="O75" s="331">
        <v>2025</v>
      </c>
      <c r="P75" s="294">
        <v>2026</v>
      </c>
      <c r="Q75" s="294">
        <v>2027</v>
      </c>
      <c r="R75" s="294">
        <v>2028</v>
      </c>
      <c r="S75" s="294">
        <v>2029</v>
      </c>
      <c r="T75" s="294">
        <v>2030</v>
      </c>
    </row>
    <row r="76" spans="1:22" ht="16.5" customHeight="1" x14ac:dyDescent="0.2">
      <c r="A76" s="332" t="s">
        <v>274</v>
      </c>
      <c r="B76" s="337" t="s">
        <v>125</v>
      </c>
      <c r="C76" s="296" t="s">
        <v>58</v>
      </c>
      <c r="D76" s="315">
        <v>120325.06200000001</v>
      </c>
      <c r="E76" s="315">
        <v>128059.42318142985</v>
      </c>
      <c r="F76" s="315">
        <v>124613.69106582396</v>
      </c>
      <c r="G76" s="339">
        <v>121403.65574691798</v>
      </c>
      <c r="H76" s="339">
        <v>117133.24828742874</v>
      </c>
      <c r="I76" s="339">
        <v>112252.17530178488</v>
      </c>
      <c r="J76" s="339">
        <v>104129.2727342079</v>
      </c>
      <c r="K76" s="339">
        <v>99285.203158928183</v>
      </c>
      <c r="L76" s="339">
        <v>94437.897089643186</v>
      </c>
      <c r="M76" s="339">
        <v>89407.583662872683</v>
      </c>
      <c r="N76" s="339">
        <v>83623.92398555945</v>
      </c>
      <c r="O76" s="339">
        <v>77240.542194953145</v>
      </c>
      <c r="P76" s="339">
        <v>70405.485581050947</v>
      </c>
      <c r="Q76" s="339">
        <v>63227.766262100115</v>
      </c>
      <c r="R76" s="339">
        <v>55782.667969041227</v>
      </c>
      <c r="S76" s="339">
        <v>47912.271206318634</v>
      </c>
      <c r="T76" s="339">
        <v>39215.492846368623</v>
      </c>
      <c r="V76" s="283" t="s">
        <v>310</v>
      </c>
    </row>
    <row r="77" spans="1:22" ht="16.5" customHeight="1" x14ac:dyDescent="0.2">
      <c r="A77" s="332" t="s">
        <v>274</v>
      </c>
      <c r="B77" s="329" t="s">
        <v>124</v>
      </c>
      <c r="C77" s="296" t="s">
        <v>58</v>
      </c>
      <c r="D77" s="315">
        <v>717.28800000000012</v>
      </c>
      <c r="E77" s="315">
        <v>2613.4576159475482</v>
      </c>
      <c r="F77" s="315">
        <v>4935.1956857752075</v>
      </c>
      <c r="G77" s="339">
        <v>7227.8664874552569</v>
      </c>
      <c r="H77" s="339">
        <v>9399.5816526948984</v>
      </c>
      <c r="I77" s="339">
        <v>11425.457507107172</v>
      </c>
      <c r="J77" s="339">
        <v>16019.888112955063</v>
      </c>
      <c r="K77" s="339">
        <v>16162.70749098831</v>
      </c>
      <c r="L77" s="339">
        <v>16231.513562282424</v>
      </c>
      <c r="M77" s="339">
        <v>16191.92460036277</v>
      </c>
      <c r="N77" s="339">
        <v>15928.366473439897</v>
      </c>
      <c r="O77" s="339">
        <v>15448.10843899063</v>
      </c>
      <c r="P77" s="339">
        <v>14762.440525059066</v>
      </c>
      <c r="Q77" s="339">
        <v>13879.265764851243</v>
      </c>
      <c r="R77" s="339">
        <v>12802.579533878315</v>
      </c>
      <c r="S77" s="339">
        <v>11483.106322175541</v>
      </c>
      <c r="T77" s="339">
        <v>9803.8732115921575</v>
      </c>
      <c r="V77" s="283" t="s">
        <v>310</v>
      </c>
    </row>
    <row r="78" spans="1:22" ht="16.5" customHeight="1" x14ac:dyDescent="0.2">
      <c r="A78" s="332" t="s">
        <v>274</v>
      </c>
      <c r="B78" s="381" t="s">
        <v>17</v>
      </c>
      <c r="C78" s="296" t="s">
        <v>58</v>
      </c>
      <c r="D78" s="315">
        <v>0</v>
      </c>
      <c r="E78" s="315">
        <v>0</v>
      </c>
      <c r="F78" s="315">
        <v>0</v>
      </c>
      <c r="G78" s="339">
        <v>18.122076951022709</v>
      </c>
      <c r="H78" s="339">
        <v>950.17319728783752</v>
      </c>
      <c r="I78" s="339">
        <v>2059.249043521274</v>
      </c>
      <c r="J78" s="339">
        <v>3618.9677578040355</v>
      </c>
      <c r="K78" s="339">
        <v>5898.5491519124398</v>
      </c>
      <c r="L78" s="339">
        <v>8066.9679871779763</v>
      </c>
      <c r="M78" s="339">
        <v>10330.267066162882</v>
      </c>
      <c r="N78" s="339">
        <v>13065.884347789375</v>
      </c>
      <c r="O78" s="339">
        <v>16333.352269194471</v>
      </c>
      <c r="P78" s="339">
        <v>20192.461424935995</v>
      </c>
      <c r="Q78" s="339">
        <v>24702.131691547733</v>
      </c>
      <c r="R78" s="339">
        <v>29919.272941229756</v>
      </c>
      <c r="S78" s="339">
        <v>35897.674316466451</v>
      </c>
      <c r="T78" s="339">
        <v>42686.957985358255</v>
      </c>
      <c r="V78" s="283" t="s">
        <v>310</v>
      </c>
    </row>
    <row r="79" spans="1:22" ht="16.5" customHeight="1" x14ac:dyDescent="0.2">
      <c r="A79" s="332" t="s">
        <v>274</v>
      </c>
      <c r="B79" s="382" t="s">
        <v>16</v>
      </c>
      <c r="C79" s="296" t="s">
        <v>58</v>
      </c>
      <c r="D79" s="315">
        <v>0</v>
      </c>
      <c r="E79" s="315">
        <v>0</v>
      </c>
      <c r="F79" s="315">
        <v>0</v>
      </c>
      <c r="G79" s="339">
        <v>0</v>
      </c>
      <c r="H79" s="339">
        <v>15.912628347098432</v>
      </c>
      <c r="I79" s="339">
        <v>66.284807621734473</v>
      </c>
      <c r="J79" s="339">
        <v>147.97374621190218</v>
      </c>
      <c r="K79" s="339">
        <v>264.99919319348146</v>
      </c>
      <c r="L79" s="339">
        <v>412.46387789520622</v>
      </c>
      <c r="M79" s="339">
        <v>470.49799827562902</v>
      </c>
      <c r="N79" s="339">
        <v>540.3808745992651</v>
      </c>
      <c r="O79" s="339">
        <v>624.95913570448261</v>
      </c>
      <c r="P79" s="339">
        <v>727.65027369172651</v>
      </c>
      <c r="Q79" s="339">
        <v>852.50097305752183</v>
      </c>
      <c r="R79" s="339">
        <v>1004.2372960821652</v>
      </c>
      <c r="S79" s="339">
        <v>1188.3035334722176</v>
      </c>
      <c r="T79" s="339">
        <v>5881.3145401785732</v>
      </c>
      <c r="V79" s="283" t="s">
        <v>310</v>
      </c>
    </row>
    <row r="80" spans="1:22" ht="16.5" customHeight="1" x14ac:dyDescent="0.2">
      <c r="A80" s="332" t="s">
        <v>274</v>
      </c>
      <c r="B80" s="382" t="s">
        <v>107</v>
      </c>
      <c r="C80" s="296" t="s">
        <v>58</v>
      </c>
      <c r="D80" s="315">
        <v>4.0909090909090908</v>
      </c>
      <c r="E80" s="315">
        <v>576.20267105988955</v>
      </c>
      <c r="F80" s="315">
        <v>694.60566971096887</v>
      </c>
      <c r="G80" s="339">
        <v>824.2028573559661</v>
      </c>
      <c r="H80" s="339">
        <v>956.04921449274366</v>
      </c>
      <c r="I80" s="339">
        <v>1084.5452331617685</v>
      </c>
      <c r="J80" s="339">
        <v>1215.1346337925302</v>
      </c>
      <c r="K80" s="339">
        <v>1684.7225498899231</v>
      </c>
      <c r="L80" s="339">
        <v>2456.8443798603207</v>
      </c>
      <c r="M80" s="339">
        <v>3501.3541289758473</v>
      </c>
      <c r="N80" s="339">
        <v>4840.2165642418968</v>
      </c>
      <c r="O80" s="339">
        <v>6435.1146648007825</v>
      </c>
      <c r="P80" s="339">
        <v>8250.3634036128242</v>
      </c>
      <c r="Q80" s="339">
        <v>10320.453655210393</v>
      </c>
      <c r="R80" s="339">
        <v>12637.544871636868</v>
      </c>
      <c r="S80" s="339">
        <v>15183.054547455176</v>
      </c>
      <c r="T80" s="339">
        <v>17896.955996437733</v>
      </c>
      <c r="V80" s="283" t="s">
        <v>310</v>
      </c>
    </row>
    <row r="81" spans="1:22" ht="16.5" customHeight="1" x14ac:dyDescent="0.2">
      <c r="A81" s="332" t="s">
        <v>274</v>
      </c>
      <c r="B81" s="382" t="s">
        <v>0</v>
      </c>
      <c r="C81" s="296" t="s">
        <v>58</v>
      </c>
      <c r="D81" s="315">
        <v>979.20022958018251</v>
      </c>
      <c r="E81" s="315">
        <v>2954.9068203408933</v>
      </c>
      <c r="F81" s="315">
        <v>3778.5288164800572</v>
      </c>
      <c r="G81" s="339">
        <v>4661.1764789333329</v>
      </c>
      <c r="H81" s="339">
        <v>5448.2029573931341</v>
      </c>
      <c r="I81" s="339">
        <v>6236.6872000500116</v>
      </c>
      <c r="J81" s="339">
        <v>7047.5053975139854</v>
      </c>
      <c r="K81" s="339">
        <v>8960.9699336012727</v>
      </c>
      <c r="L81" s="339">
        <v>11865.496478896934</v>
      </c>
      <c r="M81" s="339">
        <v>15633.070530688341</v>
      </c>
      <c r="N81" s="339">
        <v>20352.869918379485</v>
      </c>
      <c r="O81" s="339">
        <v>25800.876232948802</v>
      </c>
      <c r="P81" s="339">
        <v>31805.184065117945</v>
      </c>
      <c r="Q81" s="339">
        <v>38566.332808173582</v>
      </c>
      <c r="R81" s="339">
        <v>46086.467134995422</v>
      </c>
      <c r="S81" s="339">
        <v>54166.708635385803</v>
      </c>
      <c r="T81" s="339">
        <v>62605.698610445499</v>
      </c>
      <c r="V81" s="283" t="s">
        <v>310</v>
      </c>
    </row>
    <row r="82" spans="1:22" ht="16.5" customHeight="1" x14ac:dyDescent="0.2">
      <c r="A82" s="332" t="s">
        <v>274</v>
      </c>
      <c r="B82" s="381" t="s">
        <v>73</v>
      </c>
      <c r="C82" s="296" t="s">
        <v>58</v>
      </c>
      <c r="D82" s="315">
        <v>1565006.29</v>
      </c>
      <c r="E82" s="315">
        <v>1697765.2299656007</v>
      </c>
      <c r="F82" s="315">
        <v>1678527.9198478113</v>
      </c>
      <c r="G82" s="339">
        <v>1661921.3400294853</v>
      </c>
      <c r="H82" s="339">
        <v>1641681.5689260829</v>
      </c>
      <c r="I82" s="339">
        <v>1613975.9227714308</v>
      </c>
      <c r="J82" s="339">
        <v>1583484.0116934588</v>
      </c>
      <c r="K82" s="339">
        <v>1549369.1244921137</v>
      </c>
      <c r="L82" s="339">
        <v>1510237.5245820468</v>
      </c>
      <c r="M82" s="339">
        <v>1466621.8547981151</v>
      </c>
      <c r="N82" s="339">
        <v>1421962.4417190463</v>
      </c>
      <c r="O82" s="339">
        <v>1373840.8488099771</v>
      </c>
      <c r="P82" s="339">
        <v>1325010.036659556</v>
      </c>
      <c r="Q82" s="339">
        <v>1277648.7487488089</v>
      </c>
      <c r="R82" s="339">
        <v>1233445.8170974629</v>
      </c>
      <c r="S82" s="339">
        <v>1190457.9730867359</v>
      </c>
      <c r="T82" s="339">
        <v>1144324.7103461211</v>
      </c>
      <c r="V82" s="283" t="s">
        <v>310</v>
      </c>
    </row>
    <row r="83" spans="1:22" ht="16.5" customHeight="1" x14ac:dyDescent="0.2">
      <c r="A83" s="332" t="s">
        <v>274</v>
      </c>
      <c r="B83" s="381" t="s">
        <v>274</v>
      </c>
      <c r="C83" s="365" t="s">
        <v>274</v>
      </c>
      <c r="D83" s="383" t="s">
        <v>274</v>
      </c>
      <c r="E83" s="383" t="s">
        <v>274</v>
      </c>
      <c r="F83" s="383" t="s">
        <v>274</v>
      </c>
      <c r="G83" s="383" t="s">
        <v>274</v>
      </c>
      <c r="H83" s="383" t="s">
        <v>274</v>
      </c>
      <c r="I83" s="383" t="s">
        <v>274</v>
      </c>
      <c r="J83" s="383" t="s">
        <v>274</v>
      </c>
      <c r="K83" s="384" t="s">
        <v>274</v>
      </c>
      <c r="L83" s="384" t="s">
        <v>274</v>
      </c>
      <c r="M83" s="384" t="s">
        <v>274</v>
      </c>
      <c r="N83" s="384" t="s">
        <v>274</v>
      </c>
      <c r="O83" s="384" t="s">
        <v>274</v>
      </c>
      <c r="P83" s="384" t="s">
        <v>274</v>
      </c>
      <c r="Q83" s="384" t="s">
        <v>274</v>
      </c>
      <c r="R83" s="384" t="s">
        <v>274</v>
      </c>
      <c r="S83" s="365" t="s">
        <v>274</v>
      </c>
      <c r="T83" s="365" t="s">
        <v>274</v>
      </c>
    </row>
    <row r="84" spans="1:22" ht="15" customHeight="1" x14ac:dyDescent="0.2">
      <c r="A84" s="332" t="s">
        <v>274</v>
      </c>
      <c r="B84" s="329" t="s">
        <v>72</v>
      </c>
      <c r="C84" s="330" t="s">
        <v>15</v>
      </c>
      <c r="D84" s="331">
        <v>2014</v>
      </c>
      <c r="E84" s="331">
        <v>2015</v>
      </c>
      <c r="F84" s="331">
        <v>2016</v>
      </c>
      <c r="G84" s="331">
        <v>2017</v>
      </c>
      <c r="H84" s="331">
        <v>2018</v>
      </c>
      <c r="I84" s="331">
        <v>2019</v>
      </c>
      <c r="J84" s="331">
        <v>2020</v>
      </c>
      <c r="K84" s="331">
        <v>2021</v>
      </c>
      <c r="L84" s="331">
        <v>2022</v>
      </c>
      <c r="M84" s="331">
        <v>2023</v>
      </c>
      <c r="N84" s="331">
        <v>2024</v>
      </c>
      <c r="O84" s="331">
        <v>2025</v>
      </c>
      <c r="P84" s="294">
        <v>2026</v>
      </c>
      <c r="Q84" s="294">
        <v>2027</v>
      </c>
      <c r="R84" s="294">
        <v>2028</v>
      </c>
      <c r="S84" s="294">
        <v>2029</v>
      </c>
      <c r="T84" s="294">
        <v>2030</v>
      </c>
    </row>
    <row r="85" spans="1:22" ht="16.5" customHeight="1" x14ac:dyDescent="0.2">
      <c r="A85" s="332" t="s">
        <v>274</v>
      </c>
      <c r="B85" s="381" t="s">
        <v>38</v>
      </c>
      <c r="C85" s="296" t="s">
        <v>58</v>
      </c>
      <c r="D85" s="315">
        <v>8450.8401938348852</v>
      </c>
      <c r="E85" s="315">
        <v>15685.656590300685</v>
      </c>
      <c r="F85" s="315">
        <v>19286.746567392252</v>
      </c>
      <c r="G85" s="339">
        <v>22982.055878106403</v>
      </c>
      <c r="H85" s="339">
        <v>26425.335157111964</v>
      </c>
      <c r="I85" s="339">
        <v>29784.21070940921</v>
      </c>
      <c r="J85" s="339">
        <v>33073.219012296453</v>
      </c>
      <c r="K85" s="339">
        <v>39446.934798398317</v>
      </c>
      <c r="L85" s="339">
        <v>45836.393019367359</v>
      </c>
      <c r="M85" s="339">
        <v>52200.478764639491</v>
      </c>
      <c r="N85" s="339">
        <v>58435.039432978199</v>
      </c>
      <c r="O85" s="339">
        <v>64337.805292809608</v>
      </c>
      <c r="P85" s="339">
        <v>63985.931470976146</v>
      </c>
      <c r="Q85" s="339">
        <v>63477.106824723742</v>
      </c>
      <c r="R85" s="339">
        <v>63021.003754348574</v>
      </c>
      <c r="S85" s="339">
        <v>62532.488626543418</v>
      </c>
      <c r="T85" s="339">
        <v>62161.263584908767</v>
      </c>
      <c r="V85" s="283" t="s">
        <v>310</v>
      </c>
    </row>
    <row r="86" spans="1:22" ht="30" x14ac:dyDescent="0.2">
      <c r="A86" s="332" t="s">
        <v>274</v>
      </c>
      <c r="B86" s="344" t="s">
        <v>290</v>
      </c>
      <c r="C86" s="296" t="s">
        <v>58</v>
      </c>
      <c r="D86" s="315">
        <v>14650.45</v>
      </c>
      <c r="E86" s="315">
        <v>22187.550000000003</v>
      </c>
      <c r="F86" s="315">
        <v>33483.03</v>
      </c>
      <c r="G86" s="339">
        <v>47064.499999999993</v>
      </c>
      <c r="H86" s="339">
        <v>65057.496197073233</v>
      </c>
      <c r="I86" s="339">
        <v>82128.000087603577</v>
      </c>
      <c r="J86" s="339">
        <v>101515.07725956205</v>
      </c>
      <c r="K86" s="339">
        <v>112803.65792590333</v>
      </c>
      <c r="L86" s="339">
        <v>124149.45124083511</v>
      </c>
      <c r="M86" s="339">
        <v>130261.94451636008</v>
      </c>
      <c r="N86" s="339">
        <v>131235.50002585811</v>
      </c>
      <c r="O86" s="339">
        <v>132505.47616470983</v>
      </c>
      <c r="P86" s="339">
        <v>128756.78732667654</v>
      </c>
      <c r="Q86" s="339">
        <v>125438.63218128806</v>
      </c>
      <c r="R86" s="339">
        <v>122627.33582798923</v>
      </c>
      <c r="S86" s="339">
        <v>120404.12106942672</v>
      </c>
      <c r="T86" s="339">
        <v>118853.8393832904</v>
      </c>
      <c r="V86" s="283" t="s">
        <v>310</v>
      </c>
    </row>
    <row r="87" spans="1:22" ht="16.5" customHeight="1" x14ac:dyDescent="0.2">
      <c r="A87" s="332" t="s">
        <v>274</v>
      </c>
      <c r="B87" s="381" t="s">
        <v>37</v>
      </c>
      <c r="C87" s="296" t="s">
        <v>58</v>
      </c>
      <c r="D87" s="315">
        <v>13043.59</v>
      </c>
      <c r="E87" s="315">
        <v>9453.5513820632441</v>
      </c>
      <c r="F87" s="315">
        <v>0</v>
      </c>
      <c r="G87" s="339">
        <v>0</v>
      </c>
      <c r="H87" s="339">
        <v>0</v>
      </c>
      <c r="I87" s="339">
        <v>0</v>
      </c>
      <c r="J87" s="339">
        <v>0</v>
      </c>
      <c r="K87" s="339">
        <v>0</v>
      </c>
      <c r="L87" s="339">
        <v>0</v>
      </c>
      <c r="M87" s="339">
        <v>0</v>
      </c>
      <c r="N87" s="339">
        <v>0</v>
      </c>
      <c r="O87" s="339">
        <v>0</v>
      </c>
      <c r="P87" s="339">
        <v>0</v>
      </c>
      <c r="Q87" s="339">
        <v>0</v>
      </c>
      <c r="R87" s="339">
        <v>0</v>
      </c>
      <c r="S87" s="339">
        <v>0</v>
      </c>
      <c r="T87" s="339">
        <v>0</v>
      </c>
      <c r="V87" s="283" t="s">
        <v>310</v>
      </c>
    </row>
    <row r="88" spans="1:22" ht="16.5" customHeight="1" x14ac:dyDescent="0.2">
      <c r="A88" s="332" t="s">
        <v>274</v>
      </c>
      <c r="B88" s="382" t="s">
        <v>35</v>
      </c>
      <c r="C88" s="296" t="s">
        <v>58</v>
      </c>
      <c r="D88" s="315">
        <v>3899.63</v>
      </c>
      <c r="E88" s="315">
        <v>14400</v>
      </c>
      <c r="F88" s="315">
        <v>28340.886454206498</v>
      </c>
      <c r="G88" s="339">
        <v>32565.971231977379</v>
      </c>
      <c r="H88" s="339">
        <v>36799.671306720709</v>
      </c>
      <c r="I88" s="339">
        <v>41233.233300495005</v>
      </c>
      <c r="J88" s="339">
        <v>45800.386072788213</v>
      </c>
      <c r="K88" s="339">
        <v>50041.006995643438</v>
      </c>
      <c r="L88" s="339">
        <v>54060.087040325772</v>
      </c>
      <c r="M88" s="339">
        <v>57786.540203879318</v>
      </c>
      <c r="N88" s="339">
        <v>61108.74187756161</v>
      </c>
      <c r="O88" s="339">
        <v>63517.391287306906</v>
      </c>
      <c r="P88" s="339">
        <v>66550.40181843641</v>
      </c>
      <c r="Q88" s="339">
        <v>69333.0165911238</v>
      </c>
      <c r="R88" s="339">
        <v>71925.705973712742</v>
      </c>
      <c r="S88" s="339">
        <v>74490.480037782996</v>
      </c>
      <c r="T88" s="339">
        <v>77112.885910411103</v>
      </c>
      <c r="V88" s="283" t="s">
        <v>310</v>
      </c>
    </row>
    <row r="89" spans="1:22" ht="16.5" customHeight="1" x14ac:dyDescent="0.2">
      <c r="A89" s="332" t="s">
        <v>274</v>
      </c>
      <c r="B89" s="382" t="s">
        <v>106</v>
      </c>
      <c r="C89" s="296" t="s">
        <v>58</v>
      </c>
      <c r="D89" s="315">
        <v>0</v>
      </c>
      <c r="E89" s="315">
        <v>0</v>
      </c>
      <c r="F89" s="315">
        <v>0</v>
      </c>
      <c r="G89" s="339">
        <v>0</v>
      </c>
      <c r="H89" s="339">
        <v>0</v>
      </c>
      <c r="I89" s="339">
        <v>0</v>
      </c>
      <c r="J89" s="339">
        <v>0</v>
      </c>
      <c r="K89" s="339">
        <v>0</v>
      </c>
      <c r="L89" s="339">
        <v>0</v>
      </c>
      <c r="M89" s="339">
        <v>0</v>
      </c>
      <c r="N89" s="339">
        <v>0</v>
      </c>
      <c r="O89" s="339">
        <v>0</v>
      </c>
      <c r="P89" s="339">
        <v>0</v>
      </c>
      <c r="Q89" s="339">
        <v>0</v>
      </c>
      <c r="R89" s="339">
        <v>0</v>
      </c>
      <c r="S89" s="339">
        <v>0</v>
      </c>
      <c r="T89" s="339">
        <v>0</v>
      </c>
      <c r="V89" s="283" t="s">
        <v>310</v>
      </c>
    </row>
    <row r="90" spans="1:22" ht="16.5" customHeight="1" x14ac:dyDescent="0.2">
      <c r="A90" s="332" t="s">
        <v>274</v>
      </c>
      <c r="B90" s="382" t="s">
        <v>90</v>
      </c>
      <c r="C90" s="296" t="s">
        <v>58</v>
      </c>
      <c r="D90" s="315">
        <v>0</v>
      </c>
      <c r="E90" s="315">
        <v>0</v>
      </c>
      <c r="F90" s="315">
        <v>0</v>
      </c>
      <c r="G90" s="339">
        <v>0</v>
      </c>
      <c r="H90" s="339">
        <v>0</v>
      </c>
      <c r="I90" s="339">
        <v>0</v>
      </c>
      <c r="J90" s="339">
        <v>0</v>
      </c>
      <c r="K90" s="339">
        <v>0</v>
      </c>
      <c r="L90" s="339">
        <v>0</v>
      </c>
      <c r="M90" s="339">
        <v>306.38497045653105</v>
      </c>
      <c r="N90" s="339">
        <v>924.5933919112706</v>
      </c>
      <c r="O90" s="339">
        <v>1780.7666086629097</v>
      </c>
      <c r="P90" s="339">
        <v>2832.4200385466465</v>
      </c>
      <c r="Q90" s="339">
        <v>4063.4257715751919</v>
      </c>
      <c r="R90" s="339">
        <v>5295.3603096355937</v>
      </c>
      <c r="S90" s="339">
        <v>6906.5622452254493</v>
      </c>
      <c r="T90" s="339">
        <v>8764.7390725782625</v>
      </c>
      <c r="V90" s="283" t="s">
        <v>310</v>
      </c>
    </row>
    <row r="91" spans="1:22" ht="16.5" customHeight="1" x14ac:dyDescent="0.2">
      <c r="A91" s="332" t="s">
        <v>274</v>
      </c>
      <c r="B91" s="329" t="s">
        <v>119</v>
      </c>
      <c r="C91" s="296" t="s">
        <v>58</v>
      </c>
      <c r="D91" s="315">
        <v>0</v>
      </c>
      <c r="E91" s="315">
        <v>4320.0010128537469</v>
      </c>
      <c r="F91" s="315">
        <v>4438.8010407072252</v>
      </c>
      <c r="G91" s="339">
        <v>4438.8010407072252</v>
      </c>
      <c r="H91" s="339">
        <v>4438.8010407072252</v>
      </c>
      <c r="I91" s="339">
        <v>4438.8010407072252</v>
      </c>
      <c r="J91" s="339">
        <v>4438.8010407072252</v>
      </c>
      <c r="K91" s="339">
        <v>4438.8010407072252</v>
      </c>
      <c r="L91" s="339">
        <v>4438.8010407072252</v>
      </c>
      <c r="M91" s="339">
        <v>4438.8010407072252</v>
      </c>
      <c r="N91" s="339">
        <v>4438.8010407072252</v>
      </c>
      <c r="O91" s="339">
        <v>4438.8010407072252</v>
      </c>
      <c r="P91" s="339">
        <v>4438.8010407072252</v>
      </c>
      <c r="Q91" s="339">
        <v>4438.8010407072252</v>
      </c>
      <c r="R91" s="339">
        <v>4438.8010407072252</v>
      </c>
      <c r="S91" s="339">
        <v>4438.8010407072252</v>
      </c>
      <c r="T91" s="339">
        <v>4438.8010407072252</v>
      </c>
      <c r="V91" s="283" t="s">
        <v>310</v>
      </c>
    </row>
    <row r="92" spans="1:22" ht="16.5" customHeight="1" x14ac:dyDescent="0.2">
      <c r="A92" s="332" t="s">
        <v>274</v>
      </c>
      <c r="B92" s="385" t="s">
        <v>4</v>
      </c>
      <c r="C92" s="296" t="s">
        <v>58</v>
      </c>
      <c r="D92" s="315">
        <v>463114.68</v>
      </c>
      <c r="E92" s="315">
        <v>439639.49718292872</v>
      </c>
      <c r="F92" s="315">
        <v>434671.52220638108</v>
      </c>
      <c r="G92" s="339">
        <v>418253.65634331526</v>
      </c>
      <c r="H92" s="339">
        <v>392719.10099284706</v>
      </c>
      <c r="I92" s="339">
        <v>367763.6728813505</v>
      </c>
      <c r="J92" s="339">
        <v>340478.58680842828</v>
      </c>
      <c r="K92" s="339">
        <v>319381.95815733349</v>
      </c>
      <c r="L92" s="339">
        <v>299202.45807251189</v>
      </c>
      <c r="M92" s="339">
        <v>284533.32453517092</v>
      </c>
      <c r="N92" s="339">
        <v>274471.64941685658</v>
      </c>
      <c r="O92" s="339">
        <v>262541.70505543321</v>
      </c>
      <c r="P92" s="339">
        <v>264132.51850493765</v>
      </c>
      <c r="Q92" s="339">
        <v>264327.62490601238</v>
      </c>
      <c r="R92" s="339">
        <v>264339.31402902876</v>
      </c>
      <c r="S92" s="339">
        <v>263563.94158350147</v>
      </c>
      <c r="T92" s="339">
        <v>262835.97891370353</v>
      </c>
      <c r="V92" s="283" t="s">
        <v>310</v>
      </c>
    </row>
    <row r="93" spans="1:22" ht="15" customHeight="1" x14ac:dyDescent="0.2">
      <c r="A93" s="332" t="s">
        <v>274</v>
      </c>
      <c r="B93" s="386"/>
      <c r="C93" s="350"/>
      <c r="D93" s="387"/>
      <c r="E93" s="387"/>
      <c r="F93" s="387"/>
      <c r="G93" s="388"/>
      <c r="H93" s="388"/>
      <c r="I93" s="388"/>
      <c r="J93" s="388"/>
      <c r="K93" s="388"/>
      <c r="L93" s="388"/>
      <c r="M93" s="388"/>
      <c r="N93" s="388"/>
      <c r="O93" s="388"/>
      <c r="P93" s="388"/>
      <c r="Q93" s="388"/>
      <c r="R93" s="388"/>
      <c r="S93" s="388"/>
      <c r="T93" s="389"/>
    </row>
    <row r="94" spans="1:22" ht="15" customHeight="1" x14ac:dyDescent="0.2">
      <c r="A94" s="332" t="s">
        <v>274</v>
      </c>
      <c r="B94" s="329" t="s">
        <v>72</v>
      </c>
      <c r="C94" s="330" t="s">
        <v>15</v>
      </c>
      <c r="D94" s="331">
        <v>2014</v>
      </c>
      <c r="E94" s="331">
        <v>2015</v>
      </c>
      <c r="F94" s="331">
        <v>2016</v>
      </c>
      <c r="G94" s="331">
        <v>2017</v>
      </c>
      <c r="H94" s="331">
        <v>2018</v>
      </c>
      <c r="I94" s="331">
        <v>2019</v>
      </c>
      <c r="J94" s="331">
        <v>2020</v>
      </c>
      <c r="K94" s="331">
        <v>2021</v>
      </c>
      <c r="L94" s="331">
        <v>2022</v>
      </c>
      <c r="M94" s="331">
        <v>2023</v>
      </c>
      <c r="N94" s="331">
        <v>2024</v>
      </c>
      <c r="O94" s="331">
        <v>2025</v>
      </c>
      <c r="P94" s="294">
        <v>2026</v>
      </c>
      <c r="Q94" s="294">
        <v>2027</v>
      </c>
      <c r="R94" s="294">
        <v>2028</v>
      </c>
      <c r="S94" s="294">
        <v>2029</v>
      </c>
      <c r="T94" s="294">
        <v>2030</v>
      </c>
    </row>
    <row r="95" spans="1:22" ht="16.5" customHeight="1" x14ac:dyDescent="0.2">
      <c r="A95" s="332" t="s">
        <v>274</v>
      </c>
      <c r="B95" s="369" t="s">
        <v>155</v>
      </c>
      <c r="C95" s="296" t="s">
        <v>311</v>
      </c>
      <c r="D95" s="315">
        <v>0</v>
      </c>
      <c r="E95" s="315">
        <v>0</v>
      </c>
      <c r="F95" s="315">
        <v>0</v>
      </c>
      <c r="G95" s="390">
        <v>0</v>
      </c>
      <c r="H95" s="390">
        <v>0</v>
      </c>
      <c r="I95" s="339">
        <v>2767.8843171945191</v>
      </c>
      <c r="J95" s="339">
        <v>3411.0583123032548</v>
      </c>
      <c r="K95" s="339">
        <v>3740.9553999999994</v>
      </c>
      <c r="L95" s="339">
        <v>3740.9553999999994</v>
      </c>
      <c r="M95" s="339">
        <v>3740.9553999999994</v>
      </c>
      <c r="N95" s="339">
        <v>3740.9553999999994</v>
      </c>
      <c r="O95" s="339">
        <v>3740.9553999999994</v>
      </c>
      <c r="P95" s="339">
        <v>3740.9553999999994</v>
      </c>
      <c r="Q95" s="339">
        <v>3740.9553999999994</v>
      </c>
      <c r="R95" s="339">
        <v>3740.9553999999994</v>
      </c>
      <c r="S95" s="339">
        <v>3592.9814222927616</v>
      </c>
      <c r="T95" s="339">
        <v>3411.0583123032548</v>
      </c>
      <c r="V95" s="283" t="s">
        <v>310</v>
      </c>
    </row>
    <row r="96" spans="1:22" ht="16.5" customHeight="1" x14ac:dyDescent="0.2">
      <c r="A96" s="332" t="s">
        <v>274</v>
      </c>
      <c r="B96" s="369" t="s">
        <v>156</v>
      </c>
      <c r="C96" s="296" t="s">
        <v>311</v>
      </c>
      <c r="D96" s="315">
        <v>0</v>
      </c>
      <c r="E96" s="315">
        <v>0</v>
      </c>
      <c r="F96" s="315">
        <v>0</v>
      </c>
      <c r="G96" s="390">
        <v>0</v>
      </c>
      <c r="H96" s="390">
        <v>0</v>
      </c>
      <c r="I96" s="339">
        <v>3740.9553999999998</v>
      </c>
      <c r="J96" s="339">
        <v>3740.9553999999998</v>
      </c>
      <c r="K96" s="339">
        <v>3740.9553999999998</v>
      </c>
      <c r="L96" s="339">
        <v>3740.9553999999998</v>
      </c>
      <c r="M96" s="339">
        <v>3740.9553999999998</v>
      </c>
      <c r="N96" s="339">
        <v>3740.9553999999998</v>
      </c>
      <c r="O96" s="339">
        <v>3740.9553999999998</v>
      </c>
      <c r="P96" s="339">
        <v>3740.9553999999998</v>
      </c>
      <c r="Q96" s="339">
        <v>3740.9553999999998</v>
      </c>
      <c r="R96" s="339">
        <v>3740.9553999999998</v>
      </c>
      <c r="S96" s="339">
        <v>3740.9553999999998</v>
      </c>
      <c r="T96" s="339">
        <v>3740.9553999999998</v>
      </c>
      <c r="V96" s="283" t="s">
        <v>310</v>
      </c>
    </row>
    <row r="97" spans="1:22" ht="17.25" customHeight="1" thickBot="1" x14ac:dyDescent="0.25">
      <c r="A97" s="359" t="s">
        <v>274</v>
      </c>
      <c r="B97" s="385" t="s">
        <v>68</v>
      </c>
      <c r="C97" s="296" t="s">
        <v>311</v>
      </c>
      <c r="D97" s="315">
        <v>0</v>
      </c>
      <c r="E97" s="315">
        <v>0</v>
      </c>
      <c r="F97" s="315">
        <v>0</v>
      </c>
      <c r="G97" s="390">
        <v>0</v>
      </c>
      <c r="H97" s="390">
        <v>0</v>
      </c>
      <c r="I97" s="339">
        <v>0</v>
      </c>
      <c r="J97" s="339">
        <v>0</v>
      </c>
      <c r="K97" s="339">
        <v>0</v>
      </c>
      <c r="L97" s="339">
        <v>0</v>
      </c>
      <c r="M97" s="339">
        <v>0</v>
      </c>
      <c r="N97" s="339">
        <v>0</v>
      </c>
      <c r="O97" s="339">
        <v>0</v>
      </c>
      <c r="P97" s="339">
        <v>0</v>
      </c>
      <c r="Q97" s="339">
        <v>0</v>
      </c>
      <c r="R97" s="339">
        <v>0</v>
      </c>
      <c r="S97" s="339">
        <v>0</v>
      </c>
      <c r="T97" s="339">
        <v>0</v>
      </c>
      <c r="V97" s="283" t="s">
        <v>310</v>
      </c>
    </row>
    <row r="98" spans="1:22" ht="15" x14ac:dyDescent="0.2">
      <c r="A98" s="364" t="s">
        <v>274</v>
      </c>
      <c r="B98" s="364" t="s">
        <v>274</v>
      </c>
      <c r="C98" s="364" t="s">
        <v>274</v>
      </c>
      <c r="D98" s="364" t="s">
        <v>274</v>
      </c>
      <c r="E98" s="364" t="s">
        <v>274</v>
      </c>
      <c r="F98" s="364" t="s">
        <v>274</v>
      </c>
      <c r="G98" s="364" t="s">
        <v>274</v>
      </c>
      <c r="H98" s="364" t="s">
        <v>274</v>
      </c>
      <c r="I98" s="364" t="s">
        <v>274</v>
      </c>
      <c r="J98" s="364" t="s">
        <v>274</v>
      </c>
      <c r="K98" s="364" t="s">
        <v>274</v>
      </c>
      <c r="L98" s="361" t="s">
        <v>274</v>
      </c>
      <c r="M98" s="361" t="s">
        <v>274</v>
      </c>
      <c r="N98" s="361" t="s">
        <v>274</v>
      </c>
      <c r="O98" s="361" t="s">
        <v>274</v>
      </c>
      <c r="P98" s="361" t="s">
        <v>274</v>
      </c>
      <c r="Q98" s="361" t="s">
        <v>274</v>
      </c>
      <c r="R98" s="361" t="s">
        <v>274</v>
      </c>
      <c r="S98" s="364" t="s">
        <v>274</v>
      </c>
      <c r="T98" s="364" t="s">
        <v>274</v>
      </c>
    </row>
    <row r="99" spans="1:22" ht="22" thickBot="1" x14ac:dyDescent="0.3">
      <c r="A99" s="364" t="s">
        <v>274</v>
      </c>
      <c r="B99" s="365" t="s">
        <v>274</v>
      </c>
      <c r="C99" s="391" t="s">
        <v>274</v>
      </c>
      <c r="D99" s="378" t="s">
        <v>47</v>
      </c>
      <c r="E99" s="379"/>
      <c r="F99" s="379"/>
      <c r="G99" s="379"/>
      <c r="H99" s="379"/>
      <c r="I99" s="379"/>
      <c r="J99" s="379"/>
      <c r="K99" s="379"/>
      <c r="L99" s="379"/>
      <c r="M99" s="379"/>
      <c r="N99" s="379"/>
      <c r="O99" s="379"/>
      <c r="P99" s="379" t="s">
        <v>274</v>
      </c>
      <c r="Q99" s="379" t="s">
        <v>274</v>
      </c>
      <c r="R99" s="379" t="s">
        <v>274</v>
      </c>
      <c r="S99" s="379" t="s">
        <v>274</v>
      </c>
      <c r="T99" s="380" t="s">
        <v>274</v>
      </c>
    </row>
    <row r="100" spans="1:22" ht="15" customHeight="1" x14ac:dyDescent="0.2">
      <c r="A100" s="328" t="s">
        <v>47</v>
      </c>
      <c r="B100" s="329" t="s">
        <v>72</v>
      </c>
      <c r="C100" s="330" t="s">
        <v>15</v>
      </c>
      <c r="D100" s="331">
        <v>2014</v>
      </c>
      <c r="E100" s="331">
        <v>2015</v>
      </c>
      <c r="F100" s="331">
        <v>2016</v>
      </c>
      <c r="G100" s="331">
        <v>2017</v>
      </c>
      <c r="H100" s="331">
        <v>2018</v>
      </c>
      <c r="I100" s="331">
        <v>2019</v>
      </c>
      <c r="J100" s="331">
        <v>2020</v>
      </c>
      <c r="K100" s="331">
        <v>2021</v>
      </c>
      <c r="L100" s="331">
        <v>2022</v>
      </c>
      <c r="M100" s="331">
        <v>2023</v>
      </c>
      <c r="N100" s="331">
        <v>2024</v>
      </c>
      <c r="O100" s="331">
        <v>2025</v>
      </c>
      <c r="P100" s="294">
        <v>2026</v>
      </c>
      <c r="Q100" s="294">
        <v>2027</v>
      </c>
      <c r="R100" s="294">
        <v>2028</v>
      </c>
      <c r="S100" s="294">
        <v>2029</v>
      </c>
      <c r="T100" s="294">
        <v>2030</v>
      </c>
    </row>
    <row r="101" spans="1:22" ht="16.5" customHeight="1" x14ac:dyDescent="0.2">
      <c r="A101" s="332" t="s">
        <v>274</v>
      </c>
      <c r="B101" s="337" t="s">
        <v>125</v>
      </c>
      <c r="C101" s="296" t="s">
        <v>45</v>
      </c>
      <c r="D101" s="315">
        <v>1.9</v>
      </c>
      <c r="E101" s="315">
        <v>1.9</v>
      </c>
      <c r="F101" s="315">
        <v>3.2</v>
      </c>
      <c r="G101" s="392">
        <v>3.0074113601626529</v>
      </c>
      <c r="H101" s="392">
        <v>2.7734810529497391</v>
      </c>
      <c r="I101" s="392">
        <v>2.71940716733913</v>
      </c>
      <c r="J101" s="392">
        <v>2.4316528092074092</v>
      </c>
      <c r="K101" s="392">
        <v>2.231794849858364</v>
      </c>
      <c r="L101" s="392">
        <v>2.219601591062287</v>
      </c>
      <c r="M101" s="392">
        <v>2.212083793639974</v>
      </c>
      <c r="N101" s="392">
        <v>2.1983954498458744</v>
      </c>
      <c r="O101" s="392">
        <v>2.183427405858938</v>
      </c>
      <c r="P101" s="392">
        <v>2.1714326688183383</v>
      </c>
      <c r="Q101" s="392">
        <v>2.1654740502322936</v>
      </c>
      <c r="R101" s="392">
        <v>2.1676815127282127</v>
      </c>
      <c r="S101" s="392">
        <v>1.9970388849679719</v>
      </c>
      <c r="T101" s="392">
        <v>1.8280694145263197</v>
      </c>
      <c r="V101" s="283" t="s">
        <v>312</v>
      </c>
    </row>
    <row r="102" spans="1:22" ht="16.5" customHeight="1" x14ac:dyDescent="0.2">
      <c r="A102" s="332" t="s">
        <v>274</v>
      </c>
      <c r="B102" s="329" t="s">
        <v>124</v>
      </c>
      <c r="C102" s="296" t="s">
        <v>45</v>
      </c>
      <c r="D102" s="315">
        <v>0.04</v>
      </c>
      <c r="E102" s="315">
        <v>0.13</v>
      </c>
      <c r="F102" s="315">
        <v>0.12</v>
      </c>
      <c r="G102" s="392">
        <v>0.41367162513304512</v>
      </c>
      <c r="H102" s="392">
        <v>0.54295116819849976</v>
      </c>
      <c r="I102" s="392">
        <v>0.68230891180706899</v>
      </c>
      <c r="J102" s="392">
        <v>0.9606419356280832</v>
      </c>
      <c r="K102" s="392">
        <v>0.97739365255985033</v>
      </c>
      <c r="L102" s="392">
        <v>0.98718540707254954</v>
      </c>
      <c r="M102" s="392">
        <v>0.98814689990888116</v>
      </c>
      <c r="N102" s="392">
        <v>0.97344220656618741</v>
      </c>
      <c r="O102" s="392">
        <v>0.92256296699007534</v>
      </c>
      <c r="P102" s="392">
        <v>0.86120500970298108</v>
      </c>
      <c r="Q102" s="392">
        <v>0.79063063938653033</v>
      </c>
      <c r="R102" s="392">
        <v>0.71183576742818477</v>
      </c>
      <c r="S102" s="392">
        <v>0.62290036000419302</v>
      </c>
      <c r="T102" s="392">
        <v>0.51858567740037875</v>
      </c>
      <c r="V102" s="283" t="s">
        <v>312</v>
      </c>
    </row>
    <row r="103" spans="1:22" ht="16.5" customHeight="1" x14ac:dyDescent="0.2">
      <c r="A103" s="332" t="s">
        <v>274</v>
      </c>
      <c r="B103" s="360" t="s">
        <v>17</v>
      </c>
      <c r="C103" s="296" t="s">
        <v>45</v>
      </c>
      <c r="D103" s="315">
        <v>0</v>
      </c>
      <c r="E103" s="315">
        <v>0</v>
      </c>
      <c r="F103" s="315">
        <v>0</v>
      </c>
      <c r="G103" s="300">
        <v>1.2950510294822025E-3</v>
      </c>
      <c r="H103" s="300">
        <v>6.7100754214643704E-2</v>
      </c>
      <c r="I103" s="300">
        <v>0.14704046140640023</v>
      </c>
      <c r="J103" s="300">
        <v>0.2560616259201251</v>
      </c>
      <c r="K103" s="300">
        <v>0.41344469646547521</v>
      </c>
      <c r="L103" s="300">
        <v>0.55998008099995888</v>
      </c>
      <c r="M103" s="300">
        <v>0.70996704746422312</v>
      </c>
      <c r="N103" s="300">
        <v>0.88879344255316928</v>
      </c>
      <c r="O103" s="300">
        <v>1.0993606332060051</v>
      </c>
      <c r="P103" s="300">
        <v>1.3443755679820966</v>
      </c>
      <c r="Q103" s="300">
        <v>1.6262675448557504</v>
      </c>
      <c r="R103" s="300">
        <v>1.947109372653385</v>
      </c>
      <c r="S103" s="300">
        <v>2.3085458051827867</v>
      </c>
      <c r="T103" s="300">
        <v>2.7117316929778683</v>
      </c>
      <c r="V103" s="283" t="s">
        <v>312</v>
      </c>
    </row>
    <row r="104" spans="1:22" ht="16.5" customHeight="1" x14ac:dyDescent="0.2">
      <c r="A104" s="332" t="s">
        <v>274</v>
      </c>
      <c r="B104" s="370" t="s">
        <v>16</v>
      </c>
      <c r="C104" s="296" t="s">
        <v>45</v>
      </c>
      <c r="D104" s="315">
        <v>0</v>
      </c>
      <c r="E104" s="315">
        <v>0</v>
      </c>
      <c r="F104" s="315">
        <v>0</v>
      </c>
      <c r="G104" s="300">
        <v>0</v>
      </c>
      <c r="H104" s="300">
        <v>1.1935778961649E-3</v>
      </c>
      <c r="I104" s="300">
        <v>4.9967857562494304E-3</v>
      </c>
      <c r="J104" s="300">
        <v>1.0999988248671745E-2</v>
      </c>
      <c r="K104" s="300">
        <v>1.942213232251868E-2</v>
      </c>
      <c r="L104" s="300">
        <v>2.9798512805929201E-2</v>
      </c>
      <c r="M104" s="300">
        <v>3.3498988001273627E-2</v>
      </c>
      <c r="N104" s="300">
        <v>3.7909263304652753E-2</v>
      </c>
      <c r="O104" s="300">
        <v>4.318887340107512E-2</v>
      </c>
      <c r="P104" s="300">
        <v>4.9524294330844119E-2</v>
      </c>
      <c r="Q104" s="300">
        <v>5.7129866359690688E-2</v>
      </c>
      <c r="R104" s="300">
        <v>6.6247813496167499E-2</v>
      </c>
      <c r="S104" s="300">
        <v>7.7147212126489811E-2</v>
      </c>
      <c r="T104" s="300">
        <v>0.3756748475684466</v>
      </c>
      <c r="V104" s="283" t="s">
        <v>312</v>
      </c>
    </row>
    <row r="105" spans="1:22" ht="16.5" customHeight="1" x14ac:dyDescent="0.2">
      <c r="A105" s="332" t="s">
        <v>274</v>
      </c>
      <c r="B105" s="369" t="s">
        <v>107</v>
      </c>
      <c r="C105" s="296" t="s">
        <v>45</v>
      </c>
      <c r="D105" s="315">
        <v>0</v>
      </c>
      <c r="E105" s="315">
        <v>0</v>
      </c>
      <c r="F105" s="315">
        <v>0</v>
      </c>
      <c r="G105" s="300">
        <v>0.11272622480057547</v>
      </c>
      <c r="H105" s="300">
        <v>0.12724537020291171</v>
      </c>
      <c r="I105" s="300">
        <v>0.14481356333753975</v>
      </c>
      <c r="J105" s="300">
        <v>0.15845431570569204</v>
      </c>
      <c r="K105" s="300">
        <v>0.21442569491622415</v>
      </c>
      <c r="L105" s="300">
        <v>0.30502337187060846</v>
      </c>
      <c r="M105" s="300">
        <v>0.42376341936412021</v>
      </c>
      <c r="N105" s="300">
        <v>0.57068270887158823</v>
      </c>
      <c r="O105" s="300">
        <v>0.7386244721991666</v>
      </c>
      <c r="P105" s="300">
        <v>0.92120463878464431</v>
      </c>
      <c r="Q105" s="300">
        <v>1.1201014111923548</v>
      </c>
      <c r="R105" s="300">
        <v>1.3320999095226076</v>
      </c>
      <c r="S105" s="300">
        <v>1.5529845002728142</v>
      </c>
      <c r="T105" s="300">
        <v>1.7746621566067657</v>
      </c>
      <c r="V105" s="283" t="s">
        <v>312</v>
      </c>
    </row>
    <row r="106" spans="1:22" ht="16.5" customHeight="1" x14ac:dyDescent="0.2">
      <c r="A106" s="332" t="s">
        <v>274</v>
      </c>
      <c r="B106" s="369" t="s">
        <v>0</v>
      </c>
      <c r="C106" s="296" t="s">
        <v>45</v>
      </c>
      <c r="D106" s="315">
        <v>0.22</v>
      </c>
      <c r="E106" s="315">
        <v>0.34</v>
      </c>
      <c r="F106" s="315">
        <v>0.56999999999999995</v>
      </c>
      <c r="G106" s="300">
        <v>1.1276088626933003</v>
      </c>
      <c r="H106" s="300">
        <v>1.3217057049788223</v>
      </c>
      <c r="I106" s="300">
        <v>1.5981657630852255</v>
      </c>
      <c r="J106" s="300">
        <v>1.8548720911165468</v>
      </c>
      <c r="K106" s="300">
        <v>2.3432743159461298</v>
      </c>
      <c r="L106" s="300">
        <v>3.0844392905772833</v>
      </c>
      <c r="M106" s="300">
        <v>4.0418796262863381</v>
      </c>
      <c r="N106" s="300">
        <v>5.2364147726678354</v>
      </c>
      <c r="O106" s="300">
        <v>6.6088596370280133</v>
      </c>
      <c r="P106" s="300">
        <v>8.1148746049895983</v>
      </c>
      <c r="Q106" s="300">
        <v>9.8058610505743804</v>
      </c>
      <c r="R106" s="300">
        <v>11.682591376587782</v>
      </c>
      <c r="S106" s="300">
        <v>13.695387220290844</v>
      </c>
      <c r="T106" s="300">
        <v>15.794718737328965</v>
      </c>
      <c r="V106" s="283" t="s">
        <v>312</v>
      </c>
    </row>
    <row r="107" spans="1:22" ht="16.5" customHeight="1" x14ac:dyDescent="0.2">
      <c r="A107" s="332" t="s">
        <v>274</v>
      </c>
      <c r="B107" s="369" t="s">
        <v>27</v>
      </c>
      <c r="C107" s="296" t="s">
        <v>45</v>
      </c>
      <c r="D107" s="315">
        <v>2.16</v>
      </c>
      <c r="E107" s="315">
        <v>2.3699999999999997</v>
      </c>
      <c r="F107" s="315">
        <v>3.89</v>
      </c>
      <c r="G107" s="392">
        <v>4.6627131238190564</v>
      </c>
      <c r="H107" s="392">
        <v>4.8336776284407819</v>
      </c>
      <c r="I107" s="392">
        <v>5.2967326527316141</v>
      </c>
      <c r="J107" s="392">
        <v>5.6726827658265284</v>
      </c>
      <c r="K107" s="392">
        <v>6.1997553420685616</v>
      </c>
      <c r="L107" s="392">
        <v>7.1860282543886171</v>
      </c>
      <c r="M107" s="392">
        <v>8.4093397746648098</v>
      </c>
      <c r="N107" s="392">
        <v>9.9056378438093073</v>
      </c>
      <c r="O107" s="392">
        <v>11.596023988683273</v>
      </c>
      <c r="P107" s="392">
        <v>13.462616784608503</v>
      </c>
      <c r="Q107" s="392">
        <v>15.565464562601001</v>
      </c>
      <c r="R107" s="392">
        <v>17.907565752416339</v>
      </c>
      <c r="S107" s="392">
        <v>20.254003982845099</v>
      </c>
      <c r="T107" s="392">
        <v>23.003442526408744</v>
      </c>
      <c r="V107" s="283" t="s">
        <v>312</v>
      </c>
    </row>
    <row r="108" spans="1:22" ht="16.5" customHeight="1" x14ac:dyDescent="0.2">
      <c r="A108" s="332" t="s">
        <v>274</v>
      </c>
      <c r="B108" s="369" t="s">
        <v>29</v>
      </c>
      <c r="C108" s="296" t="s">
        <v>45</v>
      </c>
      <c r="D108" s="315">
        <v>-1.91</v>
      </c>
      <c r="E108" s="315">
        <v>-1.94</v>
      </c>
      <c r="F108" s="315">
        <v>-5.4760010000000001</v>
      </c>
      <c r="G108" s="300">
        <v>-7.9107455785403591</v>
      </c>
      <c r="H108" s="300">
        <v>-10.227676174409503</v>
      </c>
      <c r="I108" s="300">
        <v>-12.440728159712551</v>
      </c>
      <c r="J108" s="300">
        <v>-14.184453905747088</v>
      </c>
      <c r="K108" s="300">
        <v>-15.814991667112709</v>
      </c>
      <c r="L108" s="300">
        <v>-17.302791319136524</v>
      </c>
      <c r="M108" s="300">
        <v>-18.635813925724122</v>
      </c>
      <c r="N108" s="300">
        <v>-19.845263327241458</v>
      </c>
      <c r="O108" s="300">
        <v>-20.890452216898417</v>
      </c>
      <c r="P108" s="300">
        <v>-21.803702658251343</v>
      </c>
      <c r="Q108" s="300">
        <v>-22.620930802691266</v>
      </c>
      <c r="R108" s="300">
        <v>-23.379657101628158</v>
      </c>
      <c r="S108" s="300">
        <v>-24.052459309984336</v>
      </c>
      <c r="T108" s="300">
        <v>-24.550342335765691</v>
      </c>
      <c r="V108" s="283" t="s">
        <v>312</v>
      </c>
    </row>
    <row r="109" spans="1:22" ht="16.5" customHeight="1" x14ac:dyDescent="0.2">
      <c r="A109" s="332" t="s">
        <v>274</v>
      </c>
      <c r="B109" s="393" t="s">
        <v>274</v>
      </c>
      <c r="C109" s="394" t="s">
        <v>274</v>
      </c>
      <c r="D109" s="395" t="s">
        <v>274</v>
      </c>
      <c r="E109" s="395" t="s">
        <v>274</v>
      </c>
      <c r="F109" s="395" t="s">
        <v>274</v>
      </c>
      <c r="G109" s="395">
        <v>0</v>
      </c>
      <c r="H109" s="395">
        <v>0</v>
      </c>
      <c r="I109" s="395">
        <v>0</v>
      </c>
      <c r="J109" s="395">
        <v>0</v>
      </c>
      <c r="K109" s="395">
        <v>0</v>
      </c>
      <c r="L109" s="395">
        <v>0</v>
      </c>
      <c r="M109" s="395">
        <v>0</v>
      </c>
      <c r="N109" s="395">
        <v>0</v>
      </c>
      <c r="O109" s="395">
        <v>0</v>
      </c>
      <c r="P109" s="395">
        <v>0</v>
      </c>
      <c r="Q109" s="395">
        <v>0</v>
      </c>
      <c r="R109" s="395">
        <v>0</v>
      </c>
      <c r="S109" s="395">
        <v>0</v>
      </c>
      <c r="T109" s="395">
        <v>0</v>
      </c>
      <c r="V109" s="283" t="s">
        <v>312</v>
      </c>
    </row>
    <row r="110" spans="1:22" ht="15" customHeight="1" x14ac:dyDescent="0.2">
      <c r="A110" s="332" t="s">
        <v>274</v>
      </c>
      <c r="B110" s="329" t="s">
        <v>72</v>
      </c>
      <c r="C110" s="330" t="s">
        <v>15</v>
      </c>
      <c r="D110" s="331">
        <v>2014</v>
      </c>
      <c r="E110" s="331">
        <v>2015</v>
      </c>
      <c r="F110" s="331">
        <v>2016</v>
      </c>
      <c r="G110" s="331">
        <v>2017</v>
      </c>
      <c r="H110" s="331">
        <v>2018</v>
      </c>
      <c r="I110" s="331">
        <v>2019</v>
      </c>
      <c r="J110" s="331">
        <v>2020</v>
      </c>
      <c r="K110" s="331">
        <v>2021</v>
      </c>
      <c r="L110" s="331">
        <v>2022</v>
      </c>
      <c r="M110" s="331">
        <v>2023</v>
      </c>
      <c r="N110" s="331">
        <v>2024</v>
      </c>
      <c r="O110" s="331">
        <v>2025</v>
      </c>
      <c r="P110" s="294">
        <v>2026</v>
      </c>
      <c r="Q110" s="294">
        <v>2027</v>
      </c>
      <c r="R110" s="294">
        <v>2028</v>
      </c>
      <c r="S110" s="294">
        <v>2029</v>
      </c>
      <c r="T110" s="294">
        <v>2030</v>
      </c>
    </row>
    <row r="111" spans="1:22" ht="16.5" customHeight="1" x14ac:dyDescent="0.2">
      <c r="A111" s="332" t="s">
        <v>274</v>
      </c>
      <c r="B111" s="369" t="s">
        <v>38</v>
      </c>
      <c r="C111" s="296" t="s">
        <v>45</v>
      </c>
      <c r="D111" s="315">
        <v>0.66</v>
      </c>
      <c r="E111" s="315">
        <v>1.1299999999999999</v>
      </c>
      <c r="F111" s="315">
        <v>1.702156</v>
      </c>
      <c r="G111" s="300">
        <v>1.5871291756639352</v>
      </c>
      <c r="H111" s="300">
        <v>1.7732801234791502</v>
      </c>
      <c r="I111" s="300">
        <v>1.918452715729456</v>
      </c>
      <c r="J111" s="300">
        <v>2.0745397841949216</v>
      </c>
      <c r="K111" s="300">
        <v>2.4142518956875261</v>
      </c>
      <c r="L111" s="300">
        <v>2.7354872956472374</v>
      </c>
      <c r="M111" s="300">
        <v>3.0357829618275289</v>
      </c>
      <c r="N111" s="300">
        <v>3.3459901071911653</v>
      </c>
      <c r="O111" s="300">
        <v>3.6263208153113764</v>
      </c>
      <c r="P111" s="300">
        <v>3.5491416036909502</v>
      </c>
      <c r="Q111" s="300">
        <v>3.4640281034758624</v>
      </c>
      <c r="R111" s="300">
        <v>3.3826564877751575</v>
      </c>
      <c r="S111" s="300">
        <v>3.3003917504183859</v>
      </c>
      <c r="T111" s="300">
        <v>3.2250879740703882</v>
      </c>
      <c r="V111" s="283" t="s">
        <v>312</v>
      </c>
    </row>
    <row r="112" spans="1:22" ht="30" x14ac:dyDescent="0.2">
      <c r="A112" s="332" t="s">
        <v>274</v>
      </c>
      <c r="B112" s="344" t="s">
        <v>290</v>
      </c>
      <c r="C112" s="296" t="s">
        <v>45</v>
      </c>
      <c r="D112" s="315">
        <v>0.84</v>
      </c>
      <c r="E112" s="315">
        <v>1.03</v>
      </c>
      <c r="F112" s="315">
        <v>2.072349</v>
      </c>
      <c r="G112" s="300">
        <v>3.2247622733666659</v>
      </c>
      <c r="H112" s="300">
        <v>4.3516564799263504</v>
      </c>
      <c r="I112" s="300">
        <v>5.3006173970688479</v>
      </c>
      <c r="J112" s="300">
        <v>6.4164043030476758</v>
      </c>
      <c r="K112" s="300">
        <v>6.981101799790177</v>
      </c>
      <c r="L112" s="300">
        <v>7.5193476182094665</v>
      </c>
      <c r="M112" s="300">
        <v>7.7199071812818056</v>
      </c>
      <c r="N112" s="300">
        <v>7.6111528269539432</v>
      </c>
      <c r="O112" s="300">
        <v>7.5210728693652991</v>
      </c>
      <c r="P112" s="300">
        <v>7.1578335865528482</v>
      </c>
      <c r="Q112" s="300">
        <v>6.8351047887173806</v>
      </c>
      <c r="R112" s="300">
        <v>6.5566161989605423</v>
      </c>
      <c r="S112" s="300">
        <v>6.3260962817135766</v>
      </c>
      <c r="T112" s="300">
        <v>6.1471642688985577</v>
      </c>
      <c r="V112" s="283" t="s">
        <v>312</v>
      </c>
    </row>
    <row r="113" spans="1:22" ht="16.5" customHeight="1" x14ac:dyDescent="0.2">
      <c r="A113" s="332" t="s">
        <v>274</v>
      </c>
      <c r="B113" s="369" t="s">
        <v>36</v>
      </c>
      <c r="C113" s="296" t="s">
        <v>45</v>
      </c>
      <c r="D113" s="315">
        <v>0.25</v>
      </c>
      <c r="E113" s="315">
        <v>0.18</v>
      </c>
      <c r="F113" s="315">
        <v>0.15862699999999999</v>
      </c>
      <c r="G113" s="392">
        <v>0</v>
      </c>
      <c r="H113" s="392">
        <v>0</v>
      </c>
      <c r="I113" s="392">
        <v>0</v>
      </c>
      <c r="J113" s="392">
        <v>0</v>
      </c>
      <c r="K113" s="392">
        <v>0</v>
      </c>
      <c r="L113" s="392">
        <v>0</v>
      </c>
      <c r="M113" s="392">
        <v>0</v>
      </c>
      <c r="N113" s="392">
        <v>0</v>
      </c>
      <c r="O113" s="392">
        <v>0</v>
      </c>
      <c r="P113" s="392">
        <v>0</v>
      </c>
      <c r="Q113" s="392">
        <v>0</v>
      </c>
      <c r="R113" s="392">
        <v>0</v>
      </c>
      <c r="S113" s="392">
        <v>0</v>
      </c>
      <c r="T113" s="392">
        <v>0</v>
      </c>
      <c r="V113" s="283" t="s">
        <v>312</v>
      </c>
    </row>
    <row r="114" spans="1:22" ht="16.5" customHeight="1" x14ac:dyDescent="0.2">
      <c r="A114" s="332" t="s">
        <v>274</v>
      </c>
      <c r="B114" s="369" t="s">
        <v>35</v>
      </c>
      <c r="C114" s="296" t="s">
        <v>45</v>
      </c>
      <c r="D114" s="315">
        <v>0.24</v>
      </c>
      <c r="E114" s="315">
        <v>0.6</v>
      </c>
      <c r="F114" s="315">
        <v>0.67170700000000005</v>
      </c>
      <c r="G114" s="392">
        <v>1.6442797555906696</v>
      </c>
      <c r="H114" s="392">
        <v>1.798228814992328</v>
      </c>
      <c r="I114" s="392">
        <v>1.9419804177438706</v>
      </c>
      <c r="J114" s="392">
        <v>2.1221146425591999</v>
      </c>
      <c r="K114" s="392">
        <v>2.2900253221453299</v>
      </c>
      <c r="L114" s="392">
        <v>2.4593494991008775</v>
      </c>
      <c r="M114" s="392">
        <v>2.8140331346382621</v>
      </c>
      <c r="N114" s="392">
        <v>3.3770162510762169</v>
      </c>
      <c r="O114" s="392">
        <v>3.4136568037458321</v>
      </c>
      <c r="P114" s="392">
        <v>3.8486471226556649</v>
      </c>
      <c r="Q114" s="392">
        <v>4.4263783417053846</v>
      </c>
      <c r="R114" s="392">
        <v>5.2076296824006008</v>
      </c>
      <c r="S114" s="392">
        <v>5.2920353462651937</v>
      </c>
      <c r="T114" s="392">
        <v>5.3471262470612952</v>
      </c>
      <c r="V114" s="283" t="s">
        <v>312</v>
      </c>
    </row>
    <row r="115" spans="1:22" ht="16.5" customHeight="1" x14ac:dyDescent="0.2">
      <c r="A115" s="332" t="s">
        <v>274</v>
      </c>
      <c r="B115" s="369"/>
      <c r="C115" s="296"/>
      <c r="D115" s="315"/>
      <c r="E115" s="315"/>
      <c r="F115" s="315"/>
      <c r="G115" s="392"/>
      <c r="H115" s="392"/>
      <c r="I115" s="392"/>
      <c r="J115" s="392"/>
      <c r="K115" s="392"/>
      <c r="L115" s="392"/>
      <c r="M115" s="392"/>
      <c r="N115" s="392"/>
      <c r="O115" s="392"/>
      <c r="P115" s="392"/>
      <c r="Q115" s="392"/>
      <c r="R115" s="392"/>
      <c r="S115" s="392"/>
      <c r="T115" s="392"/>
      <c r="V115" s="283" t="s">
        <v>312</v>
      </c>
    </row>
    <row r="116" spans="1:22" ht="16.5" customHeight="1" x14ac:dyDescent="0.2">
      <c r="A116" s="332" t="s">
        <v>274</v>
      </c>
      <c r="B116" s="369" t="s">
        <v>89</v>
      </c>
      <c r="C116" s="296" t="s">
        <v>45</v>
      </c>
      <c r="D116" s="315">
        <v>0</v>
      </c>
      <c r="E116" s="315">
        <v>0</v>
      </c>
      <c r="F116" s="315">
        <v>0</v>
      </c>
      <c r="G116" s="392">
        <v>0</v>
      </c>
      <c r="H116" s="392">
        <v>0</v>
      </c>
      <c r="I116" s="392">
        <v>0</v>
      </c>
      <c r="J116" s="392">
        <v>0</v>
      </c>
      <c r="K116" s="392">
        <v>0</v>
      </c>
      <c r="L116" s="392">
        <v>0</v>
      </c>
      <c r="M116" s="392">
        <v>6.0905874748232419E-2</v>
      </c>
      <c r="N116" s="392">
        <v>0.18340698703330571</v>
      </c>
      <c r="O116" s="392">
        <v>0.35272345540553435</v>
      </c>
      <c r="P116" s="392">
        <v>0.56056451136671337</v>
      </c>
      <c r="Q116" s="392">
        <v>0.80402286751707175</v>
      </c>
      <c r="R116" s="392">
        <v>1.0481803372956775</v>
      </c>
      <c r="S116" s="392">
        <v>1.3683948260490546</v>
      </c>
      <c r="T116" s="392">
        <v>1.7391208647960457</v>
      </c>
      <c r="V116" s="283" t="s">
        <v>312</v>
      </c>
    </row>
    <row r="117" spans="1:22" ht="16.5" customHeight="1" x14ac:dyDescent="0.2">
      <c r="A117" s="332" t="s">
        <v>274</v>
      </c>
      <c r="B117" s="329" t="s">
        <v>119</v>
      </c>
      <c r="C117" s="296" t="s">
        <v>45</v>
      </c>
      <c r="D117" s="315">
        <v>0</v>
      </c>
      <c r="E117" s="315">
        <v>0</v>
      </c>
      <c r="F117" s="315">
        <v>0.34364699999999998</v>
      </c>
      <c r="G117" s="300">
        <v>0.37133667097248907</v>
      </c>
      <c r="H117" s="300">
        <v>0.37098187554587025</v>
      </c>
      <c r="I117" s="300">
        <v>0.37616088125343139</v>
      </c>
      <c r="J117" s="300">
        <v>0.38385174427037405</v>
      </c>
      <c r="K117" s="300">
        <v>0.38094459104242157</v>
      </c>
      <c r="L117" s="300">
        <v>0.37822160830772378</v>
      </c>
      <c r="M117" s="300">
        <v>0.37567525294871551</v>
      </c>
      <c r="N117" s="300">
        <v>0.37329837752306078</v>
      </c>
      <c r="O117" s="300">
        <v>0.37108415111396426</v>
      </c>
      <c r="P117" s="300">
        <v>0.36902597881777222</v>
      </c>
      <c r="Q117" s="300">
        <v>0.36711741927079017</v>
      </c>
      <c r="R117" s="300">
        <v>0.36535209959269749</v>
      </c>
      <c r="S117" s="300">
        <v>0.36372362709538147</v>
      </c>
      <c r="T117" s="300">
        <v>0.36222549707322432</v>
      </c>
      <c r="V117" s="283" t="s">
        <v>312</v>
      </c>
    </row>
    <row r="118" spans="1:22" ht="16.5" customHeight="1" x14ac:dyDescent="0.2">
      <c r="A118" s="332" t="s">
        <v>274</v>
      </c>
      <c r="B118" s="369" t="s">
        <v>28</v>
      </c>
      <c r="C118" s="296" t="s">
        <v>45</v>
      </c>
      <c r="D118" s="315">
        <v>1.99</v>
      </c>
      <c r="E118" s="315">
        <v>2.9400000000000004</v>
      </c>
      <c r="F118" s="315">
        <v>4.9484859999999999</v>
      </c>
      <c r="G118" s="300">
        <v>6.8275078755937599</v>
      </c>
      <c r="H118" s="300">
        <v>8.2941472939436984</v>
      </c>
      <c r="I118" s="300">
        <v>9.5372114117956066</v>
      </c>
      <c r="J118" s="300">
        <v>10.996910474072171</v>
      </c>
      <c r="K118" s="300">
        <v>12.066323608665453</v>
      </c>
      <c r="L118" s="300">
        <v>13.092406021265306</v>
      </c>
      <c r="M118" s="300">
        <v>14.006304405444544</v>
      </c>
      <c r="N118" s="300">
        <v>14.890864549777692</v>
      </c>
      <c r="O118" s="300">
        <v>15.284858094942006</v>
      </c>
      <c r="P118" s="300">
        <v>15.48521280308395</v>
      </c>
      <c r="Q118" s="300">
        <v>15.896651520686488</v>
      </c>
      <c r="R118" s="300">
        <v>16.560434806024677</v>
      </c>
      <c r="S118" s="300">
        <v>16.650641831541595</v>
      </c>
      <c r="T118" s="300">
        <v>16.820724851899513</v>
      </c>
      <c r="V118" s="283" t="s">
        <v>312</v>
      </c>
    </row>
    <row r="119" spans="1:22" ht="16.5" customHeight="1" x14ac:dyDescent="0.2">
      <c r="A119" s="332" t="s">
        <v>274</v>
      </c>
      <c r="B119" s="369" t="s">
        <v>30</v>
      </c>
      <c r="C119" s="296" t="s">
        <v>45</v>
      </c>
      <c r="D119" s="315">
        <v>-0.45</v>
      </c>
      <c r="E119" s="315">
        <v>-0.46</v>
      </c>
      <c r="F119" s="315">
        <v>-0.93856799999999996</v>
      </c>
      <c r="G119" s="300">
        <v>-1.4931655531456387</v>
      </c>
      <c r="H119" s="300">
        <v>-2.0028674150635233</v>
      </c>
      <c r="I119" s="300">
        <v>-2.320358923585772</v>
      </c>
      <c r="J119" s="300">
        <v>-2.5778485003733098</v>
      </c>
      <c r="K119" s="300">
        <v>-2.8211407591484949</v>
      </c>
      <c r="L119" s="300">
        <v>-3.0204488142420072</v>
      </c>
      <c r="M119" s="300">
        <v>-3.2314094000803699</v>
      </c>
      <c r="N119" s="300">
        <v>-3.4634891260789606</v>
      </c>
      <c r="O119" s="300">
        <v>-3.6442429547350712</v>
      </c>
      <c r="P119" s="300">
        <v>-3.9996266614610181</v>
      </c>
      <c r="Q119" s="300">
        <v>-4.3361294818175677</v>
      </c>
      <c r="R119" s="300">
        <v>-4.6698844064653304</v>
      </c>
      <c r="S119" s="300">
        <v>-4.9887712317852122</v>
      </c>
      <c r="T119" s="300">
        <v>-5.3066584142676732</v>
      </c>
      <c r="V119" s="283" t="s">
        <v>312</v>
      </c>
    </row>
    <row r="120" spans="1:22" ht="16.5" customHeight="1" x14ac:dyDescent="0.2">
      <c r="A120" s="332" t="s">
        <v>274</v>
      </c>
      <c r="B120" s="396"/>
      <c r="C120" s="296"/>
      <c r="D120" s="397"/>
      <c r="E120" s="397"/>
      <c r="F120" s="397"/>
      <c r="G120" s="397"/>
      <c r="H120" s="397"/>
      <c r="I120" s="397"/>
      <c r="J120" s="397"/>
      <c r="K120" s="397"/>
      <c r="L120" s="397"/>
      <c r="M120" s="397"/>
      <c r="N120" s="397"/>
      <c r="O120" s="397"/>
      <c r="P120" s="397"/>
      <c r="Q120" s="397"/>
      <c r="R120" s="397"/>
      <c r="S120" s="397"/>
      <c r="T120" s="397"/>
    </row>
    <row r="121" spans="1:22" ht="15" customHeight="1" x14ac:dyDescent="0.2">
      <c r="A121" s="332" t="s">
        <v>274</v>
      </c>
      <c r="B121" s="329" t="s">
        <v>72</v>
      </c>
      <c r="C121" s="330" t="s">
        <v>15</v>
      </c>
      <c r="D121" s="331">
        <v>2014</v>
      </c>
      <c r="E121" s="331">
        <v>2015</v>
      </c>
      <c r="F121" s="331">
        <v>2016</v>
      </c>
      <c r="G121" s="331">
        <v>2017</v>
      </c>
      <c r="H121" s="331">
        <v>2018</v>
      </c>
      <c r="I121" s="331">
        <v>2019</v>
      </c>
      <c r="J121" s="331">
        <v>2020</v>
      </c>
      <c r="K121" s="331">
        <v>2021</v>
      </c>
      <c r="L121" s="331">
        <v>2022</v>
      </c>
      <c r="M121" s="331">
        <v>2023</v>
      </c>
      <c r="N121" s="331">
        <v>2024</v>
      </c>
      <c r="O121" s="331">
        <v>2025</v>
      </c>
      <c r="P121" s="294">
        <v>2026</v>
      </c>
      <c r="Q121" s="294">
        <v>2027</v>
      </c>
      <c r="R121" s="294">
        <v>2028</v>
      </c>
      <c r="S121" s="294">
        <v>2029</v>
      </c>
      <c r="T121" s="294">
        <v>2030</v>
      </c>
    </row>
    <row r="122" spans="1:22" ht="16.5" customHeight="1" x14ac:dyDescent="0.2">
      <c r="A122" s="332" t="s">
        <v>274</v>
      </c>
      <c r="B122" s="369" t="s">
        <v>155</v>
      </c>
      <c r="C122" s="296" t="s">
        <v>45</v>
      </c>
      <c r="D122" s="315">
        <v>0</v>
      </c>
      <c r="E122" s="315">
        <v>0</v>
      </c>
      <c r="F122" s="315">
        <v>0</v>
      </c>
      <c r="G122" s="299">
        <v>0</v>
      </c>
      <c r="H122" s="299">
        <v>0</v>
      </c>
      <c r="I122" s="300">
        <v>0.17285610553649597</v>
      </c>
      <c r="J122" s="300">
        <v>0.20871839430694583</v>
      </c>
      <c r="K122" s="300">
        <v>0.22418376663637499</v>
      </c>
      <c r="L122" s="300">
        <v>0.21946314854099996</v>
      </c>
      <c r="M122" s="300">
        <v>0.214742530445625</v>
      </c>
      <c r="N122" s="300">
        <v>0.21002191235024997</v>
      </c>
      <c r="O122" s="300">
        <v>0.20530129425487501</v>
      </c>
      <c r="P122" s="300">
        <v>0.20058067615950001</v>
      </c>
      <c r="Q122" s="300">
        <v>0.19586005806412499</v>
      </c>
      <c r="R122" s="300">
        <v>0.19113943996874996</v>
      </c>
      <c r="S122" s="300">
        <v>0.17904500111301513</v>
      </c>
      <c r="T122" s="300">
        <v>0.1656751022285691</v>
      </c>
      <c r="V122" s="283" t="s">
        <v>312</v>
      </c>
    </row>
    <row r="123" spans="1:22" ht="16.5" customHeight="1" x14ac:dyDescent="0.2">
      <c r="A123" s="332" t="s">
        <v>274</v>
      </c>
      <c r="B123" s="369" t="s">
        <v>156</v>
      </c>
      <c r="C123" s="296" t="s">
        <v>45</v>
      </c>
      <c r="D123" s="315">
        <v>0</v>
      </c>
      <c r="E123" s="315">
        <v>0</v>
      </c>
      <c r="F123" s="315">
        <v>0</v>
      </c>
      <c r="G123" s="300">
        <v>0</v>
      </c>
      <c r="H123" s="300">
        <v>0</v>
      </c>
      <c r="I123" s="300">
        <v>4.2125495901125021E-2</v>
      </c>
      <c r="J123" s="300">
        <v>3.7404877805750053E-2</v>
      </c>
      <c r="K123" s="300">
        <v>3.2684259710375044E-2</v>
      </c>
      <c r="L123" s="300">
        <v>2.7963641615000031E-2</v>
      </c>
      <c r="M123" s="300">
        <v>2.3243023519625018E-2</v>
      </c>
      <c r="N123" s="300">
        <v>1.8522405424250005E-2</v>
      </c>
      <c r="O123" s="300">
        <v>1.3801787328875046E-2</v>
      </c>
      <c r="P123" s="300">
        <v>9.0811692335000336E-3</v>
      </c>
      <c r="Q123" s="300">
        <v>4.3605511381250208E-3</v>
      </c>
      <c r="R123" s="300">
        <v>-3.6006695724999149E-4</v>
      </c>
      <c r="S123" s="300">
        <v>-5.080685052624951E-3</v>
      </c>
      <c r="T123" s="300">
        <v>-9.801303147999962E-3</v>
      </c>
      <c r="V123" s="283" t="s">
        <v>312</v>
      </c>
    </row>
    <row r="124" spans="1:22" ht="16.5" customHeight="1" x14ac:dyDescent="0.2">
      <c r="A124" s="332" t="s">
        <v>274</v>
      </c>
      <c r="B124" s="369" t="s">
        <v>68</v>
      </c>
      <c r="C124" s="296" t="s">
        <v>45</v>
      </c>
      <c r="D124" s="315">
        <v>0</v>
      </c>
      <c r="E124" s="315">
        <v>0</v>
      </c>
      <c r="F124" s="315">
        <v>0</v>
      </c>
      <c r="G124" s="299">
        <v>0</v>
      </c>
      <c r="H124" s="299">
        <v>0</v>
      </c>
      <c r="I124" s="300">
        <v>0</v>
      </c>
      <c r="J124" s="300">
        <v>0</v>
      </c>
      <c r="K124" s="300">
        <v>0</v>
      </c>
      <c r="L124" s="300">
        <v>0</v>
      </c>
      <c r="M124" s="300">
        <v>0</v>
      </c>
      <c r="N124" s="300">
        <v>0</v>
      </c>
      <c r="O124" s="300">
        <v>0</v>
      </c>
      <c r="P124" s="300">
        <v>0</v>
      </c>
      <c r="Q124" s="300">
        <v>0</v>
      </c>
      <c r="R124" s="300">
        <v>0</v>
      </c>
      <c r="S124" s="300">
        <v>0</v>
      </c>
      <c r="T124" s="300">
        <v>0</v>
      </c>
      <c r="V124" s="283" t="s">
        <v>312</v>
      </c>
    </row>
    <row r="125" spans="1:22" ht="16.5" customHeight="1" x14ac:dyDescent="0.2">
      <c r="A125" s="332" t="s">
        <v>274</v>
      </c>
      <c r="B125" s="369" t="s">
        <v>60</v>
      </c>
      <c r="C125" s="296" t="s">
        <v>45</v>
      </c>
      <c r="D125" s="315">
        <v>1.94</v>
      </c>
      <c r="E125" s="315">
        <v>2.0299999999999998</v>
      </c>
      <c r="F125" s="315">
        <v>3.3200000000000003</v>
      </c>
      <c r="G125" s="392">
        <v>3.4210829852956981</v>
      </c>
      <c r="H125" s="392">
        <v>3.3164322211482391</v>
      </c>
      <c r="I125" s="392">
        <v>3.4017160791461989</v>
      </c>
      <c r="J125" s="392">
        <v>3.3922947448354925</v>
      </c>
      <c r="K125" s="392">
        <v>3.2091885024182143</v>
      </c>
      <c r="L125" s="392">
        <v>3.2067869981348367</v>
      </c>
      <c r="M125" s="392">
        <v>3.2002306935488551</v>
      </c>
      <c r="N125" s="392">
        <v>3.1718376564120616</v>
      </c>
      <c r="O125" s="392">
        <v>3.1059903728490132</v>
      </c>
      <c r="P125" s="392">
        <v>3.0326376785213194</v>
      </c>
      <c r="Q125" s="392">
        <v>2.9561046896188241</v>
      </c>
      <c r="R125" s="392">
        <v>2.8795172801563975</v>
      </c>
      <c r="S125" s="392">
        <v>2.6199392449721648</v>
      </c>
      <c r="T125" s="392">
        <v>2.3466550919266984</v>
      </c>
      <c r="V125" s="283" t="s">
        <v>312</v>
      </c>
    </row>
    <row r="126" spans="1:22" ht="16.5" customHeight="1" x14ac:dyDescent="0.2">
      <c r="A126" s="332" t="s">
        <v>274</v>
      </c>
      <c r="B126" s="369" t="s">
        <v>151</v>
      </c>
      <c r="C126" s="296" t="s">
        <v>45</v>
      </c>
      <c r="D126" s="315">
        <v>0</v>
      </c>
      <c r="E126" s="315">
        <v>0</v>
      </c>
      <c r="F126" s="315">
        <v>2E-3</v>
      </c>
      <c r="G126" s="392">
        <v>5.0215261006972614E-2</v>
      </c>
      <c r="H126" s="392">
        <v>0.25611849487339816</v>
      </c>
      <c r="I126" s="392">
        <v>0.90197905870442052</v>
      </c>
      <c r="J126" s="392">
        <v>1.8902676641406873</v>
      </c>
      <c r="K126" s="392">
        <v>1.9928170494722779</v>
      </c>
      <c r="L126" s="392">
        <v>2.1547699632425878</v>
      </c>
      <c r="M126" s="392">
        <v>2.4315168713476707</v>
      </c>
      <c r="N126" s="392">
        <v>2.6965597012660663</v>
      </c>
      <c r="O126" s="392">
        <v>2.9637851601680638</v>
      </c>
      <c r="P126" s="392">
        <v>3.222532939958763</v>
      </c>
      <c r="Q126" s="392">
        <v>3.3623629781657334</v>
      </c>
      <c r="R126" s="392">
        <v>3.5012645906351896</v>
      </c>
      <c r="S126" s="392">
        <v>3.588264679472827</v>
      </c>
      <c r="T126" s="392">
        <v>3.6727000781761339</v>
      </c>
      <c r="V126" s="283" t="s">
        <v>312</v>
      </c>
    </row>
    <row r="127" spans="1:22" ht="16.5" customHeight="1" x14ac:dyDescent="0.2">
      <c r="A127" s="332" t="s">
        <v>274</v>
      </c>
      <c r="B127" s="369" t="s">
        <v>150</v>
      </c>
      <c r="C127" s="296" t="s">
        <v>45</v>
      </c>
      <c r="D127" s="315">
        <v>0.22</v>
      </c>
      <c r="E127" s="315">
        <v>0.34</v>
      </c>
      <c r="F127" s="315">
        <v>0.91364699999999988</v>
      </c>
      <c r="G127" s="392">
        <v>1.4989455336657893</v>
      </c>
      <c r="H127" s="392">
        <v>1.6926875805246926</v>
      </c>
      <c r="I127" s="392">
        <v>1.9743266443386569</v>
      </c>
      <c r="J127" s="392">
        <v>2.2387238353869208</v>
      </c>
      <c r="K127" s="392">
        <v>2.7242189069885514</v>
      </c>
      <c r="L127" s="392">
        <v>3.4626608988850069</v>
      </c>
      <c r="M127" s="392">
        <v>4.4784607539832857</v>
      </c>
      <c r="N127" s="392">
        <v>5.7931201372242018</v>
      </c>
      <c r="O127" s="392">
        <v>7.3326672435475118</v>
      </c>
      <c r="P127" s="392">
        <v>9.0444650951740844</v>
      </c>
      <c r="Q127" s="392">
        <v>10.977001337362243</v>
      </c>
      <c r="R127" s="392">
        <v>13.096123813476156</v>
      </c>
      <c r="S127" s="392">
        <v>15.427505673435279</v>
      </c>
      <c r="T127" s="392">
        <v>17.896065099198236</v>
      </c>
      <c r="V127" s="283" t="s">
        <v>312</v>
      </c>
    </row>
    <row r="128" spans="1:22" ht="16.5" customHeight="1" x14ac:dyDescent="0.2">
      <c r="A128" s="332" t="s">
        <v>274</v>
      </c>
      <c r="B128" s="369" t="s">
        <v>149</v>
      </c>
      <c r="C128" s="296" t="s">
        <v>45</v>
      </c>
      <c r="D128" s="315">
        <v>0</v>
      </c>
      <c r="E128" s="315">
        <v>0</v>
      </c>
      <c r="F128" s="315">
        <v>0</v>
      </c>
      <c r="G128" s="392">
        <v>0.11272622480057547</v>
      </c>
      <c r="H128" s="392">
        <v>0.12724537020291171</v>
      </c>
      <c r="I128" s="392">
        <v>0.14481356333753975</v>
      </c>
      <c r="J128" s="392">
        <v>0.15845431570569204</v>
      </c>
      <c r="K128" s="392">
        <v>0.21442569491622415</v>
      </c>
      <c r="L128" s="392">
        <v>0.30502337187060846</v>
      </c>
      <c r="M128" s="392">
        <v>0.42376341936412021</v>
      </c>
      <c r="N128" s="392">
        <v>0.57068270887158823</v>
      </c>
      <c r="O128" s="392">
        <v>0.7386244721991666</v>
      </c>
      <c r="P128" s="392">
        <v>0.92120463878464431</v>
      </c>
      <c r="Q128" s="392">
        <v>1.1201014111923548</v>
      </c>
      <c r="R128" s="392">
        <v>1.3320999095226076</v>
      </c>
      <c r="S128" s="392">
        <v>1.5529845002728142</v>
      </c>
      <c r="T128" s="392">
        <v>1.7746621566067657</v>
      </c>
      <c r="V128" s="283" t="s">
        <v>312</v>
      </c>
    </row>
    <row r="129" spans="1:22" ht="16.5" customHeight="1" x14ac:dyDescent="0.2">
      <c r="A129" s="332" t="s">
        <v>274</v>
      </c>
      <c r="B129" s="373" t="s">
        <v>153</v>
      </c>
      <c r="C129" s="296" t="s">
        <v>45</v>
      </c>
      <c r="D129" s="315">
        <v>0</v>
      </c>
      <c r="E129" s="315">
        <v>0</v>
      </c>
      <c r="F129" s="315">
        <v>0</v>
      </c>
      <c r="G129" s="392">
        <v>4.2408170633709573E-2</v>
      </c>
      <c r="H129" s="392">
        <v>5.8641245831643679E-2</v>
      </c>
      <c r="I129" s="392">
        <v>8.0124244977213099E-2</v>
      </c>
      <c r="J129" s="392">
        <v>0.10971041617795975</v>
      </c>
      <c r="K129" s="392">
        <v>0.15295063940951267</v>
      </c>
      <c r="L129" s="392">
        <v>0.21892903435098968</v>
      </c>
      <c r="M129" s="392">
        <v>0.51776552135452558</v>
      </c>
      <c r="N129" s="392">
        <v>1.076873817022816</v>
      </c>
      <c r="O129" s="392">
        <v>1.0891727853214568</v>
      </c>
      <c r="P129" s="392">
        <v>1.5273476740590535</v>
      </c>
      <c r="Q129" s="392">
        <v>2.1395473234214726</v>
      </c>
      <c r="R129" s="392">
        <v>2.9883285344509249</v>
      </c>
      <c r="S129" s="392">
        <v>3.0666973256606673</v>
      </c>
      <c r="T129" s="392">
        <v>3.1164428352295697</v>
      </c>
      <c r="V129" s="283" t="s">
        <v>312</v>
      </c>
    </row>
    <row r="130" spans="1:22" ht="17.25" customHeight="1" thickBot="1" x14ac:dyDescent="0.25">
      <c r="A130" s="359" t="s">
        <v>274</v>
      </c>
      <c r="B130" s="373" t="s">
        <v>154</v>
      </c>
      <c r="C130" s="296" t="s">
        <v>45</v>
      </c>
      <c r="D130" s="315">
        <v>0.34061318235000004</v>
      </c>
      <c r="E130" s="315">
        <v>1.257768</v>
      </c>
      <c r="F130" s="315">
        <v>1.6277021317244418</v>
      </c>
      <c r="G130" s="392">
        <v>1.58452559424251</v>
      </c>
      <c r="H130" s="392">
        <v>1.7395875691606844</v>
      </c>
      <c r="I130" s="392">
        <v>1.8618561727666583</v>
      </c>
      <c r="J130" s="392">
        <v>2.0124042263812405</v>
      </c>
      <c r="K130" s="392">
        <v>2.1370746827358174</v>
      </c>
      <c r="L130" s="392">
        <v>2.2404204647498882</v>
      </c>
      <c r="M130" s="392">
        <v>2.2962676132837365</v>
      </c>
      <c r="N130" s="392">
        <v>2.3001424340534014</v>
      </c>
      <c r="O130" s="392">
        <v>2.3244840184243754</v>
      </c>
      <c r="P130" s="392">
        <v>2.3212994485966112</v>
      </c>
      <c r="Q130" s="392">
        <v>2.2868310182839133</v>
      </c>
      <c r="R130" s="392">
        <v>2.2193011479496771</v>
      </c>
      <c r="S130" s="392">
        <v>2.2253380206045277</v>
      </c>
      <c r="T130" s="392">
        <v>2.2306834118317269</v>
      </c>
      <c r="V130" s="283" t="s">
        <v>312</v>
      </c>
    </row>
    <row r="131" spans="1:22" ht="15" x14ac:dyDescent="0.2">
      <c r="A131" s="364" t="s">
        <v>274</v>
      </c>
      <c r="B131" s="398"/>
      <c r="C131" s="364"/>
      <c r="D131" s="399"/>
      <c r="E131" s="399"/>
      <c r="F131" s="399"/>
      <c r="G131" s="399"/>
      <c r="H131" s="399"/>
      <c r="I131" s="399"/>
      <c r="J131" s="399"/>
      <c r="K131" s="399"/>
      <c r="L131" s="399"/>
      <c r="M131" s="399"/>
      <c r="N131" s="399"/>
      <c r="O131" s="399"/>
      <c r="P131" s="399"/>
      <c r="Q131" s="399"/>
      <c r="R131" s="399"/>
      <c r="S131" s="399"/>
      <c r="T131" s="399"/>
    </row>
    <row r="132" spans="1:22" ht="15" x14ac:dyDescent="0.2">
      <c r="A132" s="364" t="s">
        <v>274</v>
      </c>
      <c r="B132" s="364"/>
      <c r="C132" s="364"/>
      <c r="D132" s="400"/>
      <c r="E132" s="400"/>
      <c r="F132" s="400"/>
      <c r="G132" s="400"/>
      <c r="H132" s="400"/>
      <c r="I132" s="400"/>
      <c r="J132" s="400"/>
      <c r="K132" s="400"/>
      <c r="L132" s="400"/>
      <c r="M132" s="400"/>
      <c r="N132" s="400"/>
      <c r="O132" s="400"/>
      <c r="P132" s="400"/>
      <c r="Q132" s="400"/>
      <c r="R132" s="400"/>
      <c r="S132" s="400"/>
      <c r="T132" s="400"/>
    </row>
    <row r="133" spans="1:22" ht="22" thickBot="1" x14ac:dyDescent="0.3">
      <c r="A133" s="364" t="s">
        <v>274</v>
      </c>
      <c r="B133" s="365" t="s">
        <v>274</v>
      </c>
      <c r="C133" s="401" t="s">
        <v>274</v>
      </c>
      <c r="D133" s="402" t="s">
        <v>53</v>
      </c>
      <c r="E133" s="403"/>
      <c r="F133" s="403"/>
      <c r="G133" s="403"/>
      <c r="H133" s="403"/>
      <c r="I133" s="403"/>
      <c r="J133" s="403"/>
      <c r="K133" s="403"/>
      <c r="L133" s="403"/>
      <c r="M133" s="403"/>
      <c r="N133" s="403"/>
      <c r="O133" s="403" t="s">
        <v>274</v>
      </c>
      <c r="P133" s="403" t="s">
        <v>274</v>
      </c>
      <c r="Q133" s="403" t="s">
        <v>274</v>
      </c>
      <c r="R133" s="403" t="s">
        <v>274</v>
      </c>
      <c r="S133" s="403" t="s">
        <v>274</v>
      </c>
      <c r="T133" s="404" t="s">
        <v>274</v>
      </c>
    </row>
    <row r="134" spans="1:22" ht="15" customHeight="1" x14ac:dyDescent="0.2">
      <c r="A134" s="328" t="s">
        <v>118</v>
      </c>
      <c r="B134" s="369" t="s">
        <v>274</v>
      </c>
      <c r="C134" s="330" t="s">
        <v>15</v>
      </c>
      <c r="D134" s="331">
        <v>2014</v>
      </c>
      <c r="E134" s="331">
        <v>2015</v>
      </c>
      <c r="F134" s="331">
        <v>2016</v>
      </c>
      <c r="G134" s="331">
        <v>2017</v>
      </c>
      <c r="H134" s="331">
        <v>2018</v>
      </c>
      <c r="I134" s="331">
        <v>2019</v>
      </c>
      <c r="J134" s="331">
        <v>2020</v>
      </c>
      <c r="K134" s="331">
        <v>2021</v>
      </c>
      <c r="L134" s="331">
        <v>2022</v>
      </c>
      <c r="M134" s="331">
        <v>2023</v>
      </c>
      <c r="N134" s="331">
        <v>2024</v>
      </c>
      <c r="O134" s="331">
        <v>2025</v>
      </c>
      <c r="P134" s="294">
        <v>2026</v>
      </c>
      <c r="Q134" s="294">
        <v>2027</v>
      </c>
      <c r="R134" s="294">
        <v>2028</v>
      </c>
      <c r="S134" s="294">
        <v>2029</v>
      </c>
      <c r="T134" s="294">
        <v>2030</v>
      </c>
    </row>
    <row r="135" spans="1:22" ht="16.5" customHeight="1" x14ac:dyDescent="0.2">
      <c r="A135" s="332" t="s">
        <v>274</v>
      </c>
      <c r="B135" s="369" t="s">
        <v>55</v>
      </c>
      <c r="C135" s="296" t="s">
        <v>45</v>
      </c>
      <c r="D135" s="315">
        <v>0</v>
      </c>
      <c r="E135" s="315">
        <v>0</v>
      </c>
      <c r="F135" s="315">
        <v>0</v>
      </c>
      <c r="G135" s="392">
        <v>0</v>
      </c>
      <c r="H135" s="392">
        <v>0.01</v>
      </c>
      <c r="I135" s="392">
        <v>0.05</v>
      </c>
      <c r="J135" s="392">
        <v>8.0545454545454545E-2</v>
      </c>
      <c r="K135" s="392">
        <v>0.11109090909090909</v>
      </c>
      <c r="L135" s="392">
        <v>0.19377922077922077</v>
      </c>
      <c r="M135" s="392">
        <v>0.27646753246753247</v>
      </c>
      <c r="N135" s="392">
        <v>0.35915584415584412</v>
      </c>
      <c r="O135" s="392">
        <v>0.44184415584415582</v>
      </c>
      <c r="P135" s="392">
        <v>0.52453246753246763</v>
      </c>
      <c r="Q135" s="392">
        <v>0.60722077922077922</v>
      </c>
      <c r="R135" s="392">
        <v>0.68990909090909092</v>
      </c>
      <c r="S135" s="392">
        <v>0.72045454545454546</v>
      </c>
      <c r="T135" s="392">
        <v>0.751</v>
      </c>
      <c r="V135" s="283" t="s">
        <v>281</v>
      </c>
    </row>
    <row r="136" spans="1:22" ht="16.5" customHeight="1" x14ac:dyDescent="0.2">
      <c r="A136" s="332" t="s">
        <v>274</v>
      </c>
      <c r="B136" s="369" t="s">
        <v>56</v>
      </c>
      <c r="C136" s="296" t="s">
        <v>45</v>
      </c>
      <c r="D136" s="315" t="s">
        <v>274</v>
      </c>
      <c r="E136" s="315" t="s">
        <v>274</v>
      </c>
      <c r="F136" s="315">
        <v>0</v>
      </c>
      <c r="G136" s="392">
        <v>4.7215261006972611E-2</v>
      </c>
      <c r="H136" s="392">
        <v>0.24311849487339815</v>
      </c>
      <c r="I136" s="392">
        <v>0.83197905870442046</v>
      </c>
      <c r="J136" s="392">
        <v>1.5597222095952328</v>
      </c>
      <c r="K136" s="392">
        <v>1.5067261403813688</v>
      </c>
      <c r="L136" s="392">
        <v>1.4609907424633672</v>
      </c>
      <c r="M136" s="392">
        <v>1.5300493388801382</v>
      </c>
      <c r="N136" s="392">
        <v>1.587403857110222</v>
      </c>
      <c r="O136" s="392">
        <v>1.6469410043239079</v>
      </c>
      <c r="P136" s="392">
        <v>1.6980004724262954</v>
      </c>
      <c r="Q136" s="392">
        <v>1.7551421989449538</v>
      </c>
      <c r="R136" s="392">
        <v>1.8113554997260988</v>
      </c>
      <c r="S136" s="392">
        <v>1.8678101340182818</v>
      </c>
      <c r="T136" s="392">
        <v>1.921700078176134</v>
      </c>
      <c r="V136" s="283" t="s">
        <v>281</v>
      </c>
    </row>
    <row r="137" spans="1:22" ht="16.5" customHeight="1" x14ac:dyDescent="0.2">
      <c r="A137" s="332" t="s">
        <v>274</v>
      </c>
      <c r="B137" s="369" t="s">
        <v>54</v>
      </c>
      <c r="C137" s="296" t="s">
        <v>45</v>
      </c>
      <c r="D137" s="315">
        <v>0</v>
      </c>
      <c r="E137" s="315">
        <v>0</v>
      </c>
      <c r="F137" s="315">
        <v>2E-3</v>
      </c>
      <c r="G137" s="392">
        <v>3.0000000000000001E-3</v>
      </c>
      <c r="H137" s="392">
        <v>3.0000000000000001E-3</v>
      </c>
      <c r="I137" s="392">
        <v>0.02</v>
      </c>
      <c r="J137" s="392">
        <v>0.25</v>
      </c>
      <c r="K137" s="392">
        <v>0.375</v>
      </c>
      <c r="L137" s="392">
        <v>0.5</v>
      </c>
      <c r="M137" s="392">
        <v>0.625</v>
      </c>
      <c r="N137" s="392">
        <v>0.75</v>
      </c>
      <c r="O137" s="392">
        <v>0.875</v>
      </c>
      <c r="P137" s="392">
        <v>1</v>
      </c>
      <c r="Q137" s="392">
        <v>1</v>
      </c>
      <c r="R137" s="392">
        <v>1</v>
      </c>
      <c r="S137" s="392">
        <v>1</v>
      </c>
      <c r="T137" s="392">
        <v>1</v>
      </c>
      <c r="V137" s="283" t="s">
        <v>281</v>
      </c>
    </row>
    <row r="138" spans="1:22" ht="16.5" customHeight="1" x14ac:dyDescent="0.2">
      <c r="A138" s="332" t="s">
        <v>274</v>
      </c>
      <c r="B138" s="369" t="s">
        <v>76</v>
      </c>
      <c r="C138" s="296" t="s">
        <v>45</v>
      </c>
      <c r="D138" s="315">
        <v>0</v>
      </c>
      <c r="E138" s="315">
        <v>0</v>
      </c>
      <c r="F138" s="315">
        <v>0.154</v>
      </c>
      <c r="G138" s="392">
        <v>0.154</v>
      </c>
      <c r="H138" s="392">
        <v>0.154</v>
      </c>
      <c r="I138" s="392">
        <v>0.154</v>
      </c>
      <c r="J138" s="392">
        <v>0.154</v>
      </c>
      <c r="K138" s="392">
        <v>0.154</v>
      </c>
      <c r="L138" s="392">
        <v>0.154</v>
      </c>
      <c r="M138" s="392">
        <v>0.154</v>
      </c>
      <c r="N138" s="392">
        <v>0.154</v>
      </c>
      <c r="O138" s="392">
        <v>0.154</v>
      </c>
      <c r="P138" s="392">
        <v>0.154</v>
      </c>
      <c r="Q138" s="392">
        <v>0.154</v>
      </c>
      <c r="R138" s="392">
        <v>0.154</v>
      </c>
      <c r="S138" s="392">
        <v>0.154</v>
      </c>
      <c r="T138" s="392">
        <v>0.154</v>
      </c>
      <c r="V138" s="283" t="s">
        <v>281</v>
      </c>
    </row>
    <row r="139" spans="1:22" ht="16.5" customHeight="1" x14ac:dyDescent="0.2">
      <c r="A139" s="332" t="s">
        <v>274</v>
      </c>
      <c r="B139" s="369" t="s">
        <v>31</v>
      </c>
      <c r="C139" s="296" t="s">
        <v>45</v>
      </c>
      <c r="D139" s="315">
        <v>4.1500000000000004</v>
      </c>
      <c r="E139" s="315">
        <v>5.3100000000000005</v>
      </c>
      <c r="F139" s="315">
        <v>8.9944860000000002</v>
      </c>
      <c r="G139" s="300">
        <v>11.694436260419788</v>
      </c>
      <c r="H139" s="300">
        <v>13.537943417257878</v>
      </c>
      <c r="I139" s="300">
        <v>16.062779228768136</v>
      </c>
      <c r="J139" s="300">
        <v>18.922579298346331</v>
      </c>
      <c r="K139" s="300">
        <v>20.637079766842664</v>
      </c>
      <c r="L139" s="300">
        <v>22.806667387437507</v>
      </c>
      <c r="M139" s="300">
        <v>25.215903581902648</v>
      </c>
      <c r="N139" s="300">
        <v>27.857084007203312</v>
      </c>
      <c r="O139" s="300">
        <v>30.203968538048215</v>
      </c>
      <c r="P139" s="300">
        <v>32.524943203810714</v>
      </c>
      <c r="Q139" s="300">
        <v>35.174339119517356</v>
      </c>
      <c r="R139" s="300">
        <v>38.314404589044962</v>
      </c>
      <c r="S139" s="300">
        <v>40.825955494972547</v>
      </c>
      <c r="T139" s="300">
        <v>43.816542558712968</v>
      </c>
      <c r="V139" s="283" t="s">
        <v>281</v>
      </c>
    </row>
    <row r="140" spans="1:22" ht="16.5" customHeight="1" x14ac:dyDescent="0.2">
      <c r="A140" s="332" t="s">
        <v>274</v>
      </c>
      <c r="B140" s="369" t="s">
        <v>57</v>
      </c>
      <c r="C140" s="296" t="s">
        <v>45</v>
      </c>
      <c r="D140" s="315">
        <v>0</v>
      </c>
      <c r="E140" s="315">
        <v>0</v>
      </c>
      <c r="F140" s="315">
        <v>0</v>
      </c>
      <c r="G140" s="299">
        <v>0</v>
      </c>
      <c r="H140" s="405">
        <v>0</v>
      </c>
      <c r="I140" s="405">
        <v>-0.26207970746147818</v>
      </c>
      <c r="J140" s="405">
        <v>-0.99798192447127854</v>
      </c>
      <c r="K140" s="405">
        <v>-1.6565389698767017</v>
      </c>
      <c r="L140" s="405">
        <v>-2.2792107715190966</v>
      </c>
      <c r="M140" s="405">
        <v>-2.2383742576957206</v>
      </c>
      <c r="N140" s="405">
        <v>-2.1791374952988138</v>
      </c>
      <c r="O140" s="405">
        <v>-2.1319049615526779</v>
      </c>
      <c r="P140" s="405">
        <v>-2.096345911223644</v>
      </c>
      <c r="Q140" s="405">
        <v>-2.0588806302995049</v>
      </c>
      <c r="R140" s="405">
        <v>-2.0298749527573565</v>
      </c>
      <c r="S140" s="405">
        <v>-1.9917094161258719</v>
      </c>
      <c r="T140" s="405">
        <v>-1.9452348900360734</v>
      </c>
    </row>
    <row r="141" spans="1:22" ht="16.5" customHeight="1" x14ac:dyDescent="0.2">
      <c r="A141" s="332" t="s">
        <v>274</v>
      </c>
      <c r="B141" s="369" t="s">
        <v>32</v>
      </c>
      <c r="C141" s="296" t="s">
        <v>45</v>
      </c>
      <c r="D141" s="315">
        <v>-2.36</v>
      </c>
      <c r="E141" s="315">
        <v>-2.4</v>
      </c>
      <c r="F141" s="315">
        <v>-6.4145690000000002</v>
      </c>
      <c r="G141" s="300">
        <v>-9.403911131685998</v>
      </c>
      <c r="H141" s="300">
        <v>-12.230543589473026</v>
      </c>
      <c r="I141" s="300">
        <v>-15.023166790759801</v>
      </c>
      <c r="J141" s="300">
        <v>-17.760284330591677</v>
      </c>
      <c r="K141" s="300">
        <v>-20.292671396137909</v>
      </c>
      <c r="L141" s="300">
        <v>-22.60245090489763</v>
      </c>
      <c r="M141" s="300">
        <v>-24.105597583500213</v>
      </c>
      <c r="N141" s="300">
        <v>-25.487889948619234</v>
      </c>
      <c r="O141" s="300">
        <v>-26.666600133186165</v>
      </c>
      <c r="P141" s="300">
        <v>-27.899675230936005</v>
      </c>
      <c r="Q141" s="300">
        <v>-29.01594091480834</v>
      </c>
      <c r="R141" s="300">
        <v>-30.079416460850847</v>
      </c>
      <c r="S141" s="300">
        <v>-31.032939957895419</v>
      </c>
      <c r="T141" s="300">
        <v>-31.802235640069437</v>
      </c>
      <c r="V141" s="283" t="s">
        <v>281</v>
      </c>
    </row>
    <row r="142" spans="1:22" ht="16.5" customHeight="1" x14ac:dyDescent="0.2">
      <c r="A142" s="332" t="s">
        <v>274</v>
      </c>
      <c r="B142" s="369" t="s">
        <v>26</v>
      </c>
      <c r="C142" s="296" t="s">
        <v>45</v>
      </c>
      <c r="D142" s="315">
        <v>1.7900000000000005</v>
      </c>
      <c r="E142" s="315">
        <v>2.9100000000000006</v>
      </c>
      <c r="F142" s="315">
        <v>2.579917</v>
      </c>
      <c r="G142" s="300">
        <v>2.2905251287337904</v>
      </c>
      <c r="H142" s="300">
        <v>1.3073998277848524</v>
      </c>
      <c r="I142" s="300">
        <v>1.0396124380083354</v>
      </c>
      <c r="J142" s="300">
        <v>1.1622949677546544</v>
      </c>
      <c r="K142" s="300">
        <v>0.34440837070475538</v>
      </c>
      <c r="L142" s="300">
        <v>0.20421648253987712</v>
      </c>
      <c r="M142" s="300">
        <v>1.1103059984024348</v>
      </c>
      <c r="N142" s="300">
        <v>2.3691940585840783</v>
      </c>
      <c r="O142" s="300">
        <v>3.5373684048620504</v>
      </c>
      <c r="P142" s="300">
        <v>4.6252679728747097</v>
      </c>
      <c r="Q142" s="300">
        <v>6.158398204709016</v>
      </c>
      <c r="R142" s="300">
        <v>8.2349881281941144</v>
      </c>
      <c r="S142" s="300">
        <v>9.7930155370771281</v>
      </c>
      <c r="T142" s="300">
        <v>12.014306918643531</v>
      </c>
      <c r="V142" s="283" t="s">
        <v>281</v>
      </c>
    </row>
    <row r="143" spans="1:22" ht="16.5" customHeight="1" x14ac:dyDescent="0.2">
      <c r="A143" s="332" t="s">
        <v>274</v>
      </c>
      <c r="B143" s="385" t="s">
        <v>52</v>
      </c>
      <c r="C143" s="296" t="s">
        <v>45</v>
      </c>
      <c r="D143" s="315">
        <v>4.53</v>
      </c>
      <c r="E143" s="315">
        <v>7.43</v>
      </c>
      <c r="F143" s="315">
        <v>10.009917</v>
      </c>
      <c r="G143" s="406">
        <v>10.009917</v>
      </c>
      <c r="H143" s="300">
        <v>11.317316827784852</v>
      </c>
      <c r="I143" s="300">
        <v>12.356929265793188</v>
      </c>
      <c r="J143" s="300">
        <v>13.519224233547842</v>
      </c>
      <c r="K143" s="300">
        <v>13.863632604252597</v>
      </c>
      <c r="L143" s="300">
        <v>14.067849086792474</v>
      </c>
      <c r="M143" s="300">
        <v>15.178155085194909</v>
      </c>
      <c r="N143" s="300">
        <v>17.547349143778987</v>
      </c>
      <c r="O143" s="300">
        <v>21.084717548641038</v>
      </c>
      <c r="P143" s="300">
        <v>25.709985521515748</v>
      </c>
      <c r="Q143" s="300">
        <v>31.868383726224764</v>
      </c>
      <c r="R143" s="300">
        <v>40.103371854418882</v>
      </c>
      <c r="S143" s="300">
        <v>49.896387391496006</v>
      </c>
      <c r="T143" s="300">
        <v>61.910694310139533</v>
      </c>
      <c r="V143" s="283" t="s">
        <v>281</v>
      </c>
    </row>
    <row r="144" spans="1:22" ht="17.25" customHeight="1" thickBot="1" x14ac:dyDescent="0.25">
      <c r="A144" s="359" t="s">
        <v>274</v>
      </c>
      <c r="B144" s="369" t="s">
        <v>162</v>
      </c>
      <c r="C144" s="345" t="s">
        <v>45</v>
      </c>
      <c r="D144" s="407">
        <v>0</v>
      </c>
      <c r="E144" s="407">
        <v>0</v>
      </c>
      <c r="F144" s="407">
        <v>0</v>
      </c>
      <c r="G144" s="300">
        <v>0</v>
      </c>
      <c r="H144" s="300">
        <v>0</v>
      </c>
      <c r="I144" s="300">
        <v>0</v>
      </c>
      <c r="J144" s="300">
        <v>0</v>
      </c>
      <c r="K144" s="300">
        <v>0</v>
      </c>
      <c r="L144" s="300">
        <v>0</v>
      </c>
      <c r="M144" s="300">
        <v>0</v>
      </c>
      <c r="N144" s="300">
        <v>0</v>
      </c>
      <c r="O144" s="300">
        <v>0</v>
      </c>
      <c r="P144" s="300">
        <v>0</v>
      </c>
      <c r="Q144" s="300">
        <v>0</v>
      </c>
      <c r="R144" s="300">
        <v>0</v>
      </c>
      <c r="S144" s="300">
        <v>0</v>
      </c>
      <c r="T144" s="300">
        <v>0</v>
      </c>
      <c r="V144" s="283" t="s">
        <v>281</v>
      </c>
    </row>
    <row r="145" spans="1:20" ht="15" x14ac:dyDescent="0.2">
      <c r="A145" s="364" t="s">
        <v>274</v>
      </c>
      <c r="B145" s="376" t="s">
        <v>313</v>
      </c>
      <c r="C145" s="376" t="b">
        <v>1</v>
      </c>
      <c r="D145" s="376" t="s">
        <v>274</v>
      </c>
      <c r="E145" s="408"/>
      <c r="F145" s="376"/>
      <c r="G145" s="409"/>
      <c r="H145" s="409"/>
      <c r="I145" s="409"/>
      <c r="J145" s="409"/>
      <c r="K145" s="409"/>
      <c r="L145" s="409"/>
      <c r="M145" s="409"/>
      <c r="N145" s="409"/>
      <c r="O145" s="409"/>
      <c r="P145" s="409"/>
      <c r="Q145" s="409"/>
      <c r="R145" s="409"/>
      <c r="S145" s="409"/>
      <c r="T145" s="409"/>
    </row>
    <row r="146" spans="1:20" ht="16" thickBot="1" x14ac:dyDescent="0.25">
      <c r="A146" s="364" t="s">
        <v>274</v>
      </c>
      <c r="B146" s="376" t="s">
        <v>274</v>
      </c>
      <c r="C146" s="376" t="s">
        <v>274</v>
      </c>
      <c r="D146" s="410" t="s">
        <v>274</v>
      </c>
      <c r="E146" s="376"/>
      <c r="F146" s="376"/>
      <c r="G146" s="376"/>
      <c r="H146" s="376"/>
      <c r="I146" s="376"/>
      <c r="J146" s="376"/>
      <c r="K146" s="376"/>
      <c r="L146" s="376"/>
      <c r="M146" s="376"/>
      <c r="N146" s="376"/>
      <c r="O146" s="376"/>
      <c r="P146" s="376"/>
      <c r="Q146" s="376"/>
      <c r="R146" s="376"/>
      <c r="S146" s="376"/>
      <c r="T146" s="376"/>
    </row>
    <row r="147" spans="1:20" ht="16.5" customHeight="1" x14ac:dyDescent="0.2">
      <c r="A147" s="411" t="s">
        <v>314</v>
      </c>
      <c r="B147" s="412" t="s">
        <v>12</v>
      </c>
      <c r="C147" s="413" t="s">
        <v>143</v>
      </c>
      <c r="D147" s="364" t="s">
        <v>274</v>
      </c>
      <c r="E147" s="400"/>
      <c r="F147" s="400"/>
      <c r="G147" s="400"/>
      <c r="H147" s="400"/>
      <c r="I147" s="400"/>
      <c r="J147" s="400"/>
      <c r="K147" s="400"/>
      <c r="L147" s="400"/>
      <c r="M147" s="400"/>
      <c r="N147" s="400"/>
      <c r="O147" s="400"/>
      <c r="P147" s="400"/>
      <c r="Q147" s="400"/>
      <c r="R147" s="400"/>
      <c r="S147" s="400"/>
      <c r="T147" s="400"/>
    </row>
    <row r="148" spans="1:20" ht="16.5" customHeight="1" x14ac:dyDescent="0.2">
      <c r="A148" s="414" t="s">
        <v>274</v>
      </c>
      <c r="B148" s="415" t="s">
        <v>6</v>
      </c>
      <c r="C148" s="416" t="s">
        <v>7</v>
      </c>
      <c r="D148" s="364" t="s">
        <v>274</v>
      </c>
      <c r="E148" s="364" t="s">
        <v>274</v>
      </c>
      <c r="F148" s="364" t="s">
        <v>274</v>
      </c>
      <c r="G148" s="364" t="s">
        <v>274</v>
      </c>
      <c r="H148" s="364" t="s">
        <v>274</v>
      </c>
      <c r="I148" s="364" t="s">
        <v>274</v>
      </c>
      <c r="J148" s="364" t="s">
        <v>274</v>
      </c>
      <c r="K148" s="364" t="s">
        <v>274</v>
      </c>
      <c r="L148" s="364" t="s">
        <v>274</v>
      </c>
      <c r="M148" s="364" t="s">
        <v>274</v>
      </c>
      <c r="N148" s="364" t="s">
        <v>274</v>
      </c>
      <c r="O148" s="364" t="s">
        <v>274</v>
      </c>
      <c r="P148" s="364" t="s">
        <v>274</v>
      </c>
      <c r="Q148" s="364" t="s">
        <v>274</v>
      </c>
      <c r="R148" s="364" t="s">
        <v>274</v>
      </c>
      <c r="S148" s="364" t="s">
        <v>274</v>
      </c>
      <c r="T148" s="364" t="s">
        <v>274</v>
      </c>
    </row>
    <row r="149" spans="1:20" ht="16.5" customHeight="1" x14ac:dyDescent="0.2">
      <c r="A149" s="414" t="s">
        <v>274</v>
      </c>
      <c r="B149" s="417" t="s">
        <v>9</v>
      </c>
      <c r="C149" s="418">
        <v>1</v>
      </c>
      <c r="D149" s="364" t="s">
        <v>274</v>
      </c>
      <c r="E149" s="364" t="s">
        <v>274</v>
      </c>
      <c r="F149" s="364" t="s">
        <v>274</v>
      </c>
      <c r="G149" s="364" t="s">
        <v>274</v>
      </c>
      <c r="H149" s="364" t="s">
        <v>274</v>
      </c>
      <c r="I149" s="364" t="s">
        <v>274</v>
      </c>
      <c r="J149" s="364" t="s">
        <v>274</v>
      </c>
      <c r="K149" s="364" t="s">
        <v>274</v>
      </c>
      <c r="L149" s="364" t="s">
        <v>274</v>
      </c>
      <c r="M149" s="364" t="s">
        <v>274</v>
      </c>
      <c r="N149" s="364" t="s">
        <v>274</v>
      </c>
      <c r="O149" s="364" t="s">
        <v>274</v>
      </c>
      <c r="P149" s="364" t="s">
        <v>274</v>
      </c>
      <c r="Q149" s="364" t="s">
        <v>274</v>
      </c>
      <c r="R149" s="364" t="s">
        <v>274</v>
      </c>
      <c r="S149" s="364" t="s">
        <v>274</v>
      </c>
      <c r="T149" s="364" t="s">
        <v>274</v>
      </c>
    </row>
    <row r="150" spans="1:20" ht="16.5" customHeight="1" x14ac:dyDescent="0.2">
      <c r="A150" s="414" t="s">
        <v>274</v>
      </c>
      <c r="B150" s="419" t="s">
        <v>115</v>
      </c>
      <c r="C150" s="418">
        <v>1</v>
      </c>
      <c r="D150" s="364" t="s">
        <v>274</v>
      </c>
      <c r="E150" s="364" t="s">
        <v>274</v>
      </c>
      <c r="F150" s="364" t="s">
        <v>274</v>
      </c>
      <c r="G150" s="364" t="s">
        <v>274</v>
      </c>
      <c r="H150" s="364" t="s">
        <v>274</v>
      </c>
      <c r="I150" s="364" t="s">
        <v>274</v>
      </c>
      <c r="J150" s="364" t="s">
        <v>274</v>
      </c>
      <c r="K150" s="364" t="s">
        <v>274</v>
      </c>
      <c r="L150" s="364" t="s">
        <v>274</v>
      </c>
      <c r="M150" s="364" t="s">
        <v>274</v>
      </c>
      <c r="N150" s="364" t="s">
        <v>274</v>
      </c>
      <c r="O150" s="364" t="s">
        <v>274</v>
      </c>
      <c r="P150" s="364" t="s">
        <v>274</v>
      </c>
      <c r="Q150" s="364" t="s">
        <v>274</v>
      </c>
      <c r="R150" s="364" t="s">
        <v>274</v>
      </c>
      <c r="S150" s="364" t="s">
        <v>274</v>
      </c>
      <c r="T150" s="364" t="s">
        <v>274</v>
      </c>
    </row>
    <row r="151" spans="1:20" ht="16.5" customHeight="1" x14ac:dyDescent="0.2">
      <c r="A151" s="414" t="s">
        <v>274</v>
      </c>
      <c r="B151" s="419" t="s">
        <v>10</v>
      </c>
      <c r="C151" s="418">
        <v>3.4</v>
      </c>
      <c r="D151" s="364" t="s">
        <v>274</v>
      </c>
      <c r="E151" s="364" t="s">
        <v>274</v>
      </c>
      <c r="F151" s="364" t="s">
        <v>274</v>
      </c>
      <c r="G151" s="364" t="s">
        <v>274</v>
      </c>
      <c r="H151" s="364" t="s">
        <v>274</v>
      </c>
      <c r="I151" s="364" t="s">
        <v>274</v>
      </c>
      <c r="J151" s="364" t="s">
        <v>274</v>
      </c>
      <c r="K151" s="364" t="s">
        <v>274</v>
      </c>
      <c r="L151" s="364" t="s">
        <v>274</v>
      </c>
      <c r="M151" s="364" t="s">
        <v>274</v>
      </c>
      <c r="N151" s="364" t="s">
        <v>274</v>
      </c>
      <c r="O151" s="364" t="s">
        <v>274</v>
      </c>
      <c r="P151" s="364" t="s">
        <v>274</v>
      </c>
      <c r="Q151" s="364" t="s">
        <v>274</v>
      </c>
      <c r="R151" s="364" t="s">
        <v>274</v>
      </c>
      <c r="S151" s="364" t="s">
        <v>274</v>
      </c>
      <c r="T151" s="364" t="s">
        <v>274</v>
      </c>
    </row>
    <row r="152" spans="1:20" ht="16.5" customHeight="1" x14ac:dyDescent="0.2">
      <c r="A152" s="414" t="s">
        <v>274</v>
      </c>
      <c r="B152" s="419" t="s">
        <v>11</v>
      </c>
      <c r="C152" s="418">
        <v>2.5</v>
      </c>
      <c r="D152" s="364" t="s">
        <v>274</v>
      </c>
      <c r="E152" s="364" t="s">
        <v>274</v>
      </c>
      <c r="F152" s="364" t="s">
        <v>274</v>
      </c>
      <c r="G152" s="364" t="s">
        <v>274</v>
      </c>
      <c r="H152" s="364" t="s">
        <v>274</v>
      </c>
      <c r="I152" s="364" t="s">
        <v>274</v>
      </c>
      <c r="J152" s="364" t="s">
        <v>274</v>
      </c>
      <c r="K152" s="364" t="s">
        <v>274</v>
      </c>
      <c r="L152" s="364" t="s">
        <v>274</v>
      </c>
      <c r="M152" s="364" t="s">
        <v>274</v>
      </c>
      <c r="N152" s="364" t="s">
        <v>274</v>
      </c>
      <c r="O152" s="364" t="s">
        <v>274</v>
      </c>
      <c r="P152" s="364" t="s">
        <v>274</v>
      </c>
      <c r="Q152" s="364" t="s">
        <v>274</v>
      </c>
      <c r="R152" s="364" t="s">
        <v>274</v>
      </c>
      <c r="S152" s="364" t="s">
        <v>274</v>
      </c>
      <c r="T152" s="364" t="s">
        <v>274</v>
      </c>
    </row>
    <row r="153" spans="1:20" ht="16.5" customHeight="1" x14ac:dyDescent="0.2">
      <c r="A153" s="414" t="s">
        <v>274</v>
      </c>
      <c r="B153" s="420" t="s">
        <v>274</v>
      </c>
      <c r="C153" s="421" t="s">
        <v>274</v>
      </c>
      <c r="D153" s="364" t="s">
        <v>274</v>
      </c>
      <c r="E153" s="364" t="s">
        <v>274</v>
      </c>
      <c r="F153" s="364" t="s">
        <v>274</v>
      </c>
      <c r="G153" s="364" t="s">
        <v>274</v>
      </c>
      <c r="H153" s="364" t="s">
        <v>274</v>
      </c>
      <c r="I153" s="364" t="s">
        <v>274</v>
      </c>
      <c r="J153" s="364" t="s">
        <v>274</v>
      </c>
      <c r="K153" s="364" t="s">
        <v>274</v>
      </c>
      <c r="L153" s="364" t="s">
        <v>274</v>
      </c>
      <c r="M153" s="364" t="s">
        <v>274</v>
      </c>
      <c r="N153" s="364" t="s">
        <v>274</v>
      </c>
      <c r="O153" s="364" t="s">
        <v>274</v>
      </c>
      <c r="P153" s="364" t="s">
        <v>274</v>
      </c>
      <c r="Q153" s="364" t="s">
        <v>274</v>
      </c>
      <c r="R153" s="364" t="s">
        <v>274</v>
      </c>
      <c r="S153" s="364" t="s">
        <v>274</v>
      </c>
      <c r="T153" s="364" t="s">
        <v>274</v>
      </c>
    </row>
    <row r="154" spans="1:20" ht="16.5" customHeight="1" x14ac:dyDescent="0.2">
      <c r="A154" s="414" t="s">
        <v>274</v>
      </c>
      <c r="B154" s="422" t="s">
        <v>13</v>
      </c>
      <c r="C154" s="423" t="s">
        <v>143</v>
      </c>
      <c r="D154" s="364" t="s">
        <v>274</v>
      </c>
      <c r="E154" s="364" t="s">
        <v>274</v>
      </c>
      <c r="F154" s="364" t="s">
        <v>274</v>
      </c>
      <c r="G154" s="364" t="s">
        <v>274</v>
      </c>
      <c r="H154" s="364" t="s">
        <v>274</v>
      </c>
      <c r="I154" s="364" t="s">
        <v>274</v>
      </c>
      <c r="J154" s="364" t="s">
        <v>274</v>
      </c>
      <c r="K154" s="364" t="s">
        <v>274</v>
      </c>
      <c r="L154" s="364" t="s">
        <v>274</v>
      </c>
      <c r="M154" s="364" t="s">
        <v>274</v>
      </c>
      <c r="N154" s="364" t="s">
        <v>274</v>
      </c>
      <c r="O154" s="364" t="s">
        <v>274</v>
      </c>
      <c r="P154" s="364" t="s">
        <v>274</v>
      </c>
      <c r="Q154" s="364" t="s">
        <v>274</v>
      </c>
      <c r="R154" s="364" t="s">
        <v>274</v>
      </c>
      <c r="S154" s="364" t="s">
        <v>274</v>
      </c>
      <c r="T154" s="364" t="s">
        <v>274</v>
      </c>
    </row>
    <row r="155" spans="1:20" ht="16.5" customHeight="1" x14ac:dyDescent="0.2">
      <c r="A155" s="414" t="s">
        <v>274</v>
      </c>
      <c r="B155" s="415" t="s">
        <v>6</v>
      </c>
      <c r="C155" s="416" t="s">
        <v>8</v>
      </c>
      <c r="D155" s="364" t="s">
        <v>274</v>
      </c>
      <c r="E155" s="364" t="s">
        <v>274</v>
      </c>
      <c r="F155" s="364" t="s">
        <v>274</v>
      </c>
      <c r="G155" s="364" t="s">
        <v>274</v>
      </c>
      <c r="H155" s="364" t="s">
        <v>274</v>
      </c>
      <c r="I155" s="364" t="s">
        <v>274</v>
      </c>
      <c r="J155" s="364" t="s">
        <v>274</v>
      </c>
      <c r="K155" s="364" t="s">
        <v>274</v>
      </c>
      <c r="L155" s="364" t="s">
        <v>274</v>
      </c>
      <c r="M155" s="364" t="s">
        <v>274</v>
      </c>
      <c r="N155" s="364" t="s">
        <v>274</v>
      </c>
      <c r="O155" s="364" t="s">
        <v>274</v>
      </c>
      <c r="P155" s="364" t="s">
        <v>274</v>
      </c>
      <c r="Q155" s="364" t="s">
        <v>274</v>
      </c>
      <c r="R155" s="364" t="s">
        <v>274</v>
      </c>
      <c r="S155" s="364" t="s">
        <v>274</v>
      </c>
      <c r="T155" s="364" t="s">
        <v>274</v>
      </c>
    </row>
    <row r="156" spans="1:20" ht="16.5" customHeight="1" x14ac:dyDescent="0.2">
      <c r="A156" s="414" t="s">
        <v>274</v>
      </c>
      <c r="B156" s="419" t="s">
        <v>41</v>
      </c>
      <c r="C156" s="418">
        <v>1</v>
      </c>
      <c r="D156" s="364" t="s">
        <v>274</v>
      </c>
      <c r="E156" s="364" t="s">
        <v>274</v>
      </c>
      <c r="F156" s="364" t="s">
        <v>274</v>
      </c>
      <c r="G156" s="364" t="s">
        <v>274</v>
      </c>
      <c r="H156" s="364" t="s">
        <v>274</v>
      </c>
      <c r="I156" s="364" t="s">
        <v>274</v>
      </c>
      <c r="J156" s="364" t="s">
        <v>274</v>
      </c>
      <c r="K156" s="364" t="s">
        <v>274</v>
      </c>
      <c r="L156" s="364" t="s">
        <v>274</v>
      </c>
      <c r="M156" s="364" t="s">
        <v>274</v>
      </c>
      <c r="N156" s="364" t="s">
        <v>274</v>
      </c>
      <c r="O156" s="364" t="s">
        <v>274</v>
      </c>
      <c r="P156" s="364" t="s">
        <v>274</v>
      </c>
      <c r="Q156" s="364" t="s">
        <v>274</v>
      </c>
      <c r="R156" s="364" t="s">
        <v>274</v>
      </c>
      <c r="S156" s="364" t="s">
        <v>274</v>
      </c>
      <c r="T156" s="364" t="s">
        <v>274</v>
      </c>
    </row>
    <row r="157" spans="1:20" ht="16.5" customHeight="1" x14ac:dyDescent="0.2">
      <c r="A157" s="414" t="s">
        <v>274</v>
      </c>
      <c r="B157" s="419" t="s">
        <v>14</v>
      </c>
      <c r="C157" s="418">
        <v>0.9</v>
      </c>
      <c r="D157" s="364" t="s">
        <v>274</v>
      </c>
      <c r="E157" s="364" t="s">
        <v>274</v>
      </c>
      <c r="F157" s="364" t="s">
        <v>274</v>
      </c>
      <c r="G157" s="364" t="s">
        <v>274</v>
      </c>
      <c r="H157" s="364" t="s">
        <v>274</v>
      </c>
      <c r="I157" s="364" t="s">
        <v>274</v>
      </c>
      <c r="J157" s="364" t="s">
        <v>274</v>
      </c>
      <c r="K157" s="364" t="s">
        <v>274</v>
      </c>
      <c r="L157" s="364" t="s">
        <v>274</v>
      </c>
      <c r="M157" s="364" t="s">
        <v>274</v>
      </c>
      <c r="N157" s="364" t="s">
        <v>274</v>
      </c>
      <c r="O157" s="364" t="s">
        <v>274</v>
      </c>
      <c r="P157" s="364" t="s">
        <v>274</v>
      </c>
      <c r="Q157" s="364" t="s">
        <v>274</v>
      </c>
      <c r="R157" s="364" t="s">
        <v>274</v>
      </c>
      <c r="S157" s="364" t="s">
        <v>274</v>
      </c>
      <c r="T157" s="364" t="s">
        <v>274</v>
      </c>
    </row>
    <row r="158" spans="1:20" ht="16.5" customHeight="1" x14ac:dyDescent="0.2">
      <c r="A158" s="414" t="s">
        <v>274</v>
      </c>
      <c r="B158" s="419" t="s">
        <v>88</v>
      </c>
      <c r="C158" s="418">
        <v>2.7</v>
      </c>
      <c r="D158" s="364" t="s">
        <v>274</v>
      </c>
      <c r="E158" s="364" t="s">
        <v>274</v>
      </c>
      <c r="F158" s="364" t="s">
        <v>274</v>
      </c>
      <c r="G158" s="364" t="s">
        <v>274</v>
      </c>
      <c r="H158" s="364" t="s">
        <v>274</v>
      </c>
      <c r="I158" s="364" t="s">
        <v>274</v>
      </c>
      <c r="J158" s="364" t="s">
        <v>274</v>
      </c>
      <c r="K158" s="364" t="s">
        <v>274</v>
      </c>
      <c r="L158" s="364" t="s">
        <v>274</v>
      </c>
      <c r="M158" s="364" t="s">
        <v>274</v>
      </c>
      <c r="N158" s="364" t="s">
        <v>274</v>
      </c>
      <c r="O158" s="364" t="s">
        <v>274</v>
      </c>
      <c r="P158" s="364" t="s">
        <v>274</v>
      </c>
      <c r="Q158" s="364" t="s">
        <v>274</v>
      </c>
      <c r="R158" s="364" t="s">
        <v>274</v>
      </c>
      <c r="S158" s="364" t="s">
        <v>274</v>
      </c>
      <c r="T158" s="364" t="s">
        <v>274</v>
      </c>
    </row>
    <row r="159" spans="1:20" ht="16.5" customHeight="1" x14ac:dyDescent="0.2">
      <c r="A159" s="414" t="s">
        <v>274</v>
      </c>
      <c r="B159" s="419" t="s">
        <v>11</v>
      </c>
      <c r="C159" s="418">
        <v>1.9</v>
      </c>
      <c r="D159" s="364" t="s">
        <v>274</v>
      </c>
      <c r="E159" s="364" t="s">
        <v>274</v>
      </c>
      <c r="F159" s="364" t="s">
        <v>274</v>
      </c>
      <c r="G159" s="364" t="s">
        <v>274</v>
      </c>
      <c r="H159" s="364" t="s">
        <v>274</v>
      </c>
      <c r="I159" s="364" t="s">
        <v>274</v>
      </c>
      <c r="J159" s="364" t="s">
        <v>274</v>
      </c>
      <c r="K159" s="364" t="s">
        <v>274</v>
      </c>
      <c r="L159" s="364" t="s">
        <v>274</v>
      </c>
      <c r="M159" s="364" t="s">
        <v>274</v>
      </c>
      <c r="N159" s="364" t="s">
        <v>274</v>
      </c>
      <c r="O159" s="364" t="s">
        <v>274</v>
      </c>
      <c r="P159" s="364" t="s">
        <v>274</v>
      </c>
      <c r="Q159" s="364" t="s">
        <v>274</v>
      </c>
      <c r="R159" s="364" t="s">
        <v>274</v>
      </c>
      <c r="S159" s="364" t="s">
        <v>274</v>
      </c>
      <c r="T159" s="364" t="s">
        <v>274</v>
      </c>
    </row>
    <row r="160" spans="1:20" ht="17.25" customHeight="1" thickBot="1" x14ac:dyDescent="0.25">
      <c r="A160" s="414" t="s">
        <v>274</v>
      </c>
      <c r="B160" s="424" t="s">
        <v>113</v>
      </c>
      <c r="C160" s="425">
        <v>3.9</v>
      </c>
      <c r="D160" s="426" t="s">
        <v>114</v>
      </c>
      <c r="E160" s="364"/>
      <c r="F160" s="364"/>
      <c r="G160" s="364"/>
      <c r="H160" s="364"/>
      <c r="I160" s="364"/>
      <c r="J160" s="364" t="s">
        <v>274</v>
      </c>
      <c r="K160" s="364" t="s">
        <v>274</v>
      </c>
      <c r="L160" s="364" t="s">
        <v>274</v>
      </c>
      <c r="M160" s="364" t="s">
        <v>274</v>
      </c>
      <c r="N160" s="364" t="s">
        <v>274</v>
      </c>
      <c r="O160" s="364" t="s">
        <v>274</v>
      </c>
      <c r="P160" s="364" t="s">
        <v>274</v>
      </c>
      <c r="Q160" s="364" t="s">
        <v>274</v>
      </c>
      <c r="R160" s="364" t="s">
        <v>274</v>
      </c>
      <c r="S160" s="364" t="s">
        <v>274</v>
      </c>
      <c r="T160" s="364" t="s">
        <v>274</v>
      </c>
    </row>
    <row r="161" spans="1:20" ht="16.5" customHeight="1" x14ac:dyDescent="0.2">
      <c r="A161" s="414" t="s">
        <v>274</v>
      </c>
      <c r="B161" s="420" t="s">
        <v>274</v>
      </c>
      <c r="C161" s="421" t="s">
        <v>274</v>
      </c>
      <c r="D161" s="364" t="s">
        <v>274</v>
      </c>
      <c r="E161" s="364" t="s">
        <v>274</v>
      </c>
      <c r="F161" s="364" t="s">
        <v>274</v>
      </c>
      <c r="G161" s="364" t="s">
        <v>274</v>
      </c>
      <c r="H161" s="364" t="s">
        <v>274</v>
      </c>
      <c r="I161" s="364" t="s">
        <v>274</v>
      </c>
      <c r="J161" s="364" t="s">
        <v>274</v>
      </c>
      <c r="K161" s="364" t="s">
        <v>274</v>
      </c>
      <c r="L161" s="364" t="s">
        <v>274</v>
      </c>
      <c r="M161" s="364" t="s">
        <v>274</v>
      </c>
      <c r="N161" s="364" t="s">
        <v>274</v>
      </c>
      <c r="O161" s="364" t="s">
        <v>274</v>
      </c>
      <c r="P161" s="364" t="s">
        <v>274</v>
      </c>
      <c r="Q161" s="364" t="s">
        <v>274</v>
      </c>
      <c r="R161" s="364" t="s">
        <v>274</v>
      </c>
      <c r="S161" s="364" t="s">
        <v>274</v>
      </c>
      <c r="T161" s="364" t="s">
        <v>274</v>
      </c>
    </row>
    <row r="162" spans="1:20" ht="16.5" customHeight="1" x14ac:dyDescent="0.2">
      <c r="A162" s="414" t="s">
        <v>274</v>
      </c>
      <c r="B162" s="422" t="s">
        <v>87</v>
      </c>
      <c r="C162" s="423" t="s">
        <v>143</v>
      </c>
      <c r="D162" s="364" t="s">
        <v>274</v>
      </c>
      <c r="E162" s="364" t="s">
        <v>274</v>
      </c>
      <c r="F162" s="364" t="s">
        <v>274</v>
      </c>
      <c r="G162" s="364" t="s">
        <v>274</v>
      </c>
      <c r="H162" s="364" t="s">
        <v>274</v>
      </c>
      <c r="I162" s="364" t="s">
        <v>274</v>
      </c>
      <c r="J162" s="364" t="s">
        <v>274</v>
      </c>
      <c r="K162" s="364" t="s">
        <v>274</v>
      </c>
      <c r="L162" s="364" t="s">
        <v>274</v>
      </c>
      <c r="M162" s="364" t="s">
        <v>274</v>
      </c>
      <c r="N162" s="364" t="s">
        <v>274</v>
      </c>
      <c r="O162" s="364" t="s">
        <v>274</v>
      </c>
      <c r="P162" s="364" t="s">
        <v>274</v>
      </c>
      <c r="Q162" s="364" t="s">
        <v>274</v>
      </c>
      <c r="R162" s="364" t="s">
        <v>274</v>
      </c>
      <c r="S162" s="364" t="s">
        <v>274</v>
      </c>
      <c r="T162" s="364" t="s">
        <v>274</v>
      </c>
    </row>
    <row r="163" spans="1:20" ht="16.5" customHeight="1" x14ac:dyDescent="0.2">
      <c r="A163" s="414" t="s">
        <v>274</v>
      </c>
      <c r="B163" s="415" t="s">
        <v>72</v>
      </c>
      <c r="C163" s="416" t="s">
        <v>70</v>
      </c>
      <c r="D163" s="364" t="s">
        <v>274</v>
      </c>
      <c r="E163" s="364" t="s">
        <v>274</v>
      </c>
      <c r="F163" s="364" t="s">
        <v>274</v>
      </c>
      <c r="G163" s="364" t="s">
        <v>274</v>
      </c>
      <c r="H163" s="364" t="s">
        <v>274</v>
      </c>
      <c r="I163" s="364" t="s">
        <v>274</v>
      </c>
      <c r="J163" s="364" t="s">
        <v>274</v>
      </c>
      <c r="K163" s="364" t="s">
        <v>274</v>
      </c>
      <c r="L163" s="364" t="s">
        <v>274</v>
      </c>
      <c r="M163" s="364" t="s">
        <v>274</v>
      </c>
      <c r="N163" s="364" t="s">
        <v>274</v>
      </c>
      <c r="O163" s="364" t="s">
        <v>274</v>
      </c>
      <c r="P163" s="364" t="s">
        <v>274</v>
      </c>
      <c r="Q163" s="364" t="s">
        <v>274</v>
      </c>
      <c r="R163" s="364" t="s">
        <v>274</v>
      </c>
      <c r="S163" s="364" t="s">
        <v>274</v>
      </c>
      <c r="T163" s="364" t="s">
        <v>274</v>
      </c>
    </row>
    <row r="164" spans="1:20" ht="17.25" customHeight="1" thickBot="1" x14ac:dyDescent="0.25">
      <c r="A164" s="427" t="s">
        <v>274</v>
      </c>
      <c r="B164" s="428" t="s">
        <v>71</v>
      </c>
      <c r="C164" s="425">
        <v>1</v>
      </c>
      <c r="D164" s="364" t="s">
        <v>274</v>
      </c>
      <c r="E164" s="364" t="s">
        <v>274</v>
      </c>
      <c r="F164" s="364" t="s">
        <v>274</v>
      </c>
      <c r="G164" s="364" t="s">
        <v>274</v>
      </c>
      <c r="H164" s="364" t="s">
        <v>274</v>
      </c>
      <c r="I164" s="364" t="s">
        <v>274</v>
      </c>
      <c r="J164" s="364" t="s">
        <v>274</v>
      </c>
      <c r="K164" s="364" t="s">
        <v>274</v>
      </c>
      <c r="L164" s="364" t="s">
        <v>274</v>
      </c>
      <c r="M164" s="364" t="s">
        <v>274</v>
      </c>
      <c r="N164" s="364" t="s">
        <v>274</v>
      </c>
      <c r="O164" s="364" t="s">
        <v>274</v>
      </c>
      <c r="P164" s="364" t="s">
        <v>274</v>
      </c>
      <c r="Q164" s="364" t="s">
        <v>274</v>
      </c>
      <c r="R164" s="364" t="s">
        <v>274</v>
      </c>
      <c r="S164" s="364" t="s">
        <v>274</v>
      </c>
      <c r="T164" s="364" t="s">
        <v>274</v>
      </c>
    </row>
    <row r="165" spans="1:20" ht="15" x14ac:dyDescent="0.2">
      <c r="A165" s="364" t="s">
        <v>274</v>
      </c>
      <c r="B165" s="364" t="s">
        <v>274</v>
      </c>
      <c r="C165" s="364" t="s">
        <v>274</v>
      </c>
      <c r="D165" s="364" t="s">
        <v>274</v>
      </c>
      <c r="E165" s="364" t="s">
        <v>274</v>
      </c>
      <c r="F165" s="364" t="s">
        <v>274</v>
      </c>
      <c r="G165" s="364" t="s">
        <v>274</v>
      </c>
      <c r="H165" s="364" t="s">
        <v>274</v>
      </c>
      <c r="I165" s="364" t="s">
        <v>274</v>
      </c>
      <c r="J165" s="364" t="s">
        <v>274</v>
      </c>
      <c r="K165" s="364" t="s">
        <v>274</v>
      </c>
      <c r="L165" s="361" t="s">
        <v>274</v>
      </c>
      <c r="M165" s="361" t="s">
        <v>274</v>
      </c>
      <c r="N165" s="361" t="s">
        <v>274</v>
      </c>
      <c r="O165" s="361" t="s">
        <v>274</v>
      </c>
      <c r="P165" s="361" t="s">
        <v>274</v>
      </c>
      <c r="Q165" s="361" t="s">
        <v>274</v>
      </c>
      <c r="R165" s="361" t="s">
        <v>274</v>
      </c>
      <c r="S165" s="364" t="s">
        <v>274</v>
      </c>
      <c r="T165" s="364" t="s">
        <v>274</v>
      </c>
    </row>
    <row r="166" spans="1:20" ht="15" x14ac:dyDescent="0.2">
      <c r="A166" s="364" t="s">
        <v>274</v>
      </c>
      <c r="B166" s="364" t="s">
        <v>274</v>
      </c>
      <c r="C166" s="364" t="s">
        <v>274</v>
      </c>
      <c r="D166" s="364" t="s">
        <v>274</v>
      </c>
      <c r="E166" s="364" t="s">
        <v>274</v>
      </c>
      <c r="F166" s="364" t="s">
        <v>274</v>
      </c>
      <c r="G166" s="364" t="s">
        <v>274</v>
      </c>
      <c r="H166" s="364" t="s">
        <v>274</v>
      </c>
      <c r="I166" s="364" t="s">
        <v>274</v>
      </c>
      <c r="J166" s="364" t="s">
        <v>274</v>
      </c>
      <c r="K166" s="364" t="s">
        <v>274</v>
      </c>
      <c r="L166" s="364" t="s">
        <v>274</v>
      </c>
      <c r="M166" s="364" t="s">
        <v>274</v>
      </c>
      <c r="N166" s="364" t="s">
        <v>274</v>
      </c>
      <c r="O166" s="364" t="s">
        <v>274</v>
      </c>
      <c r="P166" s="361" t="s">
        <v>274</v>
      </c>
      <c r="Q166" s="361" t="s">
        <v>274</v>
      </c>
      <c r="R166" s="361" t="s">
        <v>274</v>
      </c>
      <c r="S166" s="364" t="s">
        <v>274</v>
      </c>
      <c r="T166" s="364" t="s">
        <v>274</v>
      </c>
    </row>
    <row r="167" spans="1:20" ht="75" x14ac:dyDescent="0.2">
      <c r="A167" s="364" t="s">
        <v>274</v>
      </c>
      <c r="B167" s="429" t="s">
        <v>20</v>
      </c>
      <c r="C167" s="430" t="s">
        <v>315</v>
      </c>
      <c r="D167" s="429" t="s">
        <v>15</v>
      </c>
      <c r="E167" s="364" t="s">
        <v>274</v>
      </c>
      <c r="F167" s="364" t="s">
        <v>274</v>
      </c>
      <c r="G167" s="364" t="s">
        <v>274</v>
      </c>
      <c r="H167" s="364" t="s">
        <v>274</v>
      </c>
      <c r="I167" s="364" t="s">
        <v>274</v>
      </c>
      <c r="J167" s="364" t="s">
        <v>274</v>
      </c>
      <c r="K167" s="364" t="s">
        <v>274</v>
      </c>
      <c r="L167" s="364" t="s">
        <v>274</v>
      </c>
      <c r="M167" s="364" t="s">
        <v>274</v>
      </c>
      <c r="N167" s="364" t="s">
        <v>274</v>
      </c>
      <c r="O167" s="364" t="s">
        <v>274</v>
      </c>
      <c r="P167" s="364" t="s">
        <v>274</v>
      </c>
      <c r="Q167" s="364" t="s">
        <v>274</v>
      </c>
      <c r="R167" s="364" t="s">
        <v>274</v>
      </c>
      <c r="S167" s="364" t="s">
        <v>274</v>
      </c>
      <c r="T167" s="364" t="s">
        <v>274</v>
      </c>
    </row>
    <row r="168" spans="1:20" ht="15" x14ac:dyDescent="0.2">
      <c r="A168" s="364" t="s">
        <v>274</v>
      </c>
      <c r="B168" s="296" t="s">
        <v>60</v>
      </c>
      <c r="C168" s="431">
        <v>81.510000000000005</v>
      </c>
      <c r="D168" s="296" t="s">
        <v>24</v>
      </c>
      <c r="E168" s="364" t="s">
        <v>274</v>
      </c>
      <c r="F168" s="364" t="s">
        <v>274</v>
      </c>
      <c r="G168" s="364" t="s">
        <v>274</v>
      </c>
      <c r="H168" s="364" t="s">
        <v>274</v>
      </c>
      <c r="I168" s="364" t="s">
        <v>274</v>
      </c>
      <c r="J168" s="364" t="s">
        <v>274</v>
      </c>
      <c r="K168" s="364" t="s">
        <v>274</v>
      </c>
      <c r="L168" s="364" t="s">
        <v>274</v>
      </c>
      <c r="M168" s="364" t="s">
        <v>274</v>
      </c>
      <c r="N168" s="364" t="s">
        <v>274</v>
      </c>
      <c r="O168" s="364" t="s">
        <v>274</v>
      </c>
      <c r="P168" s="364" t="s">
        <v>274</v>
      </c>
      <c r="Q168" s="364" t="s">
        <v>274</v>
      </c>
      <c r="R168" s="364" t="s">
        <v>274</v>
      </c>
      <c r="S168" s="364" t="s">
        <v>274</v>
      </c>
      <c r="T168" s="364" t="s">
        <v>274</v>
      </c>
    </row>
    <row r="169" spans="1:20" ht="15" x14ac:dyDescent="0.2">
      <c r="A169" s="364" t="s">
        <v>274</v>
      </c>
      <c r="B169" s="296" t="s">
        <v>17</v>
      </c>
      <c r="C169" s="431">
        <v>81.510000000000005</v>
      </c>
      <c r="D169" s="296" t="s">
        <v>24</v>
      </c>
      <c r="E169" s="364" t="s">
        <v>274</v>
      </c>
      <c r="F169" s="364" t="s">
        <v>274</v>
      </c>
      <c r="G169" s="364" t="s">
        <v>274</v>
      </c>
      <c r="H169" s="364" t="s">
        <v>274</v>
      </c>
      <c r="I169" s="364" t="s">
        <v>274</v>
      </c>
      <c r="J169" s="364" t="s">
        <v>274</v>
      </c>
      <c r="K169" s="364" t="s">
        <v>274</v>
      </c>
      <c r="L169" s="364" t="s">
        <v>274</v>
      </c>
      <c r="M169" s="364" t="s">
        <v>274</v>
      </c>
      <c r="N169" s="364" t="s">
        <v>274</v>
      </c>
      <c r="O169" s="364" t="s">
        <v>274</v>
      </c>
      <c r="P169" s="364" t="s">
        <v>274</v>
      </c>
      <c r="Q169" s="364" t="s">
        <v>274</v>
      </c>
      <c r="R169" s="364" t="s">
        <v>274</v>
      </c>
      <c r="S169" s="364" t="s">
        <v>274</v>
      </c>
      <c r="T169" s="364" t="s">
        <v>274</v>
      </c>
    </row>
    <row r="170" spans="1:20" ht="15" x14ac:dyDescent="0.2">
      <c r="A170" s="364" t="s">
        <v>274</v>
      </c>
      <c r="B170" s="345" t="s">
        <v>16</v>
      </c>
      <c r="C170" s="431">
        <v>119.53</v>
      </c>
      <c r="D170" s="296" t="s">
        <v>24</v>
      </c>
      <c r="E170" s="364" t="s">
        <v>274</v>
      </c>
      <c r="F170" s="364" t="s">
        <v>274</v>
      </c>
      <c r="G170" s="364" t="s">
        <v>274</v>
      </c>
      <c r="H170" s="364" t="s">
        <v>274</v>
      </c>
      <c r="I170" s="364" t="s">
        <v>274</v>
      </c>
      <c r="J170" s="364" t="s">
        <v>274</v>
      </c>
      <c r="K170" s="364" t="s">
        <v>274</v>
      </c>
      <c r="L170" s="364" t="s">
        <v>274</v>
      </c>
      <c r="M170" s="364" t="s">
        <v>274</v>
      </c>
      <c r="N170" s="364" t="s">
        <v>274</v>
      </c>
      <c r="O170" s="364" t="s">
        <v>274</v>
      </c>
      <c r="P170" s="364" t="s">
        <v>274</v>
      </c>
      <c r="Q170" s="364" t="s">
        <v>274</v>
      </c>
      <c r="R170" s="364" t="s">
        <v>274</v>
      </c>
      <c r="S170" s="364" t="s">
        <v>274</v>
      </c>
      <c r="T170" s="364" t="s">
        <v>274</v>
      </c>
    </row>
    <row r="171" spans="1:20" ht="15" x14ac:dyDescent="0.2">
      <c r="A171" s="364" t="s">
        <v>274</v>
      </c>
      <c r="B171" s="345" t="s">
        <v>5</v>
      </c>
      <c r="C171" s="431">
        <v>120</v>
      </c>
      <c r="D171" s="345" t="s">
        <v>111</v>
      </c>
      <c r="E171" s="364" t="s">
        <v>274</v>
      </c>
      <c r="F171" s="364" t="s">
        <v>274</v>
      </c>
      <c r="G171" s="364" t="s">
        <v>274</v>
      </c>
      <c r="H171" s="364" t="s">
        <v>274</v>
      </c>
      <c r="I171" s="364" t="s">
        <v>274</v>
      </c>
      <c r="J171" s="364" t="s">
        <v>274</v>
      </c>
      <c r="K171" s="364" t="s">
        <v>274</v>
      </c>
      <c r="L171" s="364" t="s">
        <v>274</v>
      </c>
      <c r="M171" s="364" t="s">
        <v>274</v>
      </c>
      <c r="N171" s="364" t="s">
        <v>274</v>
      </c>
      <c r="O171" s="364" t="s">
        <v>274</v>
      </c>
      <c r="P171" s="364" t="s">
        <v>274</v>
      </c>
      <c r="Q171" s="364" t="s">
        <v>274</v>
      </c>
      <c r="R171" s="364" t="s">
        <v>274</v>
      </c>
      <c r="S171" s="364" t="s">
        <v>274</v>
      </c>
      <c r="T171" s="364" t="s">
        <v>274</v>
      </c>
    </row>
    <row r="172" spans="1:20" ht="15" x14ac:dyDescent="0.2">
      <c r="A172" s="364" t="s">
        <v>274</v>
      </c>
      <c r="B172" s="345" t="s">
        <v>0</v>
      </c>
      <c r="C172" s="432">
        <v>3600.0008440447891</v>
      </c>
      <c r="D172" s="345" t="s">
        <v>25</v>
      </c>
      <c r="E172" s="364" t="s">
        <v>274</v>
      </c>
      <c r="F172" s="364" t="s">
        <v>274</v>
      </c>
      <c r="G172" s="364" t="s">
        <v>274</v>
      </c>
      <c r="H172" s="364" t="s">
        <v>274</v>
      </c>
      <c r="I172" s="364" t="s">
        <v>274</v>
      </c>
      <c r="J172" s="364" t="s">
        <v>274</v>
      </c>
      <c r="K172" s="364"/>
      <c r="L172" s="364" t="s">
        <v>274</v>
      </c>
      <c r="M172" s="364" t="s">
        <v>274</v>
      </c>
      <c r="N172" s="364" t="s">
        <v>274</v>
      </c>
      <c r="O172" s="364" t="s">
        <v>274</v>
      </c>
      <c r="P172" s="364" t="s">
        <v>274</v>
      </c>
      <c r="Q172" s="364" t="s">
        <v>274</v>
      </c>
      <c r="R172" s="364" t="s">
        <v>274</v>
      </c>
      <c r="S172" s="364" t="s">
        <v>274</v>
      </c>
      <c r="T172" s="364" t="s">
        <v>274</v>
      </c>
    </row>
    <row r="173" spans="1:20" ht="15" x14ac:dyDescent="0.2">
      <c r="A173" s="364" t="s">
        <v>274</v>
      </c>
      <c r="B173" s="296" t="s">
        <v>73</v>
      </c>
      <c r="C173" s="431">
        <v>119.53</v>
      </c>
      <c r="D173" s="296" t="s">
        <v>24</v>
      </c>
      <c r="E173" s="364" t="s">
        <v>274</v>
      </c>
      <c r="F173" s="364" t="s">
        <v>274</v>
      </c>
      <c r="G173" s="364" t="s">
        <v>274</v>
      </c>
      <c r="H173" s="364" t="s">
        <v>274</v>
      </c>
      <c r="I173" s="364" t="s">
        <v>274</v>
      </c>
      <c r="J173" s="364" t="s">
        <v>274</v>
      </c>
      <c r="K173" s="364" t="s">
        <v>274</v>
      </c>
      <c r="L173" s="364" t="s">
        <v>274</v>
      </c>
      <c r="M173" s="364" t="s">
        <v>274</v>
      </c>
      <c r="N173" s="364" t="s">
        <v>274</v>
      </c>
      <c r="O173" s="364" t="s">
        <v>274</v>
      </c>
      <c r="P173" s="364" t="s">
        <v>274</v>
      </c>
      <c r="Q173" s="364" t="s">
        <v>274</v>
      </c>
      <c r="R173" s="364" t="s">
        <v>274</v>
      </c>
      <c r="S173" s="364" t="s">
        <v>274</v>
      </c>
      <c r="T173" s="364" t="s">
        <v>274</v>
      </c>
    </row>
    <row r="174" spans="1:20" ht="15" x14ac:dyDescent="0.2">
      <c r="A174" s="364" t="s">
        <v>274</v>
      </c>
      <c r="B174" s="296" t="s">
        <v>23</v>
      </c>
      <c r="C174" s="431">
        <v>115.83</v>
      </c>
      <c r="D174" s="296" t="s">
        <v>24</v>
      </c>
      <c r="E174" s="364" t="s">
        <v>274</v>
      </c>
      <c r="F174" s="364" t="s">
        <v>274</v>
      </c>
      <c r="G174" s="364" t="s">
        <v>274</v>
      </c>
      <c r="H174" s="364" t="s">
        <v>274</v>
      </c>
      <c r="I174" s="364" t="s">
        <v>274</v>
      </c>
      <c r="J174" s="364" t="s">
        <v>274</v>
      </c>
      <c r="K174" s="364" t="s">
        <v>274</v>
      </c>
      <c r="L174" s="364" t="s">
        <v>274</v>
      </c>
      <c r="M174" s="364" t="s">
        <v>274</v>
      </c>
      <c r="N174" s="364" t="s">
        <v>274</v>
      </c>
      <c r="O174" s="364" t="s">
        <v>274</v>
      </c>
      <c r="P174" s="364" t="s">
        <v>274</v>
      </c>
      <c r="Q174" s="364" t="s">
        <v>274</v>
      </c>
      <c r="R174" s="364" t="s">
        <v>274</v>
      </c>
      <c r="S174" s="364" t="s">
        <v>274</v>
      </c>
      <c r="T174" s="364" t="s">
        <v>274</v>
      </c>
    </row>
    <row r="175" spans="1:20" ht="15" x14ac:dyDescent="0.2">
      <c r="A175" s="364" t="s">
        <v>274</v>
      </c>
      <c r="B175" s="296" t="s">
        <v>38</v>
      </c>
      <c r="C175" s="431">
        <v>126.13194319156545</v>
      </c>
      <c r="D175" s="296" t="s">
        <v>24</v>
      </c>
      <c r="E175" s="364" t="s">
        <v>274</v>
      </c>
      <c r="F175" s="364" t="s">
        <v>274</v>
      </c>
      <c r="G175" s="364" t="s">
        <v>274</v>
      </c>
      <c r="H175" s="364" t="s">
        <v>274</v>
      </c>
      <c r="I175" s="364" t="s">
        <v>274</v>
      </c>
      <c r="J175" s="364" t="s">
        <v>274</v>
      </c>
      <c r="K175" s="364" t="s">
        <v>274</v>
      </c>
      <c r="L175" s="364" t="s">
        <v>274</v>
      </c>
      <c r="M175" s="364" t="s">
        <v>274</v>
      </c>
      <c r="N175" s="364" t="s">
        <v>274</v>
      </c>
      <c r="O175" s="364" t="s">
        <v>274</v>
      </c>
      <c r="P175" s="364" t="s">
        <v>274</v>
      </c>
      <c r="Q175" s="364" t="s">
        <v>274</v>
      </c>
      <c r="R175" s="364" t="s">
        <v>274</v>
      </c>
      <c r="S175" s="364" t="s">
        <v>274</v>
      </c>
      <c r="T175" s="364" t="s">
        <v>274</v>
      </c>
    </row>
    <row r="176" spans="1:20" ht="15" x14ac:dyDescent="0.2">
      <c r="A176" s="364" t="s">
        <v>274</v>
      </c>
      <c r="B176" s="433" t="s">
        <v>1</v>
      </c>
      <c r="C176" s="431">
        <v>129.65</v>
      </c>
      <c r="D176" s="296" t="s">
        <v>24</v>
      </c>
      <c r="E176" s="364" t="s">
        <v>274</v>
      </c>
      <c r="F176" s="364" t="s">
        <v>274</v>
      </c>
      <c r="G176" s="364" t="s">
        <v>274</v>
      </c>
      <c r="H176" s="364" t="s">
        <v>274</v>
      </c>
      <c r="I176" s="364" t="s">
        <v>274</v>
      </c>
      <c r="J176" s="364" t="s">
        <v>274</v>
      </c>
      <c r="K176" s="364" t="s">
        <v>274</v>
      </c>
      <c r="L176" s="364" t="s">
        <v>274</v>
      </c>
      <c r="M176" s="364" t="s">
        <v>274</v>
      </c>
      <c r="N176" s="364" t="s">
        <v>274</v>
      </c>
      <c r="O176" s="364" t="s">
        <v>274</v>
      </c>
      <c r="P176" s="364" t="s">
        <v>274</v>
      </c>
      <c r="Q176" s="364" t="s">
        <v>274</v>
      </c>
      <c r="R176" s="364" t="s">
        <v>274</v>
      </c>
      <c r="S176" s="364" t="s">
        <v>274</v>
      </c>
      <c r="T176" s="364" t="s">
        <v>274</v>
      </c>
    </row>
    <row r="177" spans="1:20" ht="16" thickBot="1" x14ac:dyDescent="0.25">
      <c r="A177" s="364" t="s">
        <v>274</v>
      </c>
      <c r="B177" s="296" t="s">
        <v>37</v>
      </c>
      <c r="C177" s="434">
        <v>134.47</v>
      </c>
      <c r="D177" s="296" t="s">
        <v>40</v>
      </c>
      <c r="E177" s="364" t="s">
        <v>274</v>
      </c>
      <c r="F177" s="364" t="s">
        <v>274</v>
      </c>
      <c r="G177" s="364" t="s">
        <v>274</v>
      </c>
      <c r="H177" s="364" t="s">
        <v>274</v>
      </c>
      <c r="I177" s="364" t="s">
        <v>274</v>
      </c>
      <c r="J177" s="364" t="s">
        <v>274</v>
      </c>
      <c r="K177" s="364" t="s">
        <v>274</v>
      </c>
      <c r="L177" s="364" t="s">
        <v>274</v>
      </c>
      <c r="M177" s="364" t="s">
        <v>274</v>
      </c>
      <c r="N177" s="364" t="s">
        <v>274</v>
      </c>
      <c r="O177" s="364" t="s">
        <v>274</v>
      </c>
      <c r="P177" s="364" t="s">
        <v>274</v>
      </c>
      <c r="Q177" s="364" t="s">
        <v>274</v>
      </c>
      <c r="R177" s="364" t="s">
        <v>274</v>
      </c>
      <c r="S177" s="364" t="s">
        <v>274</v>
      </c>
      <c r="T177" s="364" t="s">
        <v>274</v>
      </c>
    </row>
    <row r="178" spans="1:20" ht="16" thickTop="1" x14ac:dyDescent="0.2">
      <c r="A178" s="364" t="s">
        <v>274</v>
      </c>
      <c r="B178" s="345" t="s">
        <v>35</v>
      </c>
      <c r="C178" s="431">
        <v>134.47</v>
      </c>
      <c r="D178" s="296" t="s">
        <v>40</v>
      </c>
      <c r="E178" s="364" t="s">
        <v>274</v>
      </c>
      <c r="F178" s="364" t="s">
        <v>274</v>
      </c>
      <c r="G178" s="364" t="s">
        <v>274</v>
      </c>
      <c r="H178" s="364" t="s">
        <v>274</v>
      </c>
      <c r="I178" s="364" t="s">
        <v>274</v>
      </c>
      <c r="J178" s="364" t="s">
        <v>274</v>
      </c>
      <c r="K178" s="364" t="s">
        <v>274</v>
      </c>
      <c r="L178" s="364" t="s">
        <v>274</v>
      </c>
      <c r="M178" s="364" t="s">
        <v>274</v>
      </c>
      <c r="N178" s="364" t="s">
        <v>274</v>
      </c>
      <c r="O178" s="364" t="s">
        <v>274</v>
      </c>
      <c r="P178" s="364" t="s">
        <v>274</v>
      </c>
      <c r="Q178" s="364" t="s">
        <v>274</v>
      </c>
      <c r="R178" s="364" t="s">
        <v>274</v>
      </c>
      <c r="S178" s="364" t="s">
        <v>274</v>
      </c>
      <c r="T178" s="364" t="s">
        <v>274</v>
      </c>
    </row>
    <row r="179" spans="1:20" ht="15" x14ac:dyDescent="0.2">
      <c r="A179" s="364" t="s">
        <v>274</v>
      </c>
      <c r="B179" s="296" t="s">
        <v>2</v>
      </c>
      <c r="C179" s="435">
        <v>3600.0008440447891</v>
      </c>
      <c r="D179" s="296" t="s">
        <v>25</v>
      </c>
      <c r="E179" s="364" t="s">
        <v>274</v>
      </c>
      <c r="F179" s="364" t="s">
        <v>274</v>
      </c>
      <c r="G179" s="364" t="s">
        <v>274</v>
      </c>
      <c r="H179" s="364" t="s">
        <v>274</v>
      </c>
      <c r="I179" s="364" t="s">
        <v>274</v>
      </c>
      <c r="J179" s="364" t="s">
        <v>274</v>
      </c>
      <c r="K179" s="364" t="s">
        <v>274</v>
      </c>
      <c r="L179" s="364" t="s">
        <v>274</v>
      </c>
      <c r="M179" s="364" t="s">
        <v>274</v>
      </c>
      <c r="N179" s="364" t="s">
        <v>274</v>
      </c>
      <c r="O179" s="364" t="s">
        <v>274</v>
      </c>
      <c r="P179" s="364" t="s">
        <v>274</v>
      </c>
      <c r="Q179" s="364" t="s">
        <v>274</v>
      </c>
      <c r="R179" s="364" t="s">
        <v>274</v>
      </c>
      <c r="S179" s="364" t="s">
        <v>274</v>
      </c>
      <c r="T179" s="364" t="s">
        <v>274</v>
      </c>
    </row>
    <row r="180" spans="1:20" ht="15" x14ac:dyDescent="0.2">
      <c r="A180" s="364" t="s">
        <v>274</v>
      </c>
      <c r="B180" s="293" t="s">
        <v>62</v>
      </c>
      <c r="C180" s="436">
        <v>134.47</v>
      </c>
      <c r="D180" s="293" t="s">
        <v>24</v>
      </c>
      <c r="E180" s="364" t="s">
        <v>274</v>
      </c>
      <c r="F180" s="364" t="s">
        <v>274</v>
      </c>
      <c r="G180" s="364" t="s">
        <v>274</v>
      </c>
      <c r="H180" s="364" t="s">
        <v>274</v>
      </c>
      <c r="I180" s="364" t="s">
        <v>274</v>
      </c>
      <c r="J180" s="364" t="s">
        <v>274</v>
      </c>
      <c r="K180" s="364" t="s">
        <v>274</v>
      </c>
      <c r="L180" s="364" t="s">
        <v>274</v>
      </c>
      <c r="M180" s="364" t="s">
        <v>274</v>
      </c>
      <c r="N180" s="364" t="s">
        <v>274</v>
      </c>
      <c r="O180" s="364" t="s">
        <v>274</v>
      </c>
      <c r="P180" s="364" t="s">
        <v>274</v>
      </c>
      <c r="Q180" s="364" t="s">
        <v>274</v>
      </c>
      <c r="R180" s="364" t="s">
        <v>274</v>
      </c>
      <c r="S180" s="364" t="s">
        <v>274</v>
      </c>
      <c r="T180" s="364" t="s">
        <v>274</v>
      </c>
    </row>
    <row r="181" spans="1:20" ht="15" x14ac:dyDescent="0.2">
      <c r="A181" s="364" t="s">
        <v>274</v>
      </c>
      <c r="B181" s="345" t="s">
        <v>68</v>
      </c>
      <c r="C181" s="437">
        <v>129.69</v>
      </c>
      <c r="D181" s="293" t="s">
        <v>24</v>
      </c>
      <c r="E181" s="364" t="s">
        <v>274</v>
      </c>
      <c r="F181" s="364" t="s">
        <v>274</v>
      </c>
      <c r="G181" s="364" t="s">
        <v>274</v>
      </c>
      <c r="H181" s="364" t="s">
        <v>274</v>
      </c>
      <c r="I181" s="364" t="s">
        <v>274</v>
      </c>
      <c r="J181" s="364" t="s">
        <v>274</v>
      </c>
      <c r="K181" s="364" t="s">
        <v>274</v>
      </c>
      <c r="L181" s="364" t="s">
        <v>274</v>
      </c>
      <c r="M181" s="364" t="s">
        <v>274</v>
      </c>
      <c r="N181" s="364" t="s">
        <v>274</v>
      </c>
      <c r="O181" s="364" t="s">
        <v>274</v>
      </c>
      <c r="P181" s="364" t="s">
        <v>274</v>
      </c>
      <c r="Q181" s="364" t="s">
        <v>274</v>
      </c>
      <c r="R181" s="364" t="s">
        <v>274</v>
      </c>
      <c r="S181" s="364" t="s">
        <v>274</v>
      </c>
      <c r="T181" s="364" t="s">
        <v>274</v>
      </c>
    </row>
    <row r="182" spans="1:20" ht="15" x14ac:dyDescent="0.2">
      <c r="A182" s="364" t="s">
        <v>274</v>
      </c>
      <c r="B182" s="364" t="s">
        <v>274</v>
      </c>
      <c r="C182" s="364" t="s">
        <v>274</v>
      </c>
      <c r="D182" s="364" t="s">
        <v>274</v>
      </c>
      <c r="E182" s="364" t="s">
        <v>274</v>
      </c>
      <c r="F182" s="364" t="s">
        <v>274</v>
      </c>
      <c r="G182" s="364" t="s">
        <v>274</v>
      </c>
      <c r="H182" s="364" t="s">
        <v>274</v>
      </c>
      <c r="I182" s="364" t="s">
        <v>274</v>
      </c>
      <c r="J182" s="364" t="s">
        <v>274</v>
      </c>
      <c r="K182" s="364" t="s">
        <v>274</v>
      </c>
      <c r="L182" s="364" t="s">
        <v>274</v>
      </c>
      <c r="M182" s="364" t="s">
        <v>274</v>
      </c>
      <c r="N182" s="364" t="s">
        <v>274</v>
      </c>
      <c r="O182" s="364" t="s">
        <v>274</v>
      </c>
      <c r="P182" s="364" t="s">
        <v>274</v>
      </c>
      <c r="Q182" s="364" t="s">
        <v>274</v>
      </c>
      <c r="R182" s="364" t="s">
        <v>274</v>
      </c>
      <c r="S182" s="364" t="s">
        <v>274</v>
      </c>
      <c r="T182" s="364" t="s">
        <v>274</v>
      </c>
    </row>
    <row r="183" spans="1:20" ht="15" x14ac:dyDescent="0.2">
      <c r="A183" s="364" t="s">
        <v>274</v>
      </c>
      <c r="B183" s="438"/>
      <c r="C183" s="439"/>
      <c r="D183" s="438"/>
      <c r="E183" s="364" t="s">
        <v>274</v>
      </c>
      <c r="F183" s="364" t="s">
        <v>274</v>
      </c>
      <c r="G183" s="364" t="s">
        <v>274</v>
      </c>
      <c r="H183" s="364" t="s">
        <v>274</v>
      </c>
      <c r="I183" s="364" t="s">
        <v>274</v>
      </c>
      <c r="J183" s="364" t="s">
        <v>274</v>
      </c>
      <c r="K183" s="364" t="s">
        <v>274</v>
      </c>
      <c r="L183" s="364" t="s">
        <v>274</v>
      </c>
      <c r="M183" s="364" t="s">
        <v>274</v>
      </c>
      <c r="N183" s="364" t="s">
        <v>274</v>
      </c>
      <c r="O183" s="364" t="s">
        <v>274</v>
      </c>
      <c r="P183" s="364" t="s">
        <v>274</v>
      </c>
      <c r="Q183" s="364" t="s">
        <v>274</v>
      </c>
      <c r="R183" s="364" t="s">
        <v>274</v>
      </c>
      <c r="S183" s="364" t="s">
        <v>274</v>
      </c>
      <c r="T183" s="364" t="s">
        <v>274</v>
      </c>
    </row>
    <row r="184" spans="1:20" ht="15" x14ac:dyDescent="0.2">
      <c r="A184" s="364" t="s">
        <v>274</v>
      </c>
      <c r="B184" s="440"/>
      <c r="C184" s="441"/>
      <c r="D184" s="440"/>
      <c r="E184" s="364" t="s">
        <v>274</v>
      </c>
      <c r="F184" s="364" t="s">
        <v>274</v>
      </c>
      <c r="G184" s="364" t="s">
        <v>274</v>
      </c>
      <c r="H184" s="364" t="s">
        <v>274</v>
      </c>
      <c r="I184" s="364" t="s">
        <v>274</v>
      </c>
      <c r="J184" s="364" t="s">
        <v>274</v>
      </c>
      <c r="K184" s="364" t="s">
        <v>274</v>
      </c>
      <c r="L184" s="364" t="s">
        <v>274</v>
      </c>
      <c r="M184" s="364" t="s">
        <v>274</v>
      </c>
      <c r="N184" s="364" t="s">
        <v>274</v>
      </c>
      <c r="O184" s="364" t="s">
        <v>274</v>
      </c>
      <c r="P184" s="364" t="s">
        <v>274</v>
      </c>
      <c r="Q184" s="364" t="s">
        <v>274</v>
      </c>
      <c r="R184" s="364" t="s">
        <v>274</v>
      </c>
      <c r="S184" s="364" t="s">
        <v>274</v>
      </c>
      <c r="T184" s="364" t="s">
        <v>274</v>
      </c>
    </row>
    <row r="185" spans="1:20" ht="15" x14ac:dyDescent="0.2">
      <c r="A185" s="364" t="s">
        <v>274</v>
      </c>
      <c r="B185" s="440"/>
      <c r="C185" s="441"/>
      <c r="D185" s="440"/>
      <c r="E185" s="364" t="s">
        <v>274</v>
      </c>
      <c r="F185" s="364" t="s">
        <v>274</v>
      </c>
      <c r="G185" s="364" t="s">
        <v>274</v>
      </c>
      <c r="H185" s="364" t="s">
        <v>274</v>
      </c>
      <c r="I185" s="364" t="s">
        <v>274</v>
      </c>
      <c r="J185" s="364" t="s">
        <v>274</v>
      </c>
      <c r="K185" s="364" t="s">
        <v>274</v>
      </c>
      <c r="L185" s="364" t="s">
        <v>274</v>
      </c>
      <c r="M185" s="364" t="s">
        <v>274</v>
      </c>
      <c r="N185" s="364" t="s">
        <v>274</v>
      </c>
      <c r="O185" s="364" t="s">
        <v>274</v>
      </c>
      <c r="P185" s="364" t="s">
        <v>274</v>
      </c>
      <c r="Q185" s="364" t="s">
        <v>274</v>
      </c>
      <c r="R185" s="364" t="s">
        <v>274</v>
      </c>
      <c r="S185" s="364" t="s">
        <v>274</v>
      </c>
      <c r="T185" s="364" t="s">
        <v>274</v>
      </c>
    </row>
    <row r="186" spans="1:20" ht="15" x14ac:dyDescent="0.2">
      <c r="A186" s="364" t="s">
        <v>274</v>
      </c>
      <c r="B186" s="440"/>
      <c r="C186" s="441"/>
      <c r="D186" s="440"/>
      <c r="E186" s="364" t="s">
        <v>274</v>
      </c>
      <c r="F186" s="364" t="s">
        <v>274</v>
      </c>
      <c r="G186" s="364" t="s">
        <v>274</v>
      </c>
      <c r="H186" s="364" t="s">
        <v>274</v>
      </c>
      <c r="I186" s="364" t="s">
        <v>274</v>
      </c>
      <c r="J186" s="364" t="s">
        <v>274</v>
      </c>
      <c r="K186" s="364" t="s">
        <v>274</v>
      </c>
      <c r="L186" s="364" t="s">
        <v>274</v>
      </c>
      <c r="M186" s="364" t="s">
        <v>274</v>
      </c>
      <c r="N186" s="364" t="s">
        <v>274</v>
      </c>
      <c r="O186" s="364" t="s">
        <v>274</v>
      </c>
      <c r="P186" s="364" t="s">
        <v>274</v>
      </c>
      <c r="Q186" s="364" t="s">
        <v>274</v>
      </c>
      <c r="R186" s="364" t="s">
        <v>274</v>
      </c>
      <c r="S186" s="364" t="s">
        <v>274</v>
      </c>
      <c r="T186" s="364" t="s">
        <v>274</v>
      </c>
    </row>
    <row r="187" spans="1:20" ht="15" x14ac:dyDescent="0.2">
      <c r="A187" s="364" t="s">
        <v>274</v>
      </c>
      <c r="B187" s="440"/>
      <c r="C187" s="441"/>
      <c r="D187" s="440"/>
      <c r="E187" s="364" t="s">
        <v>274</v>
      </c>
      <c r="F187" s="364" t="s">
        <v>274</v>
      </c>
      <c r="G187" s="364" t="s">
        <v>274</v>
      </c>
      <c r="H187" s="364" t="s">
        <v>274</v>
      </c>
      <c r="I187" s="364" t="s">
        <v>274</v>
      </c>
      <c r="J187" s="364" t="s">
        <v>274</v>
      </c>
      <c r="K187" s="364" t="s">
        <v>274</v>
      </c>
      <c r="L187" s="364" t="s">
        <v>274</v>
      </c>
      <c r="M187" s="364" t="s">
        <v>274</v>
      </c>
      <c r="N187" s="361" t="s">
        <v>274</v>
      </c>
      <c r="O187" s="361" t="s">
        <v>274</v>
      </c>
      <c r="P187" s="364" t="s">
        <v>274</v>
      </c>
      <c r="Q187" s="364" t="s">
        <v>274</v>
      </c>
      <c r="R187" s="364" t="s">
        <v>274</v>
      </c>
      <c r="S187" s="364" t="s">
        <v>274</v>
      </c>
      <c r="T187" s="364" t="s">
        <v>274</v>
      </c>
    </row>
    <row r="188" spans="1:20" ht="15" x14ac:dyDescent="0.2">
      <c r="A188" s="364" t="s">
        <v>274</v>
      </c>
      <c r="B188" s="440"/>
      <c r="C188" s="441"/>
      <c r="D188" s="440"/>
      <c r="E188" s="364" t="s">
        <v>274</v>
      </c>
      <c r="F188" s="364" t="s">
        <v>274</v>
      </c>
      <c r="G188" s="364" t="s">
        <v>274</v>
      </c>
      <c r="H188" s="364" t="s">
        <v>274</v>
      </c>
      <c r="I188" s="364" t="s">
        <v>274</v>
      </c>
      <c r="J188" s="364" t="s">
        <v>274</v>
      </c>
      <c r="K188" s="364" t="s">
        <v>274</v>
      </c>
      <c r="L188" s="364" t="s">
        <v>274</v>
      </c>
      <c r="M188" s="364" t="s">
        <v>274</v>
      </c>
      <c r="N188" s="361" t="s">
        <v>274</v>
      </c>
      <c r="O188" s="361" t="s">
        <v>274</v>
      </c>
      <c r="P188" s="364" t="s">
        <v>274</v>
      </c>
      <c r="Q188" s="364" t="s">
        <v>274</v>
      </c>
      <c r="R188" s="364" t="s">
        <v>274</v>
      </c>
      <c r="S188" s="364" t="s">
        <v>274</v>
      </c>
      <c r="T188" s="364" t="s">
        <v>274</v>
      </c>
    </row>
    <row r="189" spans="1:20" ht="15" x14ac:dyDescent="0.2">
      <c r="A189" s="364" t="s">
        <v>274</v>
      </c>
      <c r="B189" s="440"/>
      <c r="C189" s="441"/>
      <c r="D189" s="440"/>
      <c r="E189" s="364" t="s">
        <v>274</v>
      </c>
      <c r="F189" s="364" t="s">
        <v>274</v>
      </c>
      <c r="G189" s="364" t="s">
        <v>274</v>
      </c>
      <c r="H189" s="364" t="s">
        <v>274</v>
      </c>
      <c r="I189" s="364" t="s">
        <v>274</v>
      </c>
      <c r="J189" s="364" t="s">
        <v>274</v>
      </c>
      <c r="K189" s="364" t="s">
        <v>274</v>
      </c>
      <c r="L189" s="364" t="s">
        <v>274</v>
      </c>
      <c r="M189" s="364" t="s">
        <v>274</v>
      </c>
      <c r="N189" s="361" t="s">
        <v>274</v>
      </c>
      <c r="O189" s="361" t="s">
        <v>274</v>
      </c>
      <c r="P189" s="364" t="s">
        <v>274</v>
      </c>
      <c r="Q189" s="364" t="s">
        <v>274</v>
      </c>
      <c r="R189" s="364" t="s">
        <v>274</v>
      </c>
      <c r="S189" s="364" t="s">
        <v>274</v>
      </c>
      <c r="T189" s="364" t="s">
        <v>274</v>
      </c>
    </row>
    <row r="190" spans="1:20" ht="15" x14ac:dyDescent="0.2">
      <c r="A190" s="364" t="s">
        <v>274</v>
      </c>
      <c r="B190" s="440"/>
      <c r="C190" s="441"/>
      <c r="D190" s="440"/>
      <c r="E190" s="364" t="s">
        <v>274</v>
      </c>
      <c r="F190" s="364" t="s">
        <v>274</v>
      </c>
      <c r="G190" s="364" t="s">
        <v>274</v>
      </c>
      <c r="H190" s="364" t="s">
        <v>274</v>
      </c>
      <c r="I190" s="364" t="s">
        <v>274</v>
      </c>
      <c r="J190" s="364" t="s">
        <v>274</v>
      </c>
      <c r="K190" s="364" t="s">
        <v>274</v>
      </c>
      <c r="L190" s="361" t="s">
        <v>274</v>
      </c>
      <c r="M190" s="361" t="s">
        <v>274</v>
      </c>
      <c r="N190" s="361" t="s">
        <v>274</v>
      </c>
      <c r="O190" s="361" t="s">
        <v>274</v>
      </c>
      <c r="P190" s="364" t="s">
        <v>274</v>
      </c>
      <c r="Q190" s="364" t="s">
        <v>274</v>
      </c>
      <c r="R190" s="364" t="s">
        <v>274</v>
      </c>
      <c r="S190" s="364" t="s">
        <v>274</v>
      </c>
      <c r="T190" s="364" t="s">
        <v>274</v>
      </c>
    </row>
    <row r="191" spans="1:20" ht="15" x14ac:dyDescent="0.2">
      <c r="A191" s="364" t="s">
        <v>274</v>
      </c>
      <c r="B191" s="440"/>
      <c r="C191" s="441"/>
      <c r="D191" s="440"/>
      <c r="E191" s="364" t="s">
        <v>274</v>
      </c>
      <c r="F191" s="364" t="s">
        <v>274</v>
      </c>
      <c r="G191" s="364" t="s">
        <v>274</v>
      </c>
      <c r="H191" s="364" t="s">
        <v>274</v>
      </c>
      <c r="I191" s="364" t="s">
        <v>274</v>
      </c>
      <c r="J191" s="364" t="s">
        <v>274</v>
      </c>
      <c r="K191" s="364" t="s">
        <v>274</v>
      </c>
      <c r="L191" s="361" t="s">
        <v>274</v>
      </c>
      <c r="M191" s="361" t="s">
        <v>274</v>
      </c>
      <c r="N191" s="361" t="s">
        <v>274</v>
      </c>
      <c r="O191" s="361" t="s">
        <v>274</v>
      </c>
      <c r="P191" s="364" t="s">
        <v>274</v>
      </c>
      <c r="Q191" s="364" t="s">
        <v>274</v>
      </c>
      <c r="R191" s="364" t="s">
        <v>274</v>
      </c>
      <c r="S191" s="364" t="s">
        <v>274</v>
      </c>
      <c r="T191" s="364" t="s">
        <v>274</v>
      </c>
    </row>
    <row r="192" spans="1:20" ht="15" x14ac:dyDescent="0.2">
      <c r="A192" s="364" t="s">
        <v>274</v>
      </c>
      <c r="B192" s="364" t="s">
        <v>274</v>
      </c>
      <c r="C192" s="364" t="s">
        <v>274</v>
      </c>
      <c r="D192" s="364" t="s">
        <v>274</v>
      </c>
      <c r="E192" s="364" t="s">
        <v>274</v>
      </c>
      <c r="F192" s="364" t="s">
        <v>274</v>
      </c>
      <c r="G192" s="364" t="s">
        <v>274</v>
      </c>
      <c r="H192" s="364" t="s">
        <v>274</v>
      </c>
      <c r="I192" s="364" t="s">
        <v>274</v>
      </c>
      <c r="J192" s="364" t="s">
        <v>274</v>
      </c>
      <c r="K192" s="364" t="s">
        <v>274</v>
      </c>
      <c r="L192" s="361" t="s">
        <v>274</v>
      </c>
      <c r="M192" s="361" t="s">
        <v>274</v>
      </c>
      <c r="N192" s="361" t="s">
        <v>274</v>
      </c>
      <c r="O192" s="361" t="s">
        <v>274</v>
      </c>
      <c r="P192" s="361" t="s">
        <v>274</v>
      </c>
      <c r="Q192" s="361" t="s">
        <v>274</v>
      </c>
      <c r="R192" s="361" t="s">
        <v>274</v>
      </c>
      <c r="S192" s="364" t="s">
        <v>274</v>
      </c>
      <c r="T192" s="364" t="s">
        <v>274</v>
      </c>
    </row>
    <row r="193" spans="1:20" ht="15" x14ac:dyDescent="0.2">
      <c r="A193" s="364" t="s">
        <v>274</v>
      </c>
      <c r="B193" s="364" t="s">
        <v>274</v>
      </c>
      <c r="C193" s="364" t="s">
        <v>274</v>
      </c>
      <c r="D193" s="364" t="s">
        <v>274</v>
      </c>
      <c r="E193" s="364" t="s">
        <v>274</v>
      </c>
      <c r="F193" s="364" t="s">
        <v>274</v>
      </c>
      <c r="G193" s="364" t="s">
        <v>274</v>
      </c>
      <c r="H193" s="364" t="s">
        <v>274</v>
      </c>
      <c r="I193" s="364" t="s">
        <v>274</v>
      </c>
      <c r="J193" s="364" t="s">
        <v>274</v>
      </c>
      <c r="K193" s="364" t="s">
        <v>274</v>
      </c>
      <c r="L193" s="361" t="s">
        <v>274</v>
      </c>
      <c r="M193" s="361" t="s">
        <v>274</v>
      </c>
      <c r="N193" s="361" t="s">
        <v>274</v>
      </c>
      <c r="O193" s="361" t="s">
        <v>274</v>
      </c>
      <c r="P193" s="361" t="s">
        <v>274</v>
      </c>
      <c r="Q193" s="361" t="s">
        <v>274</v>
      </c>
      <c r="R193" s="361" t="s">
        <v>274</v>
      </c>
      <c r="S193" s="364" t="s">
        <v>274</v>
      </c>
      <c r="T193" s="364" t="s">
        <v>274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1:AC192"/>
  <sheetViews>
    <sheetView topLeftCell="B122" zoomScale="95" zoomScaleNormal="95" zoomScalePageLayoutView="95" workbookViewId="0">
      <selection activeCell="H138" sqref="H138:T138"/>
    </sheetView>
  </sheetViews>
  <sheetFormatPr baseColWidth="10" defaultColWidth="8.83203125" defaultRowHeight="15" x14ac:dyDescent="0.2"/>
  <cols>
    <col min="1" max="1" width="29" customWidth="1"/>
    <col min="2" max="2" width="37.83203125" customWidth="1"/>
    <col min="3" max="3" width="12.6640625" customWidth="1"/>
    <col min="4" max="5" width="11.6640625" customWidth="1"/>
    <col min="6" max="6" width="17.1640625" customWidth="1"/>
    <col min="7" max="10" width="11.6640625" customWidth="1"/>
    <col min="11" max="11" width="11.1640625" customWidth="1"/>
    <col min="12" max="14" width="11" style="9" customWidth="1"/>
    <col min="15" max="15" width="9.83203125" style="9" bestFit="1" customWidth="1"/>
    <col min="16" max="16" width="9.83203125" style="9" customWidth="1"/>
    <col min="17" max="18" width="9.83203125" style="9" bestFit="1" customWidth="1"/>
    <col min="19" max="19" width="9.83203125" bestFit="1" customWidth="1"/>
    <col min="20" max="20" width="11.5" bestFit="1" customWidth="1"/>
    <col min="21" max="21" width="71.1640625" customWidth="1"/>
  </cols>
  <sheetData>
    <row r="1" spans="1:23" ht="58.5" customHeight="1" x14ac:dyDescent="0.2">
      <c r="A1" s="25"/>
      <c r="B1" s="462" t="s">
        <v>102</v>
      </c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463"/>
      <c r="R1" s="463"/>
      <c r="S1" s="463"/>
      <c r="T1" s="463"/>
      <c r="U1" s="33" t="s">
        <v>59</v>
      </c>
    </row>
    <row r="2" spans="1:23" ht="14.25" customHeight="1" x14ac:dyDescent="0.25">
      <c r="A2" s="10" t="s">
        <v>129</v>
      </c>
      <c r="B2" s="138" t="str">
        <f>Summary!C3</f>
        <v>Custom</v>
      </c>
      <c r="C2" s="97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6"/>
    </row>
    <row r="3" spans="1:23" ht="14.25" customHeight="1" x14ac:dyDescent="0.25">
      <c r="A3" s="147" t="s">
        <v>147</v>
      </c>
      <c r="B3" s="148">
        <f>MATCH(Summary!C4,'Supply Scenarios'!$A:$A,0)</f>
        <v>4</v>
      </c>
      <c r="C3" s="97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6"/>
    </row>
    <row r="4" spans="1:23" ht="14.25" customHeight="1" x14ac:dyDescent="0.2">
      <c r="A4" s="10"/>
      <c r="B4" s="240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96"/>
    </row>
    <row r="5" spans="1:23" x14ac:dyDescent="0.2">
      <c r="A5" s="10" t="s">
        <v>80</v>
      </c>
      <c r="B5" s="12"/>
      <c r="C5" s="16">
        <v>2010</v>
      </c>
      <c r="D5" s="16">
        <v>2014</v>
      </c>
      <c r="E5" s="16">
        <v>2015</v>
      </c>
      <c r="F5" s="16">
        <v>2016</v>
      </c>
      <c r="G5" s="16">
        <v>2017</v>
      </c>
      <c r="H5" s="16">
        <v>2018</v>
      </c>
      <c r="I5" s="16">
        <v>2019</v>
      </c>
      <c r="J5" s="16">
        <v>2020</v>
      </c>
      <c r="K5" s="16">
        <v>2021</v>
      </c>
      <c r="L5" s="16">
        <v>2022</v>
      </c>
      <c r="M5" s="16">
        <v>2023</v>
      </c>
      <c r="N5" s="16">
        <v>2024</v>
      </c>
      <c r="O5" s="16">
        <v>2025</v>
      </c>
      <c r="P5" s="16">
        <v>2026</v>
      </c>
      <c r="Q5" s="16">
        <v>2027</v>
      </c>
      <c r="R5" s="16">
        <v>2028</v>
      </c>
      <c r="S5" s="16">
        <v>2029</v>
      </c>
      <c r="T5" s="16">
        <v>2030</v>
      </c>
    </row>
    <row r="6" spans="1:23" x14ac:dyDescent="0.2">
      <c r="A6" s="58" t="s">
        <v>77</v>
      </c>
      <c r="B6" s="1" t="s">
        <v>49</v>
      </c>
      <c r="C6" s="270">
        <v>99.97</v>
      </c>
      <c r="D6" s="45">
        <v>97.96</v>
      </c>
      <c r="E6" s="45">
        <v>97.96</v>
      </c>
      <c r="F6" s="45">
        <v>96.5</v>
      </c>
      <c r="G6" s="45">
        <v>95.02</v>
      </c>
      <c r="H6" s="45">
        <v>93.55</v>
      </c>
      <c r="I6" s="47">
        <f t="shared" ref="I6:T6" si="0">(1-I9)*($C$6)</f>
        <v>93.571919999999992</v>
      </c>
      <c r="J6" s="47">
        <f t="shared" si="0"/>
        <v>92.172340000000005</v>
      </c>
      <c r="K6" s="47">
        <f t="shared" si="0"/>
        <v>90.772760000000005</v>
      </c>
      <c r="L6" s="47">
        <f t="shared" si="0"/>
        <v>89.373180000000005</v>
      </c>
      <c r="M6" s="47">
        <f t="shared" si="0"/>
        <v>87.973600000000005</v>
      </c>
      <c r="N6" s="47">
        <f t="shared" si="0"/>
        <v>86.574020000000004</v>
      </c>
      <c r="O6" s="47">
        <f t="shared" si="0"/>
        <v>84.974499999999992</v>
      </c>
      <c r="P6" s="47">
        <f t="shared" si="0"/>
        <v>83.374979999999994</v>
      </c>
      <c r="Q6" s="47">
        <f t="shared" si="0"/>
        <v>81.775459999999995</v>
      </c>
      <c r="R6" s="47">
        <f t="shared" si="0"/>
        <v>80.175939999999997</v>
      </c>
      <c r="S6" s="47">
        <f t="shared" si="0"/>
        <v>78.576419999999985</v>
      </c>
      <c r="T6" s="47">
        <f t="shared" si="0"/>
        <v>76.976899999999986</v>
      </c>
    </row>
    <row r="7" spans="1:23" x14ac:dyDescent="0.2">
      <c r="A7" s="66" t="s">
        <v>263</v>
      </c>
      <c r="B7" s="1" t="s">
        <v>50</v>
      </c>
      <c r="C7" s="270">
        <v>100.95</v>
      </c>
      <c r="D7" s="45">
        <v>97.05</v>
      </c>
      <c r="E7" s="45">
        <v>97.05</v>
      </c>
      <c r="F7" s="45">
        <v>99.97</v>
      </c>
      <c r="G7" s="45">
        <v>98.44</v>
      </c>
      <c r="H7" s="45">
        <v>98.44</v>
      </c>
      <c r="I7" s="47">
        <f t="shared" ref="I7:T7" si="1">(1-I9)*$C$7</f>
        <v>94.489199999999997</v>
      </c>
      <c r="J7" s="47">
        <f t="shared" si="1"/>
        <v>93.075900000000004</v>
      </c>
      <c r="K7" s="47">
        <f t="shared" si="1"/>
        <v>91.662600000000012</v>
      </c>
      <c r="L7" s="47">
        <f t="shared" si="1"/>
        <v>90.249300000000005</v>
      </c>
      <c r="M7" s="47">
        <f t="shared" si="1"/>
        <v>88.835999999999999</v>
      </c>
      <c r="N7" s="47">
        <f t="shared" si="1"/>
        <v>87.422700000000006</v>
      </c>
      <c r="O7" s="47">
        <f t="shared" si="1"/>
        <v>85.807500000000005</v>
      </c>
      <c r="P7" s="47">
        <f t="shared" si="1"/>
        <v>84.192300000000003</v>
      </c>
      <c r="Q7" s="47">
        <f t="shared" si="1"/>
        <v>82.577100000000002</v>
      </c>
      <c r="R7" s="47">
        <f t="shared" si="1"/>
        <v>80.9619</v>
      </c>
      <c r="S7" s="47">
        <f t="shared" si="1"/>
        <v>79.346699999999998</v>
      </c>
      <c r="T7" s="47">
        <f t="shared" si="1"/>
        <v>77.731499999999997</v>
      </c>
    </row>
    <row r="8" spans="1:23" x14ac:dyDescent="0.2">
      <c r="A8" s="57" t="s">
        <v>78</v>
      </c>
      <c r="B8" s="1" t="s">
        <v>69</v>
      </c>
      <c r="C8" s="270">
        <v>89.84</v>
      </c>
      <c r="D8" s="35"/>
      <c r="E8" s="35"/>
      <c r="F8" s="35"/>
      <c r="G8" s="35"/>
      <c r="H8" s="35"/>
      <c r="I8" s="47">
        <f t="shared" ref="I8:T8" si="2">(1-I9)*$C$8</f>
        <v>84.090239999999994</v>
      </c>
      <c r="J8" s="47">
        <f t="shared" si="2"/>
        <v>82.832480000000004</v>
      </c>
      <c r="K8" s="47">
        <f t="shared" si="2"/>
        <v>81.574719999999999</v>
      </c>
      <c r="L8" s="47">
        <f t="shared" si="2"/>
        <v>80.316960000000009</v>
      </c>
      <c r="M8" s="47">
        <f t="shared" si="2"/>
        <v>79.059200000000004</v>
      </c>
      <c r="N8" s="47">
        <f t="shared" si="2"/>
        <v>77.801439999999999</v>
      </c>
      <c r="O8" s="47">
        <f t="shared" si="2"/>
        <v>76.364000000000004</v>
      </c>
      <c r="P8" s="47">
        <f t="shared" si="2"/>
        <v>74.926559999999995</v>
      </c>
      <c r="Q8" s="47">
        <f t="shared" si="2"/>
        <v>73.48912</v>
      </c>
      <c r="R8" s="47">
        <f t="shared" si="2"/>
        <v>72.05167999999999</v>
      </c>
      <c r="S8" s="47">
        <f t="shared" si="2"/>
        <v>70.614239999999995</v>
      </c>
      <c r="T8" s="47">
        <f t="shared" si="2"/>
        <v>69.1768</v>
      </c>
    </row>
    <row r="9" spans="1:23" x14ac:dyDescent="0.2">
      <c r="A9" s="59" t="s">
        <v>160</v>
      </c>
      <c r="B9" s="1" t="s">
        <v>84</v>
      </c>
      <c r="C9" s="1" t="s">
        <v>43</v>
      </c>
      <c r="D9" s="46">
        <v>0.01</v>
      </c>
      <c r="E9" s="46">
        <v>0.01</v>
      </c>
      <c r="F9" s="46">
        <v>0.02</v>
      </c>
      <c r="G9" s="46">
        <v>3.5000000000000003E-2</v>
      </c>
      <c r="H9" s="46">
        <v>0.05</v>
      </c>
      <c r="I9" s="201">
        <f>INDEX('Reduction Targets'!B3:B7,MATCH(Summary!$C$5,'Reduction Targets'!$A$3:$A$7,0))</f>
        <v>6.4000000000000001E-2</v>
      </c>
      <c r="J9" s="201">
        <f>INDEX('Reduction Targets'!C3:C7,MATCH(Summary!$C$5,'Reduction Targets'!$A$3:$A$7,0))</f>
        <v>7.8E-2</v>
      </c>
      <c r="K9" s="201">
        <f>INDEX('Reduction Targets'!D3:D7,MATCH(Summary!$C$5,'Reduction Targets'!$A$3:$A$7,0))</f>
        <v>9.1999999999999998E-2</v>
      </c>
      <c r="L9" s="201">
        <f>INDEX('Reduction Targets'!E3:E7,MATCH(Summary!$C$5,'Reduction Targets'!$A$3:$A$7,0))</f>
        <v>0.106</v>
      </c>
      <c r="M9" s="201">
        <f>INDEX('Reduction Targets'!F3:F7,MATCH(Summary!$C$5,'Reduction Targets'!$A$3:$A$7,0))</f>
        <v>0.12</v>
      </c>
      <c r="N9" s="201">
        <f>INDEX('Reduction Targets'!G3:G7,MATCH(Summary!$C$5,'Reduction Targets'!$A$3:$A$7,0))</f>
        <v>0.13400000000000001</v>
      </c>
      <c r="O9" s="201">
        <f>INDEX('Reduction Targets'!H3:H7,MATCH(Summary!$C$5,'Reduction Targets'!$A$3:$A$7,0))</f>
        <v>0.15000000000000002</v>
      </c>
      <c r="P9" s="201">
        <f>INDEX('Reduction Targets'!I3:I7,MATCH(Summary!$C$5,'Reduction Targets'!$A$3:$A$7,0))</f>
        <v>0.16600000000000004</v>
      </c>
      <c r="Q9" s="201">
        <f>INDEX('Reduction Targets'!J3:J7,MATCH(Summary!$C$5,'Reduction Targets'!$A$3:$A$7,0))</f>
        <v>0.18200000000000005</v>
      </c>
      <c r="R9" s="201">
        <f>INDEX('Reduction Targets'!K3:K7,MATCH(Summary!$C$5,'Reduction Targets'!$A$3:$A$7,0))</f>
        <v>0.19800000000000006</v>
      </c>
      <c r="S9" s="201">
        <f>INDEX('Reduction Targets'!L3:L7,MATCH(Summary!$C$5,'Reduction Targets'!$A$3:$A$7,0))</f>
        <v>0.21400000000000008</v>
      </c>
      <c r="T9" s="201">
        <f>INDEX('Reduction Targets'!M3:M7,MATCH(Summary!$C$5,'Reduction Targets'!$A$3:$A$7,0))</f>
        <v>0.23000000000000009</v>
      </c>
      <c r="U9" t="s">
        <v>188</v>
      </c>
    </row>
    <row r="10" spans="1:23" x14ac:dyDescent="0.2">
      <c r="A10" s="60" t="s">
        <v>145</v>
      </c>
      <c r="B10" s="19" t="s">
        <v>85</v>
      </c>
      <c r="C10" s="1" t="s">
        <v>83</v>
      </c>
      <c r="D10" s="34"/>
      <c r="E10" s="34"/>
      <c r="F10" s="49">
        <f>(F18*C167+F24*1000*C171*C150/1000000+F26*C172)/C173</f>
        <v>15611.995010252302</v>
      </c>
      <c r="G10" s="51">
        <f>(1+'Demand Reduction Scenarios'!F21)*Calculations!$F$10</f>
        <v>15968.486402657001</v>
      </c>
      <c r="H10" s="51">
        <f>(1+'Demand Reduction Scenarios'!G21)*Calculations!$F$10</f>
        <v>16024.90924588515</v>
      </c>
      <c r="I10" s="51">
        <f>(1+'Demand Reduction Scenarios'!H21)*Calculations!$F$10</f>
        <v>15806.954445991245</v>
      </c>
      <c r="J10" s="51">
        <f>(1+'Demand Reduction Scenarios'!I21)*Calculations!$F$10</f>
        <v>15560.592848819057</v>
      </c>
      <c r="K10" s="51">
        <f>(1+'Demand Reduction Scenarios'!J21)*Calculations!$F$10</f>
        <v>15314.666711526457</v>
      </c>
      <c r="L10" s="51">
        <f>(1+'Demand Reduction Scenarios'!K21)*Calculations!$F$10</f>
        <v>15054.668582981389</v>
      </c>
      <c r="M10" s="51">
        <f>(1+'Demand Reduction Scenarios'!L21)*Calculations!$F$10</f>
        <v>14780.204405354778</v>
      </c>
      <c r="N10" s="51">
        <f>(1+'Demand Reduction Scenarios'!M21)*Calculations!$F$10</f>
        <v>14523.897268611528</v>
      </c>
      <c r="O10" s="51">
        <f>(1+'Demand Reduction Scenarios'!N21)*Calculations!$F$10</f>
        <v>14257.89444662144</v>
      </c>
      <c r="P10" s="51">
        <f>(1+'Demand Reduction Scenarios'!O21)*Calculations!$F$10</f>
        <v>14004.60220429264</v>
      </c>
      <c r="Q10" s="51">
        <f>(1+'Demand Reduction Scenarios'!P21)*Calculations!$F$10</f>
        <v>13792.250290637965</v>
      </c>
      <c r="R10" s="51">
        <f>(1+'Demand Reduction Scenarios'!Q21)*Calculations!$F$10</f>
        <v>13637.829592015012</v>
      </c>
      <c r="S10" s="51">
        <f>(1+'Demand Reduction Scenarios'!R21)*Calculations!$F$10</f>
        <v>13515.871624316078</v>
      </c>
      <c r="T10" s="51">
        <f>(1+'Demand Reduction Scenarios'!S21)*Calculations!$F$10</f>
        <v>13416.439563686698</v>
      </c>
      <c r="U10" t="s">
        <v>92</v>
      </c>
    </row>
    <row r="11" spans="1:23" x14ac:dyDescent="0.2">
      <c r="A11" s="61" t="s">
        <v>79</v>
      </c>
      <c r="B11" s="20" t="s">
        <v>86</v>
      </c>
      <c r="C11" s="1" t="s">
        <v>61</v>
      </c>
      <c r="D11" s="34"/>
      <c r="E11" s="34"/>
      <c r="F11" s="49">
        <f>(F29*C174+F30*C175+F31*C176*C156+F36*1000*C178*C159/1000000+F38*C179)/C179</f>
        <v>4070.5050702683379</v>
      </c>
      <c r="G11" s="51">
        <f>(1+'Demand Reduction Scenarios'!F22)*Calculations!$F$11</f>
        <v>4026.9134663677914</v>
      </c>
      <c r="H11" s="51">
        <f>(1+'Demand Reduction Scenarios'!G22)*Calculations!$F$11</f>
        <v>4036.224792698069</v>
      </c>
      <c r="I11" s="51">
        <f>(1+'Demand Reduction Scenarios'!H22)*Calculations!$F$11</f>
        <v>4044.8220957198841</v>
      </c>
      <c r="J11" s="51">
        <f>(1+'Demand Reduction Scenarios'!I22)*Calculations!$F$11</f>
        <v>4054.6757265202</v>
      </c>
      <c r="K11" s="51">
        <f>(1+'Demand Reduction Scenarios'!J22)*Calculations!$F$11</f>
        <v>4070.4969960169237</v>
      </c>
      <c r="L11" s="51">
        <f>(1+'Demand Reduction Scenarios'!K22)*Calculations!$F$11</f>
        <v>4091.0576003753922</v>
      </c>
      <c r="M11" s="51">
        <f>(1+'Demand Reduction Scenarios'!L22)*Calculations!$F$11</f>
        <v>4109.7372717327353</v>
      </c>
      <c r="N11" s="51">
        <f>(1+'Demand Reduction Scenarios'!M22)*Calculations!$F$11</f>
        <v>4119.0808372323263</v>
      </c>
      <c r="O11" s="51">
        <f>(1+'Demand Reduction Scenarios'!N22)*Calculations!$F$11</f>
        <v>4107.0026160562929</v>
      </c>
      <c r="P11" s="51">
        <f>(1+'Demand Reduction Scenarios'!O22)*Calculations!$F$11</f>
        <v>4114.2275528113087</v>
      </c>
      <c r="Q11" s="51">
        <f>(1+'Demand Reduction Scenarios'!P22)*Calculations!$F$11</f>
        <v>4110.0796115432886</v>
      </c>
      <c r="R11" s="51">
        <f>(1+'Demand Reduction Scenarios'!Q22)*Calculations!$F$11</f>
        <v>4107.2774300453693</v>
      </c>
      <c r="S11" s="51">
        <f>(1+'Demand Reduction Scenarios'!R22)*Calculations!$F$11</f>
        <v>4101.497666338395</v>
      </c>
      <c r="T11" s="51">
        <f>(1+'Demand Reduction Scenarios'!S22)*Calculations!$F$11</f>
        <v>4101.5365782782037</v>
      </c>
      <c r="U11" t="s">
        <v>108</v>
      </c>
    </row>
    <row r="12" spans="1:23" x14ac:dyDescent="0.2">
      <c r="A12" s="72"/>
      <c r="B12" s="22" t="s">
        <v>26</v>
      </c>
      <c r="C12" s="1" t="s">
        <v>45</v>
      </c>
      <c r="D12" s="71"/>
      <c r="E12" s="71">
        <f t="shared" ref="E12:T12" si="3">E141</f>
        <v>2.9100000000000006</v>
      </c>
      <c r="F12" s="71">
        <f t="shared" si="3"/>
        <v>2.5789169999999988</v>
      </c>
      <c r="G12" s="71">
        <f t="shared" si="3"/>
        <v>1.6692365097204238</v>
      </c>
      <c r="H12" s="71">
        <f t="shared" si="3"/>
        <v>1.7882950560158726</v>
      </c>
      <c r="I12" s="71">
        <f t="shared" si="3"/>
        <v>0.23056781287012917</v>
      </c>
      <c r="J12" s="71">
        <f t="shared" si="3"/>
        <v>-0.18872038840070005</v>
      </c>
      <c r="K12" s="71">
        <f t="shared" si="3"/>
        <v>-1.313705222426087</v>
      </c>
      <c r="L12" s="71">
        <f t="shared" si="3"/>
        <v>-1.8287618297130521</v>
      </c>
      <c r="M12" s="71">
        <f t="shared" si="3"/>
        <v>-1.3377104986247872</v>
      </c>
      <c r="N12" s="71">
        <f t="shared" si="3"/>
        <v>-0.46079559682470261</v>
      </c>
      <c r="O12" s="71">
        <f t="shared" si="3"/>
        <v>-5.5525834973696675E-2</v>
      </c>
      <c r="P12" s="71">
        <f t="shared" si="3"/>
        <v>0.29994872934502936</v>
      </c>
      <c r="Q12" s="71">
        <f t="shared" si="3"/>
        <v>1.1336369134121611</v>
      </c>
      <c r="R12" s="71">
        <f t="shared" si="3"/>
        <v>2.5263722482246251</v>
      </c>
      <c r="S12" s="71">
        <f t="shared" si="3"/>
        <v>3.4724875276700757</v>
      </c>
      <c r="T12" s="71">
        <f t="shared" si="3"/>
        <v>4.7723975105639695</v>
      </c>
    </row>
    <row r="13" spans="1:23" x14ac:dyDescent="0.2">
      <c r="A13" s="17"/>
      <c r="B13" s="20" t="s">
        <v>42</v>
      </c>
      <c r="C13" s="20" t="s">
        <v>45</v>
      </c>
      <c r="D13" s="50"/>
      <c r="E13" s="50">
        <f t="shared" ref="E13:T13" si="4">E142</f>
        <v>7.43</v>
      </c>
      <c r="F13" s="50">
        <f t="shared" si="4"/>
        <v>10.008916999999999</v>
      </c>
      <c r="G13" s="50">
        <f t="shared" si="4"/>
        <v>10.01</v>
      </c>
      <c r="H13" s="50">
        <f t="shared" si="4"/>
        <v>11.798295056015872</v>
      </c>
      <c r="I13" s="50">
        <f t="shared" si="4"/>
        <v>12.028862868886002</v>
      </c>
      <c r="J13" s="50">
        <f t="shared" si="4"/>
        <v>11.840142480485301</v>
      </c>
      <c r="K13" s="50">
        <f t="shared" si="4"/>
        <v>10.526437258059214</v>
      </c>
      <c r="L13" s="50">
        <f t="shared" si="4"/>
        <v>8.6976754283461624</v>
      </c>
      <c r="M13" s="50">
        <f t="shared" si="4"/>
        <v>7.3599649297213752</v>
      </c>
      <c r="N13" s="50">
        <f t="shared" si="4"/>
        <v>6.8991693328966726</v>
      </c>
      <c r="O13" s="50">
        <f t="shared" si="4"/>
        <v>6.8436434979229759</v>
      </c>
      <c r="P13" s="50">
        <f t="shared" si="4"/>
        <v>7.1435922272680052</v>
      </c>
      <c r="Q13" s="50">
        <f t="shared" si="4"/>
        <v>8.2772291406801664</v>
      </c>
      <c r="R13" s="50">
        <f t="shared" si="4"/>
        <v>10.803601388904791</v>
      </c>
      <c r="S13" s="50">
        <f t="shared" si="4"/>
        <v>14.276088916574867</v>
      </c>
      <c r="T13" s="50">
        <f t="shared" si="4"/>
        <v>19.048486427138837</v>
      </c>
    </row>
    <row r="14" spans="1:23" ht="22" thickBot="1" x14ac:dyDescent="0.3">
      <c r="A14" s="13"/>
      <c r="B14" s="27"/>
      <c r="C14" s="1"/>
      <c r="D14" s="464" t="s">
        <v>51</v>
      </c>
      <c r="E14" s="465"/>
      <c r="F14" s="465"/>
      <c r="G14" s="465"/>
      <c r="H14" s="465"/>
      <c r="I14" s="465"/>
      <c r="J14" s="465"/>
      <c r="K14" s="465"/>
      <c r="L14" s="465"/>
      <c r="M14" s="465"/>
      <c r="N14" s="465"/>
      <c r="O14" s="465"/>
      <c r="P14" s="465"/>
      <c r="Q14" s="465"/>
      <c r="R14" s="465"/>
      <c r="S14" s="465"/>
      <c r="T14" s="466"/>
    </row>
    <row r="15" spans="1:23" ht="15" customHeight="1" x14ac:dyDescent="0.2">
      <c r="A15" s="454" t="s">
        <v>51</v>
      </c>
      <c r="B15" s="74" t="s">
        <v>72</v>
      </c>
      <c r="C15" s="14" t="s">
        <v>15</v>
      </c>
      <c r="D15" s="3">
        <v>2014</v>
      </c>
      <c r="E15" s="3">
        <v>2015</v>
      </c>
      <c r="F15" s="3">
        <v>2016</v>
      </c>
      <c r="G15" s="3">
        <v>2017</v>
      </c>
      <c r="H15" s="3">
        <v>2018</v>
      </c>
      <c r="I15" s="3">
        <v>2019</v>
      </c>
      <c r="J15" s="3">
        <v>2020</v>
      </c>
      <c r="K15" s="3">
        <v>2021</v>
      </c>
      <c r="L15" s="3">
        <v>2022</v>
      </c>
      <c r="M15" s="3">
        <v>2023</v>
      </c>
      <c r="N15" s="3">
        <v>2024</v>
      </c>
      <c r="O15" s="3">
        <v>2025</v>
      </c>
      <c r="P15" s="16">
        <v>2026</v>
      </c>
      <c r="Q15" s="16">
        <v>2027</v>
      </c>
      <c r="R15" s="16">
        <v>2028</v>
      </c>
      <c r="S15" s="16">
        <v>2029</v>
      </c>
      <c r="T15" s="16">
        <v>2030</v>
      </c>
    </row>
    <row r="16" spans="1:23" ht="15" customHeight="1" x14ac:dyDescent="0.2">
      <c r="A16" s="455"/>
      <c r="B16" s="74" t="s">
        <v>99</v>
      </c>
      <c r="C16" s="1" t="s">
        <v>43</v>
      </c>
      <c r="D16" s="250"/>
      <c r="E16" s="250"/>
      <c r="F16" s="250"/>
      <c r="G16" s="52">
        <f>G18/SUM(G18,G22,G26)</f>
        <v>0.1025379245482876</v>
      </c>
      <c r="H16" s="52">
        <f t="shared" ref="H16:T16" si="5">H18/SUM(H18,H22,H26)</f>
        <v>0.1029166304120815</v>
      </c>
      <c r="I16" s="52">
        <f t="shared" si="5"/>
        <v>0.10333571778873883</v>
      </c>
      <c r="J16" s="52">
        <f t="shared" si="5"/>
        <v>0.10376075202142751</v>
      </c>
      <c r="K16" s="52">
        <f t="shared" si="5"/>
        <v>0.10404138569043563</v>
      </c>
      <c r="L16" s="52">
        <f t="shared" si="5"/>
        <v>0.10431899990451188</v>
      </c>
      <c r="M16" s="52">
        <f t="shared" si="5"/>
        <v>0.10459465142165841</v>
      </c>
      <c r="N16" s="52">
        <f t="shared" si="5"/>
        <v>0.10487049917667307</v>
      </c>
      <c r="O16" s="52">
        <f t="shared" si="5"/>
        <v>0.10514954009032536</v>
      </c>
      <c r="P16" s="52">
        <f t="shared" si="5"/>
        <v>0.10543378401319574</v>
      </c>
      <c r="Q16" s="52">
        <f t="shared" si="5"/>
        <v>0.10572685443033654</v>
      </c>
      <c r="R16" s="52">
        <f t="shared" si="5"/>
        <v>0.10603001355719588</v>
      </c>
      <c r="S16" s="52">
        <f t="shared" si="5"/>
        <v>0.10634461343783277</v>
      </c>
      <c r="T16" s="52">
        <f t="shared" si="5"/>
        <v>0.10666981174480167</v>
      </c>
      <c r="W16" s="23"/>
    </row>
    <row r="17" spans="1:23" ht="15" customHeight="1" x14ac:dyDescent="0.2">
      <c r="A17" s="455"/>
      <c r="B17" s="74" t="s">
        <v>158</v>
      </c>
      <c r="C17" s="1" t="s">
        <v>18</v>
      </c>
      <c r="D17" s="249"/>
      <c r="E17" s="249"/>
      <c r="F17" s="249"/>
      <c r="G17" s="154">
        <f>INDEX('Supply Scenarios'!D:D,MATCH($B17,'Supply Scenarios'!$B:$B,0)+$B$3-'Supply Scenarios'!$B$1)</f>
        <v>41.524114186585741</v>
      </c>
      <c r="H17" s="154">
        <f>INDEX('Supply Scenarios'!E:E,MATCH($B17,'Supply Scenarios'!$B:$B,0)+$B$3-'Supply Scenarios'!$B$1)</f>
        <v>47.818206692383875</v>
      </c>
      <c r="I17" s="154">
        <f>INDEX('Supply Scenarios'!F:F,MATCH($B17,'Supply Scenarios'!$B:$B,0)+$B$3-'Supply Scenarios'!$B$1)</f>
        <v>53.854809897356589</v>
      </c>
      <c r="J17" s="154">
        <f>INDEX('Supply Scenarios'!G:G,MATCH($B17,'Supply Scenarios'!$B:$B,0)+$B$3-'Supply Scenarios'!$B$1)</f>
        <v>59.662845106671874</v>
      </c>
      <c r="K17" s="154">
        <f>INDEX('Supply Scenarios'!H:H,MATCH($B17,'Supply Scenarios'!$B:$B,0)+$B$3-'Supply Scenarios'!$B$1)</f>
        <v>62.8147346314205</v>
      </c>
      <c r="L17" s="154">
        <f>INDEX('Supply Scenarios'!I:I,MATCH($B17,'Supply Scenarios'!$B:$B,0)+$B$3-'Supply Scenarios'!$B$1)</f>
        <v>65.517579345587805</v>
      </c>
      <c r="M17" s="154">
        <f>INDEX('Supply Scenarios'!J:J,MATCH($B17,'Supply Scenarios'!$B:$B,0)+$B$3-'Supply Scenarios'!$B$1)</f>
        <v>67.766495090602177</v>
      </c>
      <c r="N17" s="154">
        <f>INDEX('Supply Scenarios'!K:K,MATCH($B17,'Supply Scenarios'!$B:$B,0)+$B$3-'Supply Scenarios'!$B$1)</f>
        <v>69.704535136454496</v>
      </c>
      <c r="O17" s="154">
        <f>INDEX('Supply Scenarios'!L:L,MATCH($B17,'Supply Scenarios'!$B:$B,0)+$B$3-'Supply Scenarios'!$B$1)</f>
        <v>71.250071459346501</v>
      </c>
      <c r="P17" s="154">
        <f>INDEX('Supply Scenarios'!M:M,MATCH($B17,'Supply Scenarios'!$B:$B,0)+$B$3-'Supply Scenarios'!$B$1)</f>
        <v>72.552347521066565</v>
      </c>
      <c r="Q17" s="154">
        <f>INDEX('Supply Scenarios'!N:N,MATCH($B17,'Supply Scenarios'!$B:$B,0)+$B$3-'Supply Scenarios'!$B$1)</f>
        <v>73.771121507852371</v>
      </c>
      <c r="R17" s="154">
        <f>INDEX('Supply Scenarios'!O:O,MATCH($B17,'Supply Scenarios'!$B:$B,0)+$B$3-'Supply Scenarios'!$B$1)</f>
        <v>75.028432296127107</v>
      </c>
      <c r="S17" s="154">
        <f>INDEX('Supply Scenarios'!P:P,MATCH($B17,'Supply Scenarios'!$B:$B,0)+$B$3-'Supply Scenarios'!$B$1)</f>
        <v>76.22945854975714</v>
      </c>
      <c r="T17" s="154">
        <f>INDEX('Supply Scenarios'!Q:Q,MATCH($B17,'Supply Scenarios'!$B:$B,0)+$B$3-'Supply Scenarios'!$B$1)</f>
        <v>77.34165680093578</v>
      </c>
      <c r="U17" t="s">
        <v>189</v>
      </c>
      <c r="W17" s="23"/>
    </row>
    <row r="18" spans="1:23" ht="15.75" customHeight="1" x14ac:dyDescent="0.2">
      <c r="A18" s="455"/>
      <c r="B18" s="74" t="s">
        <v>22</v>
      </c>
      <c r="C18" s="1" t="s">
        <v>18</v>
      </c>
      <c r="D18" s="38">
        <v>1485</v>
      </c>
      <c r="E18" s="38">
        <v>1507</v>
      </c>
      <c r="F18" s="85">
        <v>1597</v>
      </c>
      <c r="G18" s="51">
        <f>G25*$C$173/($C$167+$C$172*(0.9)/0.1)+G17</f>
        <v>1624.3055232944289</v>
      </c>
      <c r="H18" s="51">
        <f t="shared" ref="H18:S18" si="6">H25*$C$173/($C$167+$C$172*(1-0.1)/0.1)+H17</f>
        <v>1633.6498295636463</v>
      </c>
      <c r="I18" s="51">
        <f t="shared" si="6"/>
        <v>1615.2776539320714</v>
      </c>
      <c r="J18" s="51">
        <f t="shared" si="6"/>
        <v>1593.7635892003568</v>
      </c>
      <c r="K18" s="51">
        <f t="shared" si="6"/>
        <v>1565.6651544985857</v>
      </c>
      <c r="L18" s="51">
        <f t="shared" si="6"/>
        <v>1532.1440254348772</v>
      </c>
      <c r="M18" s="51">
        <f t="shared" si="6"/>
        <v>1493.5970967457836</v>
      </c>
      <c r="N18" s="51">
        <f t="shared" si="6"/>
        <v>1453.1231592082597</v>
      </c>
      <c r="O18" s="51">
        <f t="shared" si="6"/>
        <v>1408.5937802686901</v>
      </c>
      <c r="P18" s="51">
        <f t="shared" si="6"/>
        <v>1362.982937904701</v>
      </c>
      <c r="Q18" s="51">
        <f t="shared" si="6"/>
        <v>1318.612175302522</v>
      </c>
      <c r="R18" s="51">
        <f t="shared" si="6"/>
        <v>1277.3147540739492</v>
      </c>
      <c r="S18" s="51">
        <f t="shared" si="6"/>
        <v>1237.0711920424339</v>
      </c>
      <c r="T18" s="51">
        <f>T25*$C$173/($C$167+$C$172*(1-0.1)/0.1)+T17</f>
        <v>1197.575636035758</v>
      </c>
      <c r="U18" s="7" t="s">
        <v>187</v>
      </c>
    </row>
    <row r="19" spans="1:23" s="7" customFormat="1" ht="15.75" customHeight="1" x14ac:dyDescent="0.2">
      <c r="A19" s="455"/>
      <c r="B19" s="74" t="s">
        <v>17</v>
      </c>
      <c r="C19" s="1" t="s">
        <v>18</v>
      </c>
      <c r="D19" s="39">
        <v>0</v>
      </c>
      <c r="E19" s="40">
        <v>0</v>
      </c>
      <c r="F19" s="40">
        <v>0</v>
      </c>
      <c r="G19" s="139">
        <f>INDEX('Supply Scenarios'!D:D,MATCH($B19,'Supply Scenarios'!$B:$B,0)+$B$3-'Supply Scenarios'!$B$1)</f>
        <v>0.2223294927128292</v>
      </c>
      <c r="H19" s="139">
        <f>INDEX('Supply Scenarios'!E:E,MATCH($B19,'Supply Scenarios'!$B:$B,0)+$B$3-'Supply Scenarios'!$B$1)</f>
        <v>11.657136514388879</v>
      </c>
      <c r="I19" s="139">
        <f>INDEX('Supply Scenarios'!F:F,MATCH($B19,'Supply Scenarios'!$B:$B,0)+$B$3-'Supply Scenarios'!$B$1)</f>
        <v>25.263759581907422</v>
      </c>
      <c r="J19" s="139">
        <f>INDEX('Supply Scenarios'!G:G,MATCH($B19,'Supply Scenarios'!$B:$B,0)+$B$3-'Supply Scenarios'!$B$1)</f>
        <v>44.399064627702558</v>
      </c>
      <c r="K19" s="139">
        <f>INDEX('Supply Scenarios'!H:H,MATCH($B19,'Supply Scenarios'!$B:$B,0)+$B$3-'Supply Scenarios'!$B$1)</f>
        <v>72.365956961261674</v>
      </c>
      <c r="L19" s="139">
        <f>INDEX('Supply Scenarios'!I:I,MATCH($B19,'Supply Scenarios'!$B:$B,0)+$B$3-'Supply Scenarios'!$B$1)</f>
        <v>98.96905885385813</v>
      </c>
      <c r="M19" s="139">
        <f>INDEX('Supply Scenarios'!J:J,MATCH($B19,'Supply Scenarios'!$B:$B,0)+$B$3-'Supply Scenarios'!$B$1)</f>
        <v>126.73619269001205</v>
      </c>
      <c r="N19" s="139">
        <f>INDEX('Supply Scenarios'!K:K,MATCH($B19,'Supply Scenarios'!$B:$B,0)+$B$3-'Supply Scenarios'!$B$1)</f>
        <v>160.2979309015995</v>
      </c>
      <c r="O19" s="139">
        <f>INDEX('Supply Scenarios'!L:L,MATCH($B19,'Supply Scenarios'!$B:$B,0)+$B$3-'Supply Scenarios'!$B$1)</f>
        <v>200.38464322407643</v>
      </c>
      <c r="P19" s="139">
        <f>INDEX('Supply Scenarios'!M:M,MATCH($B19,'Supply Scenarios'!$B:$B,0)+$B$3-'Supply Scenarios'!$B$1)</f>
        <v>247.72986658000238</v>
      </c>
      <c r="Q19" s="139">
        <f>INDEX('Supply Scenarios'!N:N,MATCH($B19,'Supply Scenarios'!$B:$B,0)+$B$3-'Supply Scenarios'!$B$1)</f>
        <v>303.05645554591746</v>
      </c>
      <c r="R19" s="139">
        <f>INDEX('Supply Scenarios'!O:O,MATCH($B19,'Supply Scenarios'!$B:$B,0)+$B$3-'Supply Scenarios'!$B$1)</f>
        <v>367.06260509421855</v>
      </c>
      <c r="S19" s="139">
        <f>INDEX('Supply Scenarios'!P:P,MATCH($B19,'Supply Scenarios'!$B:$B,0)+$B$3-'Supply Scenarios'!$B$1)</f>
        <v>440.40822373287261</v>
      </c>
      <c r="T19" s="139">
        <f>INDEX('Supply Scenarios'!Q:Q,MATCH($B19,'Supply Scenarios'!$B:$B,0)+$B$3-'Supply Scenarios'!$B$1)</f>
        <v>523.70209772246653</v>
      </c>
      <c r="U19" t="s">
        <v>189</v>
      </c>
      <c r="V19"/>
    </row>
    <row r="20" spans="1:23" s="7" customFormat="1" ht="15.75" customHeight="1" x14ac:dyDescent="0.2">
      <c r="A20" s="455"/>
      <c r="B20" s="74" t="s">
        <v>124</v>
      </c>
      <c r="C20" s="1" t="s">
        <v>18</v>
      </c>
      <c r="D20" s="39">
        <v>8.8000000000000007</v>
      </c>
      <c r="E20" s="40">
        <v>41.9</v>
      </c>
      <c r="F20" s="40">
        <v>31.9</v>
      </c>
      <c r="G20" s="139">
        <f>INDEX('Supply Scenarios'!D:D,MATCH($B20,'Supply Scenarios'!$B:$B,0)+$B$3-'Supply Scenarios'!$B$1)</f>
        <v>88.674598054904379</v>
      </c>
      <c r="H20" s="139">
        <f>INDEX('Supply Scenarios'!E:E,MATCH($B20,'Supply Scenarios'!$B:$B,0)+$B$3-'Supply Scenarios'!$B$1)</f>
        <v>115.31814075199236</v>
      </c>
      <c r="I20" s="139">
        <f>INDEX('Supply Scenarios'!F:F,MATCH($B20,'Supply Scenarios'!$B:$B,0)+$B$3-'Supply Scenarios'!$B$1)</f>
        <v>140.17246358860473</v>
      </c>
      <c r="J20" s="139">
        <f>INDEX('Supply Scenarios'!G:G,MATCH($B20,'Supply Scenarios'!$B:$B,0)+$B$3-'Supply Scenarios'!$B$1)</f>
        <v>196.53892912470937</v>
      </c>
      <c r="K20" s="139">
        <f>INDEX('Supply Scenarios'!H:H,MATCH($B20,'Supply Scenarios'!$B:$B,0)+$B$3-'Supply Scenarios'!$B$1)</f>
        <v>198.29109914106624</v>
      </c>
      <c r="L20" s="139">
        <f>INDEX('Supply Scenarios'!I:I,MATCH($B20,'Supply Scenarios'!$B:$B,0)+$B$3-'Supply Scenarios'!$B$1)</f>
        <v>199.13524183882251</v>
      </c>
      <c r="M20" s="139">
        <f>INDEX('Supply Scenarios'!J:J,MATCH($B20,'Supply Scenarios'!$B:$B,0)+$B$3-'Supply Scenarios'!$B$1)</f>
        <v>198.64954729926106</v>
      </c>
      <c r="N20" s="139">
        <f>INDEX('Supply Scenarios'!K:K,MATCH($B20,'Supply Scenarios'!$B:$B,0)+$B$3-'Supply Scenarios'!$B$1)</f>
        <v>195.41610199288303</v>
      </c>
      <c r="O20" s="139">
        <f>INDEX('Supply Scenarios'!L:L,MATCH($B20,'Supply Scenarios'!$B:$B,0)+$B$3-'Supply Scenarios'!$B$1)</f>
        <v>189.52408832033652</v>
      </c>
      <c r="P20" s="139">
        <f>INDEX('Supply Scenarios'!M:M,MATCH($B20,'Supply Scenarios'!$B:$B,0)+$B$3-'Supply Scenarios'!$B$1)</f>
        <v>181.11201723787346</v>
      </c>
      <c r="Q20" s="139">
        <f>INDEX('Supply Scenarios'!N:N,MATCH($B20,'Supply Scenarios'!$B:$B,0)+$B$3-'Supply Scenarios'!$B$1)</f>
        <v>170.27684658141629</v>
      </c>
      <c r="R20" s="139">
        <f>INDEX('Supply Scenarios'!O:O,MATCH($B20,'Supply Scenarios'!$B:$B,0)+$B$3-'Supply Scenarios'!$B$1)</f>
        <v>157.06759334901625</v>
      </c>
      <c r="S20" s="139">
        <f>INDEX('Supply Scenarios'!P:P,MATCH($B20,'Supply Scenarios'!$B:$B,0)+$B$3-'Supply Scenarios'!$B$1)</f>
        <v>140.87972423230943</v>
      </c>
      <c r="T20" s="139">
        <f>INDEX('Supply Scenarios'!Q:Q,MATCH($B20,'Supply Scenarios'!$B:$B,0)+$B$3-'Supply Scenarios'!$B$1)</f>
        <v>120.27816478459278</v>
      </c>
      <c r="U20" t="s">
        <v>189</v>
      </c>
      <c r="V20"/>
    </row>
    <row r="21" spans="1:23" ht="15" customHeight="1" x14ac:dyDescent="0.2">
      <c r="A21" s="455"/>
      <c r="B21" s="75" t="s">
        <v>125</v>
      </c>
      <c r="C21" s="1" t="s">
        <v>18</v>
      </c>
      <c r="D21" s="49">
        <f>D18-D19-D20</f>
        <v>1476.2</v>
      </c>
      <c r="E21" s="49">
        <f>E18-E19-E20</f>
        <v>1465.1</v>
      </c>
      <c r="F21" s="49">
        <f>F18-F19-F20</f>
        <v>1565.1</v>
      </c>
      <c r="G21" s="49">
        <f>G18-G19-G20</f>
        <v>1535.4085957468117</v>
      </c>
      <c r="H21" s="49">
        <f t="shared" ref="H21:T21" si="7">H18-H19-H20</f>
        <v>1506.6745522972651</v>
      </c>
      <c r="I21" s="49">
        <f t="shared" si="7"/>
        <v>1449.8414307615594</v>
      </c>
      <c r="J21" s="49">
        <f t="shared" si="7"/>
        <v>1352.825595447945</v>
      </c>
      <c r="K21" s="49">
        <f t="shared" si="7"/>
        <v>1295.0080983962578</v>
      </c>
      <c r="L21" s="49">
        <f t="shared" si="7"/>
        <v>1234.0397247421965</v>
      </c>
      <c r="M21" s="49">
        <f t="shared" si="7"/>
        <v>1168.2113567565104</v>
      </c>
      <c r="N21" s="49">
        <f t="shared" si="7"/>
        <v>1097.4091263137771</v>
      </c>
      <c r="O21" s="49">
        <f t="shared" si="7"/>
        <v>1018.6850487242772</v>
      </c>
      <c r="P21" s="49">
        <f t="shared" si="7"/>
        <v>934.14105408682508</v>
      </c>
      <c r="Q21" s="49">
        <f t="shared" si="7"/>
        <v>845.27887317518821</v>
      </c>
      <c r="R21" s="49">
        <f t="shared" si="7"/>
        <v>753.18455563071439</v>
      </c>
      <c r="S21" s="49">
        <f t="shared" si="7"/>
        <v>655.78324407725199</v>
      </c>
      <c r="T21" s="49">
        <f t="shared" si="7"/>
        <v>553.5953735286987</v>
      </c>
      <c r="U21" t="s">
        <v>126</v>
      </c>
    </row>
    <row r="22" spans="1:23" s="7" customFormat="1" ht="15.75" customHeight="1" x14ac:dyDescent="0.2">
      <c r="A22" s="455"/>
      <c r="B22" s="76" t="s">
        <v>16</v>
      </c>
      <c r="C22" s="1" t="s">
        <v>18</v>
      </c>
      <c r="D22" s="40">
        <v>0</v>
      </c>
      <c r="E22" s="40">
        <v>0</v>
      </c>
      <c r="F22" s="40">
        <v>0</v>
      </c>
      <c r="G22" s="139">
        <f>INDEX('Supply Scenarios'!D:D,MATCH($B22,'Supply Scenarios'!$B:$B,0)+$B$3-'Supply Scenarios'!$B$1)</f>
        <v>0</v>
      </c>
      <c r="H22" s="139">
        <f>INDEX('Supply Scenarios'!E:E,MATCH($B22,'Supply Scenarios'!$B:$B,0)+$B$3-'Supply Scenarios'!$B$1)</f>
        <v>0.15292681647908543</v>
      </c>
      <c r="I22" s="139">
        <f>INDEX('Supply Scenarios'!F:F,MATCH($B22,'Supply Scenarios'!$B:$B,0)+$B$3-'Supply Scenarios'!$B$1)</f>
        <v>0.7009413084029027</v>
      </c>
      <c r="J22" s="139">
        <f>INDEX('Supply Scenarios'!G:G,MATCH($B22,'Supply Scenarios'!$B:$B,0)+$B$3-'Supply Scenarios'!$B$1)</f>
        <v>1.5916002677830805</v>
      </c>
      <c r="K22" s="139">
        <f>INDEX('Supply Scenarios'!H:H,MATCH($B22,'Supply Scenarios'!$B:$B,0)+$B$3-'Supply Scenarios'!$B$1)</f>
        <v>2.8670877049689736</v>
      </c>
      <c r="L22" s="139">
        <f>INDEX('Supply Scenarios'!I:I,MATCH($B22,'Supply Scenarios'!$B:$B,0)+$B$3-'Supply Scenarios'!$B$1)</f>
        <v>4.3012981151201766</v>
      </c>
      <c r="M22" s="139">
        <f>INDEX('Supply Scenarios'!J:J,MATCH($B22,'Supply Scenarios'!$B:$B,0)+$B$3-'Supply Scenarios'!$B$1)</f>
        <v>6.1892219594706477</v>
      </c>
      <c r="N22" s="139">
        <f>INDEX('Supply Scenarios'!K:K,MATCH($B22,'Supply Scenarios'!$B:$B,0)+$B$3-'Supply Scenarios'!$B$1)</f>
        <v>8.7401000461032208</v>
      </c>
      <c r="O22" s="139">
        <f>INDEX('Supply Scenarios'!L:L,MATCH($B22,'Supply Scenarios'!$B:$B,0)+$B$3-'Supply Scenarios'!$B$1)</f>
        <v>12.124623650000458</v>
      </c>
      <c r="P22" s="139">
        <f>INDEX('Supply Scenarios'!M:M,MATCH($B22,'Supply Scenarios'!$B:$B,0)+$B$3-'Supply Scenarios'!$B$1)</f>
        <v>16.538553854307274</v>
      </c>
      <c r="Q22" s="139">
        <f>INDEX('Supply Scenarios'!N:N,MATCH($B22,'Supply Scenarios'!$B:$B,0)+$B$3-'Supply Scenarios'!$B$1)</f>
        <v>22.201855036810205</v>
      </c>
      <c r="R22" s="139">
        <f>INDEX('Supply Scenarios'!O:O,MATCH($B22,'Supply Scenarios'!$B:$B,0)+$B$3-'Supply Scenarios'!$B$1)</f>
        <v>29.356796329061478</v>
      </c>
      <c r="S22" s="139">
        <f>INDEX('Supply Scenarios'!P:P,MATCH($B22,'Supply Scenarios'!$B:$B,0)+$B$3-'Supply Scenarios'!$B$1)</f>
        <v>38.265023991063245</v>
      </c>
      <c r="T22" s="139">
        <f>INDEX('Supply Scenarios'!Q:Q,MATCH($B22,'Supply Scenarios'!$B:$B,0)+$B$3-'Supply Scenarios'!$B$1)</f>
        <v>49.203668871233781</v>
      </c>
      <c r="U22" t="s">
        <v>189</v>
      </c>
      <c r="V22"/>
    </row>
    <row r="23" spans="1:23" s="7" customFormat="1" ht="15.75" customHeight="1" x14ac:dyDescent="0.2">
      <c r="A23" s="455"/>
      <c r="B23" s="74" t="s">
        <v>5</v>
      </c>
      <c r="C23" s="1" t="s">
        <v>112</v>
      </c>
      <c r="D23" s="40">
        <v>3.4090909090909088E-2</v>
      </c>
      <c r="E23" s="40">
        <v>0.36363636363636359</v>
      </c>
      <c r="F23" s="40">
        <v>0</v>
      </c>
      <c r="G23" s="139">
        <f>INDEX('Supply Scenarios'!D:D,MATCH($B23,'Supply Scenarios'!$B:$B,0)+$B$3-'Supply Scenarios'!$B$1)</f>
        <v>6.8683571446330509</v>
      </c>
      <c r="H23" s="139">
        <f>INDEX('Supply Scenarios'!E:E,MATCH($B23,'Supply Scenarios'!$B:$B,0)+$B$3-'Supply Scenarios'!$B$1)</f>
        <v>7.9670767874395301</v>
      </c>
      <c r="I23" s="139">
        <f>INDEX('Supply Scenarios'!F:F,MATCH($B23,'Supply Scenarios'!$B:$B,0)+$B$3-'Supply Scenarios'!$B$1)</f>
        <v>9.0378769430147372</v>
      </c>
      <c r="J23" s="139">
        <f>INDEX('Supply Scenarios'!G:G,MATCH($B23,'Supply Scenarios'!$B:$B,0)+$B$3-'Supply Scenarios'!$B$1)</f>
        <v>10.126121948271084</v>
      </c>
      <c r="K23" s="139">
        <f>INDEX('Supply Scenarios'!H:H,MATCH($B23,'Supply Scenarios'!$B:$B,0)+$B$3-'Supply Scenarios'!$B$1)</f>
        <v>14.039354582416028</v>
      </c>
      <c r="L23" s="139">
        <f>INDEX('Supply Scenarios'!I:I,MATCH($B23,'Supply Scenarios'!$B:$B,0)+$B$3-'Supply Scenarios'!$B$1)</f>
        <v>20.473703165502673</v>
      </c>
      <c r="M23" s="139">
        <f>INDEX('Supply Scenarios'!J:J,MATCH($B23,'Supply Scenarios'!$B:$B,0)+$B$3-'Supply Scenarios'!$B$1)</f>
        <v>29.177951074798727</v>
      </c>
      <c r="N23" s="139">
        <f>INDEX('Supply Scenarios'!K:K,MATCH($B23,'Supply Scenarios'!$B:$B,0)+$B$3-'Supply Scenarios'!$B$1)</f>
        <v>40.335138035349139</v>
      </c>
      <c r="O23" s="139">
        <f>INDEX('Supply Scenarios'!L:L,MATCH($B23,'Supply Scenarios'!$B:$B,0)+$B$3-'Supply Scenarios'!$B$1)</f>
        <v>53.625955540006522</v>
      </c>
      <c r="P23" s="139">
        <f>INDEX('Supply Scenarios'!M:M,MATCH($B23,'Supply Scenarios'!$B:$B,0)+$B$3-'Supply Scenarios'!$B$1)</f>
        <v>68.753028363440208</v>
      </c>
      <c r="Q23" s="139">
        <f>INDEX('Supply Scenarios'!N:N,MATCH($B23,'Supply Scenarios'!$B:$B,0)+$B$3-'Supply Scenarios'!$B$1)</f>
        <v>86.003780460086602</v>
      </c>
      <c r="R23" s="139">
        <f>INDEX('Supply Scenarios'!O:O,MATCH($B23,'Supply Scenarios'!$B:$B,0)+$B$3-'Supply Scenarios'!$B$1)</f>
        <v>105.31287393030723</v>
      </c>
      <c r="S23" s="139">
        <f>INDEX('Supply Scenarios'!P:P,MATCH($B23,'Supply Scenarios'!$B:$B,0)+$B$3-'Supply Scenarios'!$B$1)</f>
        <v>126.52545456212647</v>
      </c>
      <c r="T23" s="139">
        <f>INDEX('Supply Scenarios'!Q:Q,MATCH($B23,'Supply Scenarios'!$B:$B,0)+$B$3-'Supply Scenarios'!$B$1)</f>
        <v>149.14129997031444</v>
      </c>
      <c r="U23" t="s">
        <v>189</v>
      </c>
      <c r="V23"/>
    </row>
    <row r="24" spans="1:23" s="7" customFormat="1" ht="15.75" customHeight="1" x14ac:dyDescent="0.2">
      <c r="A24" s="455"/>
      <c r="B24" s="74" t="s">
        <v>0</v>
      </c>
      <c r="C24" s="1" t="s">
        <v>19</v>
      </c>
      <c r="D24" s="40">
        <v>272</v>
      </c>
      <c r="E24" s="40">
        <v>417</v>
      </c>
      <c r="F24" s="69">
        <v>710</v>
      </c>
      <c r="G24" s="139">
        <f>INDEX('Supply Scenarios'!D:D,MATCH($B24,'Supply Scenarios'!$B:$B,0)+$B$3-'Supply Scenarios'!$B$1)</f>
        <v>1294.7712441481481</v>
      </c>
      <c r="H24" s="139">
        <f>INDEX('Supply Scenarios'!E:E,MATCH($B24,'Supply Scenarios'!$B:$B,0)+$B$3-'Supply Scenarios'!$B$1)</f>
        <v>1513.3897103869817</v>
      </c>
      <c r="I24" s="139">
        <f>INDEX('Supply Scenarios'!F:F,MATCH($B24,'Supply Scenarios'!$B:$B,0)+$B$3-'Supply Scenarios'!$B$1)</f>
        <v>1732.4131111250031</v>
      </c>
      <c r="J24" s="139">
        <f>INDEX('Supply Scenarios'!G:G,MATCH($B24,'Supply Scenarios'!$B:$B,0)+$B$3-'Supply Scenarios'!$B$1)</f>
        <v>1957.6403881983292</v>
      </c>
      <c r="K24" s="139">
        <f>INDEX('Supply Scenarios'!H:H,MATCH($B24,'Supply Scenarios'!$B:$B,0)+$B$3-'Supply Scenarios'!$B$1)</f>
        <v>2489.1583148892423</v>
      </c>
      <c r="L24" s="139">
        <f>INDEX('Supply Scenarios'!I:I,MATCH($B24,'Supply Scenarios'!$B:$B,0)+$B$3-'Supply Scenarios'!$B$1)</f>
        <v>3295.971244138037</v>
      </c>
      <c r="M24" s="139">
        <f>INDEX('Supply Scenarios'!J:J,MATCH($B24,'Supply Scenarios'!$B:$B,0)+$B$3-'Supply Scenarios'!$B$1)</f>
        <v>4342.519591857872</v>
      </c>
      <c r="N24" s="139">
        <f>INDEX('Supply Scenarios'!K:K,MATCH($B24,'Supply Scenarios'!$B:$B,0)+$B$3-'Supply Scenarios'!$B$1)</f>
        <v>5653.5749773276348</v>
      </c>
      <c r="O24" s="139">
        <f>INDEX('Supply Scenarios'!L:L,MATCH($B24,'Supply Scenarios'!$B:$B,0)+$B$3-'Supply Scenarios'!$B$1)</f>
        <v>7166.9100647080004</v>
      </c>
      <c r="P24" s="139">
        <f>INDEX('Supply Scenarios'!M:M,MATCH($B24,'Supply Scenarios'!$B:$B,0)+$B$3-'Supply Scenarios'!$B$1)</f>
        <v>8834.7733514216507</v>
      </c>
      <c r="Q24" s="139">
        <f>INDEX('Supply Scenarios'!N:N,MATCH($B24,'Supply Scenarios'!$B:$B,0)+$B$3-'Supply Scenarios'!$B$1)</f>
        <v>10712.870224492661</v>
      </c>
      <c r="R24" s="139">
        <f>INDEX('Supply Scenarios'!O:O,MATCH($B24,'Supply Scenarios'!$B:$B,0)+$B$3-'Supply Scenarios'!$B$1)</f>
        <v>12801.796426387617</v>
      </c>
      <c r="S24" s="139">
        <f>INDEX('Supply Scenarios'!P:P,MATCH($B24,'Supply Scenarios'!$B:$B,0)+$B$3-'Supply Scenarios'!$B$1)</f>
        <v>15046.307954273834</v>
      </c>
      <c r="T24" s="139">
        <f>INDEX('Supply Scenarios'!Q:Q,MATCH($B24,'Supply Scenarios'!$B:$B,0)+$B$3-'Supply Scenarios'!$B$1)</f>
        <v>17390.471836234861</v>
      </c>
      <c r="U24" t="s">
        <v>189</v>
      </c>
      <c r="V24"/>
    </row>
    <row r="25" spans="1:23" ht="15.75" customHeight="1" x14ac:dyDescent="0.2">
      <c r="A25" s="455"/>
      <c r="B25" s="74" t="s">
        <v>93</v>
      </c>
      <c r="C25" s="1" t="s">
        <v>83</v>
      </c>
      <c r="D25" s="34"/>
      <c r="E25" s="34"/>
      <c r="F25" s="70"/>
      <c r="G25" s="49">
        <f t="shared" ref="G25:T25" si="8">G10-G24*$C$171*$C$150/$C$173/1000-G23*$C$151*$C$170/$C$173</f>
        <v>15813.876104051838</v>
      </c>
      <c r="H25" s="49">
        <f t="shared" si="8"/>
        <v>15844.351381476774</v>
      </c>
      <c r="I25" s="49">
        <f t="shared" si="8"/>
        <v>15600.478537032675</v>
      </c>
      <c r="J25" s="49">
        <f t="shared" si="8"/>
        <v>15327.498136275055</v>
      </c>
      <c r="K25" s="49">
        <f t="shared" si="8"/>
        <v>15015.270084640186</v>
      </c>
      <c r="L25" s="49">
        <f t="shared" si="8"/>
        <v>14653.349335493507</v>
      </c>
      <c r="M25" s="49">
        <f t="shared" si="8"/>
        <v>14245.750139717762</v>
      </c>
      <c r="N25" s="49">
        <f t="shared" si="8"/>
        <v>13822.003844132079</v>
      </c>
      <c r="O25" s="49">
        <f t="shared" si="8"/>
        <v>13361.660427617</v>
      </c>
      <c r="P25" s="49">
        <f t="shared" si="8"/>
        <v>12892.942360693882</v>
      </c>
      <c r="Q25" s="49">
        <f t="shared" si="8"/>
        <v>12437.448456664901</v>
      </c>
      <c r="R25" s="49">
        <f t="shared" si="8"/>
        <v>12012.275873841299</v>
      </c>
      <c r="S25" s="49">
        <f t="shared" si="8"/>
        <v>11598.19495239925</v>
      </c>
      <c r="T25" s="49">
        <f t="shared" si="8"/>
        <v>11192.475002062289</v>
      </c>
      <c r="U25" s="7" t="s">
        <v>95</v>
      </c>
    </row>
    <row r="26" spans="1:23" ht="15.75" customHeight="1" x14ac:dyDescent="0.2">
      <c r="A26" s="455"/>
      <c r="B26" s="74" t="s">
        <v>73</v>
      </c>
      <c r="C26" s="1" t="s">
        <v>18</v>
      </c>
      <c r="D26" s="68">
        <v>13093</v>
      </c>
      <c r="E26" s="68">
        <v>13324</v>
      </c>
      <c r="F26" s="68">
        <v>13967</v>
      </c>
      <c r="G26" s="48">
        <f t="shared" ref="G26:T26" si="9">(G25*$C$173-G18*$C$167-G22*$C$169)/$C$172</f>
        <v>14216.716522451232</v>
      </c>
      <c r="H26" s="48">
        <f t="shared" si="9"/>
        <v>14239.723446551896</v>
      </c>
      <c r="I26" s="48">
        <f t="shared" si="9"/>
        <v>14015.379936902018</v>
      </c>
      <c r="J26" s="48">
        <f t="shared" si="9"/>
        <v>13764.629758127754</v>
      </c>
      <c r="K26" s="48">
        <f t="shared" si="9"/>
        <v>13479.952013446984</v>
      </c>
      <c r="L26" s="48">
        <f t="shared" si="9"/>
        <v>13150.658912852972</v>
      </c>
      <c r="M26" s="48">
        <f t="shared" si="9"/>
        <v>12780.074806550187</v>
      </c>
      <c r="N26" s="48">
        <f t="shared" si="9"/>
        <v>12394.494540284804</v>
      </c>
      <c r="O26" s="48">
        <f t="shared" si="9"/>
        <v>11975.381845865404</v>
      </c>
      <c r="P26" s="48">
        <f t="shared" si="9"/>
        <v>11547.86180062206</v>
      </c>
      <c r="Q26" s="48">
        <f t="shared" si="9"/>
        <v>11131.061562737696</v>
      </c>
      <c r="R26" s="48">
        <f t="shared" si="9"/>
        <v>10740.05664684395</v>
      </c>
      <c r="S26" s="48">
        <f t="shared" si="9"/>
        <v>10357.328119763861</v>
      </c>
      <c r="T26" s="48">
        <f t="shared" si="9"/>
        <v>9980.1612553787472</v>
      </c>
      <c r="U26" s="7" t="s">
        <v>96</v>
      </c>
    </row>
    <row r="27" spans="1:23" ht="15" customHeight="1" x14ac:dyDescent="0.2">
      <c r="A27" s="455"/>
      <c r="B27" s="77"/>
      <c r="C27" s="1"/>
      <c r="D27" s="28"/>
      <c r="E27" s="28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spans="1:23" ht="15" customHeight="1" x14ac:dyDescent="0.2">
      <c r="A28" s="455"/>
      <c r="B28" s="74" t="s">
        <v>72</v>
      </c>
      <c r="C28" s="14" t="s">
        <v>15</v>
      </c>
      <c r="D28" s="3">
        <v>2014</v>
      </c>
      <c r="E28" s="3">
        <v>2015</v>
      </c>
      <c r="F28" s="3">
        <v>2016</v>
      </c>
      <c r="G28" s="3">
        <v>2017</v>
      </c>
      <c r="H28" s="3">
        <v>2018</v>
      </c>
      <c r="I28" s="3">
        <v>2019</v>
      </c>
      <c r="J28" s="3">
        <v>2020</v>
      </c>
      <c r="K28" s="3">
        <v>2021</v>
      </c>
      <c r="L28" s="3">
        <v>2022</v>
      </c>
      <c r="M28" s="3">
        <v>2023</v>
      </c>
      <c r="N28" s="3">
        <v>2024</v>
      </c>
      <c r="O28" s="3">
        <v>2025</v>
      </c>
      <c r="P28" s="16">
        <v>2026</v>
      </c>
      <c r="Q28" s="16">
        <v>2027</v>
      </c>
      <c r="R28" s="16">
        <v>2028</v>
      </c>
      <c r="S28" s="16">
        <v>2029</v>
      </c>
      <c r="T28" s="16">
        <v>2030</v>
      </c>
    </row>
    <row r="29" spans="1:23" ht="15" customHeight="1" x14ac:dyDescent="0.2">
      <c r="A29" s="455"/>
      <c r="B29" s="74" t="s">
        <v>38</v>
      </c>
      <c r="C29" s="1" t="s">
        <v>18</v>
      </c>
      <c r="D29" s="39">
        <v>67</v>
      </c>
      <c r="E29" s="41">
        <v>126</v>
      </c>
      <c r="F29" s="41">
        <v>163</v>
      </c>
      <c r="G29" s="139">
        <f>INDEX('Supply Scenarios'!D:D,MATCH($B29,'Supply Scenarios'!$B:$B,0)+$B$3-'Supply Scenarios'!$B$1)</f>
        <v>182.20646805704038</v>
      </c>
      <c r="H29" s="139">
        <f>INDEX('Supply Scenarios'!E:E,MATCH($B29,'Supply Scenarios'!$B:$B,0)+$B$3-'Supply Scenarios'!$B$1)</f>
        <v>209.50549471023331</v>
      </c>
      <c r="I29" s="139">
        <f>INDEX('Supply Scenarios'!F:F,MATCH($B29,'Supply Scenarios'!$B:$B,0)+$B$3-'Supply Scenarios'!$B$1)</f>
        <v>236.1353512501891</v>
      </c>
      <c r="J29" s="139">
        <f>INDEX('Supply Scenarios'!G:G,MATCH($B29,'Supply Scenarios'!$B:$B,0)+$B$3-'Supply Scenarios'!$B$1)</f>
        <v>262.21128586012372</v>
      </c>
      <c r="K29" s="139">
        <f>INDEX('Supply Scenarios'!H:H,MATCH($B29,'Supply Scenarios'!$B:$B,0)+$B$3-'Supply Scenarios'!$B$1)</f>
        <v>312.74341614231281</v>
      </c>
      <c r="L29" s="139">
        <f>INDEX('Supply Scenarios'!I:I,MATCH($B29,'Supply Scenarios'!$B:$B,0)+$B$3-'Supply Scenarios'!$B$1)</f>
        <v>363.40035568747567</v>
      </c>
      <c r="M29" s="139">
        <f>INDEX('Supply Scenarios'!J:J,MATCH($B29,'Supply Scenarios'!$B:$B,0)+$B$3-'Supply Scenarios'!$B$1)</f>
        <v>413.85613702437735</v>
      </c>
      <c r="N29" s="139">
        <f>INDEX('Supply Scenarios'!K:K,MATCH($B29,'Supply Scenarios'!$B:$B,0)+$B$3-'Supply Scenarios'!$B$1)</f>
        <v>463.28501689876288</v>
      </c>
      <c r="O29" s="139">
        <f>INDEX('Supply Scenarios'!L:L,MATCH($B29,'Supply Scenarios'!$B:$B,0)+$B$3-'Supply Scenarios'!$B$1)</f>
        <v>510.0833592573394</v>
      </c>
      <c r="P29" s="139">
        <f>INDEX('Supply Scenarios'!M:M,MATCH($B29,'Supply Scenarios'!$B:$B,0)+$B$3-'Supply Scenarios'!$B$1)</f>
        <v>507.29363119218908</v>
      </c>
      <c r="Q29" s="139">
        <f>INDEX('Supply Scenarios'!N:N,MATCH($B29,'Supply Scenarios'!$B:$B,0)+$B$3-'Supply Scenarios'!$B$1)</f>
        <v>503.25956469501619</v>
      </c>
      <c r="R29" s="139">
        <f>INDEX('Supply Scenarios'!O:O,MATCH($B29,'Supply Scenarios'!$B:$B,0)+$B$3-'Supply Scenarios'!$B$1)</f>
        <v>499.6434857000034</v>
      </c>
      <c r="S29" s="139">
        <f>INDEX('Supply Scenarios'!P:P,MATCH($B29,'Supply Scenarios'!$B:$B,0)+$B$3-'Supply Scenarios'!$B$1)</f>
        <v>495.77043724420332</v>
      </c>
      <c r="T29" s="139">
        <f>INDEX('Supply Scenarios'!Q:Q,MATCH($B29,'Supply Scenarios'!$B:$B,0)+$B$3-'Supply Scenarios'!$B$1)</f>
        <v>492.82728872653678</v>
      </c>
      <c r="U29" t="s">
        <v>189</v>
      </c>
    </row>
    <row r="30" spans="1:23" ht="15" customHeight="1" x14ac:dyDescent="0.2">
      <c r="A30" s="455"/>
      <c r="B30" s="74" t="s">
        <v>1</v>
      </c>
      <c r="C30" s="1" t="s">
        <v>18</v>
      </c>
      <c r="D30" s="39">
        <v>113</v>
      </c>
      <c r="E30" s="41">
        <v>165</v>
      </c>
      <c r="F30" s="41">
        <v>249</v>
      </c>
      <c r="G30" s="139">
        <f>INDEX('Supply Scenarios'!D:D,MATCH($B30,'Supply Scenarios'!$B:$B,0)+$B$3-'Supply Scenarios'!$B$1)</f>
        <v>363.01195526417274</v>
      </c>
      <c r="H30" s="139">
        <f>INDEX('Supply Scenarios'!E:E,MATCH($B30,'Supply Scenarios'!$B:$B,0)+$B$3-'Supply Scenarios'!$B$1)</f>
        <v>501.79326029366166</v>
      </c>
      <c r="I30" s="139">
        <f>INDEX('Supply Scenarios'!F:F,MATCH($B30,'Supply Scenarios'!$B:$B,0)+$B$3-'Supply Scenarios'!$B$1)</f>
        <v>633.45931421213709</v>
      </c>
      <c r="J30" s="139">
        <f>INDEX('Supply Scenarios'!G:G,MATCH($B30,'Supply Scenarios'!$B:$B,0)+$B$3-'Supply Scenarios'!$B$1)</f>
        <v>782.99326848871613</v>
      </c>
      <c r="K30" s="139">
        <f>INDEX('Supply Scenarios'!H:H,MATCH($B30,'Supply Scenarios'!$B:$B,0)+$B$3-'Supply Scenarios'!$B$1)</f>
        <v>870.06292268340405</v>
      </c>
      <c r="L30" s="139">
        <f>INDEX('Supply Scenarios'!I:I,MATCH($B30,'Supply Scenarios'!$B:$B,0)+$B$3-'Supply Scenarios'!$B$1)</f>
        <v>957.57386225094581</v>
      </c>
      <c r="M30" s="139">
        <f>INDEX('Supply Scenarios'!J:J,MATCH($B30,'Supply Scenarios'!$B:$B,0)+$B$3-'Supply Scenarios'!$B$1)</f>
        <v>1004.7199731304286</v>
      </c>
      <c r="N30" s="139">
        <f>INDEX('Supply Scenarios'!K:K,MATCH($B30,'Supply Scenarios'!$B:$B,0)+$B$3-'Supply Scenarios'!$B$1)</f>
        <v>1012.2290784871431</v>
      </c>
      <c r="O30" s="139">
        <f>INDEX('Supply Scenarios'!L:L,MATCH($B30,'Supply Scenarios'!$B:$B,0)+$B$3-'Supply Scenarios'!$B$1)</f>
        <v>1022.024497992363</v>
      </c>
      <c r="P30" s="139">
        <f>INDEX('Supply Scenarios'!M:M,MATCH($B30,'Supply Scenarios'!$B:$B,0)+$B$3-'Supply Scenarios'!$B$1)</f>
        <v>993.11058485674153</v>
      </c>
      <c r="Q30" s="139">
        <f>INDEX('Supply Scenarios'!N:N,MATCH($B30,'Supply Scenarios'!$B:$B,0)+$B$3-'Supply Scenarios'!$B$1)</f>
        <v>967.51740980553836</v>
      </c>
      <c r="R30" s="139">
        <f>INDEX('Supply Scenarios'!O:O,MATCH($B30,'Supply Scenarios'!$B:$B,0)+$B$3-'Supply Scenarios'!$B$1)</f>
        <v>945.83367395286712</v>
      </c>
      <c r="S30" s="139">
        <f>INDEX('Supply Scenarios'!P:P,MATCH($B30,'Supply Scenarios'!$B:$B,0)+$B$3-'Supply Scenarios'!$B$1)</f>
        <v>928.68585475840132</v>
      </c>
      <c r="T30" s="139">
        <f>INDEX('Supply Scenarios'!Q:Q,MATCH($B30,'Supply Scenarios'!$B:$B,0)+$B$3-'Supply Scenarios'!$B$1)</f>
        <v>916.72841791970995</v>
      </c>
      <c r="U30" t="s">
        <v>189</v>
      </c>
    </row>
    <row r="31" spans="1:23" ht="15" customHeight="1" x14ac:dyDescent="0.2">
      <c r="A31" s="455"/>
      <c r="B31" s="76" t="s">
        <v>82</v>
      </c>
      <c r="C31" s="1" t="s">
        <v>61</v>
      </c>
      <c r="D31" s="39">
        <v>126</v>
      </c>
      <c r="E31" s="39">
        <v>138</v>
      </c>
      <c r="F31" s="39">
        <v>142</v>
      </c>
      <c r="G31" s="139">
        <f>INDEX('Supply Scenarios'!D:D,MATCH($B31,'Supply Scenarios'!$B:$B,0)+$B$3-'Supply Scenarios'!$B$1)</f>
        <v>242.18019805144201</v>
      </c>
      <c r="H31" s="139">
        <f>INDEX('Supply Scenarios'!E:E,MATCH($B31,'Supply Scenarios'!$B:$B,0)+$B$3-'Supply Scenarios'!$B$1)</f>
        <v>273.66454455804796</v>
      </c>
      <c r="I31" s="139">
        <f>INDEX('Supply Scenarios'!F:F,MATCH($B31,'Supply Scenarios'!$B:$B,0)+$B$3-'Supply Scenarios'!$B$1)</f>
        <v>306.63518480326468</v>
      </c>
      <c r="J31" s="139">
        <f>INDEX('Supply Scenarios'!G:G,MATCH($B31,'Supply Scenarios'!$B:$B,0)+$B$3-'Supply Scenarios'!$B$1)</f>
        <v>340.59928662741288</v>
      </c>
      <c r="K31" s="139">
        <f>INDEX('Supply Scenarios'!H:H,MATCH($B31,'Supply Scenarios'!$B:$B,0)+$B$3-'Supply Scenarios'!$B$1)</f>
        <v>372.13510073357207</v>
      </c>
      <c r="L31" s="139">
        <f>INDEX('Supply Scenarios'!I:I,MATCH($B31,'Supply Scenarios'!$B:$B,0)+$B$3-'Supply Scenarios'!$B$1)</f>
        <v>402.02340328940113</v>
      </c>
      <c r="M31" s="139">
        <f>INDEX('Supply Scenarios'!J:J,MATCH($B31,'Supply Scenarios'!$B:$B,0)+$B$3-'Supply Scenarios'!$B$1)</f>
        <v>429.73555591492021</v>
      </c>
      <c r="N31" s="139">
        <f>INDEX('Supply Scenarios'!K:K,MATCH($B31,'Supply Scenarios'!$B:$B,0)+$B$3-'Supply Scenarios'!$B$1)</f>
        <v>454.44145071437208</v>
      </c>
      <c r="O31" s="139">
        <f>INDEX('Supply Scenarios'!L:L,MATCH($B31,'Supply Scenarios'!$B:$B,0)+$B$3-'Supply Scenarios'!$B$1)</f>
        <v>472.35362004392732</v>
      </c>
      <c r="P31" s="139">
        <f>INDEX('Supply Scenarios'!M:M,MATCH($B31,'Supply Scenarios'!$B:$B,0)+$B$3-'Supply Scenarios'!$B$1)</f>
        <v>494.90891513673245</v>
      </c>
      <c r="Q31" s="139">
        <f>INDEX('Supply Scenarios'!N:N,MATCH($B31,'Supply Scenarios'!$B:$B,0)+$B$3-'Supply Scenarios'!$B$1)</f>
        <v>515.60211639119359</v>
      </c>
      <c r="R31" s="139">
        <f>INDEX('Supply Scenarios'!O:O,MATCH($B31,'Supply Scenarios'!$B:$B,0)+$B$3-'Supply Scenarios'!$B$1)</f>
        <v>534.88291792751352</v>
      </c>
      <c r="S31" s="139">
        <f>INDEX('Supply Scenarios'!P:P,MATCH($B31,'Supply Scenarios'!$B:$B,0)+$B$3-'Supply Scenarios'!$B$1)</f>
        <v>553.95612432351459</v>
      </c>
      <c r="T31" s="139">
        <f>INDEX('Supply Scenarios'!Q:Q,MATCH($B31,'Supply Scenarios'!$B:$B,0)+$B$3-'Supply Scenarios'!$B$1)</f>
        <v>573.45791559761358</v>
      </c>
      <c r="U31" t="s">
        <v>189</v>
      </c>
    </row>
    <row r="32" spans="1:23" ht="15" customHeight="1" x14ac:dyDescent="0.2">
      <c r="A32" s="455"/>
      <c r="B32" s="74" t="s">
        <v>33</v>
      </c>
      <c r="C32" s="1" t="s">
        <v>61</v>
      </c>
      <c r="D32" s="39">
        <v>97</v>
      </c>
      <c r="E32" s="39">
        <v>69</v>
      </c>
      <c r="F32" s="39">
        <v>55</v>
      </c>
      <c r="G32" s="139">
        <f>INDEX('Supply Scenarios'!D:D,MATCH($B32,'Supply Scenarios'!$B:$B,0)+$B$3-'Supply Scenarios'!$B$1)</f>
        <v>70.302308188170187</v>
      </c>
      <c r="H32" s="139">
        <f>INDEX('Supply Scenarios'!E:E,MATCH($B32,'Supply Scenarios'!$B:$B,0)+$B$3-'Supply Scenarios'!$B$1)</f>
        <v>0</v>
      </c>
      <c r="I32" s="139">
        <f>INDEX('Supply Scenarios'!F:F,MATCH($B32,'Supply Scenarios'!$B:$B,0)+$B$3-'Supply Scenarios'!$B$1)</f>
        <v>0</v>
      </c>
      <c r="J32" s="139">
        <f>INDEX('Supply Scenarios'!G:G,MATCH($B32,'Supply Scenarios'!$B:$B,0)+$B$3-'Supply Scenarios'!$B$1)</f>
        <v>0</v>
      </c>
      <c r="K32" s="139">
        <f>INDEX('Supply Scenarios'!H:H,MATCH($B32,'Supply Scenarios'!$B:$B,0)+$B$3-'Supply Scenarios'!$B$1)</f>
        <v>0</v>
      </c>
      <c r="L32" s="139">
        <f>INDEX('Supply Scenarios'!I:I,MATCH($B32,'Supply Scenarios'!$B:$B,0)+$B$3-'Supply Scenarios'!$B$1)</f>
        <v>0</v>
      </c>
      <c r="M32" s="139">
        <f>INDEX('Supply Scenarios'!J:J,MATCH($B32,'Supply Scenarios'!$B:$B,0)+$B$3-'Supply Scenarios'!$B$1)</f>
        <v>0</v>
      </c>
      <c r="N32" s="139">
        <f>INDEX('Supply Scenarios'!K:K,MATCH($B32,'Supply Scenarios'!$B:$B,0)+$B$3-'Supply Scenarios'!$B$1)</f>
        <v>0</v>
      </c>
      <c r="O32" s="139">
        <f>INDEX('Supply Scenarios'!L:L,MATCH($B32,'Supply Scenarios'!$B:$B,0)+$B$3-'Supply Scenarios'!$B$1)</f>
        <v>0</v>
      </c>
      <c r="P32" s="139">
        <f>INDEX('Supply Scenarios'!M:M,MATCH($B32,'Supply Scenarios'!$B:$B,0)+$B$3-'Supply Scenarios'!$B$1)</f>
        <v>0</v>
      </c>
      <c r="Q32" s="139">
        <f>INDEX('Supply Scenarios'!N:N,MATCH($B32,'Supply Scenarios'!$B:$B,0)+$B$3-'Supply Scenarios'!$B$1)</f>
        <v>0</v>
      </c>
      <c r="R32" s="139">
        <f>INDEX('Supply Scenarios'!O:O,MATCH($B32,'Supply Scenarios'!$B:$B,0)+$B$3-'Supply Scenarios'!$B$1)</f>
        <v>0</v>
      </c>
      <c r="S32" s="139">
        <f>INDEX('Supply Scenarios'!P:P,MATCH($B32,'Supply Scenarios'!$B:$B,0)+$B$3-'Supply Scenarios'!$B$1)</f>
        <v>0</v>
      </c>
      <c r="T32" s="139">
        <f>INDEX('Supply Scenarios'!Q:Q,MATCH($B32,'Supply Scenarios'!$B:$B,0)+$B$3-'Supply Scenarios'!$B$1)</f>
        <v>0</v>
      </c>
      <c r="U32" t="s">
        <v>189</v>
      </c>
    </row>
    <row r="33" spans="1:22" ht="15" customHeight="1" x14ac:dyDescent="0.2">
      <c r="A33" s="455"/>
      <c r="B33" s="76" t="s">
        <v>34</v>
      </c>
      <c r="C33" s="4" t="s">
        <v>61</v>
      </c>
      <c r="D33" s="39">
        <v>29</v>
      </c>
      <c r="E33" s="39">
        <v>68</v>
      </c>
      <c r="F33" s="85">
        <v>87</v>
      </c>
      <c r="G33" s="51">
        <f>G31-G32</f>
        <v>171.87788986327183</v>
      </c>
      <c r="H33" s="51">
        <f t="shared" ref="H33:T33" si="10">H31-H32</f>
        <v>273.66454455804796</v>
      </c>
      <c r="I33" s="51">
        <f t="shared" si="10"/>
        <v>306.63518480326468</v>
      </c>
      <c r="J33" s="51">
        <f t="shared" si="10"/>
        <v>340.59928662741288</v>
      </c>
      <c r="K33" s="51">
        <f t="shared" si="10"/>
        <v>372.13510073357207</v>
      </c>
      <c r="L33" s="51">
        <f t="shared" si="10"/>
        <v>402.02340328940113</v>
      </c>
      <c r="M33" s="51">
        <f t="shared" si="10"/>
        <v>429.73555591492021</v>
      </c>
      <c r="N33" s="51">
        <f t="shared" si="10"/>
        <v>454.44145071437208</v>
      </c>
      <c r="O33" s="51">
        <f t="shared" si="10"/>
        <v>472.35362004392732</v>
      </c>
      <c r="P33" s="51">
        <f t="shared" si="10"/>
        <v>494.90891513673245</v>
      </c>
      <c r="Q33" s="51">
        <f t="shared" si="10"/>
        <v>515.60211639119359</v>
      </c>
      <c r="R33" s="51">
        <f t="shared" si="10"/>
        <v>534.88291792751352</v>
      </c>
      <c r="S33" s="51">
        <f t="shared" si="10"/>
        <v>553.95612432351459</v>
      </c>
      <c r="T33" s="51">
        <f t="shared" si="10"/>
        <v>573.45791559761358</v>
      </c>
      <c r="U33" t="s">
        <v>97</v>
      </c>
    </row>
    <row r="34" spans="1:22" ht="15" customHeight="1" x14ac:dyDescent="0.2">
      <c r="A34" s="455"/>
      <c r="B34" s="76" t="s">
        <v>103</v>
      </c>
      <c r="C34" s="4" t="s">
        <v>112</v>
      </c>
      <c r="D34" s="40">
        <v>0</v>
      </c>
      <c r="E34" s="40">
        <v>0</v>
      </c>
      <c r="F34" s="86">
        <v>0</v>
      </c>
      <c r="G34" s="139">
        <f>INDEX('Supply Scenarios'!D:D,MATCH($B34,'Supply Scenarios'!$B:$B,0)+$B$3-'Supply Scenarios'!$B$1)</f>
        <v>0</v>
      </c>
      <c r="H34" s="139">
        <f>INDEX('Supply Scenarios'!E:E,MATCH($B34,'Supply Scenarios'!$B:$B,0)+$B$3-'Supply Scenarios'!$B$1)</f>
        <v>0</v>
      </c>
      <c r="I34" s="139">
        <f>INDEX('Supply Scenarios'!F:F,MATCH($B34,'Supply Scenarios'!$B:$B,0)+$B$3-'Supply Scenarios'!$B$1)</f>
        <v>0</v>
      </c>
      <c r="J34" s="139">
        <f>INDEX('Supply Scenarios'!G:G,MATCH($B34,'Supply Scenarios'!$B:$B,0)+$B$3-'Supply Scenarios'!$B$1)</f>
        <v>0</v>
      </c>
      <c r="K34" s="139">
        <f>INDEX('Supply Scenarios'!H:H,MATCH($B34,'Supply Scenarios'!$B:$B,0)+$B$3-'Supply Scenarios'!$B$1)</f>
        <v>0</v>
      </c>
      <c r="L34" s="139">
        <f>INDEX('Supply Scenarios'!I:I,MATCH($B34,'Supply Scenarios'!$B:$B,0)+$B$3-'Supply Scenarios'!$B$1)</f>
        <v>0</v>
      </c>
      <c r="M34" s="139">
        <f>INDEX('Supply Scenarios'!J:J,MATCH($B34,'Supply Scenarios'!$B:$B,0)+$B$3-'Supply Scenarios'!$B$1)</f>
        <v>0</v>
      </c>
      <c r="N34" s="139">
        <f>INDEX('Supply Scenarios'!K:K,MATCH($B34,'Supply Scenarios'!$B:$B,0)+$B$3-'Supply Scenarios'!$B$1)</f>
        <v>0</v>
      </c>
      <c r="O34" s="139">
        <f>INDEX('Supply Scenarios'!L:L,MATCH($B34,'Supply Scenarios'!$B:$B,0)+$B$3-'Supply Scenarios'!$B$1)</f>
        <v>0</v>
      </c>
      <c r="P34" s="139">
        <f>INDEX('Supply Scenarios'!M:M,MATCH($B34,'Supply Scenarios'!$B:$B,0)+$B$3-'Supply Scenarios'!$B$1)</f>
        <v>0</v>
      </c>
      <c r="Q34" s="139">
        <f>INDEX('Supply Scenarios'!N:N,MATCH($B34,'Supply Scenarios'!$B:$B,0)+$B$3-'Supply Scenarios'!$B$1)</f>
        <v>0</v>
      </c>
      <c r="R34" s="139">
        <f>INDEX('Supply Scenarios'!O:O,MATCH($B34,'Supply Scenarios'!$B:$B,0)+$B$3-'Supply Scenarios'!$B$1)</f>
        <v>0</v>
      </c>
      <c r="S34" s="139">
        <f>INDEX('Supply Scenarios'!P:P,MATCH($B34,'Supply Scenarios'!$B:$B,0)+$B$3-'Supply Scenarios'!$B$1)</f>
        <v>0</v>
      </c>
      <c r="T34" s="139">
        <f>INDEX('Supply Scenarios'!Q:Q,MATCH($B34,'Supply Scenarios'!$B:$B,0)+$B$3-'Supply Scenarios'!$B$1)</f>
        <v>0</v>
      </c>
      <c r="U34" t="s">
        <v>189</v>
      </c>
    </row>
    <row r="35" spans="1:22" ht="15" customHeight="1" x14ac:dyDescent="0.2">
      <c r="A35" s="455"/>
      <c r="B35" s="74" t="s">
        <v>89</v>
      </c>
      <c r="C35" s="1" t="s">
        <v>19</v>
      </c>
      <c r="D35" s="40">
        <v>0</v>
      </c>
      <c r="E35" s="40">
        <v>0</v>
      </c>
      <c r="F35" s="40">
        <v>0</v>
      </c>
      <c r="G35" s="139">
        <f>INDEX('Supply Scenarios'!D:D,MATCH($B35,'Supply Scenarios'!$B:$B,0)+$B$3-'Supply Scenarios'!$B$1)</f>
        <v>0</v>
      </c>
      <c r="H35" s="139">
        <f>INDEX('Supply Scenarios'!E:E,MATCH($B35,'Supply Scenarios'!$B:$B,0)+$B$3-'Supply Scenarios'!$B$1)</f>
        <v>0</v>
      </c>
      <c r="I35" s="139">
        <f>INDEX('Supply Scenarios'!F:F,MATCH($B35,'Supply Scenarios'!$B:$B,0)+$B$3-'Supply Scenarios'!$B$1)</f>
        <v>0</v>
      </c>
      <c r="J35" s="139">
        <f>INDEX('Supply Scenarios'!G:G,MATCH($B35,'Supply Scenarios'!$B:$B,0)+$B$3-'Supply Scenarios'!$B$1)</f>
        <v>10</v>
      </c>
      <c r="K35" s="139">
        <f>INDEX('Supply Scenarios'!H:H,MATCH($B35,'Supply Scenarios'!$B:$B,0)+$B$3-'Supply Scenarios'!$B$1)</f>
        <v>25</v>
      </c>
      <c r="L35" s="139">
        <f>INDEX('Supply Scenarios'!I:I,MATCH($B35,'Supply Scenarios'!$B:$B,0)+$B$3-'Supply Scenarios'!$B$1)</f>
        <v>50</v>
      </c>
      <c r="M35" s="139">
        <f>INDEX('Supply Scenarios'!J:J,MATCH($B35,'Supply Scenarios'!$B:$B,0)+$B$3-'Supply Scenarios'!$B$1)</f>
        <v>85.106916284022731</v>
      </c>
      <c r="N35" s="139">
        <f>INDEX('Supply Scenarios'!K:K,MATCH($B35,'Supply Scenarios'!$B:$B,0)+$B$3-'Supply Scenarios'!$B$1)</f>
        <v>256.83143753723169</v>
      </c>
      <c r="O35" s="139">
        <f>INDEX('Supply Scenarios'!L:L,MATCH($B35,'Supply Scenarios'!$B:$B,0)+$B$3-'Supply Scenarios'!$B$1)</f>
        <v>494.65727531944833</v>
      </c>
      <c r="P35" s="139">
        <f>INDEX('Supply Scenarios'!M:M,MATCH($B35,'Supply Scenarios'!$B:$B,0)+$B$3-'Supply Scenarios'!$B$1)</f>
        <v>786.78315957400571</v>
      </c>
      <c r="Q35" s="139">
        <f>INDEX('Supply Scenarios'!N:N,MATCH($B35,'Supply Scenarios'!$B:$B,0)+$B$3-'Supply Scenarios'!$B$1)</f>
        <v>1128.7291163547952</v>
      </c>
      <c r="R35" s="139">
        <f>INDEX('Supply Scenarios'!O:O,MATCH($B35,'Supply Scenarios'!$B:$B,0)+$B$3-'Supply Scenarios'!$B$1)</f>
        <v>1470.9330744728325</v>
      </c>
      <c r="S35" s="139">
        <f>INDEX('Supply Scenarios'!P:P,MATCH($B35,'Supply Scenarios'!$B:$B,0)+$B$3-'Supply Scenarios'!$B$1)</f>
        <v>1918.4890627596535</v>
      </c>
      <c r="T35" s="139">
        <f>INDEX('Supply Scenarios'!Q:Q,MATCH($B35,'Supply Scenarios'!$B:$B,0)+$B$3-'Supply Scenarios'!$B$1)</f>
        <v>2434.6491715625875</v>
      </c>
      <c r="U35" t="s">
        <v>189</v>
      </c>
    </row>
    <row r="36" spans="1:22" ht="15" customHeight="1" x14ac:dyDescent="0.2">
      <c r="A36" s="455"/>
      <c r="B36" s="74" t="s">
        <v>119</v>
      </c>
      <c r="C36" s="1" t="s">
        <v>19</v>
      </c>
      <c r="D36" s="37">
        <v>0</v>
      </c>
      <c r="E36" s="37">
        <v>1200</v>
      </c>
      <c r="F36" s="40">
        <v>1233</v>
      </c>
      <c r="G36" s="139">
        <f>INDEX('Supply Scenarios'!D:D,MATCH($B36,'Supply Scenarios'!$B:$B,0)+$B$3-'Supply Scenarios'!$B$1)</f>
        <v>1233.0002890853402</v>
      </c>
      <c r="H36" s="139">
        <f>INDEX('Supply Scenarios'!E:E,MATCH($B36,'Supply Scenarios'!$B:$B,0)+$B$3-'Supply Scenarios'!$B$1)</f>
        <v>1233.0002890853402</v>
      </c>
      <c r="I36" s="139">
        <f>INDEX('Supply Scenarios'!F:F,MATCH($B36,'Supply Scenarios'!$B:$B,0)+$B$3-'Supply Scenarios'!$B$1)</f>
        <v>1233.0002890853402</v>
      </c>
      <c r="J36" s="139">
        <f>INDEX('Supply Scenarios'!G:G,MATCH($B36,'Supply Scenarios'!$B:$B,0)+$B$3-'Supply Scenarios'!$B$1)</f>
        <v>1233.0002890853402</v>
      </c>
      <c r="K36" s="139">
        <f>INDEX('Supply Scenarios'!H:H,MATCH($B36,'Supply Scenarios'!$B:$B,0)+$B$3-'Supply Scenarios'!$B$1)</f>
        <v>1233.0002890853402</v>
      </c>
      <c r="L36" s="139">
        <f>INDEX('Supply Scenarios'!I:I,MATCH($B36,'Supply Scenarios'!$B:$B,0)+$B$3-'Supply Scenarios'!$B$1)</f>
        <v>1233.0002890853402</v>
      </c>
      <c r="M36" s="139">
        <f>INDEX('Supply Scenarios'!J:J,MATCH($B36,'Supply Scenarios'!$B:$B,0)+$B$3-'Supply Scenarios'!$B$1)</f>
        <v>1233.0002890853402</v>
      </c>
      <c r="N36" s="139">
        <f>INDEX('Supply Scenarios'!K:K,MATCH($B36,'Supply Scenarios'!$B:$B,0)+$B$3-'Supply Scenarios'!$B$1)</f>
        <v>1233.0002890853402</v>
      </c>
      <c r="O36" s="139">
        <f>INDEX('Supply Scenarios'!L:L,MATCH($B36,'Supply Scenarios'!$B:$B,0)+$B$3-'Supply Scenarios'!$B$1)</f>
        <v>1233.0002890853402</v>
      </c>
      <c r="P36" s="139">
        <f>INDEX('Supply Scenarios'!M:M,MATCH($B36,'Supply Scenarios'!$B:$B,0)+$B$3-'Supply Scenarios'!$B$1)</f>
        <v>1233.0002890853402</v>
      </c>
      <c r="Q36" s="139">
        <f>INDEX('Supply Scenarios'!N:N,MATCH($B36,'Supply Scenarios'!$B:$B,0)+$B$3-'Supply Scenarios'!$B$1)</f>
        <v>1233.0002890853402</v>
      </c>
      <c r="R36" s="139">
        <f>INDEX('Supply Scenarios'!O:O,MATCH($B36,'Supply Scenarios'!$B:$B,0)+$B$3-'Supply Scenarios'!$B$1)</f>
        <v>1233.0002890853402</v>
      </c>
      <c r="S36" s="139">
        <f>INDEX('Supply Scenarios'!P:P,MATCH($B36,'Supply Scenarios'!$B:$B,0)+$B$3-'Supply Scenarios'!$B$1)</f>
        <v>1233.0002890853402</v>
      </c>
      <c r="T36" s="139">
        <f>INDEX('Supply Scenarios'!Q:Q,MATCH($B36,'Supply Scenarios'!$B:$B,0)+$B$3-'Supply Scenarios'!$B$1)</f>
        <v>1233.0002890853402</v>
      </c>
      <c r="U36" t="s">
        <v>189</v>
      </c>
    </row>
    <row r="37" spans="1:22" ht="15" customHeight="1" x14ac:dyDescent="0.2">
      <c r="A37" s="455"/>
      <c r="B37" s="74" t="s">
        <v>94</v>
      </c>
      <c r="C37" s="1" t="s">
        <v>61</v>
      </c>
      <c r="D37" s="70"/>
      <c r="E37" s="91"/>
      <c r="F37" s="91"/>
      <c r="G37" s="49">
        <f t="shared" ref="G37:T37" si="11">G11-G31*$C$156-G35*$C$171*$C$157/$C$179/1000-G36*$C$171*$C$159/$C$179/1000-G34*$C$158</f>
        <v>3680.2138142052499</v>
      </c>
      <c r="H37" s="49">
        <f t="shared" si="11"/>
        <v>3661.1892286795819</v>
      </c>
      <c r="I37" s="49">
        <f t="shared" si="11"/>
        <v>3640.1129554807021</v>
      </c>
      <c r="J37" s="49">
        <f t="shared" si="11"/>
        <v>3618.676056662121</v>
      </c>
      <c r="K37" s="49">
        <f t="shared" si="11"/>
        <v>3605.0308364975558</v>
      </c>
      <c r="L37" s="49">
        <f t="shared" si="11"/>
        <v>3596.8848736128689</v>
      </c>
      <c r="M37" s="49">
        <f t="shared" si="11"/>
        <v>3588.0859463721245</v>
      </c>
      <c r="N37" s="49">
        <f t="shared" si="11"/>
        <v>3562.7813059950008</v>
      </c>
      <c r="O37" s="49">
        <f t="shared" si="11"/>
        <v>3517.3911776723903</v>
      </c>
      <c r="P37" s="49">
        <f t="shared" si="11"/>
        <v>3483.2003805187082</v>
      </c>
      <c r="Q37" s="49">
        <f t="shared" si="11"/>
        <v>3435.7114057517983</v>
      </c>
      <c r="R37" s="49">
        <f t="shared" si="11"/>
        <v>3390.8207011848435</v>
      </c>
      <c r="S37" s="49">
        <f t="shared" si="11"/>
        <v>3335.5240051973919</v>
      </c>
      <c r="T37" s="49">
        <f t="shared" si="11"/>
        <v>3280.7012920965376</v>
      </c>
      <c r="U37" t="s">
        <v>109</v>
      </c>
    </row>
    <row r="38" spans="1:22" ht="15" customHeight="1" x14ac:dyDescent="0.2">
      <c r="A38" s="455"/>
      <c r="B38" s="74" t="s">
        <v>4</v>
      </c>
      <c r="C38" s="1" t="s">
        <v>18</v>
      </c>
      <c r="D38" s="69">
        <v>3444</v>
      </c>
      <c r="E38" s="69">
        <v>3475</v>
      </c>
      <c r="F38" s="69">
        <v>3421</v>
      </c>
      <c r="G38" s="49">
        <f t="shared" ref="G38:T38" si="12">(G37*$C$179-G29*$C$174-G30*$C$175)/$C$179</f>
        <v>3159.3053894405707</v>
      </c>
      <c r="H38" s="49">
        <f t="shared" si="12"/>
        <v>2980.8677342630931</v>
      </c>
      <c r="I38" s="49">
        <f t="shared" si="12"/>
        <v>2807.8662774334589</v>
      </c>
      <c r="J38" s="49">
        <f t="shared" si="12"/>
        <v>2617.7963342566882</v>
      </c>
      <c r="K38" s="49">
        <f t="shared" si="12"/>
        <v>2472.8036280175847</v>
      </c>
      <c r="L38" s="49">
        <f t="shared" si="12"/>
        <v>2332.7676410687886</v>
      </c>
      <c r="M38" s="49">
        <f t="shared" si="12"/>
        <v>2231.1853493542058</v>
      </c>
      <c r="N38" s="49">
        <f t="shared" si="12"/>
        <v>2152.2768108746295</v>
      </c>
      <c r="O38" s="49">
        <f t="shared" si="12"/>
        <v>2053.5458481749597</v>
      </c>
      <c r="P38" s="49">
        <f t="shared" si="12"/>
        <v>2049.8493074343573</v>
      </c>
      <c r="Q38" s="49">
        <f t="shared" si="12"/>
        <v>2030.8200619129359</v>
      </c>
      <c r="R38" s="49">
        <f t="shared" si="12"/>
        <v>2010.2277095708198</v>
      </c>
      <c r="S38" s="49">
        <f t="shared" si="12"/>
        <v>1975.0970720824205</v>
      </c>
      <c r="T38" s="49">
        <f t="shared" si="12"/>
        <v>1934.5638416005227</v>
      </c>
      <c r="U38" t="s">
        <v>98</v>
      </c>
    </row>
    <row r="39" spans="1:22" ht="15" customHeight="1" x14ac:dyDescent="0.2">
      <c r="A39" s="455"/>
      <c r="B39" s="74" t="s">
        <v>66</v>
      </c>
      <c r="C39" s="1" t="s">
        <v>43</v>
      </c>
      <c r="D39" s="52">
        <f t="shared" ref="D39:T39" si="13">D29/SUM(D29,D30,D38)</f>
        <v>1.84878587196468E-2</v>
      </c>
      <c r="E39" s="52">
        <f t="shared" si="13"/>
        <v>3.3457249070631967E-2</v>
      </c>
      <c r="F39" s="52">
        <f t="shared" si="13"/>
        <v>4.2525436994521264E-2</v>
      </c>
      <c r="G39" s="52">
        <f t="shared" si="13"/>
        <v>4.9184855400133717E-2</v>
      </c>
      <c r="H39" s="52">
        <f t="shared" si="13"/>
        <v>5.6743241486877476E-2</v>
      </c>
      <c r="I39" s="52">
        <f t="shared" si="13"/>
        <v>6.4211518468023851E-2</v>
      </c>
      <c r="J39" s="52">
        <f t="shared" si="13"/>
        <v>7.1583735258100148E-2</v>
      </c>
      <c r="K39" s="52">
        <f t="shared" si="13"/>
        <v>8.5551636793564589E-2</v>
      </c>
      <c r="L39" s="52">
        <f t="shared" si="13"/>
        <v>9.9459778416370756E-2</v>
      </c>
      <c r="M39" s="52">
        <f t="shared" si="13"/>
        <v>0.11339265363387661</v>
      </c>
      <c r="N39" s="52">
        <f t="shared" si="13"/>
        <v>0.1277044429708627</v>
      </c>
      <c r="O39" s="52">
        <f t="shared" si="13"/>
        <v>0.14225672671224351</v>
      </c>
      <c r="P39" s="52">
        <f t="shared" si="13"/>
        <v>0.14288940996373242</v>
      </c>
      <c r="Q39" s="52">
        <f t="shared" si="13"/>
        <v>0.14372286686947838</v>
      </c>
      <c r="R39" s="52">
        <f t="shared" si="13"/>
        <v>0.14458511493553736</v>
      </c>
      <c r="S39" s="52">
        <f t="shared" si="13"/>
        <v>0.14583399174780648</v>
      </c>
      <c r="T39" s="52">
        <f t="shared" si="13"/>
        <v>0.14737131302166295</v>
      </c>
      <c r="U39" t="s">
        <v>100</v>
      </c>
    </row>
    <row r="40" spans="1:22" ht="15" customHeight="1" x14ac:dyDescent="0.2">
      <c r="A40" s="455"/>
      <c r="B40" s="74" t="s">
        <v>67</v>
      </c>
      <c r="C40" s="1" t="s">
        <v>43</v>
      </c>
      <c r="D40" s="52">
        <f t="shared" ref="D40:T40" si="14">D30/SUM(D29,D30,D38)</f>
        <v>3.1181015452538631E-2</v>
      </c>
      <c r="E40" s="52">
        <f t="shared" si="14"/>
        <v>4.3813064259160914E-2</v>
      </c>
      <c r="F40" s="52">
        <f t="shared" si="14"/>
        <v>6.4962170623532475E-2</v>
      </c>
      <c r="G40" s="52">
        <f t="shared" si="14"/>
        <v>9.7991529711221187E-2</v>
      </c>
      <c r="H40" s="52">
        <f t="shared" si="14"/>
        <v>0.13590753877225173</v>
      </c>
      <c r="I40" s="52">
        <f t="shared" si="14"/>
        <v>0.17225453214829387</v>
      </c>
      <c r="J40" s="52">
        <f t="shared" si="14"/>
        <v>0.21375732419950211</v>
      </c>
      <c r="K40" s="52">
        <f t="shared" si="14"/>
        <v>0.23800759122963061</v>
      </c>
      <c r="L40" s="52">
        <f t="shared" si="14"/>
        <v>0.26208032729250785</v>
      </c>
      <c r="M40" s="52">
        <f t="shared" si="14"/>
        <v>0.27528373683511626</v>
      </c>
      <c r="N40" s="52">
        <f t="shared" si="14"/>
        <v>0.27902078830958077</v>
      </c>
      <c r="O40" s="52">
        <f t="shared" si="14"/>
        <v>0.28503156800841173</v>
      </c>
      <c r="P40" s="52">
        <f t="shared" si="14"/>
        <v>0.27972948362357042</v>
      </c>
      <c r="Q40" s="52">
        <f t="shared" si="14"/>
        <v>0.27630746763383079</v>
      </c>
      <c r="R40" s="52">
        <f t="shared" si="14"/>
        <v>0.27370209834074882</v>
      </c>
      <c r="S40" s="52">
        <f t="shared" si="14"/>
        <v>0.27317878418077224</v>
      </c>
      <c r="T40" s="52">
        <f t="shared" si="14"/>
        <v>0.27413147308095659</v>
      </c>
      <c r="U40" t="s">
        <v>100</v>
      </c>
    </row>
    <row r="41" spans="1:22" ht="15" customHeight="1" x14ac:dyDescent="0.2">
      <c r="A41" s="455"/>
      <c r="B41" s="74"/>
      <c r="C41" s="1"/>
      <c r="D41" s="32"/>
      <c r="E41" s="32"/>
      <c r="F41" s="32"/>
      <c r="G41" s="247"/>
      <c r="H41" s="247"/>
      <c r="I41" s="247"/>
      <c r="J41" s="247"/>
      <c r="K41" s="247"/>
      <c r="L41" s="247"/>
      <c r="M41" s="247"/>
      <c r="N41" s="247"/>
      <c r="O41" s="247"/>
      <c r="P41" s="247"/>
      <c r="Q41" s="247"/>
      <c r="R41" s="247"/>
      <c r="S41" s="247"/>
      <c r="T41" s="247"/>
    </row>
    <row r="42" spans="1:22" ht="15" customHeight="1" x14ac:dyDescent="0.2">
      <c r="A42" s="455"/>
      <c r="B42" s="74" t="s">
        <v>72</v>
      </c>
      <c r="C42" s="14" t="s">
        <v>15</v>
      </c>
      <c r="D42" s="3">
        <v>2014</v>
      </c>
      <c r="E42" s="3">
        <v>2015</v>
      </c>
      <c r="F42" s="3">
        <v>2016</v>
      </c>
      <c r="G42" s="3">
        <v>2017</v>
      </c>
      <c r="H42" s="3">
        <v>2018</v>
      </c>
      <c r="I42" s="3">
        <v>2019</v>
      </c>
      <c r="J42" s="3">
        <v>2020</v>
      </c>
      <c r="K42" s="3">
        <v>2021</v>
      </c>
      <c r="L42" s="3">
        <v>2022</v>
      </c>
      <c r="M42" s="3">
        <v>2023</v>
      </c>
      <c r="N42" s="3">
        <v>2024</v>
      </c>
      <c r="O42" s="3">
        <v>2025</v>
      </c>
      <c r="P42" s="16">
        <v>2026</v>
      </c>
      <c r="Q42" s="16">
        <v>2027</v>
      </c>
      <c r="R42" s="16">
        <v>2028</v>
      </c>
      <c r="S42" s="16">
        <v>2029</v>
      </c>
      <c r="T42" s="16">
        <v>2030</v>
      </c>
    </row>
    <row r="43" spans="1:22" ht="15" customHeight="1" x14ac:dyDescent="0.2">
      <c r="A43" s="455"/>
      <c r="B43" s="74" t="s">
        <v>155</v>
      </c>
      <c r="C43" s="14" t="s">
        <v>157</v>
      </c>
      <c r="D43" s="152"/>
      <c r="E43" s="152"/>
      <c r="F43" s="152"/>
      <c r="G43" s="152"/>
      <c r="H43" s="152"/>
      <c r="I43" s="187">
        <f>MIN(2948/1920*3/90*88.87/134.48*I30,$H$44)</f>
        <v>21.425018311387717</v>
      </c>
      <c r="J43" s="187">
        <f t="shared" ref="J43:T43" si="15">MIN(2948/1920*3/90*88.87/134.48*J30,$H$44)</f>
        <v>26.482592865381914</v>
      </c>
      <c r="K43" s="187">
        <f t="shared" si="15"/>
        <v>27.819999999999997</v>
      </c>
      <c r="L43" s="187">
        <f t="shared" si="15"/>
        <v>27.819999999999997</v>
      </c>
      <c r="M43" s="187">
        <f t="shared" si="15"/>
        <v>27.819999999999997</v>
      </c>
      <c r="N43" s="187">
        <f t="shared" si="15"/>
        <v>27.819999999999997</v>
      </c>
      <c r="O43" s="187">
        <f t="shared" si="15"/>
        <v>27.819999999999997</v>
      </c>
      <c r="P43" s="187">
        <f t="shared" si="15"/>
        <v>27.819999999999997</v>
      </c>
      <c r="Q43" s="187">
        <f t="shared" si="15"/>
        <v>27.819999999999997</v>
      </c>
      <c r="R43" s="187">
        <f t="shared" si="15"/>
        <v>27.819999999999997</v>
      </c>
      <c r="S43" s="187">
        <f t="shared" si="15"/>
        <v>27.819999999999997</v>
      </c>
      <c r="T43" s="187">
        <f t="shared" si="15"/>
        <v>27.819999999999997</v>
      </c>
      <c r="U43" t="s">
        <v>164</v>
      </c>
    </row>
    <row r="44" spans="1:22" ht="15" customHeight="1" x14ac:dyDescent="0.2">
      <c r="A44" s="455"/>
      <c r="B44" s="74" t="s">
        <v>156</v>
      </c>
      <c r="C44" s="14" t="s">
        <v>157</v>
      </c>
      <c r="D44" s="152"/>
      <c r="E44" s="152"/>
      <c r="F44" s="152"/>
      <c r="G44" s="152"/>
      <c r="H44" s="143">
        <f>H45</f>
        <v>27.819999999999997</v>
      </c>
      <c r="I44" s="188">
        <f>MAX(I45-I43,0)</f>
        <v>6.3949816886122797</v>
      </c>
      <c r="J44" s="188">
        <f t="shared" ref="J44:T44" si="16">MAX(J45-J43,0)</f>
        <v>1.3374071346180827</v>
      </c>
      <c r="K44" s="188">
        <f t="shared" si="16"/>
        <v>0</v>
      </c>
      <c r="L44" s="188">
        <f t="shared" si="16"/>
        <v>0</v>
      </c>
      <c r="M44" s="188">
        <f t="shared" si="16"/>
        <v>0</v>
      </c>
      <c r="N44" s="188">
        <f t="shared" si="16"/>
        <v>0</v>
      </c>
      <c r="O44" s="188">
        <f t="shared" si="16"/>
        <v>0</v>
      </c>
      <c r="P44" s="188">
        <f t="shared" si="16"/>
        <v>0</v>
      </c>
      <c r="Q44" s="188">
        <f t="shared" si="16"/>
        <v>0</v>
      </c>
      <c r="R44" s="188">
        <f t="shared" si="16"/>
        <v>0</v>
      </c>
      <c r="S44" s="188">
        <f t="shared" si="16"/>
        <v>0</v>
      </c>
      <c r="T44" s="188">
        <f t="shared" si="16"/>
        <v>0</v>
      </c>
    </row>
    <row r="45" spans="1:22" ht="15" customHeight="1" x14ac:dyDescent="0.2">
      <c r="A45" s="455"/>
      <c r="B45" s="74" t="s">
        <v>161</v>
      </c>
      <c r="C45" s="14" t="s">
        <v>157</v>
      </c>
      <c r="D45" s="152"/>
      <c r="E45" s="152"/>
      <c r="F45" s="152"/>
      <c r="G45" s="152"/>
      <c r="H45" s="143">
        <f>INDEX('Supply Scenarios'!F:F,MATCH($B45,'Supply Scenarios'!$B:$B,0)+$B$3-'Supply Scenarios'!$B$1)</f>
        <v>27.819999999999997</v>
      </c>
      <c r="I45" s="139">
        <f>INDEX('Supply Scenarios'!F:F,MATCH($B45,'Supply Scenarios'!$B:$B,0)+$B$3-'Supply Scenarios'!$B$1)</f>
        <v>27.819999999999997</v>
      </c>
      <c r="J45" s="139">
        <f>INDEX('Supply Scenarios'!G:G,MATCH($B45,'Supply Scenarios'!$B:$B,0)+$B$3-'Supply Scenarios'!$B$1)</f>
        <v>27.819999999999997</v>
      </c>
      <c r="K45" s="139">
        <f>INDEX('Supply Scenarios'!H:H,MATCH($B45,'Supply Scenarios'!$B:$B,0)+$B$3-'Supply Scenarios'!$B$1)</f>
        <v>27.819999999999997</v>
      </c>
      <c r="L45" s="139">
        <f>INDEX('Supply Scenarios'!I:I,MATCH($B45,'Supply Scenarios'!$B:$B,0)+$B$3-'Supply Scenarios'!$B$1)</f>
        <v>27.819999999999997</v>
      </c>
      <c r="M45" s="139">
        <f>INDEX('Supply Scenarios'!J:J,MATCH($B45,'Supply Scenarios'!$B:$B,0)+$B$3-'Supply Scenarios'!$B$1)</f>
        <v>27.819999999999997</v>
      </c>
      <c r="N45" s="139">
        <f>INDEX('Supply Scenarios'!K:K,MATCH($B45,'Supply Scenarios'!$B:$B,0)+$B$3-'Supply Scenarios'!$B$1)</f>
        <v>27.819999999999997</v>
      </c>
      <c r="O45" s="139">
        <f>INDEX('Supply Scenarios'!L:L,MATCH($B45,'Supply Scenarios'!$B:$B,0)+$B$3-'Supply Scenarios'!$B$1)</f>
        <v>27.819999999999997</v>
      </c>
      <c r="P45" s="139">
        <f>INDEX('Supply Scenarios'!M:M,MATCH($B45,'Supply Scenarios'!$B:$B,0)+$B$3-'Supply Scenarios'!$B$1)</f>
        <v>27.819999999999997</v>
      </c>
      <c r="Q45" s="139">
        <f>INDEX('Supply Scenarios'!N:N,MATCH($B45,'Supply Scenarios'!$B:$B,0)+$B$3-'Supply Scenarios'!$B$1)</f>
        <v>27.819999999999997</v>
      </c>
      <c r="R45" s="139">
        <f>INDEX('Supply Scenarios'!O:O,MATCH($B45,'Supply Scenarios'!$B:$B,0)+$B$3-'Supply Scenarios'!$B$1)</f>
        <v>27.819999999999997</v>
      </c>
      <c r="S45" s="139">
        <f>INDEX('Supply Scenarios'!P:P,MATCH($B45,'Supply Scenarios'!$B:$B,0)+$B$3-'Supply Scenarios'!$B$1)</f>
        <v>27.819999999999997</v>
      </c>
      <c r="T45" s="139">
        <f>INDEX('Supply Scenarios'!Q:Q,MATCH($B45,'Supply Scenarios'!$B:$B,0)+$B$3-'Supply Scenarios'!$B$1)</f>
        <v>27.819999999999997</v>
      </c>
      <c r="U45" t="s">
        <v>189</v>
      </c>
    </row>
    <row r="46" spans="1:22" ht="15" customHeight="1" x14ac:dyDescent="0.2">
      <c r="A46" s="455"/>
      <c r="B46" s="74" t="s">
        <v>68</v>
      </c>
      <c r="C46" s="1" t="s">
        <v>18</v>
      </c>
      <c r="D46" s="67"/>
      <c r="E46" s="67"/>
      <c r="F46" s="67"/>
      <c r="G46" s="143"/>
      <c r="H46" s="143"/>
      <c r="I46" s="139">
        <f>INDEX('Supply Scenarios'!F:F,MATCH($B46,'Supply Scenarios'!$B:$B,0)+$B$3-'Supply Scenarios'!$B$1)</f>
        <v>0</v>
      </c>
      <c r="J46" s="139">
        <f>INDEX('Supply Scenarios'!G:G,MATCH($B46,'Supply Scenarios'!$B:$B,0)+$B$3-'Supply Scenarios'!$B$1)</f>
        <v>0</v>
      </c>
      <c r="K46" s="139">
        <f>INDEX('Supply Scenarios'!H:H,MATCH($B46,'Supply Scenarios'!$B:$B,0)+$B$3-'Supply Scenarios'!$B$1)</f>
        <v>0</v>
      </c>
      <c r="L46" s="139">
        <f>INDEX('Supply Scenarios'!I:I,MATCH($B46,'Supply Scenarios'!$B:$B,0)+$B$3-'Supply Scenarios'!$B$1)</f>
        <v>0</v>
      </c>
      <c r="M46" s="139">
        <f>INDEX('Supply Scenarios'!J:J,MATCH($B46,'Supply Scenarios'!$B:$B,0)+$B$3-'Supply Scenarios'!$B$1)</f>
        <v>0</v>
      </c>
      <c r="N46" s="139">
        <f>INDEX('Supply Scenarios'!K:K,MATCH($B46,'Supply Scenarios'!$B:$B,0)+$B$3-'Supply Scenarios'!$B$1)</f>
        <v>0</v>
      </c>
      <c r="O46" s="139">
        <f>INDEX('Supply Scenarios'!L:L,MATCH($B46,'Supply Scenarios'!$B:$B,0)+$B$3-'Supply Scenarios'!$B$1)</f>
        <v>0</v>
      </c>
      <c r="P46" s="139">
        <f>INDEX('Supply Scenarios'!M:M,MATCH($B46,'Supply Scenarios'!$B:$B,0)+$B$3-'Supply Scenarios'!$B$1)</f>
        <v>0</v>
      </c>
      <c r="Q46" s="139">
        <f>INDEX('Supply Scenarios'!N:N,MATCH($B46,'Supply Scenarios'!$B:$B,0)+$B$3-'Supply Scenarios'!$B$1)</f>
        <v>0</v>
      </c>
      <c r="R46" s="139">
        <f>INDEX('Supply Scenarios'!O:O,MATCH($B46,'Supply Scenarios'!$B:$B,0)+$B$3-'Supply Scenarios'!$B$1)</f>
        <v>0</v>
      </c>
      <c r="S46" s="139">
        <f>INDEX('Supply Scenarios'!P:P,MATCH($B46,'Supply Scenarios'!$B:$B,0)+$B$3-'Supply Scenarios'!$B$1)</f>
        <v>0</v>
      </c>
      <c r="T46" s="139">
        <f>INDEX('Supply Scenarios'!Q:Q,MATCH($B46,'Supply Scenarios'!$B:$B,0)+$B$3-'Supply Scenarios'!$B$1)</f>
        <v>0</v>
      </c>
      <c r="U46" t="s">
        <v>189</v>
      </c>
    </row>
    <row r="47" spans="1:22" s="9" customFormat="1" ht="16" thickBot="1" x14ac:dyDescent="0.25">
      <c r="A47" s="456"/>
      <c r="B47" s="78" t="s">
        <v>127</v>
      </c>
      <c r="C47" s="1" t="s">
        <v>61</v>
      </c>
      <c r="D47" s="2"/>
      <c r="E47" s="2"/>
      <c r="F47" s="187">
        <f t="shared" ref="F47:T47" si="17">F62*F33</f>
        <v>0</v>
      </c>
      <c r="G47" s="187">
        <f t="shared" si="17"/>
        <v>0.87142692850551007</v>
      </c>
      <c r="H47" s="187">
        <f t="shared" si="17"/>
        <v>1.2097469570876205</v>
      </c>
      <c r="I47" s="187">
        <f t="shared" si="17"/>
        <v>1.6625321057282074</v>
      </c>
      <c r="J47" s="187">
        <f t="shared" si="17"/>
        <v>2.2838533357270374</v>
      </c>
      <c r="K47" s="187">
        <f t="shared" si="17"/>
        <v>3.1943530262377942</v>
      </c>
      <c r="L47" s="187">
        <f t="shared" si="17"/>
        <v>4.5871787569042946</v>
      </c>
      <c r="M47" s="187">
        <f t="shared" si="17"/>
        <v>10.883965501549524</v>
      </c>
      <c r="N47" s="187">
        <f t="shared" si="17"/>
        <v>22.710790510894622</v>
      </c>
      <c r="O47" s="187">
        <f t="shared" si="17"/>
        <v>23.045140179965792</v>
      </c>
      <c r="P47" s="187">
        <f t="shared" si="17"/>
        <v>32.422065109169104</v>
      </c>
      <c r="Q47" s="187">
        <f t="shared" si="17"/>
        <v>45.566551133668838</v>
      </c>
      <c r="R47" s="187">
        <f t="shared" si="17"/>
        <v>63.852225570654035</v>
      </c>
      <c r="S47" s="187">
        <f t="shared" si="17"/>
        <v>65.742321707444034</v>
      </c>
      <c r="T47" s="187">
        <f t="shared" si="17"/>
        <v>67.029151483602291</v>
      </c>
      <c r="V47"/>
    </row>
    <row r="48" spans="1:22" s="9" customFormat="1" x14ac:dyDescent="0.2">
      <c r="B48" s="14"/>
      <c r="C48" s="1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V48"/>
    </row>
    <row r="49" spans="1:21" ht="22" thickBot="1" x14ac:dyDescent="0.3">
      <c r="B49" s="2"/>
      <c r="C49" s="2"/>
      <c r="D49" s="467" t="s">
        <v>46</v>
      </c>
      <c r="E49" s="468"/>
      <c r="F49" s="468"/>
      <c r="G49" s="468"/>
      <c r="H49" s="468"/>
      <c r="I49" s="468"/>
      <c r="J49" s="468"/>
      <c r="K49" s="468"/>
      <c r="L49" s="468"/>
      <c r="M49" s="468"/>
      <c r="N49" s="468"/>
      <c r="O49" s="468"/>
      <c r="P49" s="468"/>
      <c r="Q49" s="468"/>
      <c r="R49" s="468"/>
      <c r="S49" s="468"/>
      <c r="T49" s="469"/>
    </row>
    <row r="50" spans="1:21" x14ac:dyDescent="0.2">
      <c r="A50" s="454" t="s">
        <v>116</v>
      </c>
      <c r="B50" s="74" t="s">
        <v>72</v>
      </c>
      <c r="C50" s="14" t="s">
        <v>15</v>
      </c>
      <c r="D50" s="3">
        <v>2014</v>
      </c>
      <c r="E50" s="3">
        <v>2015</v>
      </c>
      <c r="F50" s="3">
        <v>2016</v>
      </c>
      <c r="G50" s="3">
        <v>2017</v>
      </c>
      <c r="H50" s="3">
        <v>2018</v>
      </c>
      <c r="I50" s="3">
        <v>2019</v>
      </c>
      <c r="J50" s="3">
        <v>2020</v>
      </c>
      <c r="K50" s="3">
        <v>2021</v>
      </c>
      <c r="L50" s="3">
        <v>2022</v>
      </c>
      <c r="M50" s="3">
        <v>2023</v>
      </c>
      <c r="N50" s="3">
        <v>2024</v>
      </c>
      <c r="O50" s="3">
        <v>2025</v>
      </c>
      <c r="P50" s="16">
        <v>2026</v>
      </c>
      <c r="Q50" s="16">
        <v>2027</v>
      </c>
      <c r="R50" s="16">
        <v>2028</v>
      </c>
      <c r="S50" s="16">
        <v>2029</v>
      </c>
      <c r="T50" s="16">
        <v>2030</v>
      </c>
    </row>
    <row r="51" spans="1:21" x14ac:dyDescent="0.2">
      <c r="A51" s="455"/>
      <c r="B51" s="75" t="s">
        <v>166</v>
      </c>
      <c r="C51" s="1" t="s">
        <v>44</v>
      </c>
      <c r="D51" s="44"/>
      <c r="E51" s="44"/>
      <c r="F51" s="88">
        <v>71</v>
      </c>
      <c r="G51" s="54">
        <f>INDEX('Supply Scenarios'!D:D,MATCH($B51,'Supply Scenarios'!$B:$B,0)+$B$3-'Supply Scenarios'!$B$1)</f>
        <v>70.24799999999999</v>
      </c>
      <c r="H51" s="54">
        <f>INDEX('Supply Scenarios'!E:E,MATCH($B51,'Supply Scenarios'!$B:$B,0)+$B$3-'Supply Scenarios'!$B$1)</f>
        <v>69.871999999999986</v>
      </c>
      <c r="I51" s="54">
        <f>INDEX('Supply Scenarios'!F:F,MATCH($B51,'Supply Scenarios'!$B:$B,0)+$B$3-'Supply Scenarios'!$B$1)</f>
        <v>69.495999999999981</v>
      </c>
      <c r="J51" s="54">
        <f>INDEX('Supply Scenarios'!G:G,MATCH($B51,'Supply Scenarios'!$B:$B,0)+$B$3-'Supply Scenarios'!$B$1)</f>
        <v>69.119999999999976</v>
      </c>
      <c r="K51" s="54">
        <f>INDEX('Supply Scenarios'!H:H,MATCH($B51,'Supply Scenarios'!$B:$B,0)+$B$3-'Supply Scenarios'!$B$1)</f>
        <v>68.743999999999971</v>
      </c>
      <c r="L51" s="54">
        <f>INDEX('Supply Scenarios'!I:I,MATCH($B51,'Supply Scenarios'!$B:$B,0)+$B$3-'Supply Scenarios'!$B$1)</f>
        <v>66.469706730398954</v>
      </c>
      <c r="M51" s="54">
        <f>INDEX('Supply Scenarios'!J:J,MATCH($B51,'Supply Scenarios'!$B:$B,0)+$B$3-'Supply Scenarios'!$B$1)</f>
        <v>63.981807193167938</v>
      </c>
      <c r="N51" s="54">
        <f>INDEX('Supply Scenarios'!K:K,MATCH($B51,'Supply Scenarios'!$B:$B,0)+$B$3-'Supply Scenarios'!$B$1)</f>
        <v>61.1846769086021</v>
      </c>
      <c r="O51" s="54">
        <f>INDEX('Supply Scenarios'!L:L,MATCH($B51,'Supply Scenarios'!$B:$B,0)+$B$3-'Supply Scenarios'!$B$1)</f>
        <v>57.95623169148304</v>
      </c>
      <c r="P51" s="54">
        <f>INDEX('Supply Scenarios'!M:M,MATCH($B51,'Supply Scenarios'!$B:$B,0)+$B$3-'Supply Scenarios'!$B$1)</f>
        <v>54.132689153903627</v>
      </c>
      <c r="Q51" s="54">
        <f>INDEX('Supply Scenarios'!N:N,MATCH($B51,'Supply Scenarios'!$B:$B,0)+$B$3-'Supply Scenarios'!$B$1)</f>
        <v>49.476091937576385</v>
      </c>
      <c r="R51" s="54">
        <f>INDEX('Supply Scenarios'!O:O,MATCH($B51,'Supply Scenarios'!$B:$B,0)+$B$3-'Supply Scenarios'!$B$1)</f>
        <v>43.615840946075707</v>
      </c>
      <c r="S51" s="54">
        <f>INDEX('Supply Scenarios'!P:P,MATCH($B51,'Supply Scenarios'!$B:$B,0)+$B$3-'Supply Scenarios'!$B$1)</f>
        <v>39.544468279869307</v>
      </c>
      <c r="T51" s="54">
        <f>INDEX('Supply Scenarios'!Q:Q,MATCH($B51,'Supply Scenarios'!$B:$B,0)+$B$3-'Supply Scenarios'!$B$1)</f>
        <v>33.36</v>
      </c>
    </row>
    <row r="52" spans="1:21" x14ac:dyDescent="0.2">
      <c r="A52" s="455"/>
      <c r="B52" s="74" t="s">
        <v>124</v>
      </c>
      <c r="C52" s="1" t="s">
        <v>44</v>
      </c>
      <c r="D52" s="44"/>
      <c r="E52" s="44"/>
      <c r="F52" s="163">
        <v>45</v>
      </c>
      <c r="G52" s="442">
        <v>38</v>
      </c>
      <c r="H52" s="443">
        <v>36</v>
      </c>
      <c r="I52" s="443">
        <v>34</v>
      </c>
      <c r="J52" s="443">
        <v>33</v>
      </c>
      <c r="K52" s="443">
        <v>31</v>
      </c>
      <c r="L52" s="443">
        <v>29</v>
      </c>
      <c r="M52" s="443">
        <v>28</v>
      </c>
      <c r="N52" s="443">
        <v>26</v>
      </c>
      <c r="O52" s="443">
        <v>27</v>
      </c>
      <c r="P52" s="443">
        <v>27</v>
      </c>
      <c r="Q52" s="443">
        <v>27</v>
      </c>
      <c r="R52" s="443">
        <v>27</v>
      </c>
      <c r="S52" s="443">
        <v>27</v>
      </c>
      <c r="T52" s="443">
        <v>27</v>
      </c>
      <c r="U52" t="s">
        <v>316</v>
      </c>
    </row>
    <row r="53" spans="1:21" x14ac:dyDescent="0.2">
      <c r="A53" s="455"/>
      <c r="B53" s="78" t="s">
        <v>17</v>
      </c>
      <c r="C53" s="1" t="s">
        <v>44</v>
      </c>
      <c r="D53" s="44"/>
      <c r="E53" s="44"/>
      <c r="F53" s="163">
        <v>30</v>
      </c>
      <c r="G53" s="335">
        <v>23.557383822933328</v>
      </c>
      <c r="H53" s="335">
        <v>22.930501990399996</v>
      </c>
      <c r="I53" s="335">
        <v>22.316980157866663</v>
      </c>
      <c r="J53" s="335">
        <v>21.716818325333328</v>
      </c>
      <c r="K53" s="335">
        <v>21.130016492799992</v>
      </c>
      <c r="L53" s="335">
        <v>20.556574660266666</v>
      </c>
      <c r="M53" s="335">
        <v>19.996492827733331</v>
      </c>
      <c r="N53" s="335">
        <v>19.449770995199991</v>
      </c>
      <c r="O53" s="335">
        <v>18.916409162666664</v>
      </c>
      <c r="P53" s="335">
        <v>18.396407330133325</v>
      </c>
      <c r="Q53" s="335">
        <v>17.889765497599992</v>
      </c>
      <c r="R53" s="335">
        <v>17.396483665066658</v>
      </c>
      <c r="S53" s="335">
        <v>16.916561832533326</v>
      </c>
      <c r="T53" s="335">
        <v>16.450000000000003</v>
      </c>
      <c r="U53" t="s">
        <v>316</v>
      </c>
    </row>
    <row r="54" spans="1:21" x14ac:dyDescent="0.2">
      <c r="A54" s="455"/>
      <c r="B54" s="79" t="s">
        <v>16</v>
      </c>
      <c r="C54" s="1" t="s">
        <v>44</v>
      </c>
      <c r="D54" s="44"/>
      <c r="E54" s="44"/>
      <c r="F54" s="163">
        <v>30</v>
      </c>
      <c r="G54" s="335">
        <v>18</v>
      </c>
      <c r="H54" s="335">
        <v>18.541781990400001</v>
      </c>
      <c r="I54" s="335">
        <v>18.338300157866662</v>
      </c>
      <c r="J54" s="335">
        <v>18.134818325333331</v>
      </c>
      <c r="K54" s="335">
        <v>17.931336492799996</v>
      </c>
      <c r="L54" s="335">
        <v>17.727854660266665</v>
      </c>
      <c r="M54" s="335">
        <v>17.52437282773333</v>
      </c>
      <c r="N54" s="335">
        <v>17.320890995199996</v>
      </c>
      <c r="O54" s="335">
        <v>17.117409162666664</v>
      </c>
      <c r="P54" s="335">
        <v>16.91392733013333</v>
      </c>
      <c r="Q54" s="335">
        <v>16.710445497599999</v>
      </c>
      <c r="R54" s="335">
        <v>16.506963665066664</v>
      </c>
      <c r="S54" s="335">
        <v>16.303481832533329</v>
      </c>
      <c r="T54" s="335">
        <v>16.099999999999998</v>
      </c>
      <c r="U54" t="s">
        <v>316</v>
      </c>
    </row>
    <row r="55" spans="1:21" x14ac:dyDescent="0.2">
      <c r="A55" s="455"/>
      <c r="B55" s="79" t="s">
        <v>104</v>
      </c>
      <c r="C55" s="1" t="s">
        <v>44</v>
      </c>
      <c r="D55" s="44"/>
      <c r="E55" s="44"/>
      <c r="F55" s="53">
        <f>100.78/$C$151</f>
        <v>40.311999999999998</v>
      </c>
      <c r="G55" s="54">
        <f t="shared" ref="G55:T55" si="18">F55*(1-$C$187)</f>
        <v>40.311999999999998</v>
      </c>
      <c r="H55" s="54">
        <f t="shared" si="18"/>
        <v>40.311999999999998</v>
      </c>
      <c r="I55" s="54">
        <f t="shared" si="18"/>
        <v>40.311999999999998</v>
      </c>
      <c r="J55" s="54">
        <f t="shared" si="18"/>
        <v>40.311999999999998</v>
      </c>
      <c r="K55" s="54">
        <f t="shared" si="18"/>
        <v>40.311999999999998</v>
      </c>
      <c r="L55" s="54">
        <f t="shared" si="18"/>
        <v>40.311999999999998</v>
      </c>
      <c r="M55" s="54">
        <f t="shared" si="18"/>
        <v>40.311999999999998</v>
      </c>
      <c r="N55" s="54">
        <f t="shared" si="18"/>
        <v>40.311999999999998</v>
      </c>
      <c r="O55" s="54">
        <f t="shared" si="18"/>
        <v>40.311999999999998</v>
      </c>
      <c r="P55" s="54">
        <f t="shared" si="18"/>
        <v>40.311999999999998</v>
      </c>
      <c r="Q55" s="54">
        <f t="shared" si="18"/>
        <v>40.311999999999998</v>
      </c>
      <c r="R55" s="54">
        <f t="shared" si="18"/>
        <v>40.311999999999998</v>
      </c>
      <c r="S55" s="54">
        <f t="shared" si="18"/>
        <v>40.311999999999998</v>
      </c>
      <c r="T55" s="54">
        <f t="shared" si="18"/>
        <v>40.311999999999998</v>
      </c>
      <c r="U55" t="s">
        <v>186</v>
      </c>
    </row>
    <row r="56" spans="1:21" x14ac:dyDescent="0.2">
      <c r="A56" s="455"/>
      <c r="B56" s="79" t="s">
        <v>163</v>
      </c>
      <c r="C56" s="1" t="s">
        <v>44</v>
      </c>
      <c r="D56" s="44"/>
      <c r="E56" s="44"/>
      <c r="F56" s="53">
        <v>30.929411764705883</v>
      </c>
      <c r="G56" s="271">
        <f>INDEX('Supply Scenarios'!D:D,MATCH($B56,'Supply Scenarios'!$B:$B,0)+$B$3-'Supply Scenarios'!$B$1)</f>
        <v>23.868507024577521</v>
      </c>
      <c r="H56" s="271">
        <f>INDEX('Supply Scenarios'!E:E,MATCH($B56,'Supply Scenarios'!$B:$B,0)+$B$3-'Supply Scenarios'!$B$1)</f>
        <v>22.198588334051657</v>
      </c>
      <c r="I56" s="271">
        <f>INDEX('Supply Scenarios'!F:F,MATCH($B56,'Supply Scenarios'!$B:$B,0)+$B$3-'Supply Scenarios'!$B$1)</f>
        <v>18.353536205515244</v>
      </c>
      <c r="J56" s="271">
        <f>INDEX('Supply Scenarios'!G:G,MATCH($B56,'Supply Scenarios'!$B:$B,0)+$B$3-'Supply Scenarios'!$B$1)</f>
        <v>15.061792786767928</v>
      </c>
      <c r="K56" s="271">
        <f>INDEX('Supply Scenarios'!H:H,MATCH($B56,'Supply Scenarios'!$B:$B,0)+$B$3-'Supply Scenarios'!$B$1)</f>
        <v>14.31149447213849</v>
      </c>
      <c r="L56" s="271">
        <f>INDEX('Supply Scenarios'!I:I,MATCH($B56,'Supply Scenarios'!$B:$B,0)+$B$3-'Supply Scenarios'!$B$1)</f>
        <v>13.517031364061937</v>
      </c>
      <c r="M56" s="271">
        <f>INDEX('Supply Scenarios'!J:J,MATCH($B56,'Supply Scenarios'!$B:$B,0)+$B$3-'Supply Scenarios'!$B$1)</f>
        <v>12.680212331175829</v>
      </c>
      <c r="N56" s="271">
        <f>INDEX('Supply Scenarios'!K:K,MATCH($B56,'Supply Scenarios'!$B:$B,0)+$B$3-'Supply Scenarios'!$B$1)</f>
        <v>11.802751357674166</v>
      </c>
      <c r="O56" s="271">
        <f>INDEX('Supply Scenarios'!L:L,MATCH($B56,'Supply Scenarios'!$B:$B,0)+$B$3-'Supply Scenarios'!$B$1)</f>
        <v>10.886286523707538</v>
      </c>
      <c r="P56" s="271">
        <f>INDEX('Supply Scenarios'!M:M,MATCH($B56,'Supply Scenarios'!$B:$B,0)+$B$3-'Supply Scenarios'!$B$1)</f>
        <v>9.9323993125663517</v>
      </c>
      <c r="Q56" s="271">
        <f>INDEX('Supply Scenarios'!N:N,MATCH($B56,'Supply Scenarios'!$B:$B,0)+$B$3-'Supply Scenarios'!$B$1)</f>
        <v>8.9426343880675674</v>
      </c>
      <c r="R56" s="271">
        <f>INDEX('Supply Scenarios'!O:O,MATCH($B56,'Supply Scenarios'!$B:$B,0)+$B$3-'Supply Scenarios'!$B$1)</f>
        <v>7.918519991451423</v>
      </c>
      <c r="S56" s="271">
        <f>INDEX('Supply Scenarios'!P:P,MATCH($B56,'Supply Scenarios'!$B:$B,0)+$B$3-'Supply Scenarios'!$B$1)</f>
        <v>6.8615891139429745</v>
      </c>
      <c r="T56" s="271">
        <f>INDEX('Supply Scenarios'!Q:Q,MATCH($B56,'Supply Scenarios'!$B:$B,0)+$B$3-'Supply Scenarios'!$B$1)</f>
        <v>5.7734016089962683</v>
      </c>
      <c r="U56" t="s">
        <v>189</v>
      </c>
    </row>
    <row r="57" spans="1:21" x14ac:dyDescent="0.2">
      <c r="A57" s="455"/>
      <c r="B57" s="79" t="s">
        <v>38</v>
      </c>
      <c r="C57" s="1" t="s">
        <v>44</v>
      </c>
      <c r="D57" s="44"/>
      <c r="E57" s="44"/>
      <c r="F57" s="89">
        <v>16.940000000000001</v>
      </c>
      <c r="G57" s="164">
        <v>31</v>
      </c>
      <c r="H57" s="54">
        <f t="shared" ref="H57:T57" si="19">G57*(1-$C$189)</f>
        <v>31</v>
      </c>
      <c r="I57" s="54">
        <f t="shared" si="19"/>
        <v>31</v>
      </c>
      <c r="J57" s="54">
        <f t="shared" si="19"/>
        <v>31</v>
      </c>
      <c r="K57" s="54">
        <f t="shared" si="19"/>
        <v>31</v>
      </c>
      <c r="L57" s="54">
        <f t="shared" si="19"/>
        <v>31</v>
      </c>
      <c r="M57" s="54">
        <f t="shared" si="19"/>
        <v>31</v>
      </c>
      <c r="N57" s="54">
        <f t="shared" si="19"/>
        <v>31</v>
      </c>
      <c r="O57" s="54">
        <f t="shared" si="19"/>
        <v>31</v>
      </c>
      <c r="P57" s="54">
        <f t="shared" si="19"/>
        <v>31</v>
      </c>
      <c r="Q57" s="54">
        <f t="shared" si="19"/>
        <v>31</v>
      </c>
      <c r="R57" s="54">
        <f t="shared" si="19"/>
        <v>31</v>
      </c>
      <c r="S57" s="54">
        <f t="shared" si="19"/>
        <v>31</v>
      </c>
      <c r="T57" s="54">
        <f t="shared" si="19"/>
        <v>31</v>
      </c>
    </row>
    <row r="58" spans="1:21" x14ac:dyDescent="0.2">
      <c r="A58" s="455"/>
      <c r="B58" s="79" t="s">
        <v>1</v>
      </c>
      <c r="C58" s="1" t="s">
        <v>44</v>
      </c>
      <c r="D58" s="44"/>
      <c r="E58" s="44"/>
      <c r="F58" s="89">
        <v>35.86</v>
      </c>
      <c r="G58" s="165">
        <v>30</v>
      </c>
      <c r="H58" s="54">
        <f t="shared" ref="H58:T58" si="20">G58*(1-$C$190)</f>
        <v>30</v>
      </c>
      <c r="I58" s="54">
        <f t="shared" si="20"/>
        <v>30</v>
      </c>
      <c r="J58" s="54">
        <f t="shared" si="20"/>
        <v>30</v>
      </c>
      <c r="K58" s="54">
        <f t="shared" si="20"/>
        <v>30</v>
      </c>
      <c r="L58" s="54">
        <f t="shared" si="20"/>
        <v>30</v>
      </c>
      <c r="M58" s="54">
        <f t="shared" si="20"/>
        <v>30</v>
      </c>
      <c r="N58" s="54">
        <f t="shared" si="20"/>
        <v>30</v>
      </c>
      <c r="O58" s="54">
        <f t="shared" si="20"/>
        <v>30</v>
      </c>
      <c r="P58" s="54">
        <f t="shared" si="20"/>
        <v>30</v>
      </c>
      <c r="Q58" s="54">
        <f t="shared" si="20"/>
        <v>30</v>
      </c>
      <c r="R58" s="54">
        <f t="shared" si="20"/>
        <v>30</v>
      </c>
      <c r="S58" s="54">
        <f t="shared" si="20"/>
        <v>30</v>
      </c>
      <c r="T58" s="54">
        <f t="shared" si="20"/>
        <v>30</v>
      </c>
    </row>
    <row r="59" spans="1:21" x14ac:dyDescent="0.2">
      <c r="A59" s="455"/>
      <c r="B59" s="79" t="s">
        <v>39</v>
      </c>
      <c r="C59" s="1" t="s">
        <v>44</v>
      </c>
      <c r="D59" s="44"/>
      <c r="E59" s="44"/>
      <c r="F59" s="89">
        <v>68.52</v>
      </c>
      <c r="G59" s="163">
        <v>82</v>
      </c>
      <c r="H59" s="163">
        <v>82</v>
      </c>
      <c r="I59" s="163">
        <v>82</v>
      </c>
      <c r="J59" s="163">
        <v>82</v>
      </c>
      <c r="K59" s="163">
        <v>82</v>
      </c>
      <c r="L59" s="163">
        <v>82</v>
      </c>
      <c r="M59" s="163">
        <v>82</v>
      </c>
      <c r="N59" s="163">
        <v>82</v>
      </c>
      <c r="O59" s="163">
        <v>82</v>
      </c>
      <c r="P59" s="163">
        <v>82</v>
      </c>
      <c r="Q59" s="163">
        <v>82</v>
      </c>
      <c r="R59" s="163">
        <v>82</v>
      </c>
      <c r="S59" s="163">
        <v>82</v>
      </c>
      <c r="T59" s="163">
        <v>82</v>
      </c>
    </row>
    <row r="60" spans="1:21" x14ac:dyDescent="0.2">
      <c r="A60" s="455"/>
      <c r="B60" s="79" t="s">
        <v>74</v>
      </c>
      <c r="C60" s="1" t="s">
        <v>44</v>
      </c>
      <c r="D60" s="44"/>
      <c r="E60" s="44"/>
      <c r="F60" s="89">
        <v>32.54</v>
      </c>
      <c r="G60" s="163">
        <v>42</v>
      </c>
      <c r="H60" s="163">
        <v>40</v>
      </c>
      <c r="I60" s="163">
        <v>40</v>
      </c>
      <c r="J60" s="163">
        <v>40</v>
      </c>
      <c r="K60" s="163">
        <v>40</v>
      </c>
      <c r="L60" s="163">
        <v>40</v>
      </c>
      <c r="M60" s="163">
        <v>40</v>
      </c>
      <c r="N60" s="163">
        <v>40</v>
      </c>
      <c r="O60" s="163">
        <v>40</v>
      </c>
      <c r="P60" s="163">
        <v>40</v>
      </c>
      <c r="Q60" s="163">
        <v>40</v>
      </c>
      <c r="R60" s="163">
        <v>40</v>
      </c>
      <c r="S60" s="163">
        <v>40</v>
      </c>
      <c r="T60" s="163">
        <v>40</v>
      </c>
    </row>
    <row r="61" spans="1:21" x14ac:dyDescent="0.2">
      <c r="A61" s="455"/>
      <c r="B61" s="79" t="s">
        <v>75</v>
      </c>
      <c r="C61" s="1" t="s">
        <v>44</v>
      </c>
      <c r="D61" s="44"/>
      <c r="E61" s="44"/>
      <c r="F61" s="88">
        <v>-255</v>
      </c>
      <c r="G61" s="163">
        <f>$F$61</f>
        <v>-255</v>
      </c>
      <c r="H61" s="163">
        <f t="shared" ref="H61:T61" si="21">$F$61</f>
        <v>-255</v>
      </c>
      <c r="I61" s="163">
        <f t="shared" si="21"/>
        <v>-255</v>
      </c>
      <c r="J61" s="163">
        <f t="shared" si="21"/>
        <v>-255</v>
      </c>
      <c r="K61" s="163">
        <f t="shared" si="21"/>
        <v>-255</v>
      </c>
      <c r="L61" s="163">
        <f t="shared" si="21"/>
        <v>-255</v>
      </c>
      <c r="M61" s="163">
        <f t="shared" si="21"/>
        <v>-255</v>
      </c>
      <c r="N61" s="163">
        <f t="shared" si="21"/>
        <v>-255</v>
      </c>
      <c r="O61" s="163">
        <f t="shared" si="21"/>
        <v>-255</v>
      </c>
      <c r="P61" s="163">
        <f t="shared" si="21"/>
        <v>-255</v>
      </c>
      <c r="Q61" s="163">
        <f t="shared" si="21"/>
        <v>-255</v>
      </c>
      <c r="R61" s="163">
        <f t="shared" si="21"/>
        <v>-255</v>
      </c>
      <c r="S61" s="163">
        <f t="shared" si="21"/>
        <v>-255</v>
      </c>
      <c r="T61" s="163">
        <f t="shared" si="21"/>
        <v>-255</v>
      </c>
      <c r="U61" t="s">
        <v>185</v>
      </c>
    </row>
    <row r="62" spans="1:21" x14ac:dyDescent="0.2">
      <c r="A62" s="455"/>
      <c r="B62" s="79" t="s">
        <v>81</v>
      </c>
      <c r="C62" s="1" t="s">
        <v>43</v>
      </c>
      <c r="D62" s="44"/>
      <c r="E62" s="44"/>
      <c r="F62" s="90">
        <v>0</v>
      </c>
      <c r="G62" s="151">
        <f>INDEX('Supply Scenarios'!D:D,MATCH($B62,'Supply Scenarios'!$B:$B,0)+$B$3-'Supply Scenarios'!$B$1)</f>
        <v>5.0700350650029896E-3</v>
      </c>
      <c r="H62" s="151">
        <f>INDEX('Supply Scenarios'!E:E,MATCH($B62,'Supply Scenarios'!$B:$B,0)+$B$3-'Supply Scenarios'!$B$1)</f>
        <v>4.4205469109682809E-3</v>
      </c>
      <c r="I62" s="151">
        <f>INDEX('Supply Scenarios'!F:F,MATCH($B62,'Supply Scenarios'!$B:$B,0)+$B$3-'Supply Scenarios'!$B$1)</f>
        <v>5.4218569431126375E-3</v>
      </c>
      <c r="J62" s="151">
        <f>INDEX('Supply Scenarios'!G:G,MATCH($B62,'Supply Scenarios'!$B:$B,0)+$B$3-'Supply Scenarios'!$B$1)</f>
        <v>6.7053967092578848E-3</v>
      </c>
      <c r="K62" s="151">
        <f>INDEX('Supply Scenarios'!H:H,MATCH($B62,'Supply Scenarios'!$B:$B,0)+$B$3-'Supply Scenarios'!$B$1)</f>
        <v>8.5838530682564463E-3</v>
      </c>
      <c r="L62" s="151">
        <f>INDEX('Supply Scenarios'!I:I,MATCH($B62,'Supply Scenarios'!$B:$B,0)+$B$3-'Supply Scenarios'!$B$1)</f>
        <v>1.141022815928495E-2</v>
      </c>
      <c r="M62" s="151">
        <f>INDEX('Supply Scenarios'!J:J,MATCH($B62,'Supply Scenarios'!$B:$B,0)+$B$3-'Supply Scenarios'!$B$1)</f>
        <v>2.532712351059066E-2</v>
      </c>
      <c r="N62" s="151">
        <f>INDEX('Supply Scenarios'!K:K,MATCH($B62,'Supply Scenarios'!$B:$B,0)+$B$3-'Supply Scenarios'!$B$1)</f>
        <v>4.9975173864958297E-2</v>
      </c>
      <c r="O62" s="151">
        <f>INDEX('Supply Scenarios'!L:L,MATCH($B62,'Supply Scenarios'!$B:$B,0)+$B$3-'Supply Scenarios'!$B$1)</f>
        <v>4.8787897884264485E-2</v>
      </c>
      <c r="P62" s="151">
        <f>INDEX('Supply Scenarios'!M:M,MATCH($B62,'Supply Scenarios'!$B:$B,0)+$B$3-'Supply Scenarios'!$B$1)</f>
        <v>6.5511176132706364E-2</v>
      </c>
      <c r="Q62" s="151">
        <f>INDEX('Supply Scenarios'!N:N,MATCH($B62,'Supply Scenarios'!$B:$B,0)+$B$3-'Supply Scenarios'!$B$1)</f>
        <v>8.8375415238010666E-2</v>
      </c>
      <c r="R62" s="151">
        <f>INDEX('Supply Scenarios'!O:O,MATCH($B62,'Supply Scenarios'!$B:$B,0)+$B$3-'Supply Scenarios'!$B$1)</f>
        <v>0.11937607919516172</v>
      </c>
      <c r="S62" s="151">
        <f>INDEX('Supply Scenarios'!P:P,MATCH($B62,'Supply Scenarios'!$B:$B,0)+$B$3-'Supply Scenarios'!$B$1)</f>
        <v>0.11867784978048193</v>
      </c>
      <c r="T62" s="151">
        <f>INDEX('Supply Scenarios'!Q:Q,MATCH($B62,'Supply Scenarios'!$B:$B,0)+$B$3-'Supply Scenarios'!$B$1)</f>
        <v>0.11688591204421633</v>
      </c>
      <c r="U62" t="s">
        <v>189</v>
      </c>
    </row>
    <row r="63" spans="1:21" x14ac:dyDescent="0.2">
      <c r="A63" s="455"/>
      <c r="B63" s="79" t="s">
        <v>121</v>
      </c>
      <c r="C63" s="1" t="s">
        <v>44</v>
      </c>
      <c r="D63" s="44"/>
      <c r="E63" s="44"/>
      <c r="F63" s="54">
        <f t="shared" ref="F63:T63" si="22">F61*F62+F60*(1-F62)</f>
        <v>32.54</v>
      </c>
      <c r="G63" s="54">
        <f t="shared" si="22"/>
        <v>40.494199585694105</v>
      </c>
      <c r="H63" s="54">
        <f t="shared" si="22"/>
        <v>38.695938661264357</v>
      </c>
      <c r="I63" s="54">
        <f t="shared" si="22"/>
        <v>38.400552201781778</v>
      </c>
      <c r="J63" s="54">
        <f t="shared" si="22"/>
        <v>38.021907970768929</v>
      </c>
      <c r="K63" s="54">
        <f t="shared" si="22"/>
        <v>37.467763344864345</v>
      </c>
      <c r="L63" s="54">
        <f t="shared" si="22"/>
        <v>36.633982693010942</v>
      </c>
      <c r="M63" s="54">
        <f t="shared" si="22"/>
        <v>32.528498564375759</v>
      </c>
      <c r="N63" s="54">
        <f t="shared" si="22"/>
        <v>25.257323709837305</v>
      </c>
      <c r="O63" s="54">
        <f t="shared" si="22"/>
        <v>25.607570124141979</v>
      </c>
      <c r="P63" s="54">
        <f t="shared" si="22"/>
        <v>20.674203040851623</v>
      </c>
      <c r="Q63" s="54">
        <f t="shared" si="22"/>
        <v>13.929252504786856</v>
      </c>
      <c r="R63" s="54">
        <f t="shared" si="22"/>
        <v>4.7840566374272981</v>
      </c>
      <c r="S63" s="54">
        <f t="shared" si="22"/>
        <v>4.9900343147578283</v>
      </c>
      <c r="T63" s="54">
        <f t="shared" si="22"/>
        <v>5.5186559469561871</v>
      </c>
      <c r="U63" t="s">
        <v>101</v>
      </c>
    </row>
    <row r="64" spans="1:21" x14ac:dyDescent="0.2">
      <c r="A64" s="455"/>
      <c r="B64" s="79" t="s">
        <v>105</v>
      </c>
      <c r="C64" s="1" t="s">
        <v>44</v>
      </c>
      <c r="D64" s="44"/>
      <c r="E64" s="44"/>
      <c r="F64" s="269">
        <f>100.78/$C$158</f>
        <v>53.0421052631579</v>
      </c>
      <c r="G64" s="54">
        <f t="shared" ref="G64:T64" si="23">F64*(1-$C$187)</f>
        <v>53.0421052631579</v>
      </c>
      <c r="H64" s="54">
        <f t="shared" si="23"/>
        <v>53.0421052631579</v>
      </c>
      <c r="I64" s="54">
        <f t="shared" si="23"/>
        <v>53.0421052631579</v>
      </c>
      <c r="J64" s="54">
        <f t="shared" si="23"/>
        <v>53.0421052631579</v>
      </c>
      <c r="K64" s="54">
        <f t="shared" si="23"/>
        <v>53.0421052631579</v>
      </c>
      <c r="L64" s="54">
        <f t="shared" si="23"/>
        <v>53.0421052631579</v>
      </c>
      <c r="M64" s="54">
        <f t="shared" si="23"/>
        <v>53.0421052631579</v>
      </c>
      <c r="N64" s="54">
        <f t="shared" si="23"/>
        <v>53.0421052631579</v>
      </c>
      <c r="O64" s="54">
        <f t="shared" si="23"/>
        <v>53.0421052631579</v>
      </c>
      <c r="P64" s="54">
        <f t="shared" si="23"/>
        <v>53.0421052631579</v>
      </c>
      <c r="Q64" s="54">
        <f t="shared" si="23"/>
        <v>53.0421052631579</v>
      </c>
      <c r="R64" s="54">
        <f t="shared" si="23"/>
        <v>53.0421052631579</v>
      </c>
      <c r="S64" s="54">
        <f t="shared" si="23"/>
        <v>53.0421052631579</v>
      </c>
      <c r="T64" s="54">
        <f t="shared" si="23"/>
        <v>53.0421052631579</v>
      </c>
    </row>
    <row r="65" spans="1:29" x14ac:dyDescent="0.2">
      <c r="A65" s="455"/>
      <c r="B65" s="79" t="s">
        <v>91</v>
      </c>
      <c r="C65" s="1" t="s">
        <v>44</v>
      </c>
      <c r="D65" s="44"/>
      <c r="E65" s="44"/>
      <c r="F65" s="54">
        <f>F56*$C$150/$C$157</f>
        <v>38.948148148148142</v>
      </c>
      <c r="G65" s="54">
        <f t="shared" ref="G65:T65" si="24">G56*$C$150/$C$157</f>
        <v>30.056638475393914</v>
      </c>
      <c r="H65" s="54">
        <f t="shared" si="24"/>
        <v>27.95377790213912</v>
      </c>
      <c r="I65" s="54">
        <f t="shared" si="24"/>
        <v>23.111860406945119</v>
      </c>
      <c r="J65" s="54">
        <f t="shared" si="24"/>
        <v>18.966702027781832</v>
      </c>
      <c r="K65" s="54">
        <f t="shared" si="24"/>
        <v>18.021881927878098</v>
      </c>
      <c r="L65" s="54">
        <f t="shared" si="24"/>
        <v>17.021446902892809</v>
      </c>
      <c r="M65" s="54">
        <f t="shared" si="24"/>
        <v>15.967674787406597</v>
      </c>
      <c r="N65" s="54">
        <f t="shared" si="24"/>
        <v>14.862723931885986</v>
      </c>
      <c r="O65" s="54">
        <f t="shared" si="24"/>
        <v>13.70865710392801</v>
      </c>
      <c r="P65" s="54">
        <f t="shared" si="24"/>
        <v>12.507465801009479</v>
      </c>
      <c r="Q65" s="54">
        <f t="shared" si="24"/>
        <v>11.261095155344343</v>
      </c>
      <c r="R65" s="54">
        <f t="shared" si="24"/>
        <v>9.971469618864754</v>
      </c>
      <c r="S65" s="54">
        <f t="shared" si="24"/>
        <v>8.6405196249652256</v>
      </c>
      <c r="T65" s="54">
        <f t="shared" si="24"/>
        <v>7.270209433550856</v>
      </c>
    </row>
    <row r="66" spans="1:29" x14ac:dyDescent="0.2">
      <c r="A66" s="455"/>
      <c r="B66" s="79" t="s">
        <v>120</v>
      </c>
      <c r="C66" s="1" t="s">
        <v>44</v>
      </c>
      <c r="D66" s="44">
        <v>34.903333333333329</v>
      </c>
      <c r="E66" s="44">
        <v>34.903333333333329</v>
      </c>
      <c r="F66" s="54">
        <f>F56*$C$150/$C$159</f>
        <v>26.964102564102564</v>
      </c>
      <c r="G66" s="54">
        <f t="shared" ref="G66:T66" si="25">G56*$C$150/$C$159</f>
        <v>20.808442021426558</v>
      </c>
      <c r="H66" s="54">
        <f t="shared" si="25"/>
        <v>19.352615470711701</v>
      </c>
      <c r="I66" s="54">
        <f t="shared" si="25"/>
        <v>16.000518743269698</v>
      </c>
      <c r="J66" s="54">
        <f t="shared" si="25"/>
        <v>13.130793711541271</v>
      </c>
      <c r="K66" s="54">
        <f t="shared" si="25"/>
        <v>12.476687488530992</v>
      </c>
      <c r="L66" s="54">
        <f t="shared" si="25"/>
        <v>11.784078625079639</v>
      </c>
      <c r="M66" s="54">
        <f t="shared" si="25"/>
        <v>11.054544083589184</v>
      </c>
      <c r="N66" s="54">
        <f t="shared" si="25"/>
        <v>10.2895781066903</v>
      </c>
      <c r="O66" s="54">
        <f t="shared" si="25"/>
        <v>9.4906087642578534</v>
      </c>
      <c r="P66" s="54">
        <f t="shared" si="25"/>
        <v>8.6590147853142554</v>
      </c>
      <c r="Q66" s="54">
        <f t="shared" si="25"/>
        <v>7.7961427998537767</v>
      </c>
      <c r="R66" s="54">
        <f t="shared" si="25"/>
        <v>6.9033251207525224</v>
      </c>
      <c r="S66" s="54">
        <f t="shared" si="25"/>
        <v>5.9818982018990035</v>
      </c>
      <c r="T66" s="54">
        <f t="shared" si="25"/>
        <v>5.0332219155352087</v>
      </c>
    </row>
    <row r="67" spans="1:29" x14ac:dyDescent="0.2">
      <c r="A67" s="455"/>
      <c r="B67" s="79" t="s">
        <v>3</v>
      </c>
      <c r="C67" s="1" t="s">
        <v>44</v>
      </c>
      <c r="D67" s="55">
        <v>99.18</v>
      </c>
      <c r="E67" s="55">
        <v>99.18</v>
      </c>
      <c r="F67" s="55">
        <v>99.78</v>
      </c>
      <c r="G67" s="55">
        <f>F67</f>
        <v>99.78</v>
      </c>
      <c r="H67" s="55">
        <f t="shared" ref="H67" si="26">G67</f>
        <v>99.78</v>
      </c>
      <c r="I67" s="55">
        <v>101.43</v>
      </c>
      <c r="J67" s="55">
        <f>$I$67</f>
        <v>101.43</v>
      </c>
      <c r="K67" s="55">
        <f t="shared" ref="K67:T67" si="27">$I$67</f>
        <v>101.43</v>
      </c>
      <c r="L67" s="55">
        <f t="shared" si="27"/>
        <v>101.43</v>
      </c>
      <c r="M67" s="55">
        <f t="shared" si="27"/>
        <v>101.43</v>
      </c>
      <c r="N67" s="55">
        <f t="shared" si="27"/>
        <v>101.43</v>
      </c>
      <c r="O67" s="55">
        <f t="shared" si="27"/>
        <v>101.43</v>
      </c>
      <c r="P67" s="55">
        <f t="shared" si="27"/>
        <v>101.43</v>
      </c>
      <c r="Q67" s="55">
        <f t="shared" si="27"/>
        <v>101.43</v>
      </c>
      <c r="R67" s="55">
        <f t="shared" si="27"/>
        <v>101.43</v>
      </c>
      <c r="S67" s="55">
        <f t="shared" si="27"/>
        <v>101.43</v>
      </c>
      <c r="T67" s="55">
        <f t="shared" si="27"/>
        <v>101.43</v>
      </c>
    </row>
    <row r="68" spans="1:29" x14ac:dyDescent="0.2">
      <c r="A68" s="455"/>
      <c r="B68" s="79" t="s">
        <v>4</v>
      </c>
      <c r="C68" s="1" t="s">
        <v>44</v>
      </c>
      <c r="D68" s="55">
        <v>98.03</v>
      </c>
      <c r="E68" s="55">
        <v>98.03</v>
      </c>
      <c r="F68" s="55">
        <v>102.01</v>
      </c>
      <c r="G68" s="55">
        <v>102.01</v>
      </c>
      <c r="H68" s="55">
        <v>102.01</v>
      </c>
      <c r="I68" s="55">
        <f t="shared" ref="I68:T68" si="28">$C$7</f>
        <v>100.95</v>
      </c>
      <c r="J68" s="55">
        <f t="shared" si="28"/>
        <v>100.95</v>
      </c>
      <c r="K68" s="55">
        <f t="shared" si="28"/>
        <v>100.95</v>
      </c>
      <c r="L68" s="55">
        <f t="shared" si="28"/>
        <v>100.95</v>
      </c>
      <c r="M68" s="55">
        <f t="shared" si="28"/>
        <v>100.95</v>
      </c>
      <c r="N68" s="55">
        <f t="shared" si="28"/>
        <v>100.95</v>
      </c>
      <c r="O68" s="55">
        <f t="shared" si="28"/>
        <v>100.95</v>
      </c>
      <c r="P68" s="55">
        <f t="shared" si="28"/>
        <v>100.95</v>
      </c>
      <c r="Q68" s="55">
        <f t="shared" si="28"/>
        <v>100.95</v>
      </c>
      <c r="R68" s="55">
        <f t="shared" si="28"/>
        <v>100.95</v>
      </c>
      <c r="S68" s="55">
        <f t="shared" si="28"/>
        <v>100.95</v>
      </c>
      <c r="T68" s="55">
        <f t="shared" si="28"/>
        <v>100.95</v>
      </c>
    </row>
    <row r="69" spans="1:29" x14ac:dyDescent="0.2">
      <c r="A69" s="455"/>
      <c r="B69" s="79" t="s">
        <v>155</v>
      </c>
      <c r="C69" s="1" t="s">
        <v>44</v>
      </c>
      <c r="D69" s="36"/>
      <c r="E69" s="36"/>
      <c r="F69" s="36"/>
      <c r="G69" s="36"/>
      <c r="H69" s="36"/>
      <c r="I69" s="165">
        <f>AVERAGE(25.88,38.5)</f>
        <v>32.19</v>
      </c>
      <c r="J69" s="165">
        <f t="shared" ref="J69:T69" si="29">AVERAGE(25.88,38.5)</f>
        <v>32.19</v>
      </c>
      <c r="K69" s="165">
        <f t="shared" si="29"/>
        <v>32.19</v>
      </c>
      <c r="L69" s="165">
        <f t="shared" si="29"/>
        <v>32.19</v>
      </c>
      <c r="M69" s="165">
        <f t="shared" si="29"/>
        <v>32.19</v>
      </c>
      <c r="N69" s="165">
        <f t="shared" si="29"/>
        <v>32.19</v>
      </c>
      <c r="O69" s="165">
        <f t="shared" si="29"/>
        <v>32.19</v>
      </c>
      <c r="P69" s="165">
        <f t="shared" si="29"/>
        <v>32.19</v>
      </c>
      <c r="Q69" s="165">
        <f t="shared" si="29"/>
        <v>32.19</v>
      </c>
      <c r="R69" s="165">
        <f t="shared" si="29"/>
        <v>32.19</v>
      </c>
      <c r="S69" s="165">
        <f t="shared" si="29"/>
        <v>32.19</v>
      </c>
      <c r="T69" s="165">
        <f t="shared" si="29"/>
        <v>32.19</v>
      </c>
    </row>
    <row r="70" spans="1:29" x14ac:dyDescent="0.2">
      <c r="A70" s="455"/>
      <c r="B70" s="79" t="s">
        <v>156</v>
      </c>
      <c r="C70" s="1" t="s">
        <v>44</v>
      </c>
      <c r="D70" s="36"/>
      <c r="E70" s="36"/>
      <c r="F70" s="36"/>
      <c r="G70" s="36"/>
      <c r="H70" s="36"/>
      <c r="I70" s="165">
        <v>83.38</v>
      </c>
      <c r="J70" s="165">
        <f>$I$70</f>
        <v>83.38</v>
      </c>
      <c r="K70" s="165">
        <f t="shared" ref="K70:T70" si="30">$I$70</f>
        <v>83.38</v>
      </c>
      <c r="L70" s="165">
        <f t="shared" si="30"/>
        <v>83.38</v>
      </c>
      <c r="M70" s="165">
        <f t="shared" si="30"/>
        <v>83.38</v>
      </c>
      <c r="N70" s="165">
        <f t="shared" si="30"/>
        <v>83.38</v>
      </c>
      <c r="O70" s="165">
        <f t="shared" si="30"/>
        <v>83.38</v>
      </c>
      <c r="P70" s="165">
        <f t="shared" si="30"/>
        <v>83.38</v>
      </c>
      <c r="Q70" s="165">
        <f t="shared" si="30"/>
        <v>83.38</v>
      </c>
      <c r="R70" s="165">
        <f t="shared" si="30"/>
        <v>83.38</v>
      </c>
      <c r="S70" s="165">
        <f t="shared" si="30"/>
        <v>83.38</v>
      </c>
      <c r="T70" s="165">
        <f t="shared" si="30"/>
        <v>83.38</v>
      </c>
    </row>
    <row r="71" spans="1:29" ht="16" thickBot="1" x14ac:dyDescent="0.25">
      <c r="A71" s="458"/>
      <c r="B71" s="79" t="s">
        <v>68</v>
      </c>
      <c r="C71" s="1" t="s">
        <v>44</v>
      </c>
      <c r="D71" s="36"/>
      <c r="E71" s="36"/>
      <c r="F71" s="36"/>
      <c r="G71" s="36"/>
      <c r="H71" s="36"/>
      <c r="I71" s="165">
        <f t="shared" ref="I71:T71" si="31">I58</f>
        <v>30</v>
      </c>
      <c r="J71" s="165">
        <f t="shared" si="31"/>
        <v>30</v>
      </c>
      <c r="K71" s="165">
        <f t="shared" si="31"/>
        <v>30</v>
      </c>
      <c r="L71" s="165">
        <f t="shared" si="31"/>
        <v>30</v>
      </c>
      <c r="M71" s="165">
        <f t="shared" si="31"/>
        <v>30</v>
      </c>
      <c r="N71" s="165">
        <f t="shared" si="31"/>
        <v>30</v>
      </c>
      <c r="O71" s="165">
        <f t="shared" si="31"/>
        <v>30</v>
      </c>
      <c r="P71" s="165">
        <f t="shared" si="31"/>
        <v>30</v>
      </c>
      <c r="Q71" s="165">
        <f t="shared" si="31"/>
        <v>30</v>
      </c>
      <c r="R71" s="165">
        <f t="shared" si="31"/>
        <v>30</v>
      </c>
      <c r="S71" s="165">
        <f t="shared" si="31"/>
        <v>30</v>
      </c>
      <c r="T71" s="165">
        <f t="shared" si="31"/>
        <v>30</v>
      </c>
    </row>
    <row r="72" spans="1:29" x14ac:dyDescent="0.2">
      <c r="A72" s="8"/>
    </row>
    <row r="73" spans="1:29" s="15" customFormat="1" ht="22" thickBot="1" x14ac:dyDescent="0.3">
      <c r="A73"/>
      <c r="B73" s="2"/>
      <c r="C73" s="2"/>
      <c r="D73" s="470" t="s">
        <v>48</v>
      </c>
      <c r="E73" s="471"/>
      <c r="F73" s="471"/>
      <c r="G73" s="471"/>
      <c r="H73" s="471"/>
      <c r="I73" s="471"/>
      <c r="J73" s="471"/>
      <c r="K73" s="471"/>
      <c r="L73" s="471"/>
      <c r="M73" s="471"/>
      <c r="N73" s="471"/>
      <c r="O73" s="471"/>
      <c r="P73" s="471"/>
      <c r="Q73" s="471"/>
      <c r="R73" s="471"/>
      <c r="S73" s="471"/>
      <c r="T73" s="472"/>
      <c r="U73"/>
      <c r="V73"/>
      <c r="W73"/>
      <c r="X73"/>
      <c r="Y73"/>
      <c r="Z73"/>
      <c r="AA73"/>
      <c r="AB73"/>
      <c r="AC73"/>
    </row>
    <row r="74" spans="1:29" x14ac:dyDescent="0.2">
      <c r="A74" s="454" t="s">
        <v>117</v>
      </c>
      <c r="B74" s="74" t="s">
        <v>72</v>
      </c>
      <c r="C74" s="14" t="s">
        <v>15</v>
      </c>
      <c r="D74" s="3">
        <v>2014</v>
      </c>
      <c r="E74" s="3">
        <v>2015</v>
      </c>
      <c r="F74" s="3">
        <v>2016</v>
      </c>
      <c r="G74" s="3">
        <v>2017</v>
      </c>
      <c r="H74" s="3">
        <v>2018</v>
      </c>
      <c r="I74" s="3">
        <v>2019</v>
      </c>
      <c r="J74" s="3">
        <v>2020</v>
      </c>
      <c r="K74" s="3">
        <v>2021</v>
      </c>
      <c r="L74" s="3">
        <v>2022</v>
      </c>
      <c r="M74" s="3">
        <v>2023</v>
      </c>
      <c r="N74" s="3">
        <v>2024</v>
      </c>
      <c r="O74" s="3">
        <v>2025</v>
      </c>
      <c r="P74" s="16">
        <v>2026</v>
      </c>
      <c r="Q74" s="16">
        <v>2027</v>
      </c>
      <c r="R74" s="16">
        <v>2028</v>
      </c>
      <c r="S74" s="16">
        <v>2029</v>
      </c>
      <c r="T74" s="16">
        <v>2030</v>
      </c>
    </row>
    <row r="75" spans="1:29" x14ac:dyDescent="0.2">
      <c r="A75" s="455"/>
      <c r="B75" s="75" t="s">
        <v>125</v>
      </c>
      <c r="C75" s="1" t="s">
        <v>58</v>
      </c>
      <c r="D75" s="49">
        <f t="shared" ref="D75:T75" si="32">$C$167*D21</f>
        <v>120325.06200000001</v>
      </c>
      <c r="E75" s="49">
        <f t="shared" si="32"/>
        <v>119420.30100000001</v>
      </c>
      <c r="F75" s="49">
        <f t="shared" si="32"/>
        <v>127571.30100000001</v>
      </c>
      <c r="G75" s="49">
        <f t="shared" si="32"/>
        <v>125151.15463932263</v>
      </c>
      <c r="H75" s="49">
        <f t="shared" si="32"/>
        <v>122809.04275775008</v>
      </c>
      <c r="I75" s="49">
        <f t="shared" si="32"/>
        <v>118176.57502137471</v>
      </c>
      <c r="J75" s="49">
        <f t="shared" si="32"/>
        <v>110268.81428496201</v>
      </c>
      <c r="K75" s="49">
        <f t="shared" si="32"/>
        <v>105556.11010027898</v>
      </c>
      <c r="L75" s="49">
        <f t="shared" si="32"/>
        <v>100586.57796373645</v>
      </c>
      <c r="M75" s="49">
        <f t="shared" si="32"/>
        <v>95220.907689223168</v>
      </c>
      <c r="N75" s="49">
        <f t="shared" si="32"/>
        <v>89449.817885835975</v>
      </c>
      <c r="O75" s="49">
        <f t="shared" si="32"/>
        <v>83033.018321515832</v>
      </c>
      <c r="P75" s="49">
        <f t="shared" si="32"/>
        <v>76141.837318617123</v>
      </c>
      <c r="Q75" s="49">
        <f t="shared" si="32"/>
        <v>68898.680952509589</v>
      </c>
      <c r="R75" s="49">
        <f t="shared" si="32"/>
        <v>61392.073129459532</v>
      </c>
      <c r="S75" s="49">
        <f t="shared" si="32"/>
        <v>53452.89222473681</v>
      </c>
      <c r="T75" s="49">
        <f t="shared" si="32"/>
        <v>45123.558896324234</v>
      </c>
    </row>
    <row r="76" spans="1:29" x14ac:dyDescent="0.2">
      <c r="A76" s="455"/>
      <c r="B76" s="74" t="s">
        <v>124</v>
      </c>
      <c r="C76" s="1" t="s">
        <v>58</v>
      </c>
      <c r="D76" s="49">
        <f t="shared" ref="D76:T76" si="33">$C$167*D20</f>
        <v>717.28800000000012</v>
      </c>
      <c r="E76" s="49">
        <f t="shared" si="33"/>
        <v>3415.2690000000002</v>
      </c>
      <c r="F76" s="49">
        <f t="shared" si="33"/>
        <v>2600.1689999999999</v>
      </c>
      <c r="G76" s="49">
        <f t="shared" si="33"/>
        <v>7227.866487455256</v>
      </c>
      <c r="H76" s="49">
        <f t="shared" si="33"/>
        <v>9399.5816526948984</v>
      </c>
      <c r="I76" s="49">
        <f t="shared" si="33"/>
        <v>11425.457507107172</v>
      </c>
      <c r="J76" s="49">
        <f t="shared" si="33"/>
        <v>16019.888112955061</v>
      </c>
      <c r="K76" s="49">
        <f t="shared" si="33"/>
        <v>16162.70749098831</v>
      </c>
      <c r="L76" s="49">
        <f t="shared" si="33"/>
        <v>16231.513562282424</v>
      </c>
      <c r="M76" s="49">
        <f t="shared" si="33"/>
        <v>16191.92460036277</v>
      </c>
      <c r="N76" s="49">
        <f t="shared" si="33"/>
        <v>15928.366473439897</v>
      </c>
      <c r="O76" s="49">
        <f t="shared" si="33"/>
        <v>15448.10843899063</v>
      </c>
      <c r="P76" s="49">
        <f t="shared" si="33"/>
        <v>14762.440525059066</v>
      </c>
      <c r="Q76" s="49">
        <f t="shared" si="33"/>
        <v>13879.265764851243</v>
      </c>
      <c r="R76" s="49">
        <f t="shared" si="33"/>
        <v>12802.579533878315</v>
      </c>
      <c r="S76" s="49">
        <f t="shared" si="33"/>
        <v>11483.106322175543</v>
      </c>
      <c r="T76" s="49">
        <f t="shared" si="33"/>
        <v>9803.8732115921575</v>
      </c>
    </row>
    <row r="77" spans="1:29" x14ac:dyDescent="0.2">
      <c r="A77" s="455"/>
      <c r="B77" s="80" t="s">
        <v>17</v>
      </c>
      <c r="C77" s="1" t="s">
        <v>58</v>
      </c>
      <c r="D77" s="49">
        <f t="shared" ref="D77:T77" si="34">$C$168*D19</f>
        <v>0</v>
      </c>
      <c r="E77" s="49">
        <f t="shared" si="34"/>
        <v>0</v>
      </c>
      <c r="F77" s="49">
        <f t="shared" si="34"/>
        <v>0</v>
      </c>
      <c r="G77" s="49">
        <f t="shared" si="34"/>
        <v>18.122076951022709</v>
      </c>
      <c r="H77" s="49">
        <f t="shared" si="34"/>
        <v>950.17319728783764</v>
      </c>
      <c r="I77" s="49">
        <f t="shared" si="34"/>
        <v>2059.249043521274</v>
      </c>
      <c r="J77" s="49">
        <f t="shared" si="34"/>
        <v>3618.9677578040355</v>
      </c>
      <c r="K77" s="49">
        <f t="shared" si="34"/>
        <v>5898.5491519124398</v>
      </c>
      <c r="L77" s="49">
        <f t="shared" si="34"/>
        <v>8066.9679871779763</v>
      </c>
      <c r="M77" s="49">
        <f t="shared" si="34"/>
        <v>10330.267066162882</v>
      </c>
      <c r="N77" s="49">
        <f t="shared" si="34"/>
        <v>13065.884347789375</v>
      </c>
      <c r="O77" s="49">
        <f t="shared" si="34"/>
        <v>16333.352269194471</v>
      </c>
      <c r="P77" s="49">
        <f t="shared" si="34"/>
        <v>20192.461424935995</v>
      </c>
      <c r="Q77" s="49">
        <f t="shared" si="34"/>
        <v>24702.131691547733</v>
      </c>
      <c r="R77" s="49">
        <f t="shared" si="34"/>
        <v>29919.272941229756</v>
      </c>
      <c r="S77" s="49">
        <f t="shared" si="34"/>
        <v>35897.674316466451</v>
      </c>
      <c r="T77" s="49">
        <f t="shared" si="34"/>
        <v>42686.957985358247</v>
      </c>
    </row>
    <row r="78" spans="1:29" x14ac:dyDescent="0.2">
      <c r="A78" s="455"/>
      <c r="B78" s="81" t="s">
        <v>16</v>
      </c>
      <c r="C78" s="1" t="s">
        <v>58</v>
      </c>
      <c r="D78" s="49">
        <f t="shared" ref="D78:T78" si="35">$C$169*D22</f>
        <v>0</v>
      </c>
      <c r="E78" s="49">
        <f t="shared" si="35"/>
        <v>0</v>
      </c>
      <c r="F78" s="49">
        <f t="shared" si="35"/>
        <v>0</v>
      </c>
      <c r="G78" s="49">
        <f t="shared" si="35"/>
        <v>0</v>
      </c>
      <c r="H78" s="49">
        <f t="shared" si="35"/>
        <v>18.279342373745081</v>
      </c>
      <c r="I78" s="49">
        <f t="shared" si="35"/>
        <v>83.783514593398962</v>
      </c>
      <c r="J78" s="49">
        <f t="shared" si="35"/>
        <v>190.24398000811161</v>
      </c>
      <c r="K78" s="49">
        <f t="shared" si="35"/>
        <v>342.7029933749414</v>
      </c>
      <c r="L78" s="49">
        <f t="shared" si="35"/>
        <v>514.13416370031473</v>
      </c>
      <c r="M78" s="49">
        <f t="shared" si="35"/>
        <v>739.79770081552647</v>
      </c>
      <c r="N78" s="49">
        <f t="shared" si="35"/>
        <v>1044.7041585107179</v>
      </c>
      <c r="O78" s="49">
        <f t="shared" si="35"/>
        <v>1449.2562648845549</v>
      </c>
      <c r="P78" s="49">
        <f t="shared" si="35"/>
        <v>1976.8533422053486</v>
      </c>
      <c r="Q78" s="49">
        <f t="shared" si="35"/>
        <v>2653.7877325499239</v>
      </c>
      <c r="R78" s="49">
        <f t="shared" si="35"/>
        <v>3509.0178652127183</v>
      </c>
      <c r="S78" s="49">
        <f t="shared" si="35"/>
        <v>4573.8183176517896</v>
      </c>
      <c r="T78" s="49">
        <f t="shared" si="35"/>
        <v>5881.3145401785741</v>
      </c>
    </row>
    <row r="79" spans="1:29" s="15" customFormat="1" x14ac:dyDescent="0.2">
      <c r="A79" s="455"/>
      <c r="B79" s="81" t="s">
        <v>107</v>
      </c>
      <c r="C79" s="1" t="s">
        <v>58</v>
      </c>
      <c r="D79" s="49">
        <f t="shared" ref="D79:T79" si="36">$C$170*D23</f>
        <v>4.0909090909090908</v>
      </c>
      <c r="E79" s="49">
        <f t="shared" si="36"/>
        <v>43.636363636363633</v>
      </c>
      <c r="F79" s="49">
        <f t="shared" si="36"/>
        <v>0</v>
      </c>
      <c r="G79" s="49">
        <f t="shared" si="36"/>
        <v>824.2028573559661</v>
      </c>
      <c r="H79" s="49">
        <f t="shared" si="36"/>
        <v>956.04921449274366</v>
      </c>
      <c r="I79" s="49">
        <f t="shared" si="36"/>
        <v>1084.5452331617685</v>
      </c>
      <c r="J79" s="49">
        <f t="shared" si="36"/>
        <v>1215.1346337925302</v>
      </c>
      <c r="K79" s="49">
        <f t="shared" si="36"/>
        <v>1684.7225498899234</v>
      </c>
      <c r="L79" s="49">
        <f t="shared" si="36"/>
        <v>2456.8443798603207</v>
      </c>
      <c r="M79" s="49">
        <f t="shared" si="36"/>
        <v>3501.3541289758473</v>
      </c>
      <c r="N79" s="49">
        <f t="shared" si="36"/>
        <v>4840.2165642418968</v>
      </c>
      <c r="O79" s="49">
        <f t="shared" si="36"/>
        <v>6435.1146648007825</v>
      </c>
      <c r="P79" s="49">
        <f t="shared" si="36"/>
        <v>8250.3634036128242</v>
      </c>
      <c r="Q79" s="49">
        <f t="shared" si="36"/>
        <v>10320.453655210393</v>
      </c>
      <c r="R79" s="49">
        <f t="shared" si="36"/>
        <v>12637.544871636868</v>
      </c>
      <c r="S79" s="49">
        <f t="shared" si="36"/>
        <v>15183.054547455176</v>
      </c>
      <c r="T79" s="49">
        <f t="shared" si="36"/>
        <v>17896.955996437733</v>
      </c>
      <c r="U79"/>
      <c r="V79"/>
      <c r="W79"/>
      <c r="X79"/>
      <c r="Y79"/>
      <c r="Z79"/>
      <c r="AA79"/>
      <c r="AB79"/>
      <c r="AC79"/>
    </row>
    <row r="80" spans="1:29" ht="15" customHeight="1" x14ac:dyDescent="0.2">
      <c r="A80" s="455"/>
      <c r="B80" s="81" t="s">
        <v>0</v>
      </c>
      <c r="C80" s="1" t="s">
        <v>58</v>
      </c>
      <c r="D80" s="49">
        <f t="shared" ref="D80:T80" si="37">D24*$C$171*1000/1000000</f>
        <v>979.20022958018251</v>
      </c>
      <c r="E80" s="49">
        <f t="shared" si="37"/>
        <v>1501.2003519666769</v>
      </c>
      <c r="F80" s="49">
        <f t="shared" si="37"/>
        <v>2556.0005992718006</v>
      </c>
      <c r="G80" s="49">
        <f t="shared" si="37"/>
        <v>4661.1775717782548</v>
      </c>
      <c r="H80" s="49">
        <f t="shared" si="37"/>
        <v>5448.2042347618335</v>
      </c>
      <c r="I80" s="49">
        <f t="shared" si="37"/>
        <v>6236.6886622842703</v>
      </c>
      <c r="J80" s="49">
        <f t="shared" si="37"/>
        <v>7047.5070498501536</v>
      </c>
      <c r="K80" s="49">
        <f t="shared" si="37"/>
        <v>8960.9720345623773</v>
      </c>
      <c r="L80" s="49">
        <f t="shared" si="37"/>
        <v>11865.499260844286</v>
      </c>
      <c r="M80" s="49">
        <f t="shared" si="37"/>
        <v>15633.074195969373</v>
      </c>
      <c r="N80" s="49">
        <f t="shared" si="37"/>
        <v>20352.874690249984</v>
      </c>
      <c r="O80" s="49">
        <f t="shared" si="37"/>
        <v>25800.882282141894</v>
      </c>
      <c r="P80" s="49">
        <f t="shared" si="37"/>
        <v>31805.191522062356</v>
      </c>
      <c r="Q80" s="49">
        <f t="shared" si="37"/>
        <v>38566.341850315875</v>
      </c>
      <c r="R80" s="49">
        <f t="shared" si="37"/>
        <v>46086.477940284982</v>
      </c>
      <c r="S80" s="49">
        <f t="shared" si="37"/>
        <v>54166.721335143622</v>
      </c>
      <c r="T80" s="49">
        <f t="shared" si="37"/>
        <v>62605.71328878263</v>
      </c>
    </row>
    <row r="81" spans="1:20" x14ac:dyDescent="0.2">
      <c r="A81" s="455"/>
      <c r="B81" s="80" t="s">
        <v>73</v>
      </c>
      <c r="C81" s="1" t="s">
        <v>58</v>
      </c>
      <c r="D81" s="49">
        <f t="shared" ref="D81:T81" si="38">D26*$C$172</f>
        <v>1565006.29</v>
      </c>
      <c r="E81" s="49">
        <f t="shared" si="38"/>
        <v>1592617.72</v>
      </c>
      <c r="F81" s="49">
        <f t="shared" si="38"/>
        <v>1669475.51</v>
      </c>
      <c r="G81" s="49">
        <f t="shared" si="38"/>
        <v>1699324.1259285957</v>
      </c>
      <c r="H81" s="49">
        <f t="shared" si="38"/>
        <v>1702074.1435663481</v>
      </c>
      <c r="I81" s="49">
        <f t="shared" si="38"/>
        <v>1675258.3638578982</v>
      </c>
      <c r="J81" s="49">
        <f t="shared" si="38"/>
        <v>1645286.1949890105</v>
      </c>
      <c r="K81" s="49">
        <f t="shared" si="38"/>
        <v>1611258.664167318</v>
      </c>
      <c r="L81" s="49">
        <f t="shared" si="38"/>
        <v>1571898.2598533158</v>
      </c>
      <c r="M81" s="49">
        <f t="shared" si="38"/>
        <v>1527602.3416269438</v>
      </c>
      <c r="N81" s="49">
        <f t="shared" si="38"/>
        <v>1481513.9324002427</v>
      </c>
      <c r="O81" s="49">
        <f t="shared" si="38"/>
        <v>1431417.3920362918</v>
      </c>
      <c r="P81" s="49">
        <f t="shared" si="38"/>
        <v>1380315.9210283549</v>
      </c>
      <c r="Q81" s="49">
        <f t="shared" si="38"/>
        <v>1330495.7885940368</v>
      </c>
      <c r="R81" s="49">
        <f t="shared" si="38"/>
        <v>1283758.9709972574</v>
      </c>
      <c r="S81" s="49">
        <f t="shared" si="38"/>
        <v>1238011.4301553743</v>
      </c>
      <c r="T81" s="49">
        <f t="shared" si="38"/>
        <v>1192928.6748554218</v>
      </c>
    </row>
    <row r="82" spans="1:20" x14ac:dyDescent="0.2">
      <c r="A82" s="455"/>
      <c r="B82" s="80"/>
      <c r="C82" s="2"/>
      <c r="D82" s="30"/>
      <c r="E82" s="30"/>
      <c r="F82" s="30"/>
      <c r="G82" s="30"/>
      <c r="H82" s="30"/>
      <c r="I82" s="30"/>
      <c r="J82" s="30"/>
      <c r="K82" s="26"/>
      <c r="L82" s="26"/>
      <c r="M82" s="26"/>
      <c r="N82" s="26"/>
      <c r="O82" s="26"/>
      <c r="P82" s="26"/>
      <c r="Q82" s="26"/>
      <c r="R82" s="26"/>
      <c r="S82" s="2"/>
      <c r="T82" s="2"/>
    </row>
    <row r="83" spans="1:20" x14ac:dyDescent="0.2">
      <c r="A83" s="455"/>
      <c r="B83" s="74" t="s">
        <v>72</v>
      </c>
      <c r="C83" s="14" t="s">
        <v>15</v>
      </c>
      <c r="D83" s="3">
        <v>2014</v>
      </c>
      <c r="E83" s="3">
        <v>2015</v>
      </c>
      <c r="F83" s="3">
        <v>2016</v>
      </c>
      <c r="G83" s="3">
        <v>2017</v>
      </c>
      <c r="H83" s="3">
        <v>2018</v>
      </c>
      <c r="I83" s="3">
        <v>2019</v>
      </c>
      <c r="J83" s="3">
        <v>2020</v>
      </c>
      <c r="K83" s="3">
        <v>2021</v>
      </c>
      <c r="L83" s="3">
        <v>2022</v>
      </c>
      <c r="M83" s="3">
        <v>2023</v>
      </c>
      <c r="N83" s="3">
        <v>2024</v>
      </c>
      <c r="O83" s="3">
        <v>2025</v>
      </c>
      <c r="P83" s="16">
        <v>2026</v>
      </c>
      <c r="Q83" s="16">
        <v>2027</v>
      </c>
      <c r="R83" s="16">
        <v>2028</v>
      </c>
      <c r="S83" s="16">
        <v>2029</v>
      </c>
      <c r="T83" s="16">
        <v>2030</v>
      </c>
    </row>
    <row r="84" spans="1:20" x14ac:dyDescent="0.2">
      <c r="A84" s="455"/>
      <c r="B84" s="80" t="s">
        <v>38</v>
      </c>
      <c r="C84" s="1" t="s">
        <v>58</v>
      </c>
      <c r="D84" s="49">
        <f t="shared" ref="D84:T84" si="39">D29*$C$174</f>
        <v>8450.8401938348852</v>
      </c>
      <c r="E84" s="49">
        <f t="shared" si="39"/>
        <v>15892.624842137247</v>
      </c>
      <c r="F84" s="49">
        <f t="shared" si="39"/>
        <v>20559.50674022517</v>
      </c>
      <c r="G84" s="49">
        <f t="shared" si="39"/>
        <v>22982.055878106403</v>
      </c>
      <c r="H84" s="49">
        <f t="shared" si="39"/>
        <v>26425.335157111964</v>
      </c>
      <c r="I84" s="49">
        <f t="shared" si="39"/>
        <v>29784.210709409206</v>
      </c>
      <c r="J84" s="49">
        <f t="shared" si="39"/>
        <v>33073.219012296453</v>
      </c>
      <c r="K84" s="49">
        <f t="shared" si="39"/>
        <v>39446.934798398317</v>
      </c>
      <c r="L84" s="49">
        <f t="shared" si="39"/>
        <v>45836.393019367359</v>
      </c>
      <c r="M84" s="49">
        <f t="shared" si="39"/>
        <v>52200.478764639491</v>
      </c>
      <c r="N84" s="49">
        <f t="shared" si="39"/>
        <v>58435.039432978199</v>
      </c>
      <c r="O84" s="49">
        <f t="shared" si="39"/>
        <v>64337.805292809608</v>
      </c>
      <c r="P84" s="49">
        <f t="shared" si="39"/>
        <v>63985.931470976153</v>
      </c>
      <c r="Q84" s="49">
        <f t="shared" si="39"/>
        <v>63477.106824723742</v>
      </c>
      <c r="R84" s="49">
        <f t="shared" si="39"/>
        <v>63021.003754348574</v>
      </c>
      <c r="S84" s="49">
        <f t="shared" si="39"/>
        <v>62532.488626543418</v>
      </c>
      <c r="T84" s="49">
        <f t="shared" si="39"/>
        <v>62161.26358490876</v>
      </c>
    </row>
    <row r="85" spans="1:20" x14ac:dyDescent="0.2">
      <c r="A85" s="455"/>
      <c r="B85" s="80" t="s">
        <v>1</v>
      </c>
      <c r="C85" s="1" t="s">
        <v>58</v>
      </c>
      <c r="D85" s="49">
        <f t="shared" ref="D85:T85" si="40">$C$175*D30</f>
        <v>14650.45</v>
      </c>
      <c r="E85" s="49">
        <f t="shared" si="40"/>
        <v>21392.25</v>
      </c>
      <c r="F85" s="49">
        <f t="shared" si="40"/>
        <v>32282.850000000002</v>
      </c>
      <c r="G85" s="49">
        <f t="shared" si="40"/>
        <v>47064.5</v>
      </c>
      <c r="H85" s="49">
        <f t="shared" si="40"/>
        <v>65057.49619707324</v>
      </c>
      <c r="I85" s="49">
        <f t="shared" si="40"/>
        <v>82128.000087603577</v>
      </c>
      <c r="J85" s="49">
        <f t="shared" si="40"/>
        <v>101515.07725956205</v>
      </c>
      <c r="K85" s="49">
        <f t="shared" si="40"/>
        <v>112803.65792590335</v>
      </c>
      <c r="L85" s="49">
        <f t="shared" si="40"/>
        <v>124149.45124083513</v>
      </c>
      <c r="M85" s="49">
        <f t="shared" si="40"/>
        <v>130261.94451636008</v>
      </c>
      <c r="N85" s="49">
        <f t="shared" si="40"/>
        <v>131235.50002585811</v>
      </c>
      <c r="O85" s="49">
        <f t="shared" si="40"/>
        <v>132505.47616470986</v>
      </c>
      <c r="P85" s="49">
        <f t="shared" si="40"/>
        <v>128756.78732667654</v>
      </c>
      <c r="Q85" s="49">
        <f t="shared" si="40"/>
        <v>125438.63218128805</v>
      </c>
      <c r="R85" s="49">
        <f t="shared" si="40"/>
        <v>122627.33582798923</v>
      </c>
      <c r="S85" s="49">
        <f t="shared" si="40"/>
        <v>120404.12106942674</v>
      </c>
      <c r="T85" s="49">
        <f t="shared" si="40"/>
        <v>118853.8393832904</v>
      </c>
    </row>
    <row r="86" spans="1:20" x14ac:dyDescent="0.2">
      <c r="A86" s="455"/>
      <c r="B86" s="80" t="s">
        <v>37</v>
      </c>
      <c r="C86" s="1" t="s">
        <v>58</v>
      </c>
      <c r="D86" s="49">
        <f t="shared" ref="D86:T86" si="41">D32*$C$176</f>
        <v>13043.59</v>
      </c>
      <c r="E86" s="49">
        <f t="shared" si="41"/>
        <v>9278.43</v>
      </c>
      <c r="F86" s="49">
        <f t="shared" si="41"/>
        <v>7395.85</v>
      </c>
      <c r="G86" s="49">
        <f t="shared" si="41"/>
        <v>9453.5513820632441</v>
      </c>
      <c r="H86" s="49">
        <f t="shared" si="41"/>
        <v>0</v>
      </c>
      <c r="I86" s="49">
        <f t="shared" si="41"/>
        <v>0</v>
      </c>
      <c r="J86" s="49">
        <f t="shared" si="41"/>
        <v>0</v>
      </c>
      <c r="K86" s="49">
        <f t="shared" si="41"/>
        <v>0</v>
      </c>
      <c r="L86" s="49">
        <f t="shared" si="41"/>
        <v>0</v>
      </c>
      <c r="M86" s="49">
        <f t="shared" si="41"/>
        <v>0</v>
      </c>
      <c r="N86" s="49">
        <f t="shared" si="41"/>
        <v>0</v>
      </c>
      <c r="O86" s="49">
        <f t="shared" si="41"/>
        <v>0</v>
      </c>
      <c r="P86" s="49">
        <f t="shared" si="41"/>
        <v>0</v>
      </c>
      <c r="Q86" s="49">
        <f t="shared" si="41"/>
        <v>0</v>
      </c>
      <c r="R86" s="49">
        <f t="shared" si="41"/>
        <v>0</v>
      </c>
      <c r="S86" s="49">
        <f t="shared" si="41"/>
        <v>0</v>
      </c>
      <c r="T86" s="49">
        <f t="shared" si="41"/>
        <v>0</v>
      </c>
    </row>
    <row r="87" spans="1:20" x14ac:dyDescent="0.2">
      <c r="A87" s="455"/>
      <c r="B87" s="81" t="s">
        <v>35</v>
      </c>
      <c r="C87" s="1" t="s">
        <v>58</v>
      </c>
      <c r="D87" s="49">
        <f t="shared" ref="D87:T87" si="42">D33*$C$177</f>
        <v>3899.63</v>
      </c>
      <c r="E87" s="49">
        <f t="shared" si="42"/>
        <v>9143.9599999999991</v>
      </c>
      <c r="F87" s="49">
        <f t="shared" si="42"/>
        <v>11698.89</v>
      </c>
      <c r="G87" s="49">
        <f t="shared" si="42"/>
        <v>23112.419849914164</v>
      </c>
      <c r="H87" s="49">
        <f t="shared" si="42"/>
        <v>36799.671306720709</v>
      </c>
      <c r="I87" s="49">
        <f t="shared" si="42"/>
        <v>41233.233300494998</v>
      </c>
      <c r="J87" s="49">
        <f t="shared" si="42"/>
        <v>45800.386072788213</v>
      </c>
      <c r="K87" s="49">
        <f t="shared" si="42"/>
        <v>50041.006995643438</v>
      </c>
      <c r="L87" s="49">
        <f t="shared" si="42"/>
        <v>54060.087040325772</v>
      </c>
      <c r="M87" s="49">
        <f t="shared" si="42"/>
        <v>57786.540203879318</v>
      </c>
      <c r="N87" s="49">
        <f t="shared" si="42"/>
        <v>61108.74187756161</v>
      </c>
      <c r="O87" s="49">
        <f t="shared" si="42"/>
        <v>63517.391287306906</v>
      </c>
      <c r="P87" s="49">
        <f t="shared" si="42"/>
        <v>66550.40181843641</v>
      </c>
      <c r="Q87" s="49">
        <f t="shared" si="42"/>
        <v>69333.0165911238</v>
      </c>
      <c r="R87" s="49">
        <f t="shared" si="42"/>
        <v>71925.705973712742</v>
      </c>
      <c r="S87" s="49">
        <f t="shared" si="42"/>
        <v>74490.480037783011</v>
      </c>
      <c r="T87" s="49">
        <f t="shared" si="42"/>
        <v>77112.885910411103</v>
      </c>
    </row>
    <row r="88" spans="1:20" x14ac:dyDescent="0.2">
      <c r="A88" s="455"/>
      <c r="B88" s="81" t="s">
        <v>106</v>
      </c>
      <c r="C88" s="1" t="s">
        <v>58</v>
      </c>
      <c r="D88" s="49">
        <f t="shared" ref="D88:T88" si="43">D34*$C$179</f>
        <v>0</v>
      </c>
      <c r="E88" s="49">
        <f t="shared" si="43"/>
        <v>0</v>
      </c>
      <c r="F88" s="49">
        <f t="shared" si="43"/>
        <v>0</v>
      </c>
      <c r="G88" s="49">
        <f t="shared" si="43"/>
        <v>0</v>
      </c>
      <c r="H88" s="49">
        <f t="shared" si="43"/>
        <v>0</v>
      </c>
      <c r="I88" s="49">
        <f t="shared" si="43"/>
        <v>0</v>
      </c>
      <c r="J88" s="49">
        <f t="shared" si="43"/>
        <v>0</v>
      </c>
      <c r="K88" s="49">
        <f t="shared" si="43"/>
        <v>0</v>
      </c>
      <c r="L88" s="49">
        <f t="shared" si="43"/>
        <v>0</v>
      </c>
      <c r="M88" s="49">
        <f t="shared" si="43"/>
        <v>0</v>
      </c>
      <c r="N88" s="49">
        <f t="shared" si="43"/>
        <v>0</v>
      </c>
      <c r="O88" s="49">
        <f t="shared" si="43"/>
        <v>0</v>
      </c>
      <c r="P88" s="49">
        <f t="shared" si="43"/>
        <v>0</v>
      </c>
      <c r="Q88" s="49">
        <f t="shared" si="43"/>
        <v>0</v>
      </c>
      <c r="R88" s="49">
        <f t="shared" si="43"/>
        <v>0</v>
      </c>
      <c r="S88" s="49">
        <f t="shared" si="43"/>
        <v>0</v>
      </c>
      <c r="T88" s="49">
        <f t="shared" si="43"/>
        <v>0</v>
      </c>
    </row>
    <row r="89" spans="1:20" x14ac:dyDescent="0.2">
      <c r="A89" s="455"/>
      <c r="B89" s="81" t="s">
        <v>90</v>
      </c>
      <c r="C89" s="1" t="s">
        <v>58</v>
      </c>
      <c r="D89" s="49">
        <f>D35*$C$171*1000/1000000</f>
        <v>0</v>
      </c>
      <c r="E89" s="49">
        <f t="shared" ref="E89:T89" si="44">E35*$C$171*1000/1000000</f>
        <v>0</v>
      </c>
      <c r="F89" s="49">
        <f t="shared" si="44"/>
        <v>0</v>
      </c>
      <c r="G89" s="49">
        <f t="shared" si="44"/>
        <v>0</v>
      </c>
      <c r="H89" s="49">
        <f t="shared" si="44"/>
        <v>0</v>
      </c>
      <c r="I89" s="49">
        <f t="shared" si="44"/>
        <v>0</v>
      </c>
      <c r="J89" s="49">
        <f t="shared" si="44"/>
        <v>36.000008440447893</v>
      </c>
      <c r="K89" s="49">
        <f t="shared" si="44"/>
        <v>90.000021101119728</v>
      </c>
      <c r="L89" s="49">
        <f t="shared" si="44"/>
        <v>180.00004220223946</v>
      </c>
      <c r="M89" s="49">
        <f t="shared" si="44"/>
        <v>306.38497045653105</v>
      </c>
      <c r="N89" s="49">
        <f t="shared" si="44"/>
        <v>924.59339191127071</v>
      </c>
      <c r="O89" s="49">
        <f t="shared" si="44"/>
        <v>1780.7666086629094</v>
      </c>
      <c r="P89" s="49">
        <f t="shared" si="44"/>
        <v>2832.4200385466465</v>
      </c>
      <c r="Q89" s="49">
        <f t="shared" si="44"/>
        <v>4063.4257715751919</v>
      </c>
      <c r="R89" s="49">
        <f t="shared" si="44"/>
        <v>5295.3603096355937</v>
      </c>
      <c r="S89" s="49">
        <f t="shared" si="44"/>
        <v>6906.5622452254493</v>
      </c>
      <c r="T89" s="49">
        <f t="shared" si="44"/>
        <v>8764.7390725782625</v>
      </c>
    </row>
    <row r="90" spans="1:20" x14ac:dyDescent="0.2">
      <c r="A90" s="455"/>
      <c r="B90" s="74" t="s">
        <v>119</v>
      </c>
      <c r="C90" s="1" t="s">
        <v>58</v>
      </c>
      <c r="D90" s="34">
        <f t="shared" ref="D90:T90" si="45">D36*$C$178*1000/10^6</f>
        <v>0</v>
      </c>
      <c r="E90" s="91">
        <f t="shared" si="45"/>
        <v>4320.0010128537469</v>
      </c>
      <c r="F90" s="49">
        <f t="shared" si="45"/>
        <v>4438.8010407072252</v>
      </c>
      <c r="G90" s="49">
        <f t="shared" si="45"/>
        <v>4438.8020814146939</v>
      </c>
      <c r="H90" s="49">
        <f t="shared" si="45"/>
        <v>4438.8020814146939</v>
      </c>
      <c r="I90" s="49">
        <f t="shared" si="45"/>
        <v>4438.8020814146939</v>
      </c>
      <c r="J90" s="49">
        <f t="shared" si="45"/>
        <v>4438.8020814146939</v>
      </c>
      <c r="K90" s="49">
        <f t="shared" si="45"/>
        <v>4438.8020814146939</v>
      </c>
      <c r="L90" s="49">
        <f t="shared" si="45"/>
        <v>4438.8020814146939</v>
      </c>
      <c r="M90" s="49">
        <f t="shared" si="45"/>
        <v>4438.8020814146939</v>
      </c>
      <c r="N90" s="49">
        <f t="shared" si="45"/>
        <v>4438.8020814146939</v>
      </c>
      <c r="O90" s="49">
        <f t="shared" si="45"/>
        <v>4438.8020814146939</v>
      </c>
      <c r="P90" s="49">
        <f t="shared" si="45"/>
        <v>4438.8020814146939</v>
      </c>
      <c r="Q90" s="49">
        <f t="shared" si="45"/>
        <v>4438.8020814146939</v>
      </c>
      <c r="R90" s="49">
        <f t="shared" si="45"/>
        <v>4438.8020814146939</v>
      </c>
      <c r="S90" s="49">
        <f t="shared" si="45"/>
        <v>4438.8020814146939</v>
      </c>
      <c r="T90" s="49">
        <f t="shared" si="45"/>
        <v>4438.8020814146939</v>
      </c>
    </row>
    <row r="91" spans="1:20" ht="18" customHeight="1" x14ac:dyDescent="0.2">
      <c r="A91" s="455"/>
      <c r="B91" s="82" t="s">
        <v>4</v>
      </c>
      <c r="C91" s="1" t="s">
        <v>58</v>
      </c>
      <c r="D91" s="49">
        <f t="shared" ref="D91:T91" si="46">D38*$C$179</f>
        <v>463114.68</v>
      </c>
      <c r="E91" s="49">
        <f t="shared" si="46"/>
        <v>467283.25</v>
      </c>
      <c r="F91" s="49">
        <f t="shared" si="46"/>
        <v>460021.87</v>
      </c>
      <c r="G91" s="49">
        <f t="shared" si="46"/>
        <v>424831.79571807355</v>
      </c>
      <c r="H91" s="49">
        <f t="shared" si="46"/>
        <v>400837.28422635811</v>
      </c>
      <c r="I91" s="49">
        <f t="shared" si="46"/>
        <v>377573.77832647722</v>
      </c>
      <c r="J91" s="49">
        <f t="shared" si="46"/>
        <v>352015.07306749688</v>
      </c>
      <c r="K91" s="49">
        <f t="shared" si="46"/>
        <v>332517.90385952464</v>
      </c>
      <c r="L91" s="49">
        <f t="shared" si="46"/>
        <v>313687.26469451998</v>
      </c>
      <c r="M91" s="49">
        <f t="shared" si="46"/>
        <v>300027.49392766005</v>
      </c>
      <c r="N91" s="49">
        <f t="shared" si="46"/>
        <v>289416.66275831143</v>
      </c>
      <c r="O91" s="49">
        <f t="shared" si="46"/>
        <v>276140.31020408683</v>
      </c>
      <c r="P91" s="49">
        <f t="shared" si="46"/>
        <v>275643.23637069802</v>
      </c>
      <c r="Q91" s="49">
        <f t="shared" si="46"/>
        <v>273084.3737254325</v>
      </c>
      <c r="R91" s="49">
        <f t="shared" si="46"/>
        <v>270315.32010598812</v>
      </c>
      <c r="S91" s="49">
        <f t="shared" si="46"/>
        <v>265591.30328292307</v>
      </c>
      <c r="T91" s="49">
        <f t="shared" si="46"/>
        <v>260140.79978002229</v>
      </c>
    </row>
    <row r="92" spans="1:20" ht="18" customHeight="1" x14ac:dyDescent="0.2">
      <c r="A92" s="455"/>
      <c r="B92" s="82"/>
      <c r="C92" s="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26"/>
      <c r="Q92" s="26"/>
      <c r="R92" s="26"/>
      <c r="S92" s="2"/>
      <c r="T92" s="2"/>
    </row>
    <row r="93" spans="1:20" ht="18" customHeight="1" x14ac:dyDescent="0.2">
      <c r="A93" s="455"/>
      <c r="B93" s="74" t="s">
        <v>72</v>
      </c>
      <c r="C93" s="14" t="s">
        <v>15</v>
      </c>
      <c r="D93" s="3">
        <v>2014</v>
      </c>
      <c r="E93" s="3">
        <v>2015</v>
      </c>
      <c r="F93" s="3">
        <v>2016</v>
      </c>
      <c r="G93" s="3">
        <v>2017</v>
      </c>
      <c r="H93" s="3">
        <v>2018</v>
      </c>
      <c r="I93" s="3">
        <v>2019</v>
      </c>
      <c r="J93" s="3">
        <v>2020</v>
      </c>
      <c r="K93" s="3">
        <v>2021</v>
      </c>
      <c r="L93" s="3">
        <v>2022</v>
      </c>
      <c r="M93" s="3">
        <v>2023</v>
      </c>
      <c r="N93" s="3">
        <v>2024</v>
      </c>
      <c r="O93" s="3">
        <v>2025</v>
      </c>
      <c r="P93" s="16">
        <v>2026</v>
      </c>
      <c r="Q93" s="16">
        <v>2027</v>
      </c>
      <c r="R93" s="16">
        <v>2028</v>
      </c>
      <c r="S93" s="16">
        <v>2029</v>
      </c>
      <c r="T93" s="16">
        <v>2030</v>
      </c>
    </row>
    <row r="94" spans="1:20" ht="18" customHeight="1" x14ac:dyDescent="0.2">
      <c r="A94" s="455"/>
      <c r="B94" s="79" t="s">
        <v>155</v>
      </c>
      <c r="C94" s="1" t="s">
        <v>58</v>
      </c>
      <c r="D94" s="34">
        <f t="shared" ref="D94:H95" si="47">D43*$C$180</f>
        <v>0</v>
      </c>
      <c r="E94" s="34">
        <f t="shared" si="47"/>
        <v>0</v>
      </c>
      <c r="F94" s="34">
        <f t="shared" si="47"/>
        <v>0</v>
      </c>
      <c r="G94" s="34">
        <f t="shared" si="47"/>
        <v>0</v>
      </c>
      <c r="H94" s="34">
        <f t="shared" si="47"/>
        <v>0</v>
      </c>
      <c r="I94" s="49">
        <f t="shared" ref="I94:T94" si="48">I43*$C$179</f>
        <v>2881.0222123323065</v>
      </c>
      <c r="J94" s="49">
        <f t="shared" si="48"/>
        <v>3561.1142626079059</v>
      </c>
      <c r="K94" s="49">
        <f t="shared" si="48"/>
        <v>3740.9553999999994</v>
      </c>
      <c r="L94" s="49">
        <f t="shared" si="48"/>
        <v>3740.9553999999994</v>
      </c>
      <c r="M94" s="49">
        <f t="shared" si="48"/>
        <v>3740.9553999999994</v>
      </c>
      <c r="N94" s="49">
        <f t="shared" si="48"/>
        <v>3740.9553999999994</v>
      </c>
      <c r="O94" s="49">
        <f t="shared" si="48"/>
        <v>3740.9553999999994</v>
      </c>
      <c r="P94" s="49">
        <f t="shared" si="48"/>
        <v>3740.9553999999994</v>
      </c>
      <c r="Q94" s="49">
        <f t="shared" si="48"/>
        <v>3740.9553999999994</v>
      </c>
      <c r="R94" s="49">
        <f t="shared" si="48"/>
        <v>3740.9553999999994</v>
      </c>
      <c r="S94" s="49">
        <f t="shared" si="48"/>
        <v>3740.9553999999994</v>
      </c>
      <c r="T94" s="49">
        <f t="shared" si="48"/>
        <v>3740.9553999999994</v>
      </c>
    </row>
    <row r="95" spans="1:20" ht="18" customHeight="1" x14ac:dyDescent="0.2">
      <c r="A95" s="455"/>
      <c r="B95" s="79" t="s">
        <v>156</v>
      </c>
      <c r="C95" s="1" t="s">
        <v>58</v>
      </c>
      <c r="D95" s="34">
        <f t="shared" si="47"/>
        <v>0</v>
      </c>
      <c r="E95" s="34">
        <f t="shared" si="47"/>
        <v>0</v>
      </c>
      <c r="F95" s="34">
        <f t="shared" si="47"/>
        <v>0</v>
      </c>
      <c r="G95" s="34">
        <f t="shared" si="47"/>
        <v>0</v>
      </c>
      <c r="H95" s="34">
        <f t="shared" si="47"/>
        <v>3607.9757999999997</v>
      </c>
      <c r="I95" s="49">
        <f t="shared" ref="I95:T95" si="49">I44*$C$179</f>
        <v>859.93318766769323</v>
      </c>
      <c r="J95" s="49">
        <f t="shared" si="49"/>
        <v>179.84113739209357</v>
      </c>
      <c r="K95" s="49">
        <f t="shared" si="49"/>
        <v>0</v>
      </c>
      <c r="L95" s="49">
        <f t="shared" si="49"/>
        <v>0</v>
      </c>
      <c r="M95" s="49">
        <f t="shared" si="49"/>
        <v>0</v>
      </c>
      <c r="N95" s="49">
        <f t="shared" si="49"/>
        <v>0</v>
      </c>
      <c r="O95" s="49">
        <f t="shared" si="49"/>
        <v>0</v>
      </c>
      <c r="P95" s="49">
        <f t="shared" si="49"/>
        <v>0</v>
      </c>
      <c r="Q95" s="49">
        <f t="shared" si="49"/>
        <v>0</v>
      </c>
      <c r="R95" s="49">
        <f t="shared" si="49"/>
        <v>0</v>
      </c>
      <c r="S95" s="49">
        <f t="shared" si="49"/>
        <v>0</v>
      </c>
      <c r="T95" s="49">
        <f t="shared" si="49"/>
        <v>0</v>
      </c>
    </row>
    <row r="96" spans="1:20" ht="18" customHeight="1" thickBot="1" x14ac:dyDescent="0.25">
      <c r="A96" s="458"/>
      <c r="B96" s="82" t="s">
        <v>68</v>
      </c>
      <c r="C96" s="1" t="s">
        <v>58</v>
      </c>
      <c r="D96" s="34">
        <f t="shared" ref="D96:T96" si="50">D46*$C$180</f>
        <v>0</v>
      </c>
      <c r="E96" s="34">
        <f t="shared" si="50"/>
        <v>0</v>
      </c>
      <c r="F96" s="34">
        <f t="shared" si="50"/>
        <v>0</v>
      </c>
      <c r="G96" s="34">
        <f t="shared" si="50"/>
        <v>0</v>
      </c>
      <c r="H96" s="34">
        <f t="shared" si="50"/>
        <v>0</v>
      </c>
      <c r="I96" s="49">
        <f t="shared" si="50"/>
        <v>0</v>
      </c>
      <c r="J96" s="49">
        <f t="shared" si="50"/>
        <v>0</v>
      </c>
      <c r="K96" s="49">
        <f t="shared" si="50"/>
        <v>0</v>
      </c>
      <c r="L96" s="49">
        <f t="shared" si="50"/>
        <v>0</v>
      </c>
      <c r="M96" s="49">
        <f t="shared" si="50"/>
        <v>0</v>
      </c>
      <c r="N96" s="49">
        <f t="shared" si="50"/>
        <v>0</v>
      </c>
      <c r="O96" s="49">
        <f t="shared" si="50"/>
        <v>0</v>
      </c>
      <c r="P96" s="49">
        <f t="shared" si="50"/>
        <v>0</v>
      </c>
      <c r="Q96" s="49">
        <f t="shared" si="50"/>
        <v>0</v>
      </c>
      <c r="R96" s="49">
        <f t="shared" si="50"/>
        <v>0</v>
      </c>
      <c r="S96" s="49">
        <f t="shared" si="50"/>
        <v>0</v>
      </c>
      <c r="T96" s="49">
        <f t="shared" si="50"/>
        <v>0</v>
      </c>
    </row>
    <row r="98" spans="1:21" ht="22" thickBot="1" x14ac:dyDescent="0.3">
      <c r="B98" s="2"/>
      <c r="C98" s="24"/>
      <c r="D98" s="470" t="s">
        <v>47</v>
      </c>
      <c r="E98" s="471"/>
      <c r="F98" s="471"/>
      <c r="G98" s="471"/>
      <c r="H98" s="471"/>
      <c r="I98" s="471"/>
      <c r="J98" s="471"/>
      <c r="K98" s="471"/>
      <c r="L98" s="471"/>
      <c r="M98" s="471"/>
      <c r="N98" s="471"/>
      <c r="O98" s="471"/>
      <c r="P98" s="471"/>
      <c r="Q98" s="471"/>
      <c r="R98" s="471"/>
      <c r="S98" s="471"/>
      <c r="T98" s="472"/>
    </row>
    <row r="99" spans="1:21" ht="15" customHeight="1" x14ac:dyDescent="0.2">
      <c r="A99" s="454" t="s">
        <v>47</v>
      </c>
      <c r="B99" s="74" t="s">
        <v>72</v>
      </c>
      <c r="C99" s="14" t="s">
        <v>15</v>
      </c>
      <c r="D99" s="3">
        <v>2014</v>
      </c>
      <c r="E99" s="3">
        <v>2015</v>
      </c>
      <c r="F99" s="3">
        <v>2016</v>
      </c>
      <c r="G99" s="3">
        <v>2017</v>
      </c>
      <c r="H99" s="3">
        <v>2018</v>
      </c>
      <c r="I99" s="3">
        <v>2019</v>
      </c>
      <c r="J99" s="3">
        <v>2020</v>
      </c>
      <c r="K99" s="3">
        <v>2021</v>
      </c>
      <c r="L99" s="3">
        <v>2022</v>
      </c>
      <c r="M99" s="3">
        <v>2023</v>
      </c>
      <c r="N99" s="3">
        <v>2024</v>
      </c>
      <c r="O99" s="3">
        <v>2025</v>
      </c>
      <c r="P99" s="16">
        <v>2026</v>
      </c>
      <c r="Q99" s="16">
        <v>2027</v>
      </c>
      <c r="R99" s="16">
        <v>2028</v>
      </c>
      <c r="S99" s="16">
        <v>2029</v>
      </c>
      <c r="T99" s="16">
        <v>2030</v>
      </c>
    </row>
    <row r="100" spans="1:21" ht="15" customHeight="1" x14ac:dyDescent="0.2">
      <c r="A100" s="455"/>
      <c r="B100" s="75" t="s">
        <v>125</v>
      </c>
      <c r="C100" s="1" t="s">
        <v>45</v>
      </c>
      <c r="D100" s="43">
        <v>1.9</v>
      </c>
      <c r="E100" s="43">
        <v>1.9</v>
      </c>
      <c r="F100" s="87">
        <v>3.2</v>
      </c>
      <c r="G100" s="56">
        <f t="shared" ref="G100:T100" si="51">(G6-G51)*G75/10^6</f>
        <v>3.1002444027253007</v>
      </c>
      <c r="H100" s="56">
        <f t="shared" si="51"/>
        <v>2.907872514418008</v>
      </c>
      <c r="I100" s="56">
        <f t="shared" si="51"/>
        <v>2.8452097660886171</v>
      </c>
      <c r="J100" s="56">
        <f t="shared" si="51"/>
        <v>2.5419541982938041</v>
      </c>
      <c r="K100" s="56">
        <f t="shared" si="51"/>
        <v>2.3252702159326253</v>
      </c>
      <c r="L100" s="56">
        <f t="shared" si="51"/>
        <v>2.3037819996730797</v>
      </c>
      <c r="M100" s="56">
        <f t="shared" si="51"/>
        <v>2.2845202881583244</v>
      </c>
      <c r="N100" s="56">
        <f t="shared" si="51"/>
        <v>2.2710721157665503</v>
      </c>
      <c r="O100" s="56">
        <f t="shared" si="51"/>
        <v>2.2434083674767185</v>
      </c>
      <c r="P100" s="56">
        <f t="shared" si="51"/>
        <v>2.2265617524271559</v>
      </c>
      <c r="Q100" s="56">
        <f t="shared" si="51"/>
        <v>2.2253838551006022</v>
      </c>
      <c r="R100" s="56">
        <f t="shared" si="51"/>
        <v>2.2445002747388045</v>
      </c>
      <c r="S100" s="56">
        <f t="shared" si="51"/>
        <v>2.0863707086172756</v>
      </c>
      <c r="T100" s="56">
        <f t="shared" si="51"/>
        <v>1.9681497560250838</v>
      </c>
    </row>
    <row r="101" spans="1:21" ht="15" customHeight="1" x14ac:dyDescent="0.2">
      <c r="A101" s="455"/>
      <c r="B101" s="74" t="s">
        <v>124</v>
      </c>
      <c r="C101" s="1" t="s">
        <v>45</v>
      </c>
      <c r="D101" s="94">
        <v>0.04</v>
      </c>
      <c r="E101" s="94">
        <v>0.13</v>
      </c>
      <c r="F101" s="94">
        <v>0.12</v>
      </c>
      <c r="G101" s="56">
        <f t="shared" ref="G101:T101" si="52">(G6-G52)*G76/10^6</f>
        <v>0.41213294711469867</v>
      </c>
      <c r="H101" s="56">
        <f t="shared" si="52"/>
        <v>0.54094592411259146</v>
      </c>
      <c r="I101" s="56">
        <f t="shared" si="52"/>
        <v>0.68063644057678785</v>
      </c>
      <c r="J101" s="56">
        <f t="shared" si="52"/>
        <v>0.94793426618173537</v>
      </c>
      <c r="K101" s="56">
        <f t="shared" si="52"/>
        <v>0.96608963580904661</v>
      </c>
      <c r="L101" s="56">
        <f t="shared" si="52"/>
        <v>0.979948089968118</v>
      </c>
      <c r="M101" s="56">
        <f t="shared" si="52"/>
        <v>0.97108800921231675</v>
      </c>
      <c r="N101" s="56">
        <f t="shared" si="52"/>
        <v>0.96484518932947783</v>
      </c>
      <c r="O101" s="56">
        <f t="shared" si="52"/>
        <v>0.89559636269626219</v>
      </c>
      <c r="P101" s="56">
        <f t="shared" si="52"/>
        <v>0.83223228935139426</v>
      </c>
      <c r="Q101" s="56">
        <f t="shared" si="52"/>
        <v>0.76024316673197867</v>
      </c>
      <c r="R101" s="56">
        <f t="shared" si="52"/>
        <v>0.6807892011387412</v>
      </c>
      <c r="S101" s="56">
        <f t="shared" si="52"/>
        <v>0.59225751457718101</v>
      </c>
      <c r="T101" s="56">
        <f t="shared" si="52"/>
        <v>0.48996719110841996</v>
      </c>
    </row>
    <row r="102" spans="1:21" ht="15" customHeight="1" x14ac:dyDescent="0.2">
      <c r="A102" s="455"/>
      <c r="B102" s="78" t="s">
        <v>17</v>
      </c>
      <c r="C102" s="1" t="s">
        <v>45</v>
      </c>
      <c r="D102" s="42">
        <v>0</v>
      </c>
      <c r="E102" s="42">
        <v>0</v>
      </c>
      <c r="F102" s="92">
        <v>0</v>
      </c>
      <c r="G102" s="47">
        <f t="shared" ref="G102:T102" si="53">(G6-G53)*G77/10^6</f>
        <v>1.2950510294822025E-3</v>
      </c>
      <c r="H102" s="47">
        <f t="shared" si="53"/>
        <v>6.7100754214643718E-2</v>
      </c>
      <c r="I102" s="47">
        <f t="shared" si="53"/>
        <v>0.14673166671607896</v>
      </c>
      <c r="J102" s="47">
        <f t="shared" si="53"/>
        <v>0.25497626129988205</v>
      </c>
      <c r="K102" s="47">
        <f t="shared" si="53"/>
        <v>0.41079114565125019</v>
      </c>
      <c r="L102" s="47">
        <f t="shared" si="53"/>
        <v>0.55514135226188988</v>
      </c>
      <c r="M102" s="47">
        <f t="shared" si="53"/>
        <v>0.70222167147469106</v>
      </c>
      <c r="N102" s="47">
        <f t="shared" si="53"/>
        <v>0.87703767442893321</v>
      </c>
      <c r="O102" s="47">
        <f t="shared" si="53"/>
        <v>1.0789500678766129</v>
      </c>
      <c r="P102" s="47">
        <f t="shared" si="53"/>
        <v>1.312077322083683</v>
      </c>
      <c r="Q102" s="47">
        <f t="shared" si="53"/>
        <v>1.5781128388042718</v>
      </c>
      <c r="R102" s="47">
        <f t="shared" si="53"/>
        <v>1.8783156891868862</v>
      </c>
      <c r="S102" s="47">
        <f t="shared" si="53"/>
        <v>2.2134455068952321</v>
      </c>
      <c r="T102" s="47">
        <f t="shared" si="53"/>
        <v>2.5837092372839794</v>
      </c>
    </row>
    <row r="103" spans="1:21" ht="15" customHeight="1" x14ac:dyDescent="0.2">
      <c r="A103" s="455"/>
      <c r="B103" s="83" t="s">
        <v>16</v>
      </c>
      <c r="C103" s="1" t="s">
        <v>45</v>
      </c>
      <c r="D103" s="42">
        <v>0</v>
      </c>
      <c r="E103" s="42">
        <v>0</v>
      </c>
      <c r="F103" s="92">
        <v>0</v>
      </c>
      <c r="G103" s="47">
        <f t="shared" ref="G103:T103" si="54">(G6-G54)*G78/10^6</f>
        <v>0</v>
      </c>
      <c r="H103" s="47">
        <f t="shared" si="54"/>
        <v>1.3711008978419903E-3</v>
      </c>
      <c r="I103" s="47">
        <f t="shared" si="54"/>
        <v>6.3033370859576074E-3</v>
      </c>
      <c r="J103" s="47">
        <f t="shared" si="54"/>
        <v>1.4085192793325417E-2</v>
      </c>
      <c r="K103" s="47">
        <f t="shared" si="54"/>
        <v>2.4962973877609262E-2</v>
      </c>
      <c r="L103" s="47">
        <f t="shared" si="54"/>
        <v>3.6835309426580774E-2</v>
      </c>
      <c r="M103" s="47">
        <f t="shared" si="54"/>
        <v>5.2118176286273597E-2</v>
      </c>
      <c r="N103" s="47">
        <f t="shared" si="54"/>
        <v>7.2349031861193763E-2</v>
      </c>
      <c r="O103" s="47">
        <f t="shared" si="54"/>
        <v>9.8342314012845655E-2</v>
      </c>
      <c r="P103" s="47">
        <f t="shared" si="54"/>
        <v>0.13138375409691161</v>
      </c>
      <c r="Q103" s="47">
        <f t="shared" si="54"/>
        <v>0.17266873730465201</v>
      </c>
      <c r="R103" s="47">
        <f t="shared" si="54"/>
        <v>0.22341557541908685</v>
      </c>
      <c r="S103" s="47">
        <f t="shared" si="54"/>
        <v>0.28482510528435628</v>
      </c>
      <c r="T103" s="47">
        <f t="shared" si="54"/>
        <v>0.35803619713099699</v>
      </c>
    </row>
    <row r="104" spans="1:21" ht="15" customHeight="1" x14ac:dyDescent="0.2">
      <c r="A104" s="455"/>
      <c r="B104" s="79" t="s">
        <v>107</v>
      </c>
      <c r="C104" s="1" t="s">
        <v>45</v>
      </c>
      <c r="D104" s="42">
        <v>0</v>
      </c>
      <c r="E104" s="42">
        <v>0</v>
      </c>
      <c r="F104" s="92">
        <v>0</v>
      </c>
      <c r="G104" s="47">
        <f t="shared" ref="G104:T104" si="55">(G6-G55)*G79*$C$151/10^6</f>
        <v>0.11272622480057547</v>
      </c>
      <c r="H104" s="47">
        <f t="shared" si="55"/>
        <v>0.12724537020291171</v>
      </c>
      <c r="I104" s="47">
        <f t="shared" si="55"/>
        <v>0.14440698088644283</v>
      </c>
      <c r="J104" s="47">
        <f t="shared" si="55"/>
        <v>0.15754323813564028</v>
      </c>
      <c r="K104" s="47">
        <f t="shared" si="55"/>
        <v>0.21253095064145866</v>
      </c>
      <c r="L104" s="47">
        <f t="shared" si="55"/>
        <v>0.30133921088078897</v>
      </c>
      <c r="M104" s="47">
        <f t="shared" si="55"/>
        <v>0.41720034988398813</v>
      </c>
      <c r="N104" s="47">
        <f t="shared" si="55"/>
        <v>0.55979548874822493</v>
      </c>
      <c r="O104" s="47">
        <f t="shared" si="55"/>
        <v>0.71852077179166229</v>
      </c>
      <c r="P104" s="47">
        <f t="shared" si="55"/>
        <v>0.88821308560627732</v>
      </c>
      <c r="Q104" s="47">
        <f t="shared" si="55"/>
        <v>1.0698042932866747</v>
      </c>
      <c r="R104" s="47">
        <f t="shared" si="55"/>
        <v>1.2594558262755997</v>
      </c>
      <c r="S104" s="47">
        <f t="shared" si="55"/>
        <v>1.4524269402168366</v>
      </c>
      <c r="T104" s="47">
        <f t="shared" si="55"/>
        <v>1.6404752547844741</v>
      </c>
    </row>
    <row r="105" spans="1:21" ht="15" customHeight="1" x14ac:dyDescent="0.2">
      <c r="A105" s="455"/>
      <c r="B105" s="79" t="s">
        <v>0</v>
      </c>
      <c r="C105" s="1" t="s">
        <v>45</v>
      </c>
      <c r="D105" s="42">
        <v>0.22</v>
      </c>
      <c r="E105" s="42">
        <v>0.34</v>
      </c>
      <c r="F105" s="92">
        <v>0.56999999999999995</v>
      </c>
      <c r="G105" s="47">
        <f t="shared" ref="G105:T105" si="56">(G6-G56)*G80*$C$150/10^6</f>
        <v>1.1276091270689628</v>
      </c>
      <c r="H105" s="47">
        <f t="shared" si="56"/>
        <v>1.3217060148618258</v>
      </c>
      <c r="I105" s="47">
        <f t="shared" si="56"/>
        <v>1.5949863807817937</v>
      </c>
      <c r="J105" s="47">
        <f t="shared" si="56"/>
        <v>1.8476862253503912</v>
      </c>
      <c r="K105" s="47">
        <f t="shared" si="56"/>
        <v>2.3295686912162124</v>
      </c>
      <c r="L105" s="47">
        <f t="shared" si="56"/>
        <v>3.060241656938739</v>
      </c>
      <c r="M105" s="47">
        <f t="shared" si="56"/>
        <v>4.0020281940348879</v>
      </c>
      <c r="N105" s="47">
        <f t="shared" si="56"/>
        <v>5.1741548877681369</v>
      </c>
      <c r="O105" s="47">
        <f t="shared" si="56"/>
        <v>6.4992403329464681</v>
      </c>
      <c r="P105" s="47">
        <f t="shared" si="56"/>
        <v>7.9419081717703737</v>
      </c>
      <c r="Q105" s="47">
        <f t="shared" si="56"/>
        <v>9.5502452116123759</v>
      </c>
      <c r="R105" s="47">
        <f t="shared" si="56"/>
        <v>11.322305977035994</v>
      </c>
      <c r="S105" s="47">
        <f t="shared" si="56"/>
        <v>13.207494684686804</v>
      </c>
      <c r="T105" s="47">
        <f t="shared" si="56"/>
        <v>15.156335738446613</v>
      </c>
    </row>
    <row r="106" spans="1:21" ht="15" customHeight="1" x14ac:dyDescent="0.2">
      <c r="A106" s="455"/>
      <c r="B106" s="79" t="s">
        <v>27</v>
      </c>
      <c r="C106" s="1" t="s">
        <v>45</v>
      </c>
      <c r="D106" s="56">
        <f t="shared" ref="D106:T106" si="57">SUM(D100:D105)</f>
        <v>2.16</v>
      </c>
      <c r="E106" s="56">
        <f t="shared" si="57"/>
        <v>2.3699999999999997</v>
      </c>
      <c r="F106" s="56">
        <f t="shared" si="57"/>
        <v>3.89</v>
      </c>
      <c r="G106" s="56">
        <f t="shared" si="57"/>
        <v>4.7540077527390201</v>
      </c>
      <c r="H106" s="56">
        <f t="shared" si="57"/>
        <v>4.9662416787078225</v>
      </c>
      <c r="I106" s="56">
        <f t="shared" si="57"/>
        <v>5.4182745721356778</v>
      </c>
      <c r="J106" s="56">
        <f t="shared" si="57"/>
        <v>5.7641793820547784</v>
      </c>
      <c r="K106" s="56">
        <f t="shared" si="57"/>
        <v>6.2692136131282021</v>
      </c>
      <c r="L106" s="56">
        <f t="shared" si="57"/>
        <v>7.2372876191491962</v>
      </c>
      <c r="M106" s="56">
        <f t="shared" si="57"/>
        <v>8.4291766890504825</v>
      </c>
      <c r="N106" s="56">
        <f t="shared" si="57"/>
        <v>9.9192543879025159</v>
      </c>
      <c r="O106" s="56">
        <f t="shared" si="57"/>
        <v>11.53405821680057</v>
      </c>
      <c r="P106" s="56">
        <f t="shared" si="57"/>
        <v>13.332376375335794</v>
      </c>
      <c r="Q106" s="56">
        <f t="shared" si="57"/>
        <v>15.356458102840556</v>
      </c>
      <c r="R106" s="56">
        <f t="shared" si="57"/>
        <v>17.608782543795112</v>
      </c>
      <c r="S106" s="56">
        <f t="shared" si="57"/>
        <v>19.836820460277686</v>
      </c>
      <c r="T106" s="56">
        <f t="shared" si="57"/>
        <v>22.196673374779564</v>
      </c>
    </row>
    <row r="107" spans="1:21" ht="15" customHeight="1" x14ac:dyDescent="0.2">
      <c r="A107" s="455"/>
      <c r="B107" s="79" t="s">
        <v>29</v>
      </c>
      <c r="C107" s="1" t="s">
        <v>45</v>
      </c>
      <c r="D107" s="42">
        <v>-1.91</v>
      </c>
      <c r="E107" s="42">
        <v>-1.94</v>
      </c>
      <c r="F107" s="92">
        <v>-5.4760010000000001</v>
      </c>
      <c r="G107" s="47">
        <f t="shared" ref="G107:T107" si="58">(G6-G67)*G81/10^6</f>
        <v>-8.0887828394201247</v>
      </c>
      <c r="H107" s="47">
        <f t="shared" si="58"/>
        <v>-10.603921914418356</v>
      </c>
      <c r="I107" s="47">
        <f t="shared" si="58"/>
        <v>-13.164314243864498</v>
      </c>
      <c r="J107" s="47">
        <f t="shared" si="58"/>
        <v>-15.231500195901964</v>
      </c>
      <c r="K107" s="47">
        <f t="shared" si="58"/>
        <v>-17.171570286110509</v>
      </c>
      <c r="L107" s="47">
        <f t="shared" si="58"/>
        <v>-18.952094377364659</v>
      </c>
      <c r="M107" s="47">
        <f t="shared" si="58"/>
        <v>-20.556028149868808</v>
      </c>
      <c r="N107" s="47">
        <f t="shared" si="58"/>
        <v>-22.009341349459362</v>
      </c>
      <c r="O107" s="47">
        <f t="shared" si="58"/>
        <v>-23.554688894653221</v>
      </c>
      <c r="P107" s="47">
        <f t="shared" si="58"/>
        <v>-24.921631560485384</v>
      </c>
      <c r="Q107" s="47">
        <f t="shared" si="58"/>
        <v>-26.150282696753056</v>
      </c>
      <c r="R107" s="47">
        <f t="shared" si="58"/>
        <v>-27.28509019511398</v>
      </c>
      <c r="S107" s="47">
        <f t="shared" si="58"/>
        <v>-28.292993259970288</v>
      </c>
      <c r="T107" s="47">
        <f t="shared" si="58"/>
        <v>-29.170804179107137</v>
      </c>
      <c r="U107" s="245"/>
    </row>
    <row r="108" spans="1:21" ht="15" customHeight="1" x14ac:dyDescent="0.2">
      <c r="A108" s="455"/>
      <c r="B108" s="84"/>
      <c r="C108" s="21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6"/>
      <c r="Q108" s="26"/>
      <c r="R108" s="2"/>
      <c r="S108" s="2"/>
      <c r="T108" s="2"/>
    </row>
    <row r="109" spans="1:21" ht="15" customHeight="1" x14ac:dyDescent="0.2">
      <c r="A109" s="455"/>
      <c r="B109" s="74" t="s">
        <v>72</v>
      </c>
      <c r="C109" s="14" t="s">
        <v>15</v>
      </c>
      <c r="D109" s="3">
        <v>2014</v>
      </c>
      <c r="E109" s="3">
        <v>2015</v>
      </c>
      <c r="F109" s="3">
        <v>2016</v>
      </c>
      <c r="G109" s="3">
        <v>2017</v>
      </c>
      <c r="H109" s="3">
        <v>2018</v>
      </c>
      <c r="I109" s="3">
        <v>2019</v>
      </c>
      <c r="J109" s="3">
        <v>2020</v>
      </c>
      <c r="K109" s="3">
        <v>2021</v>
      </c>
      <c r="L109" s="3">
        <v>2022</v>
      </c>
      <c r="M109" s="3">
        <v>2023</v>
      </c>
      <c r="N109" s="3">
        <v>2024</v>
      </c>
      <c r="O109" s="3">
        <v>2025</v>
      </c>
      <c r="P109" s="16">
        <v>2026</v>
      </c>
      <c r="Q109" s="16">
        <v>2027</v>
      </c>
      <c r="R109" s="16">
        <v>2028</v>
      </c>
      <c r="S109" s="16">
        <v>2029</v>
      </c>
      <c r="T109" s="16">
        <v>2030</v>
      </c>
    </row>
    <row r="110" spans="1:21" ht="15" customHeight="1" x14ac:dyDescent="0.2">
      <c r="A110" s="455"/>
      <c r="B110" s="79" t="s">
        <v>38</v>
      </c>
      <c r="C110" s="1" t="s">
        <v>45</v>
      </c>
      <c r="D110" s="42">
        <v>0.66</v>
      </c>
      <c r="E110" s="42">
        <v>1.1299999999999999</v>
      </c>
      <c r="F110" s="92">
        <v>1.702156</v>
      </c>
      <c r="G110" s="47">
        <f t="shared" ref="G110:T110" si="59">(G7-G57)*G84/10^6</f>
        <v>1.5499098484194958</v>
      </c>
      <c r="H110" s="47">
        <f t="shared" si="59"/>
        <v>1.7821246029956308</v>
      </c>
      <c r="I110" s="47">
        <f t="shared" si="59"/>
        <v>1.890975710571823</v>
      </c>
      <c r="J110" s="47">
        <f t="shared" si="59"/>
        <v>2.0530498360854135</v>
      </c>
      <c r="K110" s="47">
        <f t="shared" si="59"/>
        <v>2.3929536269013183</v>
      </c>
      <c r="L110" s="47">
        <f t="shared" si="59"/>
        <v>2.7157742009224024</v>
      </c>
      <c r="M110" s="47">
        <f t="shared" si="59"/>
        <v>3.0190668898316897</v>
      </c>
      <c r="N110" s="47">
        <f t="shared" si="59"/>
        <v>3.2970626994150996</v>
      </c>
      <c r="O110" s="47">
        <f t="shared" si="59"/>
        <v>3.5261942635856629</v>
      </c>
      <c r="P110" s="47">
        <f t="shared" si="59"/>
        <v>3.4035588625836053</v>
      </c>
      <c r="Q110" s="47">
        <f t="shared" si="59"/>
        <v>3.2739650864094587</v>
      </c>
      <c r="R110" s="47">
        <f t="shared" si="59"/>
        <v>3.148649087474388</v>
      </c>
      <c r="S110" s="47">
        <f t="shared" si="59"/>
        <v>3.0232394678809067</v>
      </c>
      <c r="T110" s="47">
        <f t="shared" si="59"/>
        <v>2.9048890892181634</v>
      </c>
    </row>
    <row r="111" spans="1:21" ht="15" customHeight="1" x14ac:dyDescent="0.2">
      <c r="A111" s="455"/>
      <c r="B111" s="79" t="s">
        <v>1</v>
      </c>
      <c r="C111" s="1" t="s">
        <v>45</v>
      </c>
      <c r="D111" s="42">
        <v>0.84</v>
      </c>
      <c r="E111" s="42">
        <v>1.03</v>
      </c>
      <c r="F111" s="92">
        <v>2.072349</v>
      </c>
      <c r="G111" s="47">
        <f t="shared" ref="G111:T111" si="60">(G7-G58)*G85/10^6</f>
        <v>3.2210943799999998</v>
      </c>
      <c r="H111" s="47">
        <f t="shared" si="60"/>
        <v>4.4525350397276924</v>
      </c>
      <c r="I111" s="47">
        <f t="shared" si="60"/>
        <v>5.2963690232494844</v>
      </c>
      <c r="J111" s="47">
        <f t="shared" si="60"/>
        <v>6.40315486171641</v>
      </c>
      <c r="K111" s="47">
        <f t="shared" si="60"/>
        <v>6.9557668372218089</v>
      </c>
      <c r="L111" s="47">
        <f t="shared" si="60"/>
        <v>7.4799175326444489</v>
      </c>
      <c r="M111" s="47">
        <f t="shared" si="60"/>
        <v>7.6640917675645612</v>
      </c>
      <c r="N111" s="47">
        <f t="shared" si="60"/>
        <v>7.5358967473348439</v>
      </c>
      <c r="O111" s="47">
        <f t="shared" si="60"/>
        <v>7.3947993610620459</v>
      </c>
      <c r="P111" s="47">
        <f t="shared" si="60"/>
        <v>6.9776264458434536</v>
      </c>
      <c r="Q111" s="47">
        <f t="shared" si="60"/>
        <v>6.5951995080588004</v>
      </c>
      <c r="R111" s="47">
        <f t="shared" si="60"/>
        <v>6.2493220257324049</v>
      </c>
      <c r="S111" s="47">
        <f t="shared" si="60"/>
        <v>5.9415460411766805</v>
      </c>
      <c r="T111" s="47">
        <f t="shared" si="60"/>
        <v>5.6730720345235257</v>
      </c>
    </row>
    <row r="112" spans="1:21" ht="15" customHeight="1" x14ac:dyDescent="0.2">
      <c r="A112" s="455"/>
      <c r="B112" s="79" t="s">
        <v>36</v>
      </c>
      <c r="C112" s="1" t="s">
        <v>45</v>
      </c>
      <c r="D112" s="43">
        <v>0.25</v>
      </c>
      <c r="E112" s="43">
        <v>0.18</v>
      </c>
      <c r="F112" s="87">
        <v>0.15862699999999999</v>
      </c>
      <c r="G112" s="56">
        <f t="shared" ref="G112:T112" si="61">(G7-(G59/$C$156))*G86*$C$156/10^6</f>
        <v>6.2355624916089113E-2</v>
      </c>
      <c r="H112" s="56">
        <f t="shared" si="61"/>
        <v>0</v>
      </c>
      <c r="I112" s="56">
        <f t="shared" si="61"/>
        <v>0</v>
      </c>
      <c r="J112" s="56">
        <f t="shared" si="61"/>
        <v>0</v>
      </c>
      <c r="K112" s="56">
        <f t="shared" si="61"/>
        <v>0</v>
      </c>
      <c r="L112" s="56">
        <f t="shared" si="61"/>
        <v>0</v>
      </c>
      <c r="M112" s="56">
        <f t="shared" si="61"/>
        <v>0</v>
      </c>
      <c r="N112" s="56">
        <f t="shared" si="61"/>
        <v>0</v>
      </c>
      <c r="O112" s="56">
        <f t="shared" si="61"/>
        <v>0</v>
      </c>
      <c r="P112" s="56">
        <f t="shared" si="61"/>
        <v>0</v>
      </c>
      <c r="Q112" s="56">
        <f t="shared" si="61"/>
        <v>0</v>
      </c>
      <c r="R112" s="56">
        <f t="shared" si="61"/>
        <v>0</v>
      </c>
      <c r="S112" s="56">
        <f t="shared" si="61"/>
        <v>0</v>
      </c>
      <c r="T112" s="56">
        <f t="shared" si="61"/>
        <v>0</v>
      </c>
    </row>
    <row r="113" spans="1:21" ht="15" customHeight="1" x14ac:dyDescent="0.2">
      <c r="A113" s="455"/>
      <c r="B113" s="79" t="s">
        <v>35</v>
      </c>
      <c r="C113" s="1" t="s">
        <v>45</v>
      </c>
      <c r="D113" s="43">
        <v>0.24</v>
      </c>
      <c r="E113" s="43">
        <v>0.6</v>
      </c>
      <c r="F113" s="87">
        <v>0.67170700000000005</v>
      </c>
      <c r="G113" s="56">
        <f t="shared" ref="G113:T113" si="62">(G7-(G63/$C$156))*G87*$C$156/10^6</f>
        <v>1.1117490067122131</v>
      </c>
      <c r="H113" s="56">
        <f t="shared" si="62"/>
        <v>1.8363058554506735</v>
      </c>
      <c r="I113" s="56">
        <f t="shared" si="62"/>
        <v>1.9231067773755139</v>
      </c>
      <c r="J113" s="56">
        <f t="shared" si="62"/>
        <v>2.0952028743797655</v>
      </c>
      <c r="K113" s="56">
        <f t="shared" si="62"/>
        <v>2.2532753194035107</v>
      </c>
      <c r="L113" s="56">
        <f t="shared" si="62"/>
        <v>2.4105602189776665</v>
      </c>
      <c r="M113" s="56">
        <f t="shared" si="62"/>
        <v>2.7404631869345106</v>
      </c>
      <c r="N113" s="56">
        <f t="shared" si="62"/>
        <v>3.2646188125830906</v>
      </c>
      <c r="O113" s="56">
        <f t="shared" si="62"/>
        <v>3.2787156461047524</v>
      </c>
      <c r="P113" s="56">
        <f t="shared" si="62"/>
        <v>3.6668517358718944</v>
      </c>
      <c r="Q113" s="56">
        <f t="shared" si="62"/>
        <v>4.1870304048958609</v>
      </c>
      <c r="R113" s="56">
        <f t="shared" si="62"/>
        <v>4.8968209819606354</v>
      </c>
      <c r="S113" s="56">
        <f t="shared" si="62"/>
        <v>4.9478063436612416</v>
      </c>
      <c r="T113" s="56">
        <f t="shared" si="62"/>
        <v>4.9691307756141647</v>
      </c>
    </row>
    <row r="114" spans="1:21" ht="15" customHeight="1" x14ac:dyDescent="0.2">
      <c r="A114" s="455"/>
      <c r="B114" s="79" t="s">
        <v>106</v>
      </c>
      <c r="C114" s="1" t="s">
        <v>45</v>
      </c>
      <c r="D114" s="43">
        <v>0</v>
      </c>
      <c r="E114" s="43">
        <v>0</v>
      </c>
      <c r="F114" s="87">
        <v>0</v>
      </c>
      <c r="G114" s="56">
        <f t="shared" ref="G114:T114" si="63">(G7-G64)*G88*$C$158/1000000</f>
        <v>0</v>
      </c>
      <c r="H114" s="56">
        <f t="shared" si="63"/>
        <v>0</v>
      </c>
      <c r="I114" s="56">
        <f t="shared" si="63"/>
        <v>0</v>
      </c>
      <c r="J114" s="56">
        <f t="shared" si="63"/>
        <v>0</v>
      </c>
      <c r="K114" s="56">
        <f t="shared" si="63"/>
        <v>0</v>
      </c>
      <c r="L114" s="56">
        <f t="shared" si="63"/>
        <v>0</v>
      </c>
      <c r="M114" s="56">
        <f t="shared" si="63"/>
        <v>0</v>
      </c>
      <c r="N114" s="56">
        <f t="shared" si="63"/>
        <v>0</v>
      </c>
      <c r="O114" s="56">
        <f t="shared" si="63"/>
        <v>0</v>
      </c>
      <c r="P114" s="56">
        <f t="shared" si="63"/>
        <v>0</v>
      </c>
      <c r="Q114" s="56">
        <f t="shared" si="63"/>
        <v>0</v>
      </c>
      <c r="R114" s="56">
        <f t="shared" si="63"/>
        <v>0</v>
      </c>
      <c r="S114" s="56">
        <f t="shared" si="63"/>
        <v>0</v>
      </c>
      <c r="T114" s="56">
        <f t="shared" si="63"/>
        <v>0</v>
      </c>
    </row>
    <row r="115" spans="1:21" ht="15" customHeight="1" x14ac:dyDescent="0.2">
      <c r="A115" s="455"/>
      <c r="B115" s="79" t="s">
        <v>89</v>
      </c>
      <c r="C115" s="1" t="s">
        <v>45</v>
      </c>
      <c r="D115" s="43">
        <v>0</v>
      </c>
      <c r="E115" s="43">
        <v>0</v>
      </c>
      <c r="F115" s="87">
        <v>0</v>
      </c>
      <c r="G115" s="56">
        <f t="shared" ref="G115:T115" si="64">(G7-G65)*G89*$C$157/1000000</f>
        <v>0</v>
      </c>
      <c r="H115" s="56">
        <f t="shared" si="64"/>
        <v>0</v>
      </c>
      <c r="I115" s="56">
        <f t="shared" si="64"/>
        <v>0</v>
      </c>
      <c r="J115" s="56">
        <f t="shared" si="64"/>
        <v>7.2034157317896318E-3</v>
      </c>
      <c r="K115" s="56">
        <f t="shared" si="64"/>
        <v>1.7894698687059968E-2</v>
      </c>
      <c r="L115" s="56">
        <f t="shared" si="64"/>
        <v>3.5588744949218459E-2</v>
      </c>
      <c r="M115" s="56">
        <f t="shared" si="64"/>
        <v>6.0279551102188786E-2</v>
      </c>
      <c r="N115" s="56">
        <f t="shared" si="64"/>
        <v>0.18113888085250909</v>
      </c>
      <c r="O115" s="56">
        <f t="shared" si="64"/>
        <v>0.34665627227190671</v>
      </c>
      <c r="P115" s="56">
        <f t="shared" si="64"/>
        <v>0.54821221428180977</v>
      </c>
      <c r="Q115" s="56">
        <f t="shared" si="64"/>
        <v>0.78242568843119853</v>
      </c>
      <c r="R115" s="56">
        <f t="shared" si="64"/>
        <v>1.0149837499913734</v>
      </c>
      <c r="S115" s="56">
        <f t="shared" si="64"/>
        <v>1.3185089168822528</v>
      </c>
      <c r="T115" s="56">
        <f t="shared" si="64"/>
        <v>1.6674520316365269</v>
      </c>
    </row>
    <row r="116" spans="1:21" ht="15" customHeight="1" x14ac:dyDescent="0.2">
      <c r="A116" s="455"/>
      <c r="B116" s="74" t="s">
        <v>119</v>
      </c>
      <c r="C116" s="1" t="s">
        <v>45</v>
      </c>
      <c r="D116" s="35">
        <v>0</v>
      </c>
      <c r="E116" s="35">
        <v>0</v>
      </c>
      <c r="F116" s="92">
        <v>0.34364699999999998</v>
      </c>
      <c r="G116" s="47">
        <f t="shared" ref="G116:T116" si="65">(G7-G66)*$E$90/10^6+(G7-G66)*(G90-$E$90)*$C$159/1000000</f>
        <v>0.37133698606028365</v>
      </c>
      <c r="H116" s="47">
        <f t="shared" si="65"/>
        <v>0.37830067785838201</v>
      </c>
      <c r="I116" s="47">
        <f t="shared" si="65"/>
        <v>0.37543688541926246</v>
      </c>
      <c r="J116" s="47">
        <f t="shared" si="65"/>
        <v>0.38240343994666293</v>
      </c>
      <c r="K116" s="47">
        <f t="shared" si="65"/>
        <v>0.37877196923650541</v>
      </c>
      <c r="L116" s="47">
        <f t="shared" si="65"/>
        <v>0.37532466917587548</v>
      </c>
      <c r="M116" s="47">
        <f t="shared" si="65"/>
        <v>0.37205399664080741</v>
      </c>
      <c r="N116" s="47">
        <f t="shared" si="65"/>
        <v>0.36895280418290061</v>
      </c>
      <c r="O116" s="47">
        <f t="shared" si="65"/>
        <v>0.36504850752567269</v>
      </c>
      <c r="P116" s="47">
        <f t="shared" si="65"/>
        <v>0.36130026511376478</v>
      </c>
      <c r="Q116" s="47">
        <f t="shared" si="65"/>
        <v>0.35770163557801682</v>
      </c>
      <c r="R116" s="47">
        <f t="shared" si="65"/>
        <v>0.35424624603270061</v>
      </c>
      <c r="S116" s="47">
        <f t="shared" si="65"/>
        <v>0.35092770378427895</v>
      </c>
      <c r="T116" s="47">
        <f t="shared" si="65"/>
        <v>0.34773950412161492</v>
      </c>
    </row>
    <row r="117" spans="1:21" ht="15" customHeight="1" x14ac:dyDescent="0.2">
      <c r="A117" s="455"/>
      <c r="B117" s="79" t="s">
        <v>28</v>
      </c>
      <c r="C117" s="1" t="s">
        <v>45</v>
      </c>
      <c r="D117" s="47">
        <f t="shared" ref="D117:T117" si="66">SUM(D110:D116)</f>
        <v>1.99</v>
      </c>
      <c r="E117" s="47">
        <f t="shared" si="66"/>
        <v>2.9400000000000004</v>
      </c>
      <c r="F117" s="47">
        <f t="shared" si="66"/>
        <v>4.9484859999999999</v>
      </c>
      <c r="G117" s="47">
        <f t="shared" si="66"/>
        <v>6.3164458461080812</v>
      </c>
      <c r="H117" s="47">
        <f>SUM(H110:H116)</f>
        <v>8.4492661760323795</v>
      </c>
      <c r="I117" s="47">
        <f t="shared" si="66"/>
        <v>9.4858883966160832</v>
      </c>
      <c r="J117" s="47">
        <f t="shared" si="66"/>
        <v>10.94101442786004</v>
      </c>
      <c r="K117" s="47">
        <f t="shared" si="66"/>
        <v>11.998662451450203</v>
      </c>
      <c r="L117" s="47">
        <f t="shared" si="66"/>
        <v>13.017165366669611</v>
      </c>
      <c r="M117" s="47">
        <f t="shared" si="66"/>
        <v>13.85595539207376</v>
      </c>
      <c r="N117" s="47">
        <f t="shared" si="66"/>
        <v>14.647669944368443</v>
      </c>
      <c r="O117" s="47">
        <f t="shared" si="66"/>
        <v>14.911414050550041</v>
      </c>
      <c r="P117" s="47">
        <f t="shared" si="66"/>
        <v>14.957549523694528</v>
      </c>
      <c r="Q117" s="47">
        <f t="shared" si="66"/>
        <v>15.196322323373336</v>
      </c>
      <c r="R117" s="47">
        <f t="shared" si="66"/>
        <v>15.664022091191502</v>
      </c>
      <c r="S117" s="47">
        <f t="shared" si="66"/>
        <v>15.582028473385362</v>
      </c>
      <c r="T117" s="47">
        <f t="shared" si="66"/>
        <v>15.562283435113995</v>
      </c>
    </row>
    <row r="118" spans="1:21" ht="15" customHeight="1" x14ac:dyDescent="0.2">
      <c r="A118" s="455"/>
      <c r="B118" s="79" t="s">
        <v>30</v>
      </c>
      <c r="C118" s="1" t="s">
        <v>45</v>
      </c>
      <c r="D118" s="42">
        <v>-0.45</v>
      </c>
      <c r="E118" s="42">
        <v>-0.46</v>
      </c>
      <c r="F118" s="92">
        <v>-0.93856799999999996</v>
      </c>
      <c r="G118" s="47">
        <f t="shared" ref="G118:T118" si="67">(G7-G68)*G91/10^6</f>
        <v>-1.5166495107135258</v>
      </c>
      <c r="H118" s="47">
        <f t="shared" si="67"/>
        <v>-1.4309891046881014</v>
      </c>
      <c r="I118" s="47">
        <f t="shared" si="67"/>
        <v>-2.4394286670117062</v>
      </c>
      <c r="J118" s="47">
        <f t="shared" si="67"/>
        <v>-2.7718018868407763</v>
      </c>
      <c r="K118" s="47">
        <f t="shared" si="67"/>
        <v>-3.0882267803049461</v>
      </c>
      <c r="L118" s="47">
        <f t="shared" si="67"/>
        <v>-3.3566733133166493</v>
      </c>
      <c r="M118" s="47">
        <f t="shared" si="67"/>
        <v>-3.6345330614396754</v>
      </c>
      <c r="N118" s="47">
        <f t="shared" si="67"/>
        <v>-3.9150260221305051</v>
      </c>
      <c r="O118" s="47">
        <f t="shared" si="67"/>
        <v>-4.1814546472653848</v>
      </c>
      <c r="P118" s="47">
        <f t="shared" si="67"/>
        <v>-4.6191466621292463</v>
      </c>
      <c r="Q118" s="47">
        <f t="shared" si="67"/>
        <v>-5.0173518900199987</v>
      </c>
      <c r="R118" s="47">
        <f t="shared" si="67"/>
        <v>-5.4030896498105019</v>
      </c>
      <c r="S118" s="47">
        <f t="shared" si="67"/>
        <v>-5.7376486022119728</v>
      </c>
      <c r="T118" s="47">
        <f t="shared" si="67"/>
        <v>-6.0400791596924499</v>
      </c>
      <c r="U118" s="245"/>
    </row>
    <row r="119" spans="1:21" ht="15" customHeight="1" x14ac:dyDescent="0.2">
      <c r="A119" s="455"/>
      <c r="B119" s="79"/>
      <c r="C119" s="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</row>
    <row r="120" spans="1:21" ht="15" customHeight="1" x14ac:dyDescent="0.2">
      <c r="A120" s="455"/>
      <c r="B120" s="74" t="s">
        <v>72</v>
      </c>
      <c r="C120" s="14" t="s">
        <v>15</v>
      </c>
      <c r="D120" s="3">
        <v>2014</v>
      </c>
      <c r="E120" s="3">
        <v>2015</v>
      </c>
      <c r="F120" s="3">
        <v>2016</v>
      </c>
      <c r="G120" s="3">
        <v>2017</v>
      </c>
      <c r="H120" s="3">
        <v>2018</v>
      </c>
      <c r="I120" s="3">
        <v>2019</v>
      </c>
      <c r="J120" s="3">
        <v>2020</v>
      </c>
      <c r="K120" s="3">
        <v>2021</v>
      </c>
      <c r="L120" s="3">
        <v>2022</v>
      </c>
      <c r="M120" s="3">
        <v>2023</v>
      </c>
      <c r="N120" s="3">
        <v>2024</v>
      </c>
      <c r="O120" s="3">
        <v>2025</v>
      </c>
      <c r="P120" s="16">
        <v>2026</v>
      </c>
      <c r="Q120" s="16">
        <v>2027</v>
      </c>
      <c r="R120" s="16">
        <v>2028</v>
      </c>
      <c r="S120" s="16">
        <v>2029</v>
      </c>
      <c r="T120" s="16">
        <v>2030</v>
      </c>
    </row>
    <row r="121" spans="1:21" ht="15" customHeight="1" x14ac:dyDescent="0.2">
      <c r="A121" s="455"/>
      <c r="B121" s="79" t="s">
        <v>155</v>
      </c>
      <c r="C121" s="1" t="s">
        <v>45</v>
      </c>
      <c r="D121" s="35">
        <v>0</v>
      </c>
      <c r="E121" s="35">
        <v>0</v>
      </c>
      <c r="F121" s="35">
        <v>0</v>
      </c>
      <c r="G121" s="35">
        <v>0</v>
      </c>
      <c r="H121" s="35">
        <v>0</v>
      </c>
      <c r="I121" s="47">
        <f t="shared" ref="I121:T121" si="68">(I7-I69)*I94/1000000</f>
        <v>0.17948537901053283</v>
      </c>
      <c r="J121" s="47">
        <f t="shared" si="68"/>
        <v>0.2168216468817187</v>
      </c>
      <c r="K121" s="47">
        <f t="shared" si="68"/>
        <v>0.22248434412204002</v>
      </c>
      <c r="L121" s="47">
        <f t="shared" si="68"/>
        <v>0.21719725185522001</v>
      </c>
      <c r="M121" s="47">
        <f t="shared" si="68"/>
        <v>0.21191015958839995</v>
      </c>
      <c r="N121" s="47">
        <f t="shared" si="68"/>
        <v>0.20662306732157998</v>
      </c>
      <c r="O121" s="47">
        <f t="shared" si="68"/>
        <v>0.20058067615950001</v>
      </c>
      <c r="P121" s="47">
        <f t="shared" si="68"/>
        <v>0.19453828499741999</v>
      </c>
      <c r="Q121" s="47">
        <f t="shared" si="68"/>
        <v>0.18849589383533999</v>
      </c>
      <c r="R121" s="47">
        <f t="shared" si="68"/>
        <v>0.18245350267325997</v>
      </c>
      <c r="S121" s="47">
        <f t="shared" si="68"/>
        <v>0.17641111151117997</v>
      </c>
      <c r="T121" s="47">
        <f t="shared" si="68"/>
        <v>0.17036872034909997</v>
      </c>
    </row>
    <row r="122" spans="1:21" ht="15" customHeight="1" x14ac:dyDescent="0.2">
      <c r="A122" s="455"/>
      <c r="B122" s="79" t="s">
        <v>156</v>
      </c>
      <c r="C122" s="1" t="s">
        <v>45</v>
      </c>
      <c r="D122" s="35">
        <v>0</v>
      </c>
      <c r="E122" s="35">
        <v>0</v>
      </c>
      <c r="F122" s="35">
        <v>0</v>
      </c>
      <c r="G122" s="35">
        <v>0</v>
      </c>
      <c r="H122" s="35">
        <v>0</v>
      </c>
      <c r="I122" s="47">
        <f t="shared" ref="I122:T122" si="69">(I7-I70)*I95/1000000</f>
        <v>9.5531697684379403E-3</v>
      </c>
      <c r="J122" s="47">
        <f t="shared" si="69"/>
        <v>1.7437216840400017E-3</v>
      </c>
      <c r="K122" s="47">
        <f t="shared" si="69"/>
        <v>0</v>
      </c>
      <c r="L122" s="47">
        <f t="shared" si="69"/>
        <v>0</v>
      </c>
      <c r="M122" s="47">
        <f t="shared" si="69"/>
        <v>0</v>
      </c>
      <c r="N122" s="47">
        <f t="shared" si="69"/>
        <v>0</v>
      </c>
      <c r="O122" s="47">
        <f t="shared" si="69"/>
        <v>0</v>
      </c>
      <c r="P122" s="47">
        <f t="shared" si="69"/>
        <v>0</v>
      </c>
      <c r="Q122" s="47">
        <f t="shared" si="69"/>
        <v>0</v>
      </c>
      <c r="R122" s="47">
        <f t="shared" si="69"/>
        <v>0</v>
      </c>
      <c r="S122" s="47">
        <f t="shared" si="69"/>
        <v>0</v>
      </c>
      <c r="T122" s="47">
        <f t="shared" si="69"/>
        <v>0</v>
      </c>
    </row>
    <row r="123" spans="1:21" ht="15.75" customHeight="1" x14ac:dyDescent="0.2">
      <c r="A123" s="455"/>
      <c r="B123" s="79" t="s">
        <v>68</v>
      </c>
      <c r="C123" s="1" t="s">
        <v>45</v>
      </c>
      <c r="D123" s="35">
        <v>0</v>
      </c>
      <c r="E123" s="35">
        <v>0</v>
      </c>
      <c r="F123" s="35">
        <v>0</v>
      </c>
      <c r="G123" s="35">
        <v>0</v>
      </c>
      <c r="H123" s="35">
        <v>0</v>
      </c>
      <c r="I123" s="47">
        <f t="shared" ref="I123:T123" si="70">(I8-I71)*I96/1000000</f>
        <v>0</v>
      </c>
      <c r="J123" s="47">
        <f t="shared" si="70"/>
        <v>0</v>
      </c>
      <c r="K123" s="47">
        <f t="shared" si="70"/>
        <v>0</v>
      </c>
      <c r="L123" s="47">
        <f t="shared" si="70"/>
        <v>0</v>
      </c>
      <c r="M123" s="47">
        <f t="shared" si="70"/>
        <v>0</v>
      </c>
      <c r="N123" s="47">
        <f t="shared" si="70"/>
        <v>0</v>
      </c>
      <c r="O123" s="47">
        <f t="shared" si="70"/>
        <v>0</v>
      </c>
      <c r="P123" s="47">
        <f t="shared" si="70"/>
        <v>0</v>
      </c>
      <c r="Q123" s="47">
        <f t="shared" si="70"/>
        <v>0</v>
      </c>
      <c r="R123" s="47">
        <f t="shared" si="70"/>
        <v>0</v>
      </c>
      <c r="S123" s="47">
        <f t="shared" si="70"/>
        <v>0</v>
      </c>
      <c r="T123" s="47">
        <f t="shared" si="70"/>
        <v>0</v>
      </c>
    </row>
    <row r="124" spans="1:21" x14ac:dyDescent="0.2">
      <c r="A124" s="455"/>
      <c r="B124" s="79" t="s">
        <v>60</v>
      </c>
      <c r="C124" s="1" t="s">
        <v>45</v>
      </c>
      <c r="D124" s="43">
        <f t="shared" ref="D124:T124" si="71">D101+D100</f>
        <v>1.94</v>
      </c>
      <c r="E124" s="43">
        <f t="shared" si="71"/>
        <v>2.0299999999999998</v>
      </c>
      <c r="F124" s="87">
        <f t="shared" si="71"/>
        <v>3.3200000000000003</v>
      </c>
      <c r="G124" s="56">
        <f t="shared" si="71"/>
        <v>3.5123773498399995</v>
      </c>
      <c r="H124" s="56">
        <f t="shared" si="71"/>
        <v>3.4488184385305996</v>
      </c>
      <c r="I124" s="56">
        <f t="shared" si="71"/>
        <v>3.5258462066654048</v>
      </c>
      <c r="J124" s="56">
        <f t="shared" si="71"/>
        <v>3.4898884644755395</v>
      </c>
      <c r="K124" s="56">
        <f t="shared" si="71"/>
        <v>3.2913598517416718</v>
      </c>
      <c r="L124" s="56">
        <f t="shared" si="71"/>
        <v>3.2837300896411978</v>
      </c>
      <c r="M124" s="56">
        <f t="shared" si="71"/>
        <v>3.2556082973706411</v>
      </c>
      <c r="N124" s="56">
        <f t="shared" si="71"/>
        <v>3.2359173050960282</v>
      </c>
      <c r="O124" s="56">
        <f t="shared" si="71"/>
        <v>3.1390047301729807</v>
      </c>
      <c r="P124" s="56">
        <f t="shared" si="71"/>
        <v>3.0587940417785502</v>
      </c>
      <c r="Q124" s="56">
        <f t="shared" si="71"/>
        <v>2.9856270218325811</v>
      </c>
      <c r="R124" s="56">
        <f t="shared" si="71"/>
        <v>2.9252894758775456</v>
      </c>
      <c r="S124" s="56">
        <f t="shared" si="71"/>
        <v>2.6786282231944565</v>
      </c>
      <c r="T124" s="56">
        <f t="shared" si="71"/>
        <v>2.4581169471335036</v>
      </c>
    </row>
    <row r="125" spans="1:21" x14ac:dyDescent="0.2">
      <c r="A125" s="455"/>
      <c r="B125" s="79" t="s">
        <v>151</v>
      </c>
      <c r="C125" s="1" t="s">
        <v>45</v>
      </c>
      <c r="D125" s="43">
        <f>D136+D134+D135</f>
        <v>0</v>
      </c>
      <c r="E125" s="43">
        <f t="shared" ref="E125:T125" si="72">E136+E134+E135</f>
        <v>0</v>
      </c>
      <c r="F125" s="87">
        <f t="shared" si="72"/>
        <v>1E-3</v>
      </c>
      <c r="G125" s="56">
        <f>G136+G134+G135</f>
        <v>5.0215261006972614E-2</v>
      </c>
      <c r="H125" s="56">
        <f t="shared" si="72"/>
        <v>0.25369822038212914</v>
      </c>
      <c r="I125" s="56">
        <f t="shared" si="72"/>
        <v>0.86353055446800875</v>
      </c>
      <c r="J125" s="56">
        <f t="shared" si="72"/>
        <v>1.7571898842543212</v>
      </c>
      <c r="K125" s="56">
        <f t="shared" si="72"/>
        <v>1.9928170494722779</v>
      </c>
      <c r="L125" s="56">
        <f t="shared" si="72"/>
        <v>2.1547699632425878</v>
      </c>
      <c r="M125" s="56">
        <f t="shared" si="72"/>
        <v>2.4315168713476707</v>
      </c>
      <c r="N125" s="56">
        <f t="shared" si="72"/>
        <v>2.6965597012660663</v>
      </c>
      <c r="O125" s="56">
        <f t="shared" si="72"/>
        <v>2.9637851601680638</v>
      </c>
      <c r="P125" s="56">
        <f t="shared" si="72"/>
        <v>3.222532939958763</v>
      </c>
      <c r="Q125" s="56">
        <f t="shared" si="72"/>
        <v>3.3623629781657334</v>
      </c>
      <c r="R125" s="56">
        <f t="shared" si="72"/>
        <v>3.5012645906351896</v>
      </c>
      <c r="S125" s="56">
        <f t="shared" si="72"/>
        <v>3.588264679472827</v>
      </c>
      <c r="T125" s="56">
        <f t="shared" si="72"/>
        <v>3.6727000781761339</v>
      </c>
    </row>
    <row r="126" spans="1:21" x14ac:dyDescent="0.2">
      <c r="A126" s="455"/>
      <c r="B126" s="79" t="s">
        <v>150</v>
      </c>
      <c r="C126" s="1" t="s">
        <v>45</v>
      </c>
      <c r="D126" s="43">
        <f t="shared" ref="D126:T126" si="73">D116+D115+D105</f>
        <v>0.22</v>
      </c>
      <c r="E126" s="43">
        <f t="shared" si="73"/>
        <v>0.34</v>
      </c>
      <c r="F126" s="87">
        <f t="shared" si="73"/>
        <v>0.91364699999999988</v>
      </c>
      <c r="G126" s="56">
        <f t="shared" si="73"/>
        <v>1.4989461131292465</v>
      </c>
      <c r="H126" s="56">
        <f t="shared" si="73"/>
        <v>1.7000066927202078</v>
      </c>
      <c r="I126" s="56">
        <f t="shared" si="73"/>
        <v>1.9704232662010561</v>
      </c>
      <c r="J126" s="56">
        <f t="shared" si="73"/>
        <v>2.2372930810288438</v>
      </c>
      <c r="K126" s="56">
        <f t="shared" si="73"/>
        <v>2.7262353591397779</v>
      </c>
      <c r="L126" s="56">
        <f t="shared" si="73"/>
        <v>3.471155071063833</v>
      </c>
      <c r="M126" s="56">
        <f t="shared" si="73"/>
        <v>4.4343617417778844</v>
      </c>
      <c r="N126" s="56">
        <f t="shared" si="73"/>
        <v>5.7242465728035468</v>
      </c>
      <c r="O126" s="56">
        <f t="shared" si="73"/>
        <v>7.2109451127440476</v>
      </c>
      <c r="P126" s="56">
        <f t="shared" si="73"/>
        <v>8.8514206511659488</v>
      </c>
      <c r="Q126" s="56">
        <f t="shared" si="73"/>
        <v>10.690372535621592</v>
      </c>
      <c r="R126" s="56">
        <f t="shared" si="73"/>
        <v>12.691535973060068</v>
      </c>
      <c r="S126" s="56">
        <f t="shared" si="73"/>
        <v>14.876931305353335</v>
      </c>
      <c r="T126" s="56">
        <f t="shared" si="73"/>
        <v>17.171527274204756</v>
      </c>
    </row>
    <row r="127" spans="1:21" x14ac:dyDescent="0.2">
      <c r="A127" s="455"/>
      <c r="B127" s="79" t="s">
        <v>149</v>
      </c>
      <c r="C127" s="1" t="s">
        <v>45</v>
      </c>
      <c r="D127" s="43">
        <f t="shared" ref="D127:T127" si="74">D114+D104</f>
        <v>0</v>
      </c>
      <c r="E127" s="43">
        <f t="shared" si="74"/>
        <v>0</v>
      </c>
      <c r="F127" s="87">
        <f t="shared" si="74"/>
        <v>0</v>
      </c>
      <c r="G127" s="56">
        <f t="shared" si="74"/>
        <v>0.11272622480057547</v>
      </c>
      <c r="H127" s="56">
        <f t="shared" si="74"/>
        <v>0.12724537020291171</v>
      </c>
      <c r="I127" s="56">
        <f t="shared" si="74"/>
        <v>0.14440698088644283</v>
      </c>
      <c r="J127" s="56">
        <f t="shared" si="74"/>
        <v>0.15754323813564028</v>
      </c>
      <c r="K127" s="56">
        <f t="shared" si="74"/>
        <v>0.21253095064145866</v>
      </c>
      <c r="L127" s="56">
        <f t="shared" si="74"/>
        <v>0.30133921088078897</v>
      </c>
      <c r="M127" s="56">
        <f t="shared" si="74"/>
        <v>0.41720034988398813</v>
      </c>
      <c r="N127" s="56">
        <f t="shared" si="74"/>
        <v>0.55979548874822493</v>
      </c>
      <c r="O127" s="56">
        <f t="shared" si="74"/>
        <v>0.71852077179166229</v>
      </c>
      <c r="P127" s="56">
        <f t="shared" si="74"/>
        <v>0.88821308560627732</v>
      </c>
      <c r="Q127" s="56">
        <f t="shared" si="74"/>
        <v>1.0698042932866747</v>
      </c>
      <c r="R127" s="56">
        <f t="shared" si="74"/>
        <v>1.2594558262755997</v>
      </c>
      <c r="S127" s="56">
        <f t="shared" si="74"/>
        <v>1.4524269402168366</v>
      </c>
      <c r="T127" s="56">
        <f t="shared" si="74"/>
        <v>1.6404752547844741</v>
      </c>
    </row>
    <row r="128" spans="1:21" x14ac:dyDescent="0.2">
      <c r="A128" s="455"/>
      <c r="B128" s="79" t="s">
        <v>153</v>
      </c>
      <c r="C128" s="1" t="s">
        <v>45</v>
      </c>
      <c r="D128" s="43">
        <f t="shared" ref="D128:T128" si="75">D62*(D7-D61/$C$156)*D33*$C$177/10^6*$C$156</f>
        <v>0</v>
      </c>
      <c r="E128" s="43">
        <f t="shared" si="75"/>
        <v>0</v>
      </c>
      <c r="F128" s="87">
        <f t="shared" si="75"/>
        <v>0</v>
      </c>
      <c r="G128" s="56">
        <f t="shared" si="75"/>
        <v>4.0262846967444005E-2</v>
      </c>
      <c r="H128" s="56">
        <f t="shared" si="75"/>
        <v>5.5894367053911771E-2</v>
      </c>
      <c r="I128" s="56">
        <f t="shared" si="75"/>
        <v>7.6019640392156598E-2</v>
      </c>
      <c r="J128" s="56">
        <f t="shared" si="75"/>
        <v>0.10403905372087398</v>
      </c>
      <c r="K128" s="56">
        <f t="shared" si="75"/>
        <v>0.14496974772696694</v>
      </c>
      <c r="L128" s="56">
        <f t="shared" si="75"/>
        <v>0.20739594354592919</v>
      </c>
      <c r="M128" s="56">
        <f t="shared" si="75"/>
        <v>0.49022522595114576</v>
      </c>
      <c r="N128" s="56">
        <f t="shared" si="75"/>
        <v>1.0190333387855999</v>
      </c>
      <c r="O128" s="56">
        <f t="shared" si="75"/>
        <v>1.0295308310399998</v>
      </c>
      <c r="P128" s="56">
        <f t="shared" si="75"/>
        <v>1.4421028082201592</v>
      </c>
      <c r="Q128" s="56">
        <f t="shared" si="75"/>
        <v>2.0178499383288058</v>
      </c>
      <c r="R128" s="56">
        <f t="shared" si="75"/>
        <v>2.8151234353993013</v>
      </c>
      <c r="S128" s="56">
        <f t="shared" si="75"/>
        <v>2.8856031176510992</v>
      </c>
      <c r="T128" s="56">
        <f t="shared" si="75"/>
        <v>2.9289828414734993</v>
      </c>
    </row>
    <row r="129" spans="1:29" ht="16" thickBot="1" x14ac:dyDescent="0.25">
      <c r="A129" s="457"/>
      <c r="B129" s="79" t="s">
        <v>154</v>
      </c>
      <c r="C129" s="1" t="s">
        <v>45</v>
      </c>
      <c r="D129" s="43">
        <f t="shared" ref="D129:T129" si="76">(D7-D60/$C$156)*D87*$C$156/1000000*(1-D62)</f>
        <v>0.34061318235000004</v>
      </c>
      <c r="E129" s="43">
        <f t="shared" si="76"/>
        <v>0.79867918619999989</v>
      </c>
      <c r="F129" s="87">
        <f t="shared" si="76"/>
        <v>0.67190234936999993</v>
      </c>
      <c r="G129" s="56">
        <f t="shared" si="76"/>
        <v>1.0714861597447687</v>
      </c>
      <c r="H129" s="56">
        <f t="shared" si="76"/>
        <v>1.7804114883967617</v>
      </c>
      <c r="I129" s="56">
        <f t="shared" si="76"/>
        <v>1.8470871369833575</v>
      </c>
      <c r="J129" s="56">
        <f t="shared" si="76"/>
        <v>1.9911638206588915</v>
      </c>
      <c r="K129" s="56">
        <f t="shared" si="76"/>
        <v>2.108305571676544</v>
      </c>
      <c r="L129" s="56">
        <f t="shared" si="76"/>
        <v>2.2031642754317375</v>
      </c>
      <c r="M129" s="56">
        <f t="shared" si="76"/>
        <v>2.2502379609833651</v>
      </c>
      <c r="N129" s="56">
        <f t="shared" si="76"/>
        <v>2.2455854737974907</v>
      </c>
      <c r="O129" s="56">
        <f t="shared" si="76"/>
        <v>2.2491848150647527</v>
      </c>
      <c r="P129" s="56">
        <f t="shared" si="76"/>
        <v>2.2247489276517345</v>
      </c>
      <c r="Q129" s="56">
        <f t="shared" si="76"/>
        <v>2.1691804665670547</v>
      </c>
      <c r="R129" s="56">
        <f t="shared" si="76"/>
        <v>2.081697546561335</v>
      </c>
      <c r="S129" s="56">
        <f t="shared" si="76"/>
        <v>2.0622032260101415</v>
      </c>
      <c r="T129" s="56">
        <f t="shared" si="76"/>
        <v>2.0401479341406645</v>
      </c>
    </row>
    <row r="130" spans="1:29" x14ac:dyDescent="0.2">
      <c r="L130"/>
      <c r="M130"/>
      <c r="N130"/>
      <c r="O130"/>
      <c r="P130"/>
      <c r="Q130"/>
      <c r="R130"/>
    </row>
    <row r="131" spans="1:29" x14ac:dyDescent="0.2">
      <c r="L131"/>
      <c r="M131"/>
      <c r="N131"/>
      <c r="O131"/>
      <c r="P131"/>
      <c r="Q131"/>
      <c r="R131"/>
    </row>
    <row r="132" spans="1:29" ht="22" thickBot="1" x14ac:dyDescent="0.3">
      <c r="B132" s="2"/>
      <c r="C132" s="184"/>
      <c r="D132" s="459" t="s">
        <v>53</v>
      </c>
      <c r="E132" s="460"/>
      <c r="F132" s="460"/>
      <c r="G132" s="460"/>
      <c r="H132" s="460"/>
      <c r="I132" s="460"/>
      <c r="J132" s="460"/>
      <c r="K132" s="460"/>
      <c r="L132" s="460"/>
      <c r="M132" s="460"/>
      <c r="N132" s="460"/>
      <c r="O132" s="460"/>
      <c r="P132" s="460"/>
      <c r="Q132" s="460"/>
      <c r="R132" s="460"/>
      <c r="S132" s="460"/>
      <c r="T132" s="461"/>
    </row>
    <row r="133" spans="1:29" ht="15" customHeight="1" x14ac:dyDescent="0.2">
      <c r="A133" s="454" t="s">
        <v>118</v>
      </c>
      <c r="B133" s="79"/>
      <c r="C133" s="14" t="s">
        <v>15</v>
      </c>
      <c r="D133" s="3">
        <v>2014</v>
      </c>
      <c r="E133" s="3">
        <v>2015</v>
      </c>
      <c r="F133" s="3">
        <v>2016</v>
      </c>
      <c r="G133" s="3">
        <v>2017</v>
      </c>
      <c r="H133" s="3">
        <v>2018</v>
      </c>
      <c r="I133" s="3">
        <v>2019</v>
      </c>
      <c r="J133" s="3">
        <v>2020</v>
      </c>
      <c r="K133" s="3">
        <v>2021</v>
      </c>
      <c r="L133" s="3">
        <v>2022</v>
      </c>
      <c r="M133" s="3">
        <v>2023</v>
      </c>
      <c r="N133" s="3">
        <v>2024</v>
      </c>
      <c r="O133" s="3">
        <v>2025</v>
      </c>
      <c r="P133" s="16">
        <v>2026</v>
      </c>
      <c r="Q133" s="16">
        <v>2027</v>
      </c>
      <c r="R133" s="16">
        <v>2028</v>
      </c>
      <c r="S133" s="16">
        <v>2029</v>
      </c>
      <c r="T133" s="16">
        <v>2030</v>
      </c>
    </row>
    <row r="134" spans="1:29" ht="15" customHeight="1" x14ac:dyDescent="0.2">
      <c r="A134" s="455"/>
      <c r="B134" s="79" t="s">
        <v>55</v>
      </c>
      <c r="C134" s="1" t="s">
        <v>45</v>
      </c>
      <c r="D134" s="35">
        <v>0</v>
      </c>
      <c r="E134" s="35">
        <v>0</v>
      </c>
      <c r="F134" s="87">
        <v>0</v>
      </c>
      <c r="G134" s="154">
        <f>INDEX('Supply Scenarios'!D:D,MATCH($B134,'Supply Scenarios'!$B:$B,0)+$B$3-'Supply Scenarios'!$B$1)</f>
        <v>0</v>
      </c>
      <c r="H134" s="154">
        <f>INDEX('Supply Scenarios'!E:E,MATCH($B134,'Supply Scenarios'!$B:$B,0)+$B$3-'Supply Scenarios'!$B$1)</f>
        <v>0.01</v>
      </c>
      <c r="I134" s="154">
        <f>INDEX('Supply Scenarios'!F:F,MATCH($B134,'Supply Scenarios'!$B:$B,0)+$B$3-'Supply Scenarios'!$B$1)</f>
        <v>0.05</v>
      </c>
      <c r="J134" s="154">
        <f>INDEX('Supply Scenarios'!G:G,MATCH($B134,'Supply Scenarios'!$B:$B,0)+$B$3-'Supply Scenarios'!$B$1)</f>
        <v>8.0545454545454545E-2</v>
      </c>
      <c r="K134" s="154">
        <f>INDEX('Supply Scenarios'!H:H,MATCH($B134,'Supply Scenarios'!$B:$B,0)+$B$3-'Supply Scenarios'!$B$1)</f>
        <v>0.11109090909090909</v>
      </c>
      <c r="L134" s="154">
        <f>INDEX('Supply Scenarios'!I:I,MATCH($B134,'Supply Scenarios'!$B:$B,0)+$B$3-'Supply Scenarios'!$B$1)</f>
        <v>0.19377922077922077</v>
      </c>
      <c r="M134" s="154">
        <f>INDEX('Supply Scenarios'!J:J,MATCH($B134,'Supply Scenarios'!$B:$B,0)+$B$3-'Supply Scenarios'!$B$1)</f>
        <v>0.27646753246753247</v>
      </c>
      <c r="N134" s="154">
        <f>INDEX('Supply Scenarios'!K:K,MATCH($B134,'Supply Scenarios'!$B:$B,0)+$B$3-'Supply Scenarios'!$B$1)</f>
        <v>0.35915584415584412</v>
      </c>
      <c r="O134" s="154">
        <f>INDEX('Supply Scenarios'!L:L,MATCH($B134,'Supply Scenarios'!$B:$B,0)+$B$3-'Supply Scenarios'!$B$1)</f>
        <v>0.44184415584415582</v>
      </c>
      <c r="P134" s="154">
        <f>INDEX('Supply Scenarios'!M:M,MATCH($B134,'Supply Scenarios'!$B:$B,0)+$B$3-'Supply Scenarios'!$B$1)</f>
        <v>0.52453246753246763</v>
      </c>
      <c r="Q134" s="154">
        <f>INDEX('Supply Scenarios'!N:N,MATCH($B134,'Supply Scenarios'!$B:$B,0)+$B$3-'Supply Scenarios'!$B$1)</f>
        <v>0.60722077922077922</v>
      </c>
      <c r="R134" s="154">
        <f>INDEX('Supply Scenarios'!O:O,MATCH($B134,'Supply Scenarios'!$B:$B,0)+$B$3-'Supply Scenarios'!$B$1)</f>
        <v>0.68990909090909092</v>
      </c>
      <c r="S134" s="154">
        <f>INDEX('Supply Scenarios'!P:P,MATCH($B134,'Supply Scenarios'!$B:$B,0)+$B$3-'Supply Scenarios'!$B$1)</f>
        <v>0.72045454545454546</v>
      </c>
      <c r="T134" s="154">
        <f>INDEX('Supply Scenarios'!Q:Q,MATCH($B134,'Supply Scenarios'!$B:$B,0)+$B$3-'Supply Scenarios'!$B$1)</f>
        <v>0.751</v>
      </c>
      <c r="U134" t="s">
        <v>189</v>
      </c>
    </row>
    <row r="135" spans="1:29" ht="15" customHeight="1" x14ac:dyDescent="0.2">
      <c r="A135" s="455"/>
      <c r="B135" s="79" t="s">
        <v>56</v>
      </c>
      <c r="C135" s="1" t="s">
        <v>45</v>
      </c>
      <c r="D135" s="35"/>
      <c r="E135" s="35"/>
      <c r="F135" s="87">
        <v>0</v>
      </c>
      <c r="G135" s="56">
        <f>MIN(G140*-0.005,INDEX('Supply Scenarios'!D:D,MATCH($B135,'Supply Scenarios'!$B:$B,0)+$B$3-'Supply Scenarios'!$B$1))</f>
        <v>4.7215261006972611E-2</v>
      </c>
      <c r="H135" s="56">
        <f>MIN(H140*-0.02,INDEX('Supply Scenarios'!E:E,MATCH($B135,'Supply Scenarios'!$B:$B,0)+$B$3-'Supply Scenarios'!$B$1))</f>
        <v>0.24069822038212915</v>
      </c>
      <c r="I135" s="56">
        <f>MIN(I140*-0.05,INDEX('Supply Scenarios'!F:F,MATCH($B135,'Supply Scenarios'!$B:$B,0)+$B$3-'Supply Scenarios'!$B$1))</f>
        <v>0.79353055446800869</v>
      </c>
      <c r="J135" s="56">
        <f>MIN(J140*-0.075,INDEX('Supply Scenarios'!G:G,MATCH($B135,'Supply Scenarios'!$B:$B,0)+$B$3-'Supply Scenarios'!$B$1))</f>
        <v>1.4266444297088667</v>
      </c>
      <c r="K135" s="56">
        <f>MIN(K140*-0.075,INDEX('Supply Scenarios'!H:H,MATCH($B135,'Supply Scenarios'!$B:$B,0)+$B$3-'Supply Scenarios'!$B$1))</f>
        <v>1.5067261403813688</v>
      </c>
      <c r="L135" s="56">
        <f>MIN(L140*-0.075,INDEX('Supply Scenarios'!I:I,MATCH($B135,'Supply Scenarios'!$B:$B,0)+$B$3-'Supply Scenarios'!$B$1))</f>
        <v>1.4609907424633672</v>
      </c>
      <c r="M135" s="56">
        <f>MIN(M140*-0.075,INDEX('Supply Scenarios'!J:J,MATCH($B135,'Supply Scenarios'!$B:$B,0)+$B$3-'Supply Scenarios'!$B$1))</f>
        <v>1.5300493388801382</v>
      </c>
      <c r="N135" s="56">
        <f>MIN(N140*-0.075,INDEX('Supply Scenarios'!K:K,MATCH($B135,'Supply Scenarios'!$B:$B,0)+$B$3-'Supply Scenarios'!$B$1))</f>
        <v>1.587403857110222</v>
      </c>
      <c r="O135" s="56">
        <f>MIN(O140*-0.075,INDEX('Supply Scenarios'!L:L,MATCH($B135,'Supply Scenarios'!$B:$B,0)+$B$3-'Supply Scenarios'!$B$1))</f>
        <v>1.6469410043239079</v>
      </c>
      <c r="P135" s="56">
        <f>MIN(P140*-0.075,INDEX('Supply Scenarios'!M:M,MATCH($B135,'Supply Scenarios'!$B:$B,0)+$B$3-'Supply Scenarios'!$B$1))</f>
        <v>1.6980004724262954</v>
      </c>
      <c r="Q135" s="56">
        <f>MIN(Q140*-0.075,INDEX('Supply Scenarios'!N:N,MATCH($B135,'Supply Scenarios'!$B:$B,0)+$B$3-'Supply Scenarios'!$B$1))</f>
        <v>1.7551421989449538</v>
      </c>
      <c r="R135" s="56">
        <f>MIN(R140*-0.075,INDEX('Supply Scenarios'!O:O,MATCH($B135,'Supply Scenarios'!$B:$B,0)+$B$3-'Supply Scenarios'!$B$1))</f>
        <v>1.8113554997260988</v>
      </c>
      <c r="S135" s="56">
        <f>MIN(S140*-0.075,INDEX('Supply Scenarios'!P:P,MATCH($B135,'Supply Scenarios'!$B:$B,0)+$B$3-'Supply Scenarios'!$B$1))</f>
        <v>1.8678101340182818</v>
      </c>
      <c r="T135" s="56">
        <f>MIN(T140*-0.075,INDEX('Supply Scenarios'!Q:Q,MATCH($B135,'Supply Scenarios'!$B:$B,0)+$B$3-'Supply Scenarios'!$B$1))</f>
        <v>1.921700078176134</v>
      </c>
    </row>
    <row r="136" spans="1:29" ht="15" customHeight="1" x14ac:dyDescent="0.2">
      <c r="A136" s="455"/>
      <c r="B136" s="79" t="s">
        <v>54</v>
      </c>
      <c r="C136" s="1" t="s">
        <v>45</v>
      </c>
      <c r="D136" s="42">
        <v>0</v>
      </c>
      <c r="E136" s="42">
        <v>0</v>
      </c>
      <c r="F136" s="87">
        <v>1E-3</v>
      </c>
      <c r="G136" s="154">
        <f>INDEX('Supply Scenarios'!D:D,MATCH($B136,'Supply Scenarios'!$B:$B,0)+$B$3-'Supply Scenarios'!$B$1)</f>
        <v>3.0000000000000001E-3</v>
      </c>
      <c r="H136" s="154">
        <f>INDEX('Supply Scenarios'!E:E,MATCH($B136,'Supply Scenarios'!$B:$B,0)+$B$3-'Supply Scenarios'!$B$1)</f>
        <v>3.0000000000000001E-3</v>
      </c>
      <c r="I136" s="154">
        <f>INDEX('Supply Scenarios'!F:F,MATCH($B136,'Supply Scenarios'!$B:$B,0)+$B$3-'Supply Scenarios'!$B$1)</f>
        <v>0.02</v>
      </c>
      <c r="J136" s="154">
        <f>INDEX('Supply Scenarios'!G:G,MATCH($B136,'Supply Scenarios'!$B:$B,0)+$B$3-'Supply Scenarios'!$B$1)</f>
        <v>0.25</v>
      </c>
      <c r="K136" s="154">
        <f>INDEX('Supply Scenarios'!H:H,MATCH($B136,'Supply Scenarios'!$B:$B,0)+$B$3-'Supply Scenarios'!$B$1)</f>
        <v>0.375</v>
      </c>
      <c r="L136" s="154">
        <f>INDEX('Supply Scenarios'!I:I,MATCH($B136,'Supply Scenarios'!$B:$B,0)+$B$3-'Supply Scenarios'!$B$1)</f>
        <v>0.5</v>
      </c>
      <c r="M136" s="154">
        <f>INDEX('Supply Scenarios'!J:J,MATCH($B136,'Supply Scenarios'!$B:$B,0)+$B$3-'Supply Scenarios'!$B$1)</f>
        <v>0.625</v>
      </c>
      <c r="N136" s="154">
        <f>INDEX('Supply Scenarios'!K:K,MATCH($B136,'Supply Scenarios'!$B:$B,0)+$B$3-'Supply Scenarios'!$B$1)</f>
        <v>0.75</v>
      </c>
      <c r="O136" s="154">
        <f>INDEX('Supply Scenarios'!L:L,MATCH($B136,'Supply Scenarios'!$B:$B,0)+$B$3-'Supply Scenarios'!$B$1)</f>
        <v>0.875</v>
      </c>
      <c r="P136" s="154">
        <f>INDEX('Supply Scenarios'!M:M,MATCH($B136,'Supply Scenarios'!$B:$B,0)+$B$3-'Supply Scenarios'!$B$1)</f>
        <v>1</v>
      </c>
      <c r="Q136" s="154">
        <f>INDEX('Supply Scenarios'!N:N,MATCH($B136,'Supply Scenarios'!$B:$B,0)+$B$3-'Supply Scenarios'!$B$1)</f>
        <v>1</v>
      </c>
      <c r="R136" s="154">
        <f>INDEX('Supply Scenarios'!O:O,MATCH($B136,'Supply Scenarios'!$B:$B,0)+$B$3-'Supply Scenarios'!$B$1)</f>
        <v>1</v>
      </c>
      <c r="S136" s="154">
        <f>INDEX('Supply Scenarios'!P:P,MATCH($B136,'Supply Scenarios'!$B:$B,0)+$B$3-'Supply Scenarios'!$B$1)</f>
        <v>1</v>
      </c>
      <c r="T136" s="154">
        <f>INDEX('Supply Scenarios'!Q:Q,MATCH($B136,'Supply Scenarios'!$B:$B,0)+$B$3-'Supply Scenarios'!$B$1)</f>
        <v>1</v>
      </c>
      <c r="U136" t="s">
        <v>189</v>
      </c>
    </row>
    <row r="137" spans="1:29" ht="15" customHeight="1" x14ac:dyDescent="0.2">
      <c r="A137" s="455"/>
      <c r="B137" s="79" t="s">
        <v>76</v>
      </c>
      <c r="C137" s="1" t="s">
        <v>45</v>
      </c>
      <c r="D137" s="35">
        <v>0</v>
      </c>
      <c r="E137" s="35">
        <v>0</v>
      </c>
      <c r="F137" s="87">
        <v>0.154</v>
      </c>
      <c r="G137" s="154">
        <f>INDEX('Supply Scenarios'!D:D,MATCH($B137,'Supply Scenarios'!$B:$B,0)+$B$3-'Supply Scenarios'!$B$1)</f>
        <v>0.154</v>
      </c>
      <c r="H137" s="154">
        <f>INDEX('Supply Scenarios'!E:E,MATCH($B137,'Supply Scenarios'!$B:$B,0)+$B$3-'Supply Scenarios'!$B$1)</f>
        <v>0.154</v>
      </c>
      <c r="I137" s="154">
        <f>INDEX('Supply Scenarios'!F:F,MATCH($B137,'Supply Scenarios'!$B:$B,0)+$B$3-'Supply Scenarios'!$B$1)</f>
        <v>0.154</v>
      </c>
      <c r="J137" s="154">
        <f>INDEX('Supply Scenarios'!G:G,MATCH($B137,'Supply Scenarios'!$B:$B,0)+$B$3-'Supply Scenarios'!$B$1)</f>
        <v>0.154</v>
      </c>
      <c r="K137" s="154">
        <f>INDEX('Supply Scenarios'!H:H,MATCH($B137,'Supply Scenarios'!$B:$B,0)+$B$3-'Supply Scenarios'!$B$1)</f>
        <v>0.154</v>
      </c>
      <c r="L137" s="154">
        <f>INDEX('Supply Scenarios'!I:I,MATCH($B137,'Supply Scenarios'!$B:$B,0)+$B$3-'Supply Scenarios'!$B$1)</f>
        <v>0.154</v>
      </c>
      <c r="M137" s="154">
        <f>INDEX('Supply Scenarios'!J:J,MATCH($B137,'Supply Scenarios'!$B:$B,0)+$B$3-'Supply Scenarios'!$B$1)</f>
        <v>0.154</v>
      </c>
      <c r="N137" s="154">
        <f>INDEX('Supply Scenarios'!K:K,MATCH($B137,'Supply Scenarios'!$B:$B,0)+$B$3-'Supply Scenarios'!$B$1)</f>
        <v>0.154</v>
      </c>
      <c r="O137" s="154">
        <f>INDEX('Supply Scenarios'!L:L,MATCH($B137,'Supply Scenarios'!$B:$B,0)+$B$3-'Supply Scenarios'!$B$1)</f>
        <v>0.154</v>
      </c>
      <c r="P137" s="154">
        <f>INDEX('Supply Scenarios'!M:M,MATCH($B137,'Supply Scenarios'!$B:$B,0)+$B$3-'Supply Scenarios'!$B$1)</f>
        <v>0.154</v>
      </c>
      <c r="Q137" s="154">
        <f>INDEX('Supply Scenarios'!N:N,MATCH($B137,'Supply Scenarios'!$B:$B,0)+$B$3-'Supply Scenarios'!$B$1)</f>
        <v>0.154</v>
      </c>
      <c r="R137" s="154">
        <f>INDEX('Supply Scenarios'!O:O,MATCH($B137,'Supply Scenarios'!$B:$B,0)+$B$3-'Supply Scenarios'!$B$1)</f>
        <v>0.154</v>
      </c>
      <c r="S137" s="154">
        <f>INDEX('Supply Scenarios'!P:P,MATCH($B137,'Supply Scenarios'!$B:$B,0)+$B$3-'Supply Scenarios'!$B$1)</f>
        <v>0.154</v>
      </c>
      <c r="T137" s="154">
        <f>INDEX('Supply Scenarios'!Q:Q,MATCH($B137,'Supply Scenarios'!$B:$B,0)+$B$3-'Supply Scenarios'!$B$1)</f>
        <v>0.154</v>
      </c>
      <c r="U137" t="s">
        <v>189</v>
      </c>
    </row>
    <row r="138" spans="1:29" ht="15" customHeight="1" x14ac:dyDescent="0.2">
      <c r="A138" s="455"/>
      <c r="B138" s="79" t="s">
        <v>31</v>
      </c>
      <c r="C138" s="1" t="s">
        <v>45</v>
      </c>
      <c r="D138" s="47">
        <f t="shared" ref="D138:T138" si="77">D117+D106+D134+D135+D136+D123+D137+D121</f>
        <v>4.1500000000000004</v>
      </c>
      <c r="E138" s="47">
        <f t="shared" si="77"/>
        <v>5.3100000000000005</v>
      </c>
      <c r="F138" s="47">
        <f t="shared" si="77"/>
        <v>8.993485999999999</v>
      </c>
      <c r="G138" s="47">
        <f t="shared" si="77"/>
        <v>11.274668859854074</v>
      </c>
      <c r="H138" s="47">
        <f t="shared" si="77"/>
        <v>13.82320607512233</v>
      </c>
      <c r="I138" s="47">
        <f>I117+I106+I134+I135+I136+I123+I137+I121</f>
        <v>16.101178902230302</v>
      </c>
      <c r="J138" s="47">
        <f t="shared" si="77"/>
        <v>18.833205341050856</v>
      </c>
      <c r="K138" s="47">
        <f t="shared" si="77"/>
        <v>20.637177458172722</v>
      </c>
      <c r="L138" s="47">
        <f t="shared" si="77"/>
        <v>22.780420200916616</v>
      </c>
      <c r="M138" s="47">
        <f t="shared" si="77"/>
        <v>25.082559112060313</v>
      </c>
      <c r="N138" s="47">
        <f t="shared" si="77"/>
        <v>27.624107100858602</v>
      </c>
      <c r="O138" s="47">
        <f t="shared" si="77"/>
        <v>29.763838103678172</v>
      </c>
      <c r="P138" s="47">
        <f t="shared" si="77"/>
        <v>31.860997123986504</v>
      </c>
      <c r="Q138" s="47">
        <f t="shared" si="77"/>
        <v>34.257639298214968</v>
      </c>
      <c r="R138" s="47">
        <f t="shared" si="77"/>
        <v>37.110522728295066</v>
      </c>
      <c r="S138" s="47">
        <f t="shared" si="77"/>
        <v>39.337524724647061</v>
      </c>
      <c r="T138" s="47">
        <f t="shared" si="77"/>
        <v>41.756025608418803</v>
      </c>
      <c r="U138" s="242"/>
    </row>
    <row r="139" spans="1:29" ht="15" customHeight="1" x14ac:dyDescent="0.2">
      <c r="A139" s="455"/>
      <c r="B139" s="79" t="s">
        <v>57</v>
      </c>
      <c r="C139" s="1" t="s">
        <v>45</v>
      </c>
      <c r="D139" s="42">
        <v>0</v>
      </c>
      <c r="E139" s="42">
        <v>0</v>
      </c>
      <c r="F139" s="42">
        <v>0</v>
      </c>
      <c r="G139" s="42">
        <v>0</v>
      </c>
      <c r="H139" s="278">
        <f>-INDEX('Supply Scenarios'!E:E,MATCH($B139,'Supply Scenarios'!$B:$B,0)+$B$3-'Supply Scenarios'!$B$1)*(H91+H81)*0.000001</f>
        <v>0</v>
      </c>
      <c r="I139" s="278">
        <f>-INDEX('Supply Scenarios'!F:F,MATCH($B139,'Supply Scenarios'!$B:$B,0)+$B$3-'Supply Scenarios'!$B$1)*(I91+I81)*0.000001</f>
        <v>-0.26686817848396877</v>
      </c>
      <c r="J139" s="278">
        <f>-INDEX('Supply Scenarios'!G:G,MATCH($B139,'Supply Scenarios'!$B:$B,0)+$B$3-'Supply Scenarios'!$B$1)*(J91+J81)*0.000001</f>
        <v>-1.0186236467088188</v>
      </c>
      <c r="K139" s="278">
        <f>-INDEX('Supply Scenarios'!H:H,MATCH($B139,'Supply Scenarios'!$B:$B,0)+$B$3-'Supply Scenarios'!$B$1)*(K91+K81)*0.000001</f>
        <v>-1.691085614183353</v>
      </c>
      <c r="L139" s="278">
        <f>-INDEX('Supply Scenarios'!I:I,MATCH($B139,'Supply Scenarios'!$B:$B,0)+$B$3-'Supply Scenarios'!$B$1)*(L91+L81)*0.000001</f>
        <v>-2.3004143399483592</v>
      </c>
      <c r="M139" s="278">
        <f>-INDEX('Supply Scenarios'!J:J,MATCH($B139,'Supply Scenarios'!$B:$B,0)+$B$3-'Supply Scenarios'!$B$1)*(M91+M81)*0.000001</f>
        <v>-2.2297083993766167</v>
      </c>
      <c r="N139" s="278">
        <f>-INDEX('Supply Scenarios'!K:K,MATCH($B139,'Supply Scenarios'!$B:$B,0)+$B$3-'Supply Scenarios'!$B$1)*(N91+N81)*0.000001</f>
        <v>-2.1605353260934361</v>
      </c>
      <c r="O139" s="278">
        <f>-INDEX('Supply Scenarios'!L:L,MATCH($B139,'Supply Scenarios'!$B:$B,0)+$B$3-'Supply Scenarios'!$B$1)*(O91+O81)*0.000001</f>
        <v>-2.0832203967332616</v>
      </c>
      <c r="P139" s="278">
        <f>-INDEX('Supply Scenarios'!M:M,MATCH($B139,'Supply Scenarios'!$B:$B,0)+$B$3-'Supply Scenarios'!$B$1)*(P91+P81)*0.000001</f>
        <v>-2.0202701720268448</v>
      </c>
      <c r="Q139" s="278">
        <f>-INDEX('Supply Scenarios'!N:N,MATCH($B139,'Supply Scenarios'!$B:$B,0)+$B$3-'Supply Scenarios'!$B$1)*(Q91+Q81)*0.000001</f>
        <v>-1.9563677980297525</v>
      </c>
      <c r="R139" s="278">
        <f>-INDEX('Supply Scenarios'!O:O,MATCH($B139,'Supply Scenarios'!$B:$B,0)+$B$3-'Supply Scenarios'!$B$1)*(R91+R81)*0.000001</f>
        <v>-1.8959706351459593</v>
      </c>
      <c r="S139" s="278">
        <f>-INDEX('Supply Scenarios'!P:P,MATCH($B139,'Supply Scenarios'!$B:$B,0)+$B$3-'Supply Scenarios'!$B$1)*(S91+S81)*0.000001</f>
        <v>-1.8343953347947226</v>
      </c>
      <c r="T139" s="278">
        <f>-INDEX('Supply Scenarios'!Q:Q,MATCH($B139,'Supply Scenarios'!$B:$B,0)+$B$3-'Supply Scenarios'!$B$1)*(T91+T81)*0.000001</f>
        <v>-1.7727447590552416</v>
      </c>
    </row>
    <row r="140" spans="1:29" s="15" customFormat="1" ht="15" customHeight="1" x14ac:dyDescent="0.2">
      <c r="A140" s="455"/>
      <c r="B140" s="79" t="s">
        <v>32</v>
      </c>
      <c r="C140" s="1" t="s">
        <v>45</v>
      </c>
      <c r="D140" s="47">
        <f>D107+D118+D139+D143</f>
        <v>-2.36</v>
      </c>
      <c r="E140" s="47">
        <f t="shared" ref="E140:T140" si="78">E107+E118+E139+E143</f>
        <v>-2.4</v>
      </c>
      <c r="F140" s="47">
        <f t="shared" si="78"/>
        <v>-6.4145690000000002</v>
      </c>
      <c r="G140" s="47">
        <f t="shared" si="78"/>
        <v>-9.6054323501336505</v>
      </c>
      <c r="H140" s="47">
        <f t="shared" si="78"/>
        <v>-12.034911019106458</v>
      </c>
      <c r="I140" s="47">
        <f t="shared" si="78"/>
        <v>-15.870611089360173</v>
      </c>
      <c r="J140" s="47">
        <f t="shared" si="78"/>
        <v>-19.021925729451556</v>
      </c>
      <c r="K140" s="47">
        <f t="shared" si="78"/>
        <v>-21.950882680598809</v>
      </c>
      <c r="L140" s="47">
        <f t="shared" si="78"/>
        <v>-24.609182030629668</v>
      </c>
      <c r="M140" s="47">
        <f t="shared" si="78"/>
        <v>-26.4202696106851</v>
      </c>
      <c r="N140" s="47">
        <f t="shared" si="78"/>
        <v>-28.084902697683304</v>
      </c>
      <c r="O140" s="47">
        <f t="shared" si="78"/>
        <v>-29.819363938651868</v>
      </c>
      <c r="P140" s="47">
        <f t="shared" si="78"/>
        <v>-31.561048394641475</v>
      </c>
      <c r="Q140" s="47">
        <f t="shared" si="78"/>
        <v>-33.124002384802807</v>
      </c>
      <c r="R140" s="47">
        <f t="shared" si="78"/>
        <v>-34.584150480070441</v>
      </c>
      <c r="S140" s="47">
        <f t="shared" si="78"/>
        <v>-35.865037196976985</v>
      </c>
      <c r="T140" s="47">
        <f t="shared" si="78"/>
        <v>-36.983628097854833</v>
      </c>
      <c r="U140" s="242"/>
      <c r="V140"/>
      <c r="W140"/>
      <c r="X140"/>
      <c r="Y140"/>
      <c r="Z140"/>
      <c r="AA140"/>
      <c r="AB140"/>
      <c r="AC140"/>
    </row>
    <row r="141" spans="1:29" ht="15" customHeight="1" x14ac:dyDescent="0.2">
      <c r="A141" s="455"/>
      <c r="B141" s="79" t="s">
        <v>26</v>
      </c>
      <c r="C141" s="1" t="s">
        <v>45</v>
      </c>
      <c r="D141" s="47">
        <f>D138+D140</f>
        <v>1.7900000000000005</v>
      </c>
      <c r="E141" s="47">
        <f t="shared" ref="E141:T141" si="79">E138+E140</f>
        <v>2.9100000000000006</v>
      </c>
      <c r="F141" s="47">
        <f t="shared" si="79"/>
        <v>2.5789169999999988</v>
      </c>
      <c r="G141" s="47">
        <f t="shared" si="79"/>
        <v>1.6692365097204238</v>
      </c>
      <c r="H141" s="47">
        <f t="shared" si="79"/>
        <v>1.7882950560158726</v>
      </c>
      <c r="I141" s="47">
        <f t="shared" si="79"/>
        <v>0.23056781287012917</v>
      </c>
      <c r="J141" s="47">
        <f>J138+J140</f>
        <v>-0.18872038840070005</v>
      </c>
      <c r="K141" s="47">
        <f>K138+K140</f>
        <v>-1.313705222426087</v>
      </c>
      <c r="L141" s="47">
        <f t="shared" si="79"/>
        <v>-1.8287618297130521</v>
      </c>
      <c r="M141" s="47">
        <f t="shared" si="79"/>
        <v>-1.3377104986247872</v>
      </c>
      <c r="N141" s="47">
        <f t="shared" si="79"/>
        <v>-0.46079559682470261</v>
      </c>
      <c r="O141" s="47">
        <f t="shared" si="79"/>
        <v>-5.5525834973696675E-2</v>
      </c>
      <c r="P141" s="47">
        <f t="shared" si="79"/>
        <v>0.29994872934502936</v>
      </c>
      <c r="Q141" s="47">
        <f t="shared" si="79"/>
        <v>1.1336369134121611</v>
      </c>
      <c r="R141" s="47">
        <f t="shared" si="79"/>
        <v>2.5263722482246251</v>
      </c>
      <c r="S141" s="47">
        <f t="shared" si="79"/>
        <v>3.4724875276700757</v>
      </c>
      <c r="T141" s="47">
        <f t="shared" si="79"/>
        <v>4.7723975105639695</v>
      </c>
    </row>
    <row r="142" spans="1:29" s="15" customFormat="1" ht="15.75" customHeight="1" x14ac:dyDescent="0.2">
      <c r="A142" s="455"/>
      <c r="B142" s="82" t="s">
        <v>52</v>
      </c>
      <c r="C142" s="1" t="s">
        <v>45</v>
      </c>
      <c r="D142" s="42">
        <v>4.53</v>
      </c>
      <c r="E142" s="42">
        <v>7.43</v>
      </c>
      <c r="F142" s="47">
        <f t="shared" ref="F142:T142" si="80">E142+F141</f>
        <v>10.008916999999999</v>
      </c>
      <c r="G142" s="47">
        <v>10.01</v>
      </c>
      <c r="H142" s="47">
        <f t="shared" si="80"/>
        <v>11.798295056015872</v>
      </c>
      <c r="I142" s="47">
        <f t="shared" si="80"/>
        <v>12.028862868886002</v>
      </c>
      <c r="J142" s="47">
        <f>I142+J141</f>
        <v>11.840142480485301</v>
      </c>
      <c r="K142" s="47">
        <f t="shared" si="80"/>
        <v>10.526437258059214</v>
      </c>
      <c r="L142" s="47">
        <f t="shared" si="80"/>
        <v>8.6976754283461624</v>
      </c>
      <c r="M142" s="47">
        <f t="shared" si="80"/>
        <v>7.3599649297213752</v>
      </c>
      <c r="N142" s="47">
        <f t="shared" si="80"/>
        <v>6.8991693328966726</v>
      </c>
      <c r="O142" s="47">
        <f t="shared" si="80"/>
        <v>6.8436434979229759</v>
      </c>
      <c r="P142" s="47">
        <f t="shared" si="80"/>
        <v>7.1435922272680052</v>
      </c>
      <c r="Q142" s="47">
        <f t="shared" si="80"/>
        <v>8.2772291406801664</v>
      </c>
      <c r="R142" s="47">
        <f t="shared" si="80"/>
        <v>10.803601388904791</v>
      </c>
      <c r="S142" s="47">
        <f t="shared" si="80"/>
        <v>14.276088916574867</v>
      </c>
      <c r="T142" s="47">
        <f t="shared" si="80"/>
        <v>19.048486427138837</v>
      </c>
      <c r="U142"/>
      <c r="V142"/>
      <c r="W142"/>
      <c r="X142"/>
      <c r="Y142"/>
      <c r="Z142"/>
      <c r="AA142"/>
      <c r="AB142"/>
      <c r="AC142"/>
    </row>
    <row r="143" spans="1:29" s="15" customFormat="1" ht="16" thickBot="1" x14ac:dyDescent="0.25">
      <c r="A143" s="456"/>
      <c r="B143" s="79" t="s">
        <v>162</v>
      </c>
      <c r="C143" s="176" t="s">
        <v>45</v>
      </c>
      <c r="D143" s="42">
        <v>0</v>
      </c>
      <c r="E143" s="47">
        <f>IF(D142&lt;0,D142*0.05,0)</f>
        <v>0</v>
      </c>
      <c r="F143" s="47">
        <f>IF(E142&lt;0,E142*0.05,0)</f>
        <v>0</v>
      </c>
      <c r="G143" s="47">
        <f>IF(F142&lt;0,F142*0.05,0)</f>
        <v>0</v>
      </c>
      <c r="H143" s="47">
        <f>IF(G142&lt;0,G142*0.05,0)</f>
        <v>0</v>
      </c>
      <c r="I143" s="47">
        <f>IF(H142&lt;0,H142*0.05,0)</f>
        <v>0</v>
      </c>
      <c r="J143" s="47">
        <f t="shared" ref="J143:T143" si="81">IF(I142&lt;0,I142*0.05,0)</f>
        <v>0</v>
      </c>
      <c r="K143" s="47">
        <f>IF(J142&lt;0,J142*0.05,0)</f>
        <v>0</v>
      </c>
      <c r="L143" s="47">
        <f>IF(K142&lt;0,K142*0.05,0)</f>
        <v>0</v>
      </c>
      <c r="M143" s="47">
        <f>IF(L142&lt;0,L142*0.05,0)</f>
        <v>0</v>
      </c>
      <c r="N143" s="47">
        <f t="shared" si="81"/>
        <v>0</v>
      </c>
      <c r="O143" s="47">
        <f t="shared" si="81"/>
        <v>0</v>
      </c>
      <c r="P143" s="47">
        <f t="shared" si="81"/>
        <v>0</v>
      </c>
      <c r="Q143" s="47">
        <f t="shared" si="81"/>
        <v>0</v>
      </c>
      <c r="R143" s="47">
        <f t="shared" si="81"/>
        <v>0</v>
      </c>
      <c r="S143" s="47">
        <f t="shared" si="81"/>
        <v>0</v>
      </c>
      <c r="T143" s="47">
        <f t="shared" si="81"/>
        <v>0</v>
      </c>
      <c r="U143"/>
      <c r="V143"/>
      <c r="W143"/>
      <c r="X143"/>
      <c r="Y143"/>
      <c r="Z143"/>
      <c r="AA143"/>
      <c r="AB143"/>
      <c r="AC143"/>
    </row>
    <row r="144" spans="1:29" s="15" customFormat="1" x14ac:dyDescent="0.2">
      <c r="A144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/>
      <c r="V144"/>
      <c r="W144"/>
      <c r="X144"/>
      <c r="Y144"/>
      <c r="Z144"/>
      <c r="AA144"/>
      <c r="AB144"/>
      <c r="AC144"/>
    </row>
    <row r="145" spans="1:29" s="15" customFormat="1" ht="16" thickBot="1" x14ac:dyDescent="0.25">
      <c r="A145"/>
      <c r="B145" s="8"/>
      <c r="C145" s="8"/>
      <c r="D145" s="8"/>
      <c r="E145" s="8"/>
      <c r="F145"/>
      <c r="G145"/>
      <c r="H145"/>
      <c r="I145"/>
      <c r="J145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/>
      <c r="V145"/>
      <c r="W145"/>
      <c r="X145"/>
      <c r="Y145"/>
      <c r="Z145"/>
      <c r="AA145"/>
      <c r="AB145"/>
      <c r="AC145"/>
    </row>
    <row r="146" spans="1:29" x14ac:dyDescent="0.2">
      <c r="A146" s="454" t="s">
        <v>159</v>
      </c>
      <c r="B146" s="161" t="s">
        <v>12</v>
      </c>
      <c r="C146" s="169" t="s">
        <v>143</v>
      </c>
      <c r="L146"/>
      <c r="M146"/>
      <c r="N146"/>
      <c r="O146"/>
      <c r="P146"/>
      <c r="Q146"/>
      <c r="R146"/>
    </row>
    <row r="147" spans="1:29" ht="14" customHeight="1" x14ac:dyDescent="0.2">
      <c r="A147" s="455"/>
      <c r="B147" s="155" t="s">
        <v>6</v>
      </c>
      <c r="C147" s="170" t="s">
        <v>7</v>
      </c>
      <c r="K147" s="186"/>
      <c r="L147" s="186"/>
      <c r="M147" s="186"/>
      <c r="N147" s="186"/>
      <c r="O147" s="186"/>
      <c r="P147" s="186"/>
      <c r="Q147" s="186"/>
      <c r="R147" s="186"/>
      <c r="S147" s="186"/>
      <c r="T147" s="186"/>
    </row>
    <row r="148" spans="1:29" x14ac:dyDescent="0.2">
      <c r="A148" s="455"/>
      <c r="B148" s="156" t="s">
        <v>9</v>
      </c>
      <c r="C148" s="157">
        <v>1</v>
      </c>
      <c r="L148"/>
      <c r="M148"/>
      <c r="N148"/>
      <c r="O148"/>
      <c r="P148"/>
      <c r="Q148"/>
      <c r="R148"/>
    </row>
    <row r="149" spans="1:29" x14ac:dyDescent="0.2">
      <c r="A149" s="455"/>
      <c r="B149" s="156" t="s">
        <v>115</v>
      </c>
      <c r="C149" s="157">
        <v>1</v>
      </c>
      <c r="L149"/>
      <c r="M149"/>
      <c r="N149"/>
      <c r="O149"/>
      <c r="P149"/>
      <c r="Q149"/>
      <c r="R149"/>
    </row>
    <row r="150" spans="1:29" x14ac:dyDescent="0.2">
      <c r="A150" s="455"/>
      <c r="B150" s="156" t="s">
        <v>10</v>
      </c>
      <c r="C150" s="157">
        <v>3.4</v>
      </c>
      <c r="L150"/>
      <c r="M150"/>
      <c r="N150"/>
      <c r="O150"/>
      <c r="P150"/>
      <c r="Q150"/>
      <c r="R150"/>
    </row>
    <row r="151" spans="1:29" x14ac:dyDescent="0.2">
      <c r="A151" s="455"/>
      <c r="B151" s="156" t="s">
        <v>11</v>
      </c>
      <c r="C151" s="157">
        <v>2.5</v>
      </c>
      <c r="L151"/>
      <c r="M151"/>
      <c r="N151"/>
      <c r="O151"/>
      <c r="P151"/>
      <c r="Q151"/>
      <c r="R151"/>
    </row>
    <row r="152" spans="1:29" x14ac:dyDescent="0.2">
      <c r="A152" s="455"/>
      <c r="B152" s="158"/>
      <c r="C152" s="159"/>
      <c r="L152"/>
      <c r="M152"/>
      <c r="N152"/>
      <c r="O152"/>
      <c r="P152"/>
      <c r="Q152"/>
      <c r="R152"/>
    </row>
    <row r="153" spans="1:29" x14ac:dyDescent="0.2">
      <c r="A153" s="455"/>
      <c r="B153" s="162" t="s">
        <v>13</v>
      </c>
      <c r="C153" s="171" t="s">
        <v>143</v>
      </c>
      <c r="L153"/>
      <c r="M153"/>
      <c r="N153"/>
      <c r="O153"/>
      <c r="P153"/>
      <c r="Q153"/>
      <c r="R153"/>
    </row>
    <row r="154" spans="1:29" ht="14" customHeight="1" x14ac:dyDescent="0.2">
      <c r="A154" s="455"/>
      <c r="B154" s="155" t="s">
        <v>6</v>
      </c>
      <c r="C154" s="170" t="s">
        <v>8</v>
      </c>
      <c r="L154"/>
      <c r="M154"/>
      <c r="N154"/>
      <c r="O154"/>
      <c r="P154"/>
      <c r="Q154"/>
      <c r="R154"/>
    </row>
    <row r="155" spans="1:29" x14ac:dyDescent="0.2">
      <c r="A155" s="455"/>
      <c r="B155" s="156" t="s">
        <v>41</v>
      </c>
      <c r="C155" s="157">
        <v>1</v>
      </c>
      <c r="L155"/>
      <c r="M155"/>
      <c r="N155"/>
      <c r="O155"/>
      <c r="P155"/>
      <c r="Q155"/>
      <c r="R155"/>
    </row>
    <row r="156" spans="1:29" x14ac:dyDescent="0.2">
      <c r="A156" s="455"/>
      <c r="B156" s="156" t="s">
        <v>14</v>
      </c>
      <c r="C156" s="157">
        <v>0.9</v>
      </c>
      <c r="L156"/>
      <c r="M156"/>
      <c r="N156"/>
      <c r="O156"/>
      <c r="P156"/>
      <c r="Q156"/>
      <c r="R156"/>
    </row>
    <row r="157" spans="1:29" x14ac:dyDescent="0.2">
      <c r="A157" s="455"/>
      <c r="B157" s="156" t="s">
        <v>88</v>
      </c>
      <c r="C157" s="157">
        <v>2.7</v>
      </c>
      <c r="L157"/>
      <c r="M157"/>
      <c r="N157"/>
      <c r="O157"/>
      <c r="P157"/>
      <c r="Q157"/>
      <c r="R157"/>
    </row>
    <row r="158" spans="1:29" x14ac:dyDescent="0.2">
      <c r="A158" s="455"/>
      <c r="B158" s="156" t="s">
        <v>11</v>
      </c>
      <c r="C158" s="157">
        <v>1.9</v>
      </c>
      <c r="L158"/>
      <c r="M158"/>
      <c r="N158"/>
      <c r="O158"/>
      <c r="P158"/>
      <c r="Q158"/>
      <c r="R158"/>
    </row>
    <row r="159" spans="1:29" ht="16" thickBot="1" x14ac:dyDescent="0.25">
      <c r="A159" s="455"/>
      <c r="B159" s="160" t="s">
        <v>113</v>
      </c>
      <c r="C159" s="166">
        <v>3.9</v>
      </c>
      <c r="D159" t="s">
        <v>114</v>
      </c>
      <c r="L159"/>
      <c r="M159"/>
      <c r="N159"/>
      <c r="O159"/>
      <c r="P159"/>
      <c r="Q159"/>
      <c r="R159"/>
    </row>
    <row r="160" spans="1:29" x14ac:dyDescent="0.2">
      <c r="A160" s="455"/>
      <c r="B160" s="158"/>
      <c r="C160" s="159"/>
      <c r="L160"/>
      <c r="M160"/>
      <c r="N160"/>
      <c r="O160"/>
      <c r="P160"/>
      <c r="Q160"/>
      <c r="R160"/>
    </row>
    <row r="161" spans="1:18" ht="30" customHeight="1" x14ac:dyDescent="0.2">
      <c r="A161" s="455"/>
      <c r="B161" s="162" t="s">
        <v>87</v>
      </c>
      <c r="C161" s="171" t="s">
        <v>143</v>
      </c>
      <c r="L161"/>
      <c r="M161"/>
      <c r="N161"/>
      <c r="O161"/>
      <c r="P161"/>
      <c r="Q161"/>
      <c r="R161"/>
    </row>
    <row r="162" spans="1:18" ht="14" customHeight="1" x14ac:dyDescent="0.2">
      <c r="A162" s="455"/>
      <c r="B162" s="155" t="s">
        <v>72</v>
      </c>
      <c r="C162" s="170" t="s">
        <v>70</v>
      </c>
      <c r="L162"/>
      <c r="M162"/>
      <c r="N162"/>
      <c r="O162"/>
      <c r="P162"/>
      <c r="Q162"/>
      <c r="R162"/>
    </row>
    <row r="163" spans="1:18" ht="16" thickBot="1" x14ac:dyDescent="0.25">
      <c r="A163" s="457"/>
      <c r="B163" s="172" t="s">
        <v>71</v>
      </c>
      <c r="C163" s="166">
        <v>1</v>
      </c>
      <c r="L163"/>
      <c r="M163"/>
      <c r="N163"/>
      <c r="O163"/>
      <c r="P163"/>
      <c r="Q163"/>
      <c r="R163"/>
    </row>
    <row r="165" spans="1:18" x14ac:dyDescent="0.2">
      <c r="L165"/>
      <c r="M165"/>
      <c r="N165"/>
      <c r="O165"/>
    </row>
    <row r="166" spans="1:18" x14ac:dyDescent="0.2">
      <c r="B166" s="73" t="s">
        <v>20</v>
      </c>
      <c r="C166" s="5" t="s">
        <v>21</v>
      </c>
      <c r="D166" s="73" t="s">
        <v>15</v>
      </c>
      <c r="L166"/>
      <c r="M166"/>
      <c r="N166"/>
      <c r="O166"/>
      <c r="P166"/>
      <c r="Q166"/>
      <c r="R166"/>
    </row>
    <row r="167" spans="1:18" x14ac:dyDescent="0.2">
      <c r="B167" s="1" t="s">
        <v>60</v>
      </c>
      <c r="C167" s="62">
        <v>81.510000000000005</v>
      </c>
      <c r="D167" s="1" t="s">
        <v>24</v>
      </c>
      <c r="L167"/>
      <c r="M167"/>
      <c r="N167"/>
      <c r="O167"/>
      <c r="P167"/>
      <c r="Q167"/>
      <c r="R167"/>
    </row>
    <row r="168" spans="1:18" x14ac:dyDescent="0.2">
      <c r="B168" s="1" t="s">
        <v>17</v>
      </c>
      <c r="C168" s="62">
        <v>81.510000000000005</v>
      </c>
      <c r="D168" s="1" t="s">
        <v>24</v>
      </c>
      <c r="L168"/>
      <c r="M168"/>
      <c r="N168"/>
      <c r="O168"/>
      <c r="P168"/>
      <c r="Q168"/>
      <c r="R168"/>
    </row>
    <row r="169" spans="1:18" x14ac:dyDescent="0.2">
      <c r="B169" s="4" t="s">
        <v>16</v>
      </c>
      <c r="C169" s="62">
        <v>119.53</v>
      </c>
      <c r="D169" s="1" t="s">
        <v>24</v>
      </c>
      <c r="L169"/>
      <c r="M169"/>
      <c r="N169"/>
      <c r="O169"/>
      <c r="P169"/>
      <c r="Q169"/>
      <c r="R169"/>
    </row>
    <row r="170" spans="1:18" x14ac:dyDescent="0.2">
      <c r="B170" s="4" t="s">
        <v>5</v>
      </c>
      <c r="C170" s="62">
        <v>120</v>
      </c>
      <c r="D170" s="4" t="s">
        <v>111</v>
      </c>
      <c r="L170"/>
      <c r="M170"/>
      <c r="N170"/>
      <c r="O170"/>
      <c r="P170"/>
      <c r="Q170"/>
      <c r="R170"/>
    </row>
    <row r="171" spans="1:18" x14ac:dyDescent="0.2">
      <c r="B171" s="4" t="s">
        <v>0</v>
      </c>
      <c r="C171" s="63">
        <v>3600.0008440447891</v>
      </c>
      <c r="D171" s="4" t="s">
        <v>25</v>
      </c>
      <c r="L171"/>
      <c r="M171"/>
      <c r="N171"/>
      <c r="O171"/>
      <c r="P171"/>
      <c r="Q171"/>
      <c r="R171"/>
    </row>
    <row r="172" spans="1:18" x14ac:dyDescent="0.2">
      <c r="B172" s="1" t="s">
        <v>73</v>
      </c>
      <c r="C172" s="62">
        <v>119.53</v>
      </c>
      <c r="D172" s="1" t="s">
        <v>24</v>
      </c>
      <c r="L172"/>
      <c r="M172"/>
      <c r="N172"/>
      <c r="O172"/>
      <c r="P172"/>
      <c r="Q172"/>
      <c r="R172"/>
    </row>
    <row r="173" spans="1:18" x14ac:dyDescent="0.2">
      <c r="B173" s="1" t="s">
        <v>23</v>
      </c>
      <c r="C173" s="62">
        <v>115.83</v>
      </c>
      <c r="D173" s="1" t="s">
        <v>24</v>
      </c>
      <c r="L173"/>
      <c r="M173"/>
      <c r="N173"/>
      <c r="O173"/>
      <c r="P173"/>
      <c r="Q173"/>
      <c r="R173"/>
    </row>
    <row r="174" spans="1:18" x14ac:dyDescent="0.2">
      <c r="B174" s="1" t="s">
        <v>38</v>
      </c>
      <c r="C174" s="62">
        <v>126.13194319156545</v>
      </c>
      <c r="D174" s="1" t="s">
        <v>24</v>
      </c>
      <c r="L174"/>
      <c r="M174"/>
      <c r="N174"/>
      <c r="O174"/>
      <c r="P174"/>
      <c r="Q174"/>
      <c r="R174"/>
    </row>
    <row r="175" spans="1:18" x14ac:dyDescent="0.2">
      <c r="B175" s="1" t="s">
        <v>1</v>
      </c>
      <c r="C175" s="62">
        <v>129.65</v>
      </c>
      <c r="D175" s="1" t="s">
        <v>24</v>
      </c>
      <c r="L175"/>
      <c r="M175"/>
      <c r="N175"/>
      <c r="O175"/>
      <c r="P175"/>
      <c r="Q175"/>
      <c r="R175"/>
    </row>
    <row r="176" spans="1:18" ht="16" thickBot="1" x14ac:dyDescent="0.25">
      <c r="B176" s="1" t="s">
        <v>37</v>
      </c>
      <c r="C176" s="185">
        <v>134.47</v>
      </c>
      <c r="D176" s="1" t="s">
        <v>40</v>
      </c>
      <c r="L176"/>
      <c r="M176"/>
      <c r="N176"/>
      <c r="O176"/>
      <c r="P176"/>
      <c r="Q176"/>
      <c r="R176"/>
    </row>
    <row r="177" spans="2:18" ht="16" thickTop="1" x14ac:dyDescent="0.2">
      <c r="B177" s="4" t="s">
        <v>35</v>
      </c>
      <c r="C177" s="62">
        <v>134.47</v>
      </c>
      <c r="D177" s="1" t="s">
        <v>40</v>
      </c>
      <c r="L177"/>
      <c r="M177"/>
      <c r="N177"/>
      <c r="O177"/>
      <c r="P177"/>
      <c r="Q177"/>
      <c r="R177"/>
    </row>
    <row r="178" spans="2:18" x14ac:dyDescent="0.2">
      <c r="B178" s="1" t="s">
        <v>2</v>
      </c>
      <c r="C178" s="64">
        <v>3600.0008440447891</v>
      </c>
      <c r="D178" s="1" t="s">
        <v>25</v>
      </c>
      <c r="L178"/>
      <c r="M178"/>
      <c r="N178"/>
      <c r="O178"/>
      <c r="P178"/>
      <c r="Q178"/>
      <c r="R178"/>
    </row>
    <row r="179" spans="2:18" x14ac:dyDescent="0.2">
      <c r="B179" s="12" t="s">
        <v>62</v>
      </c>
      <c r="C179" s="65">
        <v>134.47</v>
      </c>
      <c r="D179" s="12" t="s">
        <v>24</v>
      </c>
      <c r="L179"/>
      <c r="M179"/>
      <c r="N179"/>
      <c r="O179"/>
      <c r="P179"/>
      <c r="Q179"/>
      <c r="R179"/>
    </row>
    <row r="180" spans="2:18" x14ac:dyDescent="0.2">
      <c r="B180" s="4" t="s">
        <v>68</v>
      </c>
      <c r="C180" s="167">
        <v>129.69</v>
      </c>
      <c r="D180" s="12" t="s">
        <v>24</v>
      </c>
      <c r="L180"/>
      <c r="M180"/>
      <c r="N180"/>
      <c r="O180"/>
      <c r="P180"/>
      <c r="Q180"/>
      <c r="R180"/>
    </row>
    <row r="181" spans="2:18" x14ac:dyDescent="0.2">
      <c r="L181"/>
      <c r="M181"/>
      <c r="N181"/>
      <c r="O181"/>
      <c r="P181"/>
      <c r="Q181"/>
      <c r="R181"/>
    </row>
    <row r="182" spans="2:18" ht="30" x14ac:dyDescent="0.2">
      <c r="B182" s="73" t="s">
        <v>20</v>
      </c>
      <c r="C182" s="5" t="s">
        <v>110</v>
      </c>
      <c r="D182" s="18"/>
      <c r="L182"/>
      <c r="M182"/>
      <c r="N182"/>
      <c r="O182"/>
      <c r="P182"/>
      <c r="Q182"/>
      <c r="R182"/>
    </row>
    <row r="183" spans="2:18" x14ac:dyDescent="0.2">
      <c r="B183" s="1" t="s">
        <v>60</v>
      </c>
      <c r="C183" s="244">
        <v>0</v>
      </c>
      <c r="D183" s="6"/>
      <c r="L183"/>
      <c r="M183"/>
      <c r="N183"/>
      <c r="O183"/>
      <c r="P183"/>
      <c r="Q183"/>
      <c r="R183"/>
    </row>
    <row r="184" spans="2:18" x14ac:dyDescent="0.2">
      <c r="B184" s="1" t="s">
        <v>123</v>
      </c>
      <c r="C184" s="168">
        <v>0</v>
      </c>
      <c r="D184" s="6"/>
      <c r="L184"/>
      <c r="M184"/>
      <c r="N184"/>
      <c r="O184"/>
      <c r="P184"/>
      <c r="Q184"/>
      <c r="R184"/>
    </row>
    <row r="185" spans="2:18" x14ac:dyDescent="0.2">
      <c r="B185" s="1" t="s">
        <v>17</v>
      </c>
      <c r="C185" s="168">
        <v>0</v>
      </c>
      <c r="D185" s="6"/>
      <c r="L185"/>
      <c r="M185"/>
      <c r="N185"/>
      <c r="O185"/>
      <c r="P185"/>
      <c r="Q185"/>
      <c r="R185"/>
    </row>
    <row r="186" spans="2:18" x14ac:dyDescent="0.2">
      <c r="B186" s="4" t="s">
        <v>16</v>
      </c>
      <c r="C186" s="168">
        <v>0</v>
      </c>
      <c r="D186" s="6"/>
      <c r="L186"/>
      <c r="M186"/>
      <c r="P186"/>
      <c r="Q186"/>
      <c r="R186"/>
    </row>
    <row r="187" spans="2:18" x14ac:dyDescent="0.2">
      <c r="B187" s="4" t="s">
        <v>5</v>
      </c>
      <c r="C187" s="168">
        <v>0</v>
      </c>
      <c r="D187" s="23"/>
      <c r="L187"/>
      <c r="M187"/>
      <c r="P187"/>
      <c r="Q187"/>
      <c r="R187"/>
    </row>
    <row r="188" spans="2:18" x14ac:dyDescent="0.2">
      <c r="B188" s="4" t="s">
        <v>63</v>
      </c>
      <c r="C188" s="244">
        <v>0</v>
      </c>
      <c r="D188" s="23"/>
      <c r="L188"/>
      <c r="M188"/>
      <c r="P188"/>
      <c r="Q188"/>
      <c r="R188"/>
    </row>
    <row r="189" spans="2:18" x14ac:dyDescent="0.2">
      <c r="B189" s="1" t="s">
        <v>38</v>
      </c>
      <c r="C189" s="168">
        <v>0</v>
      </c>
      <c r="D189" s="6"/>
      <c r="P189"/>
      <c r="Q189"/>
      <c r="R189"/>
    </row>
    <row r="190" spans="2:18" x14ac:dyDescent="0.2">
      <c r="B190" s="1" t="s">
        <v>122</v>
      </c>
      <c r="C190" s="168">
        <v>0</v>
      </c>
      <c r="D190" s="6"/>
      <c r="P190"/>
      <c r="Q190"/>
      <c r="R190"/>
    </row>
    <row r="192" spans="2:18" x14ac:dyDescent="0.2">
      <c r="B192" s="23"/>
      <c r="L192"/>
      <c r="M192"/>
      <c r="N192"/>
      <c r="O192"/>
      <c r="P192"/>
      <c r="Q192"/>
      <c r="R192"/>
    </row>
  </sheetData>
  <mergeCells count="12">
    <mergeCell ref="D132:T132"/>
    <mergeCell ref="B1:T1"/>
    <mergeCell ref="D14:T14"/>
    <mergeCell ref="D49:T49"/>
    <mergeCell ref="D73:T73"/>
    <mergeCell ref="D98:T98"/>
    <mergeCell ref="A15:A47"/>
    <mergeCell ref="A146:A163"/>
    <mergeCell ref="A99:A129"/>
    <mergeCell ref="A50:A71"/>
    <mergeCell ref="A74:A96"/>
    <mergeCell ref="A133:A143"/>
  </mergeCells>
  <pageMargins left="0.7" right="0.7" top="0.75" bottom="0.75" header="0.3" footer="0.3"/>
  <pageSetup scale="2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AE83"/>
  <sheetViews>
    <sheetView workbookViewId="0"/>
  </sheetViews>
  <sheetFormatPr baseColWidth="10" defaultColWidth="11.5" defaultRowHeight="15" x14ac:dyDescent="0.2"/>
  <cols>
    <col min="1" max="1" width="34.83203125" customWidth="1"/>
    <col min="14" max="14" width="11.1640625" bestFit="1" customWidth="1"/>
    <col min="16" max="16" width="22.33203125" bestFit="1" customWidth="1"/>
  </cols>
  <sheetData>
    <row r="1" spans="1:15" x14ac:dyDescent="0.2">
      <c r="A1" s="255" t="s">
        <v>264</v>
      </c>
    </row>
    <row r="3" spans="1:15" x14ac:dyDescent="0.2">
      <c r="B3" s="141">
        <v>2019</v>
      </c>
      <c r="C3" s="141">
        <v>2020</v>
      </c>
      <c r="D3" s="141">
        <v>2021</v>
      </c>
      <c r="E3" s="141">
        <v>2022</v>
      </c>
      <c r="F3" s="141">
        <v>2023</v>
      </c>
      <c r="G3" s="141">
        <v>2024</v>
      </c>
      <c r="H3" s="141">
        <v>2025</v>
      </c>
      <c r="I3" s="142">
        <v>2026</v>
      </c>
      <c r="J3" s="142">
        <v>2027</v>
      </c>
      <c r="K3" s="142">
        <v>2028</v>
      </c>
      <c r="L3" s="142">
        <v>2029</v>
      </c>
      <c r="M3" s="142">
        <v>2030</v>
      </c>
      <c r="N3" s="142" t="s">
        <v>265</v>
      </c>
      <c r="O3" s="141">
        <v>2016</v>
      </c>
    </row>
    <row r="4" spans="1:15" x14ac:dyDescent="0.2">
      <c r="A4" s="10" t="s">
        <v>204</v>
      </c>
      <c r="B4" s="242">
        <f>((105.16/Calculations!$C$150-Calculations!I56)*Calculations!I80*Calculations!$C$150+(105.16/Calculations!$C$157-Calculations!I65)*Calculations!I89*Calculations!$C$157+(105.16/Calculations!$C$159-Calculations!I66)*Calculations!I90)/1000000</f>
        <v>0.31533336844590459</v>
      </c>
      <c r="C4" s="242">
        <f>((105.16/Calculations!$C$150-Calculations!J56)*Calculations!J80*Calculations!$C$150+(105.16/Calculations!$C$157-Calculations!J65)*Calculations!J89*Calculations!$C$157+(105.16/Calculations!$C$159-Calculations!J66)*Calculations!J90)/1000000</f>
        <v>0.44355784962446532</v>
      </c>
      <c r="D4" s="242">
        <f>((105.16/Calculations!$C$150-Calculations!K56)*Calculations!K80*Calculations!$C$150+(105.16/Calculations!$C$157-Calculations!K65)*Calculations!K89*Calculations!$C$157+(105.16/Calculations!$C$159-Calculations!K66)*Calculations!K90)/1000000</f>
        <v>0.57569500532217166</v>
      </c>
      <c r="E4" s="242">
        <f>((105.16/Calculations!$C$150-Calculations!L56)*Calculations!L80*Calculations!$C$150+(105.16/Calculations!$C$157-Calculations!L65)*Calculations!L89*Calculations!$C$157+(105.16/Calculations!$C$159-Calculations!L66)*Calculations!L90)/1000000</f>
        <v>0.7804998961896078</v>
      </c>
      <c r="F4" s="242">
        <f>((105.16/Calculations!$C$150-Calculations!M56)*Calculations!M80*Calculations!$C$150+(105.16/Calculations!$C$157-Calculations!M65)*Calculations!M89*Calculations!$C$157+(105.16/Calculations!$C$159-Calculations!M66)*Calculations!M90)/1000000</f>
        <v>1.0596194365461225</v>
      </c>
      <c r="G4" s="242">
        <f>((105.16/Calculations!$C$150-Calculations!N56)*Calculations!N80*Calculations!$C$150+(105.16/Calculations!$C$157-Calculations!N65)*Calculations!N89*Calculations!$C$157+(105.16/Calculations!$C$159-Calculations!N66)*Calculations!N90)/1000000</f>
        <v>1.457702395386608</v>
      </c>
      <c r="H4" s="242">
        <f>((105.16/Calculations!$C$150-Calculations!O56)*Calculations!O80*Calculations!$C$150+(105.16/Calculations!$C$157-Calculations!O65)*Calculations!O89*Calculations!$C$157+(105.16/Calculations!$C$159-Calculations!O66)*Calculations!O90)/1000000</f>
        <v>1.9571576870919261</v>
      </c>
      <c r="I4" s="242">
        <f>((105.16/Calculations!$C$150-Calculations!P56)*Calculations!P80*Calculations!$C$150+(105.16/Calculations!$C$157-Calculations!P65)*Calculations!P89*Calculations!$C$157+(105.16/Calculations!$C$159-Calculations!P66)*Calculations!P90)/1000000</f>
        <v>2.5540262899845936</v>
      </c>
      <c r="J4" s="242">
        <f>((105.16/Calculations!$C$150-Calculations!Q56)*Calculations!Q80*Calculations!$C$150+(105.16/Calculations!$C$157-Calculations!Q65)*Calculations!Q89*Calculations!$C$157+(105.16/Calculations!$C$159-Calculations!Q66)*Calculations!Q90)/1000000</f>
        <v>3.2718728947871867</v>
      </c>
      <c r="K4" s="242">
        <f>((105.16/Calculations!$C$150-Calculations!R56)*Calculations!R80*Calculations!$C$150+(105.16/Calculations!$C$157-Calculations!R65)*Calculations!R89*Calculations!$C$157+(105.16/Calculations!$C$159-Calculations!R66)*Calculations!R90)/1000000</f>
        <v>4.1090083455416204</v>
      </c>
      <c r="L4" s="242">
        <f>((105.16/Calculations!$C$150-Calculations!S56)*Calculations!S80*Calculations!$C$150+(105.16/Calculations!$C$157-Calculations!S65)*Calculations!S89*Calculations!$C$157+(105.16/Calculations!$C$159-Calculations!S66)*Calculations!S90)/1000000</f>
        <v>5.0907991092966665</v>
      </c>
      <c r="M4" s="242">
        <f>((105.16/Calculations!$C$150-Calculations!T56)*Calculations!T80*Calculations!$C$150+(105.16/Calculations!$C$157-Calculations!T65)*Calculations!T89*Calculations!$C$157+(105.16/Calculations!$C$159-Calculations!T66)*Calculations!T90)/1000000</f>
        <v>6.2016926416980631</v>
      </c>
      <c r="O4" s="242">
        <f>((105.16/Calculations!$C$150-Calculations!V56)*Calculations!V80*Calculations!$C$150+(105.16/Calculations!$C$157-Calculations!V65)*Calculations!V89*Calculations!$C$157+(105.16/Calculations!$C$159-Calculations!V66)*Calculations!V90)/1000000</f>
        <v>0</v>
      </c>
    </row>
    <row r="5" spans="1:15" x14ac:dyDescent="0.2">
      <c r="A5" s="10" t="s">
        <v>205</v>
      </c>
      <c r="B5" s="242">
        <f>((121.43-103.36)*0.67*(Calculations!I79*Calculations!$C$151+Calculations!I88*Calculations!$C$158))/1000000</f>
        <v>3.2826201708415555E-2</v>
      </c>
      <c r="C5" s="242">
        <f>((121.43-103.36)*0.67*(Calculations!J79*Calculations!$C$151+Calculations!J88*Calculations!$C$158))/1000000</f>
        <v>3.677878374465697E-2</v>
      </c>
      <c r="D5" s="242">
        <f>((121.43-103.36)*0.67*(Calculations!K79*Calculations!$C$151+Calculations!K88*Calculations!$C$158))/1000000</f>
        <v>5.0991918598155814E-2</v>
      </c>
      <c r="E5" s="242">
        <f>((121.43-103.36)*0.67*(Calculations!L79*Calculations!$C$151+Calculations!L88*Calculations!$C$158))/1000000</f>
        <v>7.4361923056327314E-2</v>
      </c>
      <c r="F5" s="242">
        <f>((121.43-103.36)*0.67*(Calculations!M79*Calculations!$C$151+Calculations!M88*Calculations!$C$158))/1000000</f>
        <v>0.10597636076024426</v>
      </c>
      <c r="G5" s="242">
        <f>((121.43-103.36)*0.67*(Calculations!N79*Calculations!$C$151+Calculations!N88*Calculations!$C$158))/1000000</f>
        <v>0.14650004480405063</v>
      </c>
      <c r="H5" s="242">
        <f>((121.43-103.36)*0.67*(Calculations!O79*Calculations!$C$151+Calculations!O88*Calculations!$C$158))/1000000</f>
        <v>0.19477322433819155</v>
      </c>
      <c r="I5" s="242">
        <f>((121.43-103.36)*0.67*(Calculations!P79*Calculations!$C$151+Calculations!P88*Calculations!$C$158))/1000000</f>
        <v>0.24971581172800031</v>
      </c>
      <c r="J5" s="242">
        <f>((121.43-103.36)*0.67*(Calculations!Q79*Calculations!$C$151+Calculations!Q88*Calculations!$C$158))/1000000</f>
        <v>0.31237175089566688</v>
      </c>
      <c r="K5" s="242">
        <f>((121.43-103.36)*0.67*(Calculations!R79*Calculations!$C$151+Calculations!R88*Calculations!$C$158))/1000000</f>
        <v>0.38250373001605115</v>
      </c>
      <c r="L5" s="242">
        <f>((121.43-103.36)*0.67*(Calculations!S79*Calculations!$C$151+Calculations!S88*Calculations!$C$158))/1000000</f>
        <v>0.45954930775146285</v>
      </c>
      <c r="M5" s="242">
        <f>((121.43-103.36)*0.67*(Calculations!T79*Calculations!$C$151+Calculations!T88*Calculations!$C$158))/1000000</f>
        <v>0.54169164138318016</v>
      </c>
      <c r="O5" s="242">
        <f>((121.43-103.36)*0.67*(Calculations!F79*Calculations!$C$151+Calculations!F88*Calculations!$C$158))/1000000</f>
        <v>0</v>
      </c>
    </row>
    <row r="6" spans="1:15" x14ac:dyDescent="0.2">
      <c r="A6" s="10" t="s">
        <v>206</v>
      </c>
      <c r="B6" s="242">
        <f>(Calculations!I60-Calculations!I61)*Calculations!I62*Calculations!I87/1000000</f>
        <v>6.595040421589525E-2</v>
      </c>
      <c r="C6" s="242">
        <f>(Calculations!J60-Calculations!J61)*Calculations!J62*Calculations!J87/1000000</f>
        <v>9.0597378626288347E-2</v>
      </c>
      <c r="D6" s="242">
        <f>(Calculations!K60-Calculations!K61)*Calculations!K62*Calculations!K87/1000000</f>
        <v>0.12671567217426788</v>
      </c>
      <c r="E6" s="242">
        <f>(Calculations!L60-Calculations!L61)*Calculations!L62*Calculations!L87/1000000</f>
        <v>0.18196718859507155</v>
      </c>
      <c r="F6" s="242">
        <f>(Calculations!M60-Calculations!M61)*Calculations!M62*Calculations!M87/1000000</f>
        <v>0.43175221809304248</v>
      </c>
      <c r="G6" s="242">
        <f>(Calculations!N60-Calculations!N61)*Calculations!N62*Calculations!N87/1000000</f>
        <v>0.90090639999999977</v>
      </c>
      <c r="H6" s="242">
        <f>(Calculations!O60-Calculations!O61)*Calculations!O62*Calculations!O87/1000000</f>
        <v>0.91416960000000003</v>
      </c>
      <c r="I6" s="242">
        <f>(Calculations!P60-Calculations!P61)*Calculations!P62*Calculations!P87/1000000</f>
        <v>1.286139553092841</v>
      </c>
      <c r="J6" s="242">
        <f>(Calculations!Q60-Calculations!Q61)*Calculations!Q62*Calculations!Q87/1000000</f>
        <v>1.8075635686286124</v>
      </c>
      <c r="K6" s="242">
        <f>(Calculations!R60-Calculations!R61)*Calculations!R62*Calculations!R87/1000000</f>
        <v>2.5329315878833252</v>
      </c>
      <c r="L6" s="242">
        <f>(Calculations!S60-Calculations!S61)*Calculations!S62*Calculations!S87/1000000</f>
        <v>2.6079091500000002</v>
      </c>
      <c r="M6" s="242">
        <f>(Calculations!T60-Calculations!T61)*Calculations!T62*Calculations!T87/1000000</f>
        <v>2.6589559500000006</v>
      </c>
      <c r="O6" s="242">
        <f>(Calculations!F60-Calculations!F61)*Calculations!F62*Calculations!F87/1000000</f>
        <v>0</v>
      </c>
    </row>
    <row r="7" spans="1:15" x14ac:dyDescent="0.2">
      <c r="A7" s="10" t="s">
        <v>207</v>
      </c>
      <c r="B7" s="242">
        <f>Calculations!I121</f>
        <v>0.17948537901053283</v>
      </c>
      <c r="C7" s="242">
        <f>Calculations!J121</f>
        <v>0.2168216468817187</v>
      </c>
      <c r="D7" s="242">
        <f>Calculations!K121</f>
        <v>0.22248434412204002</v>
      </c>
      <c r="E7" s="242">
        <f>Calculations!L121</f>
        <v>0.21719725185522001</v>
      </c>
      <c r="F7" s="242">
        <f>Calculations!M121</f>
        <v>0.21191015958839995</v>
      </c>
      <c r="G7" s="242">
        <f>Calculations!N121</f>
        <v>0.20662306732157998</v>
      </c>
      <c r="H7" s="242">
        <f>Calculations!O121</f>
        <v>0.20058067615950001</v>
      </c>
      <c r="I7" s="242">
        <f>Calculations!P121</f>
        <v>0.19453828499741999</v>
      </c>
      <c r="J7" s="242">
        <f>Calculations!Q121</f>
        <v>0.18849589383533999</v>
      </c>
      <c r="K7" s="242">
        <f>Calculations!R121</f>
        <v>0.18245350267325997</v>
      </c>
      <c r="L7" s="242">
        <f>Calculations!S121</f>
        <v>0.17641111151117997</v>
      </c>
      <c r="M7" s="242">
        <f>Calculations!T121</f>
        <v>0.17036872034909997</v>
      </c>
      <c r="O7" s="242">
        <f>Calculations!F121</f>
        <v>0</v>
      </c>
    </row>
    <row r="8" spans="1:15" x14ac:dyDescent="0.2">
      <c r="A8" s="10" t="s">
        <v>208</v>
      </c>
      <c r="B8" s="242">
        <f>((80-Calculations!I51)*Calculations!I75+(50-Calculations!I52)*Calculations!I76+(40-Calculations!I53)*Calculations!I77)/1000000</f>
        <v>1.4605478058347179</v>
      </c>
      <c r="C8" s="242">
        <f>((80-Calculations!J51)*Calculations!J75+(50-Calculations!J52)*Calculations!J76+(40-Calculations!J53)*Calculations!J77)/1000000</f>
        <v>1.5382290423313176</v>
      </c>
      <c r="D8" s="242">
        <f>((80-Calculations!K51)*Calculations!K75+(50-Calculations!K52)*Calculations!K76+(40-Calculations!K53)*Calculations!K77)/1000000</f>
        <v>1.6065365428305176</v>
      </c>
      <c r="E8" s="242">
        <f>((80-Calculations!L51)*Calculations!L75+(50-Calculations!L52)*Calculations!L76+(40-Calculations!L53)*Calculations!L77)/1000000</f>
        <v>1.8586771734195886</v>
      </c>
      <c r="F8" s="242">
        <f>((80-Calculations!M51)*Calculations!M75+(50-Calculations!M52)*Calculations!M76+(40-Calculations!M53)*Calculations!M77)/1000000</f>
        <v>2.0881307711649346</v>
      </c>
      <c r="G8" s="242">
        <f>((80-Calculations!N51)*Calculations!N75+(50-Calculations!N52)*Calculations!N76+(40-Calculations!N53)*Calculations!N77)/1000000</f>
        <v>2.3338149348485673</v>
      </c>
      <c r="H8" s="242">
        <f>((80-Calculations!O51)*Calculations!O75+(50-Calculations!O52)*Calculations!O76+(40-Calculations!O53)*Calculations!O77)/1000000</f>
        <v>2.5300328281788493</v>
      </c>
      <c r="I8" s="242">
        <f>((80-Calculations!P51)*Calculations!P75+(50-Calculations!P52)*Calculations!P76+(40-Calculations!P53)*Calculations!P77)/1000000</f>
        <v>2.7453504180162414</v>
      </c>
      <c r="J8" s="242">
        <f>((80-Calculations!Q51)*Calculations!Q75+(50-Calculations!Q52)*Calculations!Q76+(40-Calculations!Q53)*Calculations!Q77)/1000000</f>
        <v>2.968450040017526</v>
      </c>
      <c r="K8" s="242">
        <f>((80-Calculations!R51)*Calculations!R75+(50-Calculations!R52)*Calculations!R76+(40-Calculations!R53)*Calculations!R77)/1000000</f>
        <v>3.2044390573280244</v>
      </c>
      <c r="L8" s="242">
        <f>((80-Calculations!S51)*Calculations!S75+(50-Calculations!S52)*Calculations!S76+(40-Calculations!S53)*Calculations!S77)/1000000</f>
        <v>3.2552183677806146</v>
      </c>
      <c r="M8" s="242">
        <f>((80-Calculations!T51)*Calculations!T75+(50-Calculations!T52)*Calculations!T76+(40-Calculations!T53)*Calculations!T77)/1000000</f>
        <v>3.335329731346369</v>
      </c>
      <c r="O8" s="242">
        <f>((80-Calculations!F51)*Calculations!F75+(50-Calculations!F52)*Calculations!F76+(40-Calculations!F53)*Calculations!F77)/1000000</f>
        <v>1.161142554</v>
      </c>
    </row>
    <row r="9" spans="1:15" x14ac:dyDescent="0.2">
      <c r="A9" s="256" t="s">
        <v>209</v>
      </c>
      <c r="B9" s="242">
        <f>(55-Calculations!I57)*Calculations!I84*Calculations!$C$155/1000000</f>
        <v>0.71482105702582099</v>
      </c>
      <c r="C9" s="242">
        <f>(55-Calculations!J57)*Calculations!J84*Calculations!$C$155/1000000</f>
        <v>0.79375725629511484</v>
      </c>
      <c r="D9" s="242">
        <f>(55-Calculations!K57)*Calculations!K84*Calculations!$C$155/1000000</f>
        <v>0.94672643516155963</v>
      </c>
      <c r="E9" s="242">
        <f>(55-Calculations!L57)*Calculations!L84*Calculations!$C$155/1000000</f>
        <v>1.1000734324648167</v>
      </c>
      <c r="F9" s="242">
        <f>(55-Calculations!M57)*Calculations!M84*Calculations!$C$155/1000000</f>
        <v>1.2528114903513476</v>
      </c>
      <c r="G9" s="242">
        <f>(55-Calculations!N57)*Calculations!N84*Calculations!$C$155/1000000</f>
        <v>1.4024409463914769</v>
      </c>
      <c r="H9" s="242">
        <f>(55-Calculations!O57)*Calculations!O84*Calculations!$C$155/1000000</f>
        <v>1.5441073270274306</v>
      </c>
      <c r="I9" s="242">
        <f>(55-Calculations!P57)*Calculations!P84*Calculations!$C$155/1000000</f>
        <v>1.5356623553034277</v>
      </c>
      <c r="J9" s="242">
        <f>(55-Calculations!Q57)*Calculations!Q84*Calculations!$C$155/1000000</f>
        <v>1.5234505637933697</v>
      </c>
      <c r="K9" s="242">
        <f>(55-Calculations!R57)*Calculations!R84*Calculations!$C$155/1000000</f>
        <v>1.5125040901043658</v>
      </c>
      <c r="L9" s="242">
        <f>(55-Calculations!S57)*Calculations!S84*Calculations!$C$155/1000000</f>
        <v>1.500779727037042</v>
      </c>
      <c r="M9" s="242">
        <f>(55-Calculations!T57)*Calculations!T84*Calculations!$C$155/1000000</f>
        <v>1.4918703260378101</v>
      </c>
      <c r="O9" s="242">
        <f>(55-Calculations!F57)*Calculations!F84*Calculations!$C$155/1000000</f>
        <v>0.78249482653297009</v>
      </c>
    </row>
    <row r="10" spans="1:15" x14ac:dyDescent="0.2">
      <c r="A10" s="256" t="s">
        <v>210</v>
      </c>
      <c r="B10" s="242">
        <f>(55-Calculations!I58)*Calculations!I85*Calculations!$C$155/1000000</f>
        <v>2.0532000021900894</v>
      </c>
      <c r="C10" s="242">
        <f>(55-Calculations!J58)*Calculations!J85*Calculations!$C$155/1000000</f>
        <v>2.5378769314890515</v>
      </c>
      <c r="D10" s="242">
        <f>(55-Calculations!K58)*Calculations!K85*Calculations!$C$155/1000000</f>
        <v>2.8200914481475836</v>
      </c>
      <c r="E10" s="242">
        <f>(55-Calculations!L58)*Calculations!L85*Calculations!$C$155/1000000</f>
        <v>3.1037362810208782</v>
      </c>
      <c r="F10" s="242">
        <f>(55-Calculations!M58)*Calculations!M85*Calculations!$C$155/1000000</f>
        <v>3.2565486129090018</v>
      </c>
      <c r="G10" s="242">
        <f>(55-Calculations!N58)*Calculations!N85*Calculations!$C$155/1000000</f>
        <v>3.2808875006464531</v>
      </c>
      <c r="H10" s="242">
        <f>(55-Calculations!O58)*Calculations!O85*Calculations!$C$155/1000000</f>
        <v>3.3126369041177468</v>
      </c>
      <c r="I10" s="242">
        <f>(55-Calculations!P58)*Calculations!P85*Calculations!$C$155/1000000</f>
        <v>3.2189196831669138</v>
      </c>
      <c r="J10" s="242">
        <f>(55-Calculations!Q58)*Calculations!Q85*Calculations!$C$155/1000000</f>
        <v>3.135965804532201</v>
      </c>
      <c r="K10" s="242">
        <f>(55-Calculations!R58)*Calculations!R85*Calculations!$C$155/1000000</f>
        <v>3.0656833956997307</v>
      </c>
      <c r="L10" s="242">
        <f>(55-Calculations!S58)*Calculations!S85*Calculations!$C$155/1000000</f>
        <v>3.0101030267356683</v>
      </c>
      <c r="M10" s="242">
        <f>(55-Calculations!T58)*Calculations!T85*Calculations!$C$155/1000000</f>
        <v>2.9713459845822596</v>
      </c>
      <c r="O10" s="242">
        <f>(55-Calculations!F58)*Calculations!F85*Calculations!$C$155/1000000</f>
        <v>0.61789374900000005</v>
      </c>
    </row>
    <row r="11" spans="1:15" x14ac:dyDescent="0.2">
      <c r="A11" s="10" t="s">
        <v>211</v>
      </c>
      <c r="B11" s="242">
        <f>Calculations!I123</f>
        <v>0</v>
      </c>
      <c r="C11" s="242">
        <f>Calculations!J123</f>
        <v>0</v>
      </c>
      <c r="D11" s="242">
        <f>Calculations!K123</f>
        <v>0</v>
      </c>
      <c r="E11" s="242">
        <f>Calculations!L123</f>
        <v>0</v>
      </c>
      <c r="F11" s="242">
        <f>Calculations!M123</f>
        <v>0</v>
      </c>
      <c r="G11" s="242">
        <f>Calculations!N123</f>
        <v>0</v>
      </c>
      <c r="H11" s="242">
        <f>Calculations!O123</f>
        <v>0</v>
      </c>
      <c r="I11" s="242">
        <f>Calculations!P123</f>
        <v>0</v>
      </c>
      <c r="J11" s="242">
        <f>Calculations!Q123</f>
        <v>0</v>
      </c>
      <c r="K11" s="242">
        <f>Calculations!R123</f>
        <v>0</v>
      </c>
      <c r="L11" s="242">
        <f>Calculations!S123</f>
        <v>0</v>
      </c>
      <c r="M11" s="242">
        <f>Calculations!T123</f>
        <v>0</v>
      </c>
      <c r="O11" s="242">
        <f>Calculations!F123</f>
        <v>0</v>
      </c>
    </row>
    <row r="12" spans="1:15" x14ac:dyDescent="0.2">
      <c r="A12" s="10" t="s">
        <v>212</v>
      </c>
      <c r="B12" s="242">
        <f>Calculations!I134+Calculations!I135</f>
        <v>0.84353055446800873</v>
      </c>
      <c r="C12" s="242">
        <f>Calculations!J134+Calculations!J135</f>
        <v>1.5071898842543212</v>
      </c>
      <c r="D12" s="242">
        <f>Calculations!K134+Calculations!K135</f>
        <v>1.6178170494722779</v>
      </c>
      <c r="E12" s="242">
        <f>Calculations!L134+Calculations!L135</f>
        <v>1.6547699632425881</v>
      </c>
      <c r="F12" s="242">
        <f>Calculations!M134+Calculations!M135</f>
        <v>1.8065168713476707</v>
      </c>
      <c r="G12" s="242">
        <f>Calculations!N134+Calculations!N135</f>
        <v>1.9465597012660663</v>
      </c>
      <c r="H12" s="242">
        <f>Calculations!O134+Calculations!O135</f>
        <v>2.0887851601680638</v>
      </c>
      <c r="I12" s="242">
        <f>Calculations!P134+Calculations!P135</f>
        <v>2.222532939958763</v>
      </c>
      <c r="J12" s="242">
        <f>Calculations!Q134+Calculations!Q135</f>
        <v>2.3623629781657329</v>
      </c>
      <c r="K12" s="242">
        <f>Calculations!R134+Calculations!R135</f>
        <v>2.5012645906351896</v>
      </c>
      <c r="L12" s="242">
        <f>Calculations!S134+Calculations!S135</f>
        <v>2.588264679472827</v>
      </c>
      <c r="M12" s="242">
        <f>Calculations!T134+Calculations!T135</f>
        <v>2.6727000781761339</v>
      </c>
      <c r="O12" s="242">
        <f>Calculations!F134+Calculations!F135</f>
        <v>0</v>
      </c>
    </row>
    <row r="13" spans="1:15" x14ac:dyDescent="0.2">
      <c r="A13" s="10" t="s">
        <v>213</v>
      </c>
      <c r="B13" s="242">
        <f>Calculations!I136</f>
        <v>0.02</v>
      </c>
      <c r="C13" s="242">
        <f>Calculations!J136</f>
        <v>0.25</v>
      </c>
      <c r="D13" s="242">
        <f>Calculations!K136</f>
        <v>0.375</v>
      </c>
      <c r="E13" s="242">
        <f>Calculations!L136</f>
        <v>0.5</v>
      </c>
      <c r="F13" s="242">
        <f>Calculations!M136</f>
        <v>0.625</v>
      </c>
      <c r="G13" s="242">
        <f>Calculations!N136</f>
        <v>0.75</v>
      </c>
      <c r="H13" s="242">
        <f>Calculations!O136</f>
        <v>0.875</v>
      </c>
      <c r="I13" s="242">
        <f>Calculations!P136</f>
        <v>1</v>
      </c>
      <c r="J13" s="242">
        <f>Calculations!Q136</f>
        <v>1</v>
      </c>
      <c r="K13" s="242">
        <f>Calculations!R136</f>
        <v>1</v>
      </c>
      <c r="L13" s="242">
        <f>Calculations!S136</f>
        <v>1</v>
      </c>
      <c r="M13" s="242">
        <f>Calculations!T136</f>
        <v>1</v>
      </c>
      <c r="O13" s="242">
        <f>Calculations!F136</f>
        <v>1E-3</v>
      </c>
    </row>
    <row r="14" spans="1:15" x14ac:dyDescent="0.2">
      <c r="A14" s="10" t="s">
        <v>203</v>
      </c>
      <c r="B14" s="272">
        <f t="shared" ref="B14:M14" si="0">SUM(B4:B13)</f>
        <v>5.6856947728993852</v>
      </c>
      <c r="C14" s="272">
        <f t="shared" si="0"/>
        <v>7.4148087732469339</v>
      </c>
      <c r="D14" s="272">
        <f t="shared" si="0"/>
        <v>8.3420584158285731</v>
      </c>
      <c r="E14" s="272">
        <f t="shared" si="0"/>
        <v>9.4712831098440979</v>
      </c>
      <c r="F14" s="272">
        <f t="shared" si="0"/>
        <v>10.838265920760765</v>
      </c>
      <c r="G14" s="272">
        <f t="shared" si="0"/>
        <v>12.425434990664801</v>
      </c>
      <c r="H14" s="272">
        <f t="shared" si="0"/>
        <v>13.617243407081707</v>
      </c>
      <c r="I14" s="272">
        <f t="shared" si="0"/>
        <v>15.006885336248201</v>
      </c>
      <c r="J14" s="272">
        <f t="shared" si="0"/>
        <v>16.570533494655635</v>
      </c>
      <c r="K14" s="272">
        <f t="shared" si="0"/>
        <v>18.490788299881565</v>
      </c>
      <c r="L14" s="272">
        <f t="shared" si="0"/>
        <v>19.689034479585459</v>
      </c>
      <c r="M14" s="272">
        <f t="shared" si="0"/>
        <v>21.043955073572917</v>
      </c>
      <c r="N14" s="272">
        <f>SUM(B14:M14)</f>
        <v>158.59598607427006</v>
      </c>
      <c r="O14" s="272">
        <f>SUM(O4:O13)</f>
        <v>2.56253112953297</v>
      </c>
    </row>
    <row r="18" spans="1:29" x14ac:dyDescent="0.2">
      <c r="A18" s="10" t="s">
        <v>218</v>
      </c>
      <c r="P18" s="10" t="s">
        <v>217</v>
      </c>
    </row>
    <row r="19" spans="1:29" x14ac:dyDescent="0.2">
      <c r="B19" s="141">
        <v>2019</v>
      </c>
      <c r="C19" s="141">
        <v>2020</v>
      </c>
      <c r="D19" s="141">
        <v>2021</v>
      </c>
      <c r="E19" s="141">
        <v>2022</v>
      </c>
      <c r="F19" s="141">
        <v>2023</v>
      </c>
      <c r="G19" s="141">
        <v>2024</v>
      </c>
      <c r="H19" s="141">
        <v>2025</v>
      </c>
      <c r="I19" s="142">
        <v>2026</v>
      </c>
      <c r="J19" s="142">
        <v>2027</v>
      </c>
      <c r="K19" s="142">
        <v>2028</v>
      </c>
      <c r="L19" s="142">
        <v>2029</v>
      </c>
      <c r="M19" s="142">
        <v>2030</v>
      </c>
      <c r="N19" s="142" t="s">
        <v>265</v>
      </c>
      <c r="Q19" s="141">
        <v>2019</v>
      </c>
      <c r="R19" s="141">
        <v>2020</v>
      </c>
      <c r="S19" s="141">
        <v>2021</v>
      </c>
      <c r="T19" s="141">
        <v>2022</v>
      </c>
      <c r="U19" s="141">
        <v>2023</v>
      </c>
      <c r="V19" s="141">
        <v>2024</v>
      </c>
      <c r="W19" s="141">
        <v>2025</v>
      </c>
      <c r="X19" s="142">
        <v>2026</v>
      </c>
      <c r="Y19" s="142">
        <v>2027</v>
      </c>
      <c r="Z19" s="142">
        <v>2028</v>
      </c>
      <c r="AA19" s="142">
        <v>2029</v>
      </c>
      <c r="AB19" s="142">
        <v>2030</v>
      </c>
      <c r="AC19" s="142" t="s">
        <v>265</v>
      </c>
    </row>
    <row r="20" spans="1:29" x14ac:dyDescent="0.2">
      <c r="A20" t="s">
        <v>174</v>
      </c>
      <c r="B20" s="257">
        <v>4.3045217185633691</v>
      </c>
      <c r="C20" s="257">
        <v>5.6283184481791944</v>
      </c>
      <c r="D20" s="257">
        <v>7.6382866040580577</v>
      </c>
      <c r="E20" s="257">
        <v>9.6517066095434441</v>
      </c>
      <c r="F20" s="257">
        <v>11.209385459188486</v>
      </c>
      <c r="G20" s="257">
        <v>12.485197172260222</v>
      </c>
      <c r="H20" s="257">
        <v>14.009752992130142</v>
      </c>
      <c r="I20" s="257">
        <v>15.150126126711097</v>
      </c>
      <c r="J20" s="257">
        <v>15.806253153041689</v>
      </c>
      <c r="K20" s="257">
        <v>16.941927278142181</v>
      </c>
      <c r="L20" s="257">
        <v>17.139638915811204</v>
      </c>
      <c r="M20" s="257">
        <v>17.834294118753586</v>
      </c>
      <c r="N20" s="242">
        <v>147.79940859638265</v>
      </c>
      <c r="P20" t="s">
        <v>174</v>
      </c>
      <c r="Q20" s="242">
        <v>13.144897731494545</v>
      </c>
      <c r="R20" s="242">
        <v>15.258599877333239</v>
      </c>
      <c r="S20" s="242">
        <v>18.04815193872065</v>
      </c>
      <c r="T20" s="242">
        <v>20.823973075569217</v>
      </c>
      <c r="U20" s="242">
        <v>22.783149428020224</v>
      </c>
      <c r="V20" s="242">
        <v>24.5175600490828</v>
      </c>
      <c r="W20" s="242">
        <v>26.243331423739907</v>
      </c>
      <c r="X20" s="242">
        <v>27.053563257466926</v>
      </c>
      <c r="Y20" s="242">
        <v>27.646222909201377</v>
      </c>
      <c r="Z20" s="242">
        <v>29.083514488692348</v>
      </c>
      <c r="AA20" s="242">
        <v>29.184067015506152</v>
      </c>
      <c r="AB20" s="242">
        <v>30.069659351511646</v>
      </c>
      <c r="AC20" s="242">
        <f>SUM(Q20:AB20)</f>
        <v>283.85669054633905</v>
      </c>
    </row>
    <row r="21" spans="1:29" x14ac:dyDescent="0.2">
      <c r="A21" t="s">
        <v>214</v>
      </c>
      <c r="B21" s="257">
        <v>3.9850375176210608</v>
      </c>
      <c r="C21" s="257">
        <v>5.1772128526559014</v>
      </c>
      <c r="D21" s="257">
        <v>6.4167300110696601</v>
      </c>
      <c r="E21" s="257">
        <v>7.2687473370863174</v>
      </c>
      <c r="F21" s="257">
        <v>7.8984266499683171</v>
      </c>
      <c r="G21" s="257">
        <v>8.4468985525697136</v>
      </c>
      <c r="H21" s="257">
        <v>8.5755500313885324</v>
      </c>
      <c r="I21" s="257">
        <v>7.1383206179475351</v>
      </c>
      <c r="J21" s="257">
        <v>6.3738290501254617</v>
      </c>
      <c r="K21" s="257">
        <v>5.7458671252365328</v>
      </c>
      <c r="L21" s="257">
        <v>5.4578023645685363</v>
      </c>
      <c r="M21" s="257">
        <v>5.4663903482497984</v>
      </c>
      <c r="N21" s="242">
        <v>77.950812458487363</v>
      </c>
      <c r="P21" t="s">
        <v>214</v>
      </c>
      <c r="Q21" s="242">
        <v>12.484760568504697</v>
      </c>
      <c r="R21" s="242">
        <v>14.064472928533963</v>
      </c>
      <c r="S21" s="242">
        <v>16.419819481928922</v>
      </c>
      <c r="T21" s="242">
        <v>18.434727636715177</v>
      </c>
      <c r="U21" s="242">
        <v>19.915550519466464</v>
      </c>
      <c r="V21" s="242">
        <v>21.415012340007106</v>
      </c>
      <c r="W21" s="242">
        <v>22.26697557346192</v>
      </c>
      <c r="X21" s="242">
        <v>19.613898996928558</v>
      </c>
      <c r="Y21" s="242">
        <v>18.453275185373613</v>
      </c>
      <c r="Z21" s="242">
        <v>17.522257655337583</v>
      </c>
      <c r="AA21" s="242">
        <v>17.657631726279877</v>
      </c>
      <c r="AB21" s="242">
        <v>18.063899100483685</v>
      </c>
      <c r="AC21" s="242">
        <f t="shared" ref="AC21:AC22" si="1">SUM(Q21:AB21)</f>
        <v>216.31228171302155</v>
      </c>
    </row>
    <row r="22" spans="1:29" x14ac:dyDescent="0.2">
      <c r="B22" s="141">
        <v>2019</v>
      </c>
      <c r="C22" s="141">
        <v>2020</v>
      </c>
      <c r="D22" s="141">
        <v>2021</v>
      </c>
      <c r="E22" s="141">
        <v>2022</v>
      </c>
      <c r="F22" s="141">
        <v>2023</v>
      </c>
      <c r="G22" s="141">
        <v>2024</v>
      </c>
      <c r="H22" s="141">
        <v>2025</v>
      </c>
      <c r="I22" s="142">
        <v>2026</v>
      </c>
      <c r="J22" s="142">
        <v>2027</v>
      </c>
      <c r="K22" s="142">
        <v>2028</v>
      </c>
      <c r="L22" s="142">
        <v>2029</v>
      </c>
      <c r="M22" s="142">
        <v>2030</v>
      </c>
      <c r="N22" s="142" t="s">
        <v>265</v>
      </c>
      <c r="P22" t="s">
        <v>219</v>
      </c>
      <c r="Q22" s="242">
        <f>Q20-Q21</f>
        <v>0.66013716298984804</v>
      </c>
      <c r="R22" s="242">
        <f t="shared" ref="R22:AB22" si="2">R20-R21</f>
        <v>1.1941269487992763</v>
      </c>
      <c r="S22" s="242">
        <f t="shared" si="2"/>
        <v>1.6283324567917283</v>
      </c>
      <c r="T22" s="242">
        <f t="shared" si="2"/>
        <v>2.3892454388540401</v>
      </c>
      <c r="U22" s="242">
        <f t="shared" si="2"/>
        <v>2.8675989085537594</v>
      </c>
      <c r="V22" s="242">
        <f t="shared" si="2"/>
        <v>3.1025477090756937</v>
      </c>
      <c r="W22" s="242">
        <f t="shared" si="2"/>
        <v>3.9763558502779865</v>
      </c>
      <c r="X22" s="242">
        <f t="shared" si="2"/>
        <v>7.4396642605383683</v>
      </c>
      <c r="Y22" s="242">
        <f t="shared" si="2"/>
        <v>9.1929477238277642</v>
      </c>
      <c r="Z22" s="242">
        <f t="shared" si="2"/>
        <v>11.561256833354765</v>
      </c>
      <c r="AA22" s="242">
        <f t="shared" si="2"/>
        <v>11.526435289226274</v>
      </c>
      <c r="AB22" s="242">
        <f t="shared" si="2"/>
        <v>12.005760251027962</v>
      </c>
      <c r="AC22" s="242">
        <f t="shared" si="1"/>
        <v>67.544408833317462</v>
      </c>
    </row>
    <row r="23" spans="1:29" x14ac:dyDescent="0.2">
      <c r="A23" t="s">
        <v>215</v>
      </c>
      <c r="B23" s="242">
        <v>4.4024986034014537</v>
      </c>
      <c r="C23" s="242">
        <v>5.921947719214665</v>
      </c>
      <c r="D23" s="242">
        <v>8.402011233422348</v>
      </c>
      <c r="E23" s="242">
        <v>10.992895635667539</v>
      </c>
      <c r="F23" s="242">
        <v>13.215207371221535</v>
      </c>
      <c r="G23" s="242">
        <v>15.436400032362268</v>
      </c>
      <c r="H23" s="242">
        <v>17.157131963541151</v>
      </c>
      <c r="I23" s="242">
        <v>18.624782073790094</v>
      </c>
      <c r="J23" s="242">
        <v>20.237839796505565</v>
      </c>
      <c r="K23" s="242">
        <v>21.735917374490931</v>
      </c>
      <c r="L23" s="242">
        <v>23.258303189294828</v>
      </c>
      <c r="M23" s="242">
        <v>24.298918169372083</v>
      </c>
      <c r="N23" s="242">
        <v>183.68385316228446</v>
      </c>
    </row>
    <row r="24" spans="1:29" x14ac:dyDescent="0.2">
      <c r="A24" t="s">
        <v>214</v>
      </c>
      <c r="B24" s="242">
        <v>3.9850375176210608</v>
      </c>
      <c r="C24" s="242">
        <v>5.1772128526559014</v>
      </c>
      <c r="D24" s="242">
        <v>6.4167300110696601</v>
      </c>
      <c r="E24" s="242">
        <v>7.2687473370863174</v>
      </c>
      <c r="F24" s="242">
        <v>7.8984266499683171</v>
      </c>
      <c r="G24" s="242">
        <v>8.4468985525697136</v>
      </c>
      <c r="H24" s="242">
        <v>8.5755500313885324</v>
      </c>
      <c r="I24" s="242">
        <v>7.1383206179475351</v>
      </c>
      <c r="J24" s="242">
        <v>6.3738290501254617</v>
      </c>
      <c r="K24" s="242">
        <v>5.7458671252365328</v>
      </c>
      <c r="L24" s="242">
        <v>5.4578023645685363</v>
      </c>
      <c r="M24" s="242">
        <v>5.4663903482497984</v>
      </c>
      <c r="N24" s="242">
        <v>77.950812458487363</v>
      </c>
      <c r="Q24" s="242"/>
      <c r="R24" s="242"/>
      <c r="S24" s="242"/>
      <c r="T24" s="242"/>
      <c r="U24" s="242"/>
      <c r="V24" s="242"/>
      <c r="W24" s="242"/>
      <c r="X24" s="242"/>
      <c r="Y24" s="242"/>
      <c r="Z24" s="242"/>
      <c r="AA24" s="242"/>
      <c r="AB24" s="242"/>
    </row>
    <row r="25" spans="1:29" x14ac:dyDescent="0.2">
      <c r="B25" s="141">
        <v>2019</v>
      </c>
      <c r="C25" s="141">
        <v>2020</v>
      </c>
      <c r="D25" s="141">
        <v>2021</v>
      </c>
      <c r="E25" s="141">
        <v>2022</v>
      </c>
      <c r="F25" s="141">
        <v>2023</v>
      </c>
      <c r="G25" s="141">
        <v>2024</v>
      </c>
      <c r="H25" s="141">
        <v>2025</v>
      </c>
      <c r="I25" s="142">
        <v>2026</v>
      </c>
      <c r="J25" s="142">
        <v>2027</v>
      </c>
      <c r="K25" s="142">
        <v>2028</v>
      </c>
      <c r="L25" s="142">
        <v>2029</v>
      </c>
      <c r="M25" s="142">
        <v>2030</v>
      </c>
      <c r="N25" s="142" t="s">
        <v>265</v>
      </c>
    </row>
    <row r="26" spans="1:29" x14ac:dyDescent="0.2">
      <c r="A26" t="s">
        <v>216</v>
      </c>
      <c r="B26" s="242">
        <v>4.3984523730776228</v>
      </c>
      <c r="C26" s="242">
        <v>5.9092062612856093</v>
      </c>
      <c r="D26" s="242">
        <v>8.2223309252502208</v>
      </c>
      <c r="E26" s="242">
        <v>10.551706609543444</v>
      </c>
      <c r="F26" s="242">
        <v>12.416155257607558</v>
      </c>
      <c r="G26" s="242">
        <v>13.998736769098374</v>
      </c>
      <c r="H26" s="242">
        <v>15.232247015437366</v>
      </c>
      <c r="I26" s="242">
        <v>15.318429141387398</v>
      </c>
      <c r="J26" s="242">
        <v>15.567963412887066</v>
      </c>
      <c r="K26" s="242">
        <v>15.576444397656632</v>
      </c>
      <c r="L26" s="242">
        <v>15.497360677244728</v>
      </c>
      <c r="M26" s="242">
        <v>16.199739446906186</v>
      </c>
      <c r="N26" s="242">
        <v>148.88877228738221</v>
      </c>
    </row>
    <row r="27" spans="1:29" x14ac:dyDescent="0.2">
      <c r="A27" t="s">
        <v>214</v>
      </c>
      <c r="B27" s="242">
        <v>3.9850375176210608</v>
      </c>
      <c r="C27" s="242">
        <v>5.1772128526559014</v>
      </c>
      <c r="D27" s="242">
        <v>6.4167300110696601</v>
      </c>
      <c r="E27" s="242">
        <v>7.2687473370863174</v>
      </c>
      <c r="F27" s="242">
        <v>7.8984266499683171</v>
      </c>
      <c r="G27" s="242">
        <v>8.4468985525697136</v>
      </c>
      <c r="H27" s="242">
        <v>8.5755500313885324</v>
      </c>
      <c r="I27" s="242">
        <v>7.1383206179475351</v>
      </c>
      <c r="J27" s="242">
        <v>6.3738290501254617</v>
      </c>
      <c r="K27" s="242">
        <v>5.7458671252365328</v>
      </c>
      <c r="L27" s="242">
        <v>5.4578023645685363</v>
      </c>
      <c r="M27" s="242">
        <v>5.4663903482497984</v>
      </c>
      <c r="N27" s="242">
        <v>77.950812458487363</v>
      </c>
    </row>
    <row r="28" spans="1:29" x14ac:dyDescent="0.2">
      <c r="A28" s="10" t="s">
        <v>220</v>
      </c>
    </row>
    <row r="29" spans="1:29" x14ac:dyDescent="0.2">
      <c r="B29" s="141">
        <v>2019</v>
      </c>
      <c r="C29" s="141">
        <v>2020</v>
      </c>
      <c r="D29" s="141">
        <v>2021</v>
      </c>
      <c r="E29" s="141">
        <v>2022</v>
      </c>
      <c r="F29" s="141">
        <v>2023</v>
      </c>
      <c r="G29" s="141">
        <v>2024</v>
      </c>
      <c r="H29" s="141">
        <v>2025</v>
      </c>
      <c r="I29" s="142">
        <v>2026</v>
      </c>
      <c r="J29" s="142">
        <v>2027</v>
      </c>
      <c r="K29" s="142">
        <v>2028</v>
      </c>
      <c r="L29" s="142">
        <v>2029</v>
      </c>
      <c r="M29" s="142">
        <v>2030</v>
      </c>
      <c r="N29" s="142" t="s">
        <v>268</v>
      </c>
    </row>
    <row r="30" spans="1:29" x14ac:dyDescent="0.2">
      <c r="A30" t="s">
        <v>215</v>
      </c>
      <c r="B30" s="257">
        <f>B23-B24</f>
        <v>0.41746108578039287</v>
      </c>
      <c r="C30" s="257">
        <f t="shared" ref="C30:N30" si="3">C23-C24</f>
        <v>0.74473486655876364</v>
      </c>
      <c r="D30" s="257">
        <f t="shared" si="3"/>
        <v>1.9852812223526879</v>
      </c>
      <c r="E30" s="257">
        <f t="shared" si="3"/>
        <v>3.7241482985812215</v>
      </c>
      <c r="F30" s="257">
        <f t="shared" si="3"/>
        <v>5.3167807212532177</v>
      </c>
      <c r="G30" s="257">
        <f t="shared" si="3"/>
        <v>6.9895014797925548</v>
      </c>
      <c r="H30" s="257">
        <f t="shared" si="3"/>
        <v>8.5815819321526181</v>
      </c>
      <c r="I30" s="257">
        <f t="shared" si="3"/>
        <v>11.486461455842559</v>
      </c>
      <c r="J30" s="257">
        <f t="shared" si="3"/>
        <v>13.864010746380103</v>
      </c>
      <c r="K30" s="257">
        <f t="shared" si="3"/>
        <v>15.990050249254399</v>
      </c>
      <c r="L30" s="257">
        <f t="shared" si="3"/>
        <v>17.800500824726292</v>
      </c>
      <c r="M30" s="257">
        <f t="shared" si="3"/>
        <v>18.832527821122284</v>
      </c>
      <c r="N30" s="242">
        <f t="shared" si="3"/>
        <v>105.7330407037971</v>
      </c>
      <c r="O30" s="242"/>
    </row>
    <row r="31" spans="1:29" x14ac:dyDescent="0.2">
      <c r="A31" t="s">
        <v>216</v>
      </c>
      <c r="B31" s="257">
        <f t="shared" ref="B31:N31" si="4">B26-B27</f>
        <v>0.41341485545656198</v>
      </c>
      <c r="C31" s="257">
        <f t="shared" si="4"/>
        <v>0.73199340862970796</v>
      </c>
      <c r="D31" s="257">
        <f t="shared" si="4"/>
        <v>1.8056009141805607</v>
      </c>
      <c r="E31" s="257">
        <f t="shared" si="4"/>
        <v>3.282959272457127</v>
      </c>
      <c r="F31" s="257">
        <f t="shared" si="4"/>
        <v>4.5177286076392411</v>
      </c>
      <c r="G31" s="257">
        <f t="shared" si="4"/>
        <v>5.5518382165286599</v>
      </c>
      <c r="H31" s="257">
        <f t="shared" si="4"/>
        <v>6.6566969840488337</v>
      </c>
      <c r="I31" s="257">
        <f t="shared" si="4"/>
        <v>8.1801085234398627</v>
      </c>
      <c r="J31" s="257">
        <f t="shared" si="4"/>
        <v>9.1941343627616039</v>
      </c>
      <c r="K31" s="257">
        <f t="shared" si="4"/>
        <v>9.8305772724200988</v>
      </c>
      <c r="L31" s="257">
        <f t="shared" si="4"/>
        <v>10.039558312676192</v>
      </c>
      <c r="M31" s="257">
        <f t="shared" si="4"/>
        <v>10.733349098656387</v>
      </c>
      <c r="N31" s="242">
        <f t="shared" si="4"/>
        <v>70.937959828894847</v>
      </c>
      <c r="O31" s="242"/>
    </row>
    <row r="32" spans="1:29" x14ac:dyDescent="0.2">
      <c r="A32" t="s">
        <v>174</v>
      </c>
      <c r="B32" s="257">
        <f t="shared" ref="B32:N32" si="5">B20-B21</f>
        <v>0.31948420094230823</v>
      </c>
      <c r="C32" s="257">
        <f t="shared" si="5"/>
        <v>0.45110559552329299</v>
      </c>
      <c r="D32" s="257">
        <f t="shared" si="5"/>
        <v>1.2215565929883976</v>
      </c>
      <c r="E32" s="257">
        <f t="shared" si="5"/>
        <v>2.3829592724571267</v>
      </c>
      <c r="F32" s="257">
        <f t="shared" si="5"/>
        <v>3.3109588092201685</v>
      </c>
      <c r="G32" s="257">
        <f t="shared" si="5"/>
        <v>4.038298619690508</v>
      </c>
      <c r="H32" s="257">
        <f t="shared" si="5"/>
        <v>5.4342029607416098</v>
      </c>
      <c r="I32" s="257">
        <f t="shared" si="5"/>
        <v>8.0118055087635618</v>
      </c>
      <c r="J32" s="257">
        <f t="shared" si="5"/>
        <v>9.4324241029162277</v>
      </c>
      <c r="K32" s="257">
        <f t="shared" si="5"/>
        <v>11.196060152905648</v>
      </c>
      <c r="L32" s="257">
        <f t="shared" si="5"/>
        <v>11.681836551242668</v>
      </c>
      <c r="M32" s="257">
        <f t="shared" si="5"/>
        <v>12.367903770503787</v>
      </c>
      <c r="N32" s="242">
        <f t="shared" si="5"/>
        <v>69.848596137895285</v>
      </c>
    </row>
    <row r="42" spans="16:31" x14ac:dyDescent="0.2">
      <c r="P42" s="10" t="s">
        <v>221</v>
      </c>
    </row>
    <row r="43" spans="16:31" x14ac:dyDescent="0.2">
      <c r="Q43" s="141">
        <v>2019</v>
      </c>
      <c r="R43" s="141">
        <v>2020</v>
      </c>
      <c r="S43" s="141">
        <v>2021</v>
      </c>
      <c r="T43" s="141">
        <v>2022</v>
      </c>
      <c r="U43" s="141">
        <v>2023</v>
      </c>
      <c r="V43" s="141">
        <v>2024</v>
      </c>
      <c r="W43" s="141">
        <v>2025</v>
      </c>
      <c r="X43" s="142">
        <v>2026</v>
      </c>
      <c r="Y43" s="142">
        <v>2027</v>
      </c>
      <c r="Z43" s="142">
        <v>2028</v>
      </c>
      <c r="AA43" s="142">
        <v>2029</v>
      </c>
      <c r="AB43" s="142">
        <v>2030</v>
      </c>
      <c r="AC43" s="142" t="s">
        <v>265</v>
      </c>
      <c r="AD43" t="s">
        <v>222</v>
      </c>
      <c r="AE43" t="s">
        <v>223</v>
      </c>
    </row>
    <row r="44" spans="16:31" x14ac:dyDescent="0.2">
      <c r="P44" t="s">
        <v>215</v>
      </c>
      <c r="Q44" s="242">
        <v>-15.624437285854134</v>
      </c>
      <c r="R44" s="242">
        <v>-18.926843492335873</v>
      </c>
      <c r="S44" s="242">
        <v>-21.941209658630378</v>
      </c>
      <c r="T44" s="242">
        <v>-24.487355113416676</v>
      </c>
      <c r="U44" s="242">
        <v>-26.470789549055468</v>
      </c>
      <c r="V44" s="242">
        <v>-28.104811365428738</v>
      </c>
      <c r="W44" s="242">
        <v>-29.464564098949165</v>
      </c>
      <c r="X44" s="242">
        <v>-30.564284377684551</v>
      </c>
      <c r="Y44" s="242">
        <v>-31.686078259762937</v>
      </c>
      <c r="Z44" s="242">
        <v>-32.725582217153097</v>
      </c>
      <c r="AA44" s="242">
        <v>-33.706342595119168</v>
      </c>
      <c r="AB44" s="242">
        <v>-34.611655440813081</v>
      </c>
      <c r="AC44" s="242">
        <f>SUM(Q44:AB44)</f>
        <v>-328.31395345420322</v>
      </c>
      <c r="AD44" s="242">
        <f>AC44-AC46</f>
        <v>-41.278263207433838</v>
      </c>
      <c r="AE44" s="242">
        <f>AC44-AC47</f>
        <v>-108.18407918085671</v>
      </c>
    </row>
    <row r="45" spans="16:31" x14ac:dyDescent="0.2">
      <c r="P45" t="s">
        <v>216</v>
      </c>
      <c r="Q45" s="242">
        <v>-17.259692874325633</v>
      </c>
      <c r="R45" s="242">
        <v>-22.076352671867834</v>
      </c>
      <c r="S45" s="242">
        <v>-22.034057861695505</v>
      </c>
      <c r="T45" s="242">
        <v>-21.943512703306997</v>
      </c>
      <c r="U45" s="242">
        <v>-22.892259292619944</v>
      </c>
      <c r="V45" s="242">
        <v>-23.569077742580301</v>
      </c>
      <c r="W45" s="242">
        <v>-24.055473233063264</v>
      </c>
      <c r="X45" s="242">
        <v>-24.943735760518585</v>
      </c>
      <c r="Y45" s="242">
        <v>-25.772069195823551</v>
      </c>
      <c r="Z45" s="242">
        <v>-26.629819661855638</v>
      </c>
      <c r="AA45" s="242">
        <v>-27.530624146814429</v>
      </c>
      <c r="AB45" s="242">
        <v>-28.20650258336757</v>
      </c>
      <c r="AC45" s="242">
        <f t="shared" ref="AC45:AC47" si="6">SUM(Q45:AB45)</f>
        <v>-286.91317772783924</v>
      </c>
      <c r="AD45" s="242">
        <f>AC45-AC46</f>
        <v>0.12251251893013659</v>
      </c>
      <c r="AE45" s="242">
        <f>AC45-AC47</f>
        <v>-66.783303454492739</v>
      </c>
    </row>
    <row r="46" spans="16:31" x14ac:dyDescent="0.2">
      <c r="P46" t="s">
        <v>174</v>
      </c>
      <c r="Q46" s="242">
        <v>-14.806809491618397</v>
      </c>
      <c r="R46" s="242">
        <v>-17.352088902569882</v>
      </c>
      <c r="S46" s="242">
        <v>-19.664576908686598</v>
      </c>
      <c r="T46" s="242">
        <v>-21.660471847572502</v>
      </c>
      <c r="U46" s="242">
        <v>-23.019899143743615</v>
      </c>
      <c r="V46" s="242">
        <v>-24.144513399859481</v>
      </c>
      <c r="W46" s="242">
        <v>-25.11961698905656</v>
      </c>
      <c r="X46" s="242">
        <v>-26.147738502024922</v>
      </c>
      <c r="Y46" s="242">
        <v>-27.28275677177481</v>
      </c>
      <c r="Z46" s="242">
        <v>-28.191387495848094</v>
      </c>
      <c r="AA46" s="242">
        <v>-29.364746656804726</v>
      </c>
      <c r="AB46" s="242">
        <v>-30.281084137209803</v>
      </c>
      <c r="AC46" s="242">
        <f t="shared" si="6"/>
        <v>-287.03569024676938</v>
      </c>
    </row>
    <row r="47" spans="16:31" x14ac:dyDescent="0.2">
      <c r="P47" t="s">
        <v>214</v>
      </c>
      <c r="Q47" s="242">
        <v>-17.259692874325633</v>
      </c>
      <c r="R47" s="242">
        <v>-21.359420315548558</v>
      </c>
      <c r="S47" s="242">
        <v>-20.710091872527656</v>
      </c>
      <c r="T47" s="242">
        <v>-20.088568742841264</v>
      </c>
      <c r="U47" s="242">
        <v>-19.487786038795047</v>
      </c>
      <c r="V47" s="242">
        <v>-18.721725488448261</v>
      </c>
      <c r="W47" s="242">
        <v>-17.853372182615804</v>
      </c>
      <c r="X47" s="242">
        <v>-17.498529526520588</v>
      </c>
      <c r="Y47" s="242">
        <v>-17.208814174476792</v>
      </c>
      <c r="Z47" s="242">
        <v>-16.954628590390371</v>
      </c>
      <c r="AA47" s="242">
        <v>-16.63203035085472</v>
      </c>
      <c r="AB47" s="242">
        <v>-16.355214116001775</v>
      </c>
      <c r="AC47" s="242">
        <f t="shared" si="6"/>
        <v>-220.1298742733465</v>
      </c>
    </row>
    <row r="51" spans="1:15" x14ac:dyDescent="0.2">
      <c r="A51" s="10" t="s">
        <v>226</v>
      </c>
    </row>
    <row r="52" spans="1:15" x14ac:dyDescent="0.2">
      <c r="B52" s="141">
        <v>2019</v>
      </c>
      <c r="C52" s="141">
        <v>2020</v>
      </c>
      <c r="D52" s="141">
        <v>2021</v>
      </c>
      <c r="E52" s="141">
        <v>2022</v>
      </c>
      <c r="F52" s="141">
        <v>2023</v>
      </c>
      <c r="G52" s="141">
        <v>2024</v>
      </c>
      <c r="H52" s="141">
        <v>2025</v>
      </c>
      <c r="I52" s="142">
        <v>2026</v>
      </c>
      <c r="J52" s="142">
        <v>2027</v>
      </c>
      <c r="K52" s="142">
        <v>2028</v>
      </c>
      <c r="L52" s="142">
        <v>2029</v>
      </c>
      <c r="M52" s="142">
        <v>2030</v>
      </c>
      <c r="N52" s="142" t="s">
        <v>265</v>
      </c>
    </row>
    <row r="53" spans="1:15" x14ac:dyDescent="0.2">
      <c r="A53" t="s">
        <v>174</v>
      </c>
      <c r="B53" s="257">
        <v>4.3045217185633691</v>
      </c>
      <c r="C53" s="257">
        <v>5.6283184481791944</v>
      </c>
      <c r="D53" s="257">
        <v>7.6382866040580577</v>
      </c>
      <c r="E53" s="257">
        <v>9.6517066095434441</v>
      </c>
      <c r="F53" s="257">
        <v>11.209385459188486</v>
      </c>
      <c r="G53" s="257">
        <v>12.485197172260222</v>
      </c>
      <c r="H53" s="257">
        <v>14.009752992130142</v>
      </c>
      <c r="I53" s="257">
        <v>15.150126126711097</v>
      </c>
      <c r="J53" s="257">
        <v>15.806253153041689</v>
      </c>
      <c r="K53" s="257">
        <v>16.941927278142181</v>
      </c>
      <c r="L53" s="257">
        <v>17.139638915811204</v>
      </c>
      <c r="M53" s="257">
        <v>17.834294118753586</v>
      </c>
      <c r="N53" s="242">
        <f>SUM(B53:M53)</f>
        <v>147.79940859638265</v>
      </c>
    </row>
    <row r="54" spans="1:15" x14ac:dyDescent="0.2">
      <c r="A54" t="s">
        <v>224</v>
      </c>
      <c r="B54" s="257">
        <v>3.9850375176210608</v>
      </c>
      <c r="C54" s="257">
        <v>5.1772128526559014</v>
      </c>
      <c r="D54" s="257">
        <v>6.4167300110696601</v>
      </c>
      <c r="E54" s="257">
        <v>7.2687473370863174</v>
      </c>
      <c r="F54" s="257">
        <v>7.8984266499683171</v>
      </c>
      <c r="G54" s="257">
        <v>8.4468985525697136</v>
      </c>
      <c r="H54" s="257">
        <v>8.5755500313885324</v>
      </c>
      <c r="I54" s="257">
        <v>7.1383206179475351</v>
      </c>
      <c r="J54" s="257">
        <v>6.3738290501254617</v>
      </c>
      <c r="K54" s="257">
        <v>5.7458671252365328</v>
      </c>
      <c r="L54" s="257">
        <v>5.4578023645685363</v>
      </c>
      <c r="M54" s="257">
        <v>5.4663903482497984</v>
      </c>
      <c r="N54" s="242">
        <f t="shared" ref="N54:N55" si="7">SUM(B54:M54)</f>
        <v>77.950812458487363</v>
      </c>
      <c r="O54" s="242"/>
    </row>
    <row r="55" spans="1:15" x14ac:dyDescent="0.2">
      <c r="A55" t="s">
        <v>225</v>
      </c>
      <c r="B55" s="257">
        <v>2.56253112953297</v>
      </c>
      <c r="C55" s="257">
        <v>2.56253112953297</v>
      </c>
      <c r="D55" s="257">
        <v>2.56253112953297</v>
      </c>
      <c r="E55" s="257">
        <v>2.56253112953297</v>
      </c>
      <c r="F55" s="257">
        <v>2.56253112953297</v>
      </c>
      <c r="G55" s="257">
        <v>2.56253112953297</v>
      </c>
      <c r="H55" s="257">
        <v>2.56253112953297</v>
      </c>
      <c r="I55" s="257">
        <v>2.56253112953297</v>
      </c>
      <c r="J55" s="257">
        <v>2.56253112953297</v>
      </c>
      <c r="K55" s="257">
        <v>2.56253112953297</v>
      </c>
      <c r="L55" s="257">
        <v>2.56253112953297</v>
      </c>
      <c r="M55" s="257">
        <v>2.56253112953297</v>
      </c>
      <c r="N55" s="242">
        <f t="shared" si="7"/>
        <v>30.750373554395647</v>
      </c>
      <c r="O55" s="242"/>
    </row>
    <row r="75" spans="1:15" x14ac:dyDescent="0.2">
      <c r="A75" s="10" t="s">
        <v>218</v>
      </c>
    </row>
    <row r="76" spans="1:15" x14ac:dyDescent="0.2">
      <c r="B76" s="141">
        <v>2019</v>
      </c>
      <c r="C76" s="141">
        <v>2020</v>
      </c>
      <c r="D76" s="141">
        <v>2021</v>
      </c>
      <c r="E76" s="141">
        <v>2022</v>
      </c>
      <c r="F76" s="141">
        <v>2023</v>
      </c>
      <c r="G76" s="141">
        <v>2024</v>
      </c>
      <c r="H76" s="141">
        <v>2025</v>
      </c>
      <c r="I76" s="142">
        <v>2026</v>
      </c>
      <c r="J76" s="142">
        <v>2027</v>
      </c>
      <c r="K76" s="142">
        <v>2028</v>
      </c>
      <c r="L76" s="142">
        <v>2029</v>
      </c>
      <c r="M76" s="142">
        <v>2030</v>
      </c>
      <c r="N76" s="142" t="s">
        <v>265</v>
      </c>
    </row>
    <row r="77" spans="1:15" x14ac:dyDescent="0.2">
      <c r="A77" t="s">
        <v>258</v>
      </c>
      <c r="B77" s="257">
        <v>4.3045217185633691</v>
      </c>
      <c r="C77" s="257">
        <v>5.6283184481791944</v>
      </c>
      <c r="D77" s="257">
        <v>7.6382866040580577</v>
      </c>
      <c r="E77" s="257">
        <v>9.9758316095434445</v>
      </c>
      <c r="F77" s="257">
        <v>11.338740529868424</v>
      </c>
      <c r="G77" s="257">
        <v>12.389284397939146</v>
      </c>
      <c r="H77" s="257">
        <v>13.336442114769254</v>
      </c>
      <c r="I77" s="257">
        <v>14.250514892793415</v>
      </c>
      <c r="J77" s="257">
        <v>14.227017919243121</v>
      </c>
      <c r="K77" s="257">
        <v>14.488918406738588</v>
      </c>
      <c r="L77" s="257">
        <v>14.833947683251491</v>
      </c>
      <c r="M77" s="257">
        <v>15.273976923100145</v>
      </c>
      <c r="N77" s="257">
        <f>SUM(B77:M77)</f>
        <v>137.68580124804765</v>
      </c>
      <c r="O77" s="257">
        <f>N77-N78</f>
        <v>64.916537791145501</v>
      </c>
    </row>
    <row r="78" spans="1:15" x14ac:dyDescent="0.2">
      <c r="A78" t="s">
        <v>259</v>
      </c>
      <c r="B78" s="257">
        <v>3.9850375176210608</v>
      </c>
      <c r="C78" s="257">
        <v>5.1772128526559014</v>
      </c>
      <c r="D78" s="257">
        <v>6.4167300110696601</v>
      </c>
      <c r="E78" s="257">
        <v>7.2687473370863174</v>
      </c>
      <c r="F78" s="257">
        <v>7.9094550215430539</v>
      </c>
      <c r="G78" s="257">
        <v>8.4847862855182203</v>
      </c>
      <c r="H78" s="257">
        <v>7.5091675112474743</v>
      </c>
      <c r="I78" s="257">
        <v>6.5957829357849427</v>
      </c>
      <c r="J78" s="257">
        <v>6.0046950082081292</v>
      </c>
      <c r="K78" s="257">
        <v>5.1682792968882367</v>
      </c>
      <c r="L78" s="257">
        <v>4.3712582770552704</v>
      </c>
      <c r="M78" s="257">
        <v>3.8781114022238818</v>
      </c>
      <c r="N78" s="257">
        <f>SUM(B78:M78)</f>
        <v>72.769263456902152</v>
      </c>
    </row>
    <row r="80" spans="1:15" x14ac:dyDescent="0.2">
      <c r="A80" s="10" t="s">
        <v>218</v>
      </c>
    </row>
    <row r="81" spans="1:15" x14ac:dyDescent="0.2">
      <c r="B81" s="141">
        <v>2019</v>
      </c>
      <c r="C81" s="141">
        <v>2020</v>
      </c>
      <c r="D81" s="141">
        <v>2021</v>
      </c>
      <c r="E81" s="141">
        <v>2022</v>
      </c>
      <c r="F81" s="141">
        <v>2023</v>
      </c>
      <c r="G81" s="141">
        <v>2024</v>
      </c>
      <c r="H81" s="141">
        <v>2025</v>
      </c>
      <c r="I81" s="142">
        <v>2026</v>
      </c>
      <c r="J81" s="142">
        <v>2027</v>
      </c>
      <c r="K81" s="142">
        <v>2028</v>
      </c>
      <c r="L81" s="142">
        <v>2029</v>
      </c>
      <c r="M81" s="142">
        <v>2030</v>
      </c>
      <c r="N81" s="142" t="s">
        <v>265</v>
      </c>
    </row>
    <row r="82" spans="1:15" x14ac:dyDescent="0.2">
      <c r="A82" t="s">
        <v>175</v>
      </c>
      <c r="B82" s="257">
        <v>4.4383252649009002</v>
      </c>
      <c r="C82" s="257">
        <v>5.9355828988289847</v>
      </c>
      <c r="D82" s="257">
        <v>8.6615004684355981</v>
      </c>
      <c r="E82" s="257">
        <v>11.08985577210508</v>
      </c>
      <c r="F82" s="257">
        <v>13.307983008483976</v>
      </c>
      <c r="G82" s="257">
        <v>15.3164547504576</v>
      </c>
      <c r="H82" s="257">
        <v>16.867243652135251</v>
      </c>
      <c r="I82" s="257">
        <v>18.312889702391551</v>
      </c>
      <c r="J82" s="257">
        <v>19.603755507780967</v>
      </c>
      <c r="K82" s="257">
        <v>20.907898070210766</v>
      </c>
      <c r="L82" s="257">
        <v>22.074343829341476</v>
      </c>
      <c r="M82" s="257">
        <v>23.128586980260277</v>
      </c>
      <c r="N82" s="257">
        <f>SUM(B82:M82)</f>
        <v>179.64441990533243</v>
      </c>
      <c r="O82" s="257">
        <f>N82-N83</f>
        <v>85.125411163247776</v>
      </c>
    </row>
    <row r="83" spans="1:15" x14ac:dyDescent="0.2">
      <c r="A83" t="s">
        <v>260</v>
      </c>
      <c r="B83" s="257">
        <v>4.0188410639585914</v>
      </c>
      <c r="C83" s="257">
        <v>5.2608734533056927</v>
      </c>
      <c r="D83" s="257">
        <v>6.5868668644267228</v>
      </c>
      <c r="E83" s="257">
        <v>7.786949047881933</v>
      </c>
      <c r="F83" s="257">
        <v>8.591959977128333</v>
      </c>
      <c r="G83" s="257">
        <v>9.4113170223231037</v>
      </c>
      <c r="H83" s="257">
        <v>9.7536392787163315</v>
      </c>
      <c r="I83" s="257">
        <v>10.110527163060659</v>
      </c>
      <c r="J83" s="257">
        <v>9.52850227475842</v>
      </c>
      <c r="K83" s="257">
        <v>8.7870101143684547</v>
      </c>
      <c r="L83" s="257">
        <v>7.8814841904048922</v>
      </c>
      <c r="M83" s="257">
        <v>6.80103829175152</v>
      </c>
      <c r="N83" s="257">
        <f>SUM(B83:M83)</f>
        <v>94.519008742084651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C000"/>
  </sheetPr>
  <dimension ref="A1:Q65"/>
  <sheetViews>
    <sheetView workbookViewId="0"/>
  </sheetViews>
  <sheetFormatPr baseColWidth="10" defaultColWidth="8.83203125" defaultRowHeight="15" x14ac:dyDescent="0.2"/>
  <cols>
    <col min="1" max="1" width="20.33203125" bestFit="1" customWidth="1"/>
    <col min="2" max="2" width="13.5" bestFit="1" customWidth="1"/>
    <col min="3" max="4" width="13.5" customWidth="1"/>
    <col min="5" max="5" width="13.6640625" bestFit="1" customWidth="1"/>
    <col min="17" max="17" width="11.1640625" bestFit="1" customWidth="1"/>
  </cols>
  <sheetData>
    <row r="1" spans="1:17" x14ac:dyDescent="0.2">
      <c r="B1" s="239" t="s">
        <v>172</v>
      </c>
      <c r="C1" s="239"/>
      <c r="D1" s="239"/>
      <c r="E1" s="239"/>
      <c r="F1" s="239"/>
      <c r="G1" s="239"/>
    </row>
    <row r="2" spans="1:17" x14ac:dyDescent="0.2">
      <c r="B2" s="3">
        <v>2016</v>
      </c>
      <c r="C2" s="3">
        <v>2017</v>
      </c>
      <c r="D2" s="3">
        <v>2018</v>
      </c>
      <c r="E2" s="3">
        <v>2019</v>
      </c>
      <c r="F2" s="3">
        <v>2020</v>
      </c>
      <c r="G2" s="3">
        <v>2021</v>
      </c>
      <c r="H2" s="3">
        <v>2022</v>
      </c>
      <c r="I2" s="3">
        <v>2023</v>
      </c>
      <c r="J2" s="3">
        <v>2024</v>
      </c>
      <c r="K2" s="3">
        <v>2025</v>
      </c>
      <c r="L2" s="16">
        <v>2026</v>
      </c>
      <c r="M2" s="16">
        <v>2027</v>
      </c>
      <c r="N2" s="16">
        <v>2028</v>
      </c>
      <c r="O2" s="16">
        <v>2029</v>
      </c>
      <c r="P2" s="16">
        <v>2030</v>
      </c>
      <c r="Q2" s="16" t="s">
        <v>265</v>
      </c>
    </row>
    <row r="3" spans="1:17" x14ac:dyDescent="0.2">
      <c r="A3" t="s">
        <v>5</v>
      </c>
      <c r="B3" s="241">
        <f>(Calculations!F79+Calculations!F88)/Calculations!$C$173</f>
        <v>0</v>
      </c>
      <c r="C3" s="241">
        <f>(Calculations!G79+Calculations!G88)/Calculations!$C$173</f>
        <v>7.1156251174649583</v>
      </c>
      <c r="D3" s="241">
        <f>(Calculations!H79+Calculations!H88)/Calculations!$C$173</f>
        <v>8.2538998056871602</v>
      </c>
      <c r="E3" s="241">
        <f>(Calculations!I79+Calculations!I88)/Calculations!$C$173</f>
        <v>9.3632498762131444</v>
      </c>
      <c r="F3" s="241">
        <f>(Calculations!J79+Calculations!J88)/Calculations!$C$173</f>
        <v>10.490672829081673</v>
      </c>
      <c r="G3" s="241">
        <f>(Calculations!K79+Calculations!K88)/Calculations!$C$173</f>
        <v>14.544785892168898</v>
      </c>
      <c r="H3" s="241">
        <f>(Calculations!L79+Calculations!L88)/Calculations!$C$173</f>
        <v>21.210777690238459</v>
      </c>
      <c r="I3" s="241">
        <f>(Calculations!M79+Calculations!M88)/Calculations!$C$173</f>
        <v>30.228387541879023</v>
      </c>
      <c r="J3" s="241">
        <f>(Calculations!N79+Calculations!N88)/Calculations!$C$173</f>
        <v>41.787244791866499</v>
      </c>
      <c r="K3" s="241">
        <f>(Calculations!O79+Calculations!O88)/Calculations!$C$173</f>
        <v>55.556545495992253</v>
      </c>
      <c r="L3" s="241">
        <f>(Calculations!P79+Calculations!P88)/Calculations!$C$173</f>
        <v>71.228208612732658</v>
      </c>
      <c r="M3" s="241">
        <f>(Calculations!Q79+Calculations!Q88)/Calculations!$C$173</f>
        <v>89.100005656655384</v>
      </c>
      <c r="N3" s="241">
        <f>(Calculations!R79+Calculations!R88)/Calculations!$C$173</f>
        <v>109.10424649604479</v>
      </c>
      <c r="O3" s="241">
        <f>(Calculations!S79+Calculations!S88)/Calculations!$C$173</f>
        <v>131.08050200686503</v>
      </c>
      <c r="P3" s="241">
        <f>(Calculations!T79+Calculations!T88)/Calculations!$C$173</f>
        <v>154.51054127978705</v>
      </c>
      <c r="Q3" s="241">
        <f>SUM(E3:P3)</f>
        <v>738.20516816952477</v>
      </c>
    </row>
    <row r="4" spans="1:17" x14ac:dyDescent="0.2">
      <c r="A4" t="s">
        <v>63</v>
      </c>
      <c r="B4" s="241">
        <f>(Calculations!F80+Calculations!F89+Calculations!F90)/115.83</f>
        <v>60.388514547000135</v>
      </c>
      <c r="C4" s="241">
        <f>(Calculations!G80+Calculations!G89+Calculations!G90)/115.83</f>
        <v>78.563236235802037</v>
      </c>
      <c r="D4" s="241">
        <f>(Calculations!H80+Calculations!H89+Calculations!H90)/115.83</f>
        <v>85.357906554230581</v>
      </c>
      <c r="E4" s="241">
        <f>(Calculations!I80+Calculations!I89+Calculations!I90)/115.83</f>
        <v>92.165162252429965</v>
      </c>
      <c r="F4" s="241">
        <f>(Calculations!J80+Calculations!J89+Calculations!J90)/115.83</f>
        <v>99.476035048824102</v>
      </c>
      <c r="G4" s="241">
        <f>(Calculations!K80+Calculations!K89+Calculations!K90)/115.83</f>
        <v>116.46183317860823</v>
      </c>
      <c r="H4" s="241">
        <f>(Calculations!L80+Calculations!L89+Calculations!L90)/115.83</f>
        <v>142.31461093379281</v>
      </c>
      <c r="I4" s="241">
        <f>(Calculations!M80+Calculations!M89+Calculations!M90)/115.83</f>
        <v>175.93249803885519</v>
      </c>
      <c r="J4" s="241">
        <f>(Calculations!N80+Calculations!N89+Calculations!N90)/115.83</f>
        <v>222.01735442956016</v>
      </c>
      <c r="K4" s="241">
        <f>(Calculations!O80+Calculations!O89+Calculations!O90)/115.83</f>
        <v>276.4435031703315</v>
      </c>
      <c r="L4" s="241">
        <f>(Calculations!P80+Calculations!P89+Calculations!P90)/115.83</f>
        <v>337.36004180284641</v>
      </c>
      <c r="M4" s="241">
        <f>(Calculations!Q80+Calculations!Q89+Calculations!Q90)/115.83</f>
        <v>406.3590581309312</v>
      </c>
      <c r="N4" s="241">
        <f>(Calculations!R80+Calculations!R89+Calculations!R90)/115.83</f>
        <v>481.91867677920465</v>
      </c>
      <c r="O4" s="241">
        <f>(Calculations!S80+Calculations!S89+Calculations!S90)/115.83</f>
        <v>565.58823846830501</v>
      </c>
      <c r="P4" s="241">
        <f>(Calculations!T80+Calculations!T89+Calculations!T90)/115.83</f>
        <v>654.48721784318036</v>
      </c>
      <c r="Q4" s="241">
        <f t="shared" ref="Q4:Q11" si="0">SUM(E4:P4)</f>
        <v>3570.5242300768696</v>
      </c>
    </row>
    <row r="5" spans="1:17" x14ac:dyDescent="0.2">
      <c r="A5" t="s">
        <v>1</v>
      </c>
      <c r="B5" s="241">
        <f>(Calculations!F85)/115.83</f>
        <v>278.70888370888372</v>
      </c>
      <c r="C5" s="241">
        <f>(Calculations!G85)/115.83</f>
        <v>406.32392299058967</v>
      </c>
      <c r="D5" s="241">
        <f>(Calculations!H85)/115.83</f>
        <v>561.66361216501116</v>
      </c>
      <c r="E5" s="241">
        <f>(Calculations!I85)/115.83</f>
        <v>709.0391097954207</v>
      </c>
      <c r="F5" s="241">
        <f>(Calculations!J85)/115.83</f>
        <v>876.41437675526242</v>
      </c>
      <c r="G5" s="241">
        <f>(Calculations!K85)/115.83</f>
        <v>973.87255396618616</v>
      </c>
      <c r="H5" s="241">
        <f>(Calculations!L85)/115.83</f>
        <v>1071.8246675372109</v>
      </c>
      <c r="I5" s="241">
        <f>(Calculations!M85)/115.83</f>
        <v>1124.5959122538209</v>
      </c>
      <c r="J5" s="241">
        <f>(Calculations!N85)/115.83</f>
        <v>1133.0009498908582</v>
      </c>
      <c r="K5" s="241">
        <f>(Calculations!O85)/115.83</f>
        <v>1143.9650881870834</v>
      </c>
      <c r="L5" s="241">
        <f>(Calculations!P85)/115.83</f>
        <v>1111.6013755216829</v>
      </c>
      <c r="M5" s="241">
        <f>(Calculations!Q85)/115.83</f>
        <v>1082.954607453061</v>
      </c>
      <c r="N5" s="241">
        <f>(Calculations!R85)/115.83</f>
        <v>1058.6837246653649</v>
      </c>
      <c r="O5" s="241">
        <f>(Calculations!S85)/115.83</f>
        <v>1039.4899513893356</v>
      </c>
      <c r="P5" s="241">
        <f>(Calculations!T85)/115.83</f>
        <v>1026.1058394482466</v>
      </c>
      <c r="Q5" s="241">
        <f t="shared" si="0"/>
        <v>12351.548156863533</v>
      </c>
    </row>
    <row r="6" spans="1:17" x14ac:dyDescent="0.2">
      <c r="A6" t="s">
        <v>38</v>
      </c>
      <c r="B6" s="241">
        <f>Calculations!F84/115.83</f>
        <v>177.49725235452965</v>
      </c>
      <c r="C6" s="241">
        <f>Calculations!G84/115.83</f>
        <v>198.41194749293277</v>
      </c>
      <c r="D6" s="241">
        <f>Calculations!H84/115.83</f>
        <v>228.13895499535496</v>
      </c>
      <c r="E6" s="241">
        <f>Calculations!I84/115.83</f>
        <v>257.13727626184243</v>
      </c>
      <c r="F6" s="241">
        <f>Calculations!J84/115.83</f>
        <v>285.53240967190237</v>
      </c>
      <c r="G6" s="241">
        <f>Calculations!K84/115.83</f>
        <v>340.55887765171644</v>
      </c>
      <c r="H6" s="241">
        <f>Calculations!L84/115.83</f>
        <v>395.72125545512699</v>
      </c>
      <c r="I6" s="241">
        <f>Calculations!M84/115.83</f>
        <v>450.66458399930497</v>
      </c>
      <c r="J6" s="241">
        <f>Calculations!N84/115.83</f>
        <v>504.48967826105672</v>
      </c>
      <c r="K6" s="241">
        <f>Calculations!O84/115.83</f>
        <v>555.45027447819746</v>
      </c>
      <c r="L6" s="241">
        <f>Calculations!P84/115.83</f>
        <v>552.4124274451882</v>
      </c>
      <c r="M6" s="241">
        <f>Calculations!Q84/115.83</f>
        <v>548.01957027301853</v>
      </c>
      <c r="N6" s="241">
        <f>Calculations!R84/115.83</f>
        <v>544.08187649441925</v>
      </c>
      <c r="O6" s="241">
        <f>Calculations!S84/115.83</f>
        <v>539.86435834018323</v>
      </c>
      <c r="P6" s="241">
        <f>Calculations!T84/115.83</f>
        <v>536.65944560915796</v>
      </c>
      <c r="Q6" s="241">
        <f t="shared" si="0"/>
        <v>5510.592033941115</v>
      </c>
    </row>
    <row r="7" spans="1:17" x14ac:dyDescent="0.2">
      <c r="A7" t="s">
        <v>17</v>
      </c>
      <c r="B7" s="241">
        <f>Calculations!F77/115.83</f>
        <v>0</v>
      </c>
      <c r="C7" s="241">
        <f>Calculations!G77/115.83</f>
        <v>0.15645408746458353</v>
      </c>
      <c r="D7" s="241">
        <f>Calculations!H77/115.83</f>
        <v>8.2031701397551373</v>
      </c>
      <c r="E7" s="241">
        <f>Calculations!I77/115.83</f>
        <v>17.778201187268188</v>
      </c>
      <c r="F7" s="241">
        <f>Calculations!J77/115.83</f>
        <v>31.243786219494392</v>
      </c>
      <c r="G7" s="241">
        <f>Calculations!K77/115.83</f>
        <v>50.924191935702666</v>
      </c>
      <c r="H7" s="241">
        <f>Calculations!L77/115.83</f>
        <v>69.644893267529795</v>
      </c>
      <c r="I7" s="241">
        <f>Calculations!M77/115.83</f>
        <v>89.18472818926773</v>
      </c>
      <c r="J7" s="241">
        <f>Calculations!N77/115.83</f>
        <v>112.80224767149595</v>
      </c>
      <c r="K7" s="241">
        <f>Calculations!O77/115.83</f>
        <v>141.01141560212787</v>
      </c>
      <c r="L7" s="241">
        <f>Calculations!P77/115.83</f>
        <v>174.32842463037204</v>
      </c>
      <c r="M7" s="241">
        <f>Calculations!Q77/115.83</f>
        <v>213.26195019897895</v>
      </c>
      <c r="N7" s="241">
        <f>Calculations!R77/115.83</f>
        <v>258.30331469593159</v>
      </c>
      <c r="O7" s="241">
        <f>Calculations!S77/115.83</f>
        <v>309.91689818239189</v>
      </c>
      <c r="P7" s="241">
        <f>Calculations!T77/115.83</f>
        <v>368.53110580469865</v>
      </c>
      <c r="Q7" s="241">
        <f t="shared" si="0"/>
        <v>1836.9311575852598</v>
      </c>
    </row>
    <row r="8" spans="1:17" x14ac:dyDescent="0.2">
      <c r="A8" t="s">
        <v>124</v>
      </c>
      <c r="B8" s="241">
        <f>Calculations!F76/115.83</f>
        <v>22.448148148148146</v>
      </c>
      <c r="C8" s="241">
        <f>Calculations!G76/115.83</f>
        <v>62.40064307567345</v>
      </c>
      <c r="D8" s="241">
        <f>Calculations!H76/115.83</f>
        <v>81.149802751402035</v>
      </c>
      <c r="E8" s="241">
        <f>Calculations!I76/115.83</f>
        <v>98.639881784573703</v>
      </c>
      <c r="F8" s="241">
        <f>Calculations!J76/115.83</f>
        <v>138.3051723470177</v>
      </c>
      <c r="G8" s="241">
        <f>Calculations!K76/115.83</f>
        <v>139.53818087704661</v>
      </c>
      <c r="H8" s="241">
        <f>Calculations!L76/115.83</f>
        <v>140.13220721991215</v>
      </c>
      <c r="I8" s="241">
        <f>Calculations!M76/115.83</f>
        <v>139.79042217355411</v>
      </c>
      <c r="J8" s="241">
        <f>Calculations!N76/115.83</f>
        <v>137.51503473573251</v>
      </c>
      <c r="K8" s="241">
        <f>Calculations!O76/115.83</f>
        <v>133.36880289208867</v>
      </c>
      <c r="L8" s="241">
        <f>Calculations!P76/115.83</f>
        <v>127.44919731554059</v>
      </c>
      <c r="M8" s="241">
        <f>Calculations!Q76/115.83</f>
        <v>119.82444759433</v>
      </c>
      <c r="N8" s="241">
        <f>Calculations!R76/115.83</f>
        <v>110.52904717152997</v>
      </c>
      <c r="O8" s="241">
        <f>Calculations!S76/115.83</f>
        <v>99.137583719032577</v>
      </c>
      <c r="P8" s="241">
        <f>Calculations!T76/115.83</f>
        <v>84.640190033602323</v>
      </c>
      <c r="Q8" s="241">
        <f t="shared" si="0"/>
        <v>1468.8701678639609</v>
      </c>
    </row>
    <row r="9" spans="1:17" x14ac:dyDescent="0.2">
      <c r="A9" t="s">
        <v>173</v>
      </c>
      <c r="B9" s="241">
        <f>(Calculations!F75)/115.83</f>
        <v>1101.3666666666668</v>
      </c>
      <c r="C9" s="241">
        <f>(Calculations!G75)/115.83</f>
        <v>1080.4727155255343</v>
      </c>
      <c r="D9" s="241">
        <f>(Calculations!H75)/115.83</f>
        <v>1060.2524627277051</v>
      </c>
      <c r="E9" s="241">
        <f>(Calculations!I75)/115.83</f>
        <v>1020.2587846099863</v>
      </c>
      <c r="F9" s="241">
        <f>(Calculations!J75)/115.83</f>
        <v>951.9883819818873</v>
      </c>
      <c r="G9" s="241">
        <f>(Calculations!K75)/115.83</f>
        <v>911.301995167737</v>
      </c>
      <c r="H9" s="241">
        <f>(Calculations!L75)/115.83</f>
        <v>868.39832481858286</v>
      </c>
      <c r="I9" s="241">
        <f>(Calculations!M75)/115.83</f>
        <v>822.07465845828517</v>
      </c>
      <c r="J9" s="241">
        <f>(Calculations!N75)/115.83</f>
        <v>772.25086666525056</v>
      </c>
      <c r="K9" s="241">
        <f>(Calculations!O75)/115.83</f>
        <v>716.85244169486168</v>
      </c>
      <c r="L9" s="241">
        <f>(Calculations!P75)/115.83</f>
        <v>657.35851954258067</v>
      </c>
      <c r="M9" s="241">
        <f>(Calculations!Q75)/115.83</f>
        <v>594.82587371587317</v>
      </c>
      <c r="N9" s="241">
        <f>(Calculations!R75)/115.83</f>
        <v>530.01876136976205</v>
      </c>
      <c r="O9" s="241">
        <f>(Calculations!S75)/115.83</f>
        <v>461.47709768399216</v>
      </c>
      <c r="P9" s="241">
        <f>(Calculations!T75)/115.83</f>
        <v>389.56711470538062</v>
      </c>
      <c r="Q9" s="241">
        <f t="shared" si="0"/>
        <v>8696.3728204141789</v>
      </c>
    </row>
    <row r="10" spans="1:17" x14ac:dyDescent="0.2">
      <c r="A10" t="s">
        <v>169</v>
      </c>
      <c r="B10" s="241">
        <f>Calculations!F87/115.83</f>
        <v>101.000518000518</v>
      </c>
      <c r="C10" s="241">
        <f>Calculations!G87/115.83</f>
        <v>199.5374242416832</v>
      </c>
      <c r="D10" s="241">
        <f>Calculations!H87/115.83</f>
        <v>317.70414665216879</v>
      </c>
      <c r="E10" s="241">
        <f>Calculations!I87/115.83</f>
        <v>355.98060347487694</v>
      </c>
      <c r="F10" s="241">
        <f>Calculations!J87/115.83</f>
        <v>395.41039517213341</v>
      </c>
      <c r="G10" s="241">
        <f>Calculations!K87/115.83</f>
        <v>432.02112575018077</v>
      </c>
      <c r="H10" s="241">
        <f>Calculations!L87/115.83</f>
        <v>466.71921816736403</v>
      </c>
      <c r="I10" s="241">
        <f>Calculations!M87/115.83</f>
        <v>498.89096265112079</v>
      </c>
      <c r="J10" s="241">
        <f>Calculations!N87/115.83</f>
        <v>527.57266578228098</v>
      </c>
      <c r="K10" s="241">
        <f>Calculations!O87/115.83</f>
        <v>548.36735981444281</v>
      </c>
      <c r="L10" s="241">
        <f>Calculations!P87/115.83</f>
        <v>574.55237691821128</v>
      </c>
      <c r="M10" s="241">
        <f>Calculations!Q87/115.83</f>
        <v>598.57564181234397</v>
      </c>
      <c r="N10" s="241">
        <f>Calculations!R87/115.83</f>
        <v>620.95921586560257</v>
      </c>
      <c r="O10" s="241">
        <f>Calculations!S87/115.83</f>
        <v>643.10178742798075</v>
      </c>
      <c r="P10" s="241">
        <f>Calculations!T87/115.83</f>
        <v>665.74191410179662</v>
      </c>
      <c r="Q10" s="241">
        <f t="shared" si="0"/>
        <v>6327.8932669383339</v>
      </c>
    </row>
    <row r="11" spans="1:17" x14ac:dyDescent="0.2">
      <c r="A11" t="s">
        <v>68</v>
      </c>
      <c r="B11" s="241">
        <f>Calculations!F96/115.83</f>
        <v>0</v>
      </c>
      <c r="C11" s="241">
        <f>Calculations!G96/115.83</f>
        <v>0</v>
      </c>
      <c r="D11" s="241">
        <f>Calculations!H96/115.83</f>
        <v>0</v>
      </c>
      <c r="E11" s="241">
        <f>Calculations!I96/115.83</f>
        <v>0</v>
      </c>
      <c r="F11" s="241">
        <f>Calculations!J96/115.83</f>
        <v>0</v>
      </c>
      <c r="G11" s="241">
        <f>Calculations!K96/115.83</f>
        <v>0</v>
      </c>
      <c r="H11" s="241">
        <f>Calculations!L96/115.83</f>
        <v>0</v>
      </c>
      <c r="I11" s="241">
        <f>Calculations!M96/115.83</f>
        <v>0</v>
      </c>
      <c r="J11" s="241">
        <f>Calculations!N96/115.83</f>
        <v>0</v>
      </c>
      <c r="K11" s="241">
        <f>Calculations!O96/115.83</f>
        <v>0</v>
      </c>
      <c r="L11" s="241">
        <f>Calculations!P96/115.83</f>
        <v>0</v>
      </c>
      <c r="M11" s="241">
        <f>Calculations!Q96/115.83</f>
        <v>0</v>
      </c>
      <c r="N11" s="241">
        <f>Calculations!R96/115.83</f>
        <v>0</v>
      </c>
      <c r="O11" s="241">
        <f>Calculations!S96/115.83</f>
        <v>0</v>
      </c>
      <c r="P11" s="241">
        <f>Calculations!T96/115.83</f>
        <v>0</v>
      </c>
      <c r="Q11" s="241">
        <f t="shared" si="0"/>
        <v>0</v>
      </c>
    </row>
    <row r="13" spans="1:17" x14ac:dyDescent="0.2">
      <c r="B13" t="s">
        <v>171</v>
      </c>
    </row>
    <row r="14" spans="1:17" x14ac:dyDescent="0.2">
      <c r="B14" s="3">
        <v>2016</v>
      </c>
      <c r="C14" s="3">
        <v>2017</v>
      </c>
      <c r="D14" s="3">
        <v>2018</v>
      </c>
      <c r="E14" s="3">
        <v>2019</v>
      </c>
      <c r="F14" s="3">
        <v>2020</v>
      </c>
      <c r="G14" s="3">
        <v>2021</v>
      </c>
      <c r="H14" s="3">
        <v>2022</v>
      </c>
      <c r="I14" s="3">
        <v>2023</v>
      </c>
      <c r="J14" s="3">
        <v>2024</v>
      </c>
      <c r="K14" s="3">
        <v>2025</v>
      </c>
      <c r="L14" s="16">
        <v>2026</v>
      </c>
      <c r="M14" s="16">
        <v>2027</v>
      </c>
      <c r="N14" s="16">
        <v>2028</v>
      </c>
      <c r="O14" s="16">
        <v>2029</v>
      </c>
      <c r="P14" s="16">
        <v>2030</v>
      </c>
      <c r="Q14" s="16" t="s">
        <v>265</v>
      </c>
    </row>
    <row r="15" spans="1:17" x14ac:dyDescent="0.2">
      <c r="A15" t="s">
        <v>5</v>
      </c>
      <c r="B15" s="242">
        <f>Calculations!F104+Calculations!F114</f>
        <v>0</v>
      </c>
      <c r="C15" s="242">
        <f>Calculations!G104+Calculations!G114</f>
        <v>0.11272622480057547</v>
      </c>
      <c r="D15" s="242">
        <f>Calculations!H104+Calculations!H114</f>
        <v>0.12724537020291171</v>
      </c>
      <c r="E15" s="242">
        <f>Calculations!I104+Calculations!I114</f>
        <v>0.14440698088644283</v>
      </c>
      <c r="F15" s="242">
        <f>Calculations!J104+Calculations!J114</f>
        <v>0.15754323813564028</v>
      </c>
      <c r="G15" s="242">
        <f>Calculations!K104+Calculations!K114</f>
        <v>0.21253095064145866</v>
      </c>
      <c r="H15" s="242">
        <f>Calculations!L104+Calculations!L114</f>
        <v>0.30133921088078897</v>
      </c>
      <c r="I15" s="242">
        <f>Calculations!M104+Calculations!M114</f>
        <v>0.41720034988398813</v>
      </c>
      <c r="J15" s="242">
        <f>Calculations!N104+Calculations!N114</f>
        <v>0.55979548874822493</v>
      </c>
      <c r="K15" s="242">
        <f>Calculations!O104+Calculations!O114</f>
        <v>0.71852077179166229</v>
      </c>
      <c r="L15" s="242">
        <f>Calculations!P104+Calculations!P114</f>
        <v>0.88821308560627732</v>
      </c>
      <c r="M15" s="242">
        <f>Calculations!Q104+Calculations!Q114</f>
        <v>1.0698042932866747</v>
      </c>
      <c r="N15" s="242">
        <f>Calculations!R104+Calculations!R114</f>
        <v>1.2594558262755997</v>
      </c>
      <c r="O15" s="242">
        <f>Calculations!S104+Calculations!S114</f>
        <v>1.4524269402168366</v>
      </c>
      <c r="P15" s="242">
        <f>Calculations!T104+Calculations!T114</f>
        <v>1.6404752547844741</v>
      </c>
      <c r="Q15" s="241">
        <f>SUM(E15:P15)</f>
        <v>8.8217123911380693</v>
      </c>
    </row>
    <row r="16" spans="1:17" x14ac:dyDescent="0.2">
      <c r="A16" t="s">
        <v>63</v>
      </c>
      <c r="B16" s="242">
        <f>Calculations!F105+Calculations!F115+Calculations!F116</f>
        <v>0.91364699999999988</v>
      </c>
      <c r="C16" s="242">
        <f>Calculations!G105+Calculations!G115+Calculations!G116</f>
        <v>1.4989461131292465</v>
      </c>
      <c r="D16" s="242">
        <f>Calculations!H105+Calculations!H115+Calculations!H116</f>
        <v>1.7000066927202078</v>
      </c>
      <c r="E16" s="242">
        <f>Calculations!I105+Calculations!I115+Calculations!I116</f>
        <v>1.9704232662010561</v>
      </c>
      <c r="F16" s="242">
        <f>Calculations!J105+Calculations!J115+Calculations!J116</f>
        <v>2.2372930810288438</v>
      </c>
      <c r="G16" s="242">
        <f>Calculations!K105+Calculations!K115+Calculations!K116</f>
        <v>2.7262353591397774</v>
      </c>
      <c r="H16" s="242">
        <f>Calculations!L105+Calculations!L115+Calculations!L116</f>
        <v>3.471155071063833</v>
      </c>
      <c r="I16" s="242">
        <f>Calculations!M105+Calculations!M115+Calculations!M116</f>
        <v>4.4343617417778844</v>
      </c>
      <c r="J16" s="242">
        <f>Calculations!N105+Calculations!N115+Calculations!N116</f>
        <v>5.7242465728035468</v>
      </c>
      <c r="K16" s="242">
        <f>Calculations!O105+Calculations!O115+Calculations!O116</f>
        <v>7.2109451127440476</v>
      </c>
      <c r="L16" s="242">
        <f>Calculations!P105+Calculations!P115+Calculations!P116</f>
        <v>8.8514206511659488</v>
      </c>
      <c r="M16" s="242">
        <f>Calculations!Q105+Calculations!Q115+Calculations!Q116</f>
        <v>10.690372535621592</v>
      </c>
      <c r="N16" s="242">
        <f>Calculations!R105+Calculations!R115+Calculations!R116</f>
        <v>12.691535973060066</v>
      </c>
      <c r="O16" s="242">
        <f>Calculations!S105+Calculations!S115+Calculations!S116</f>
        <v>14.876931305353336</v>
      </c>
      <c r="P16" s="242">
        <f>Calculations!T105+Calculations!T115+Calculations!T116</f>
        <v>17.171527274204756</v>
      </c>
      <c r="Q16" s="241">
        <f t="shared" ref="Q16:Q23" si="1">SUM(E16:P16)</f>
        <v>92.056447944164688</v>
      </c>
    </row>
    <row r="17" spans="1:17" x14ac:dyDescent="0.2">
      <c r="A17" t="s">
        <v>1</v>
      </c>
      <c r="B17" s="242">
        <f>Calculations!F111</f>
        <v>2.072349</v>
      </c>
      <c r="C17" s="242">
        <f>Calculations!G111</f>
        <v>3.2210943799999998</v>
      </c>
      <c r="D17" s="242">
        <f>Calculations!H111</f>
        <v>4.4525350397276924</v>
      </c>
      <c r="E17" s="242">
        <f>Calculations!I111</f>
        <v>5.2963690232494844</v>
      </c>
      <c r="F17" s="242">
        <f>Calculations!J111</f>
        <v>6.40315486171641</v>
      </c>
      <c r="G17" s="242">
        <f>Calculations!K111</f>
        <v>6.9557668372218089</v>
      </c>
      <c r="H17" s="242">
        <f>Calculations!L111</f>
        <v>7.4799175326444489</v>
      </c>
      <c r="I17" s="242">
        <f>Calculations!M111</f>
        <v>7.6640917675645612</v>
      </c>
      <c r="J17" s="242">
        <f>Calculations!N111</f>
        <v>7.5358967473348439</v>
      </c>
      <c r="K17" s="242">
        <f>Calculations!O111</f>
        <v>7.3947993610620459</v>
      </c>
      <c r="L17" s="242">
        <f>Calculations!P111</f>
        <v>6.9776264458434536</v>
      </c>
      <c r="M17" s="242">
        <f>Calculations!Q111</f>
        <v>6.5951995080588004</v>
      </c>
      <c r="N17" s="242">
        <f>Calculations!R111</f>
        <v>6.2493220257324049</v>
      </c>
      <c r="O17" s="242">
        <f>Calculations!S111</f>
        <v>5.9415460411766805</v>
      </c>
      <c r="P17" s="242">
        <f>Calculations!T111</f>
        <v>5.6730720345235257</v>
      </c>
      <c r="Q17" s="241">
        <f t="shared" si="1"/>
        <v>80.16676218612848</v>
      </c>
    </row>
    <row r="18" spans="1:17" x14ac:dyDescent="0.2">
      <c r="A18" t="s">
        <v>38</v>
      </c>
      <c r="B18" s="242">
        <f>Calculations!F110</f>
        <v>1.702156</v>
      </c>
      <c r="C18" s="242">
        <f>Calculations!G110</f>
        <v>1.5499098484194958</v>
      </c>
      <c r="D18" s="242">
        <f>Calculations!H110</f>
        <v>1.7821246029956308</v>
      </c>
      <c r="E18" s="242">
        <f>Calculations!I110</f>
        <v>1.890975710571823</v>
      </c>
      <c r="F18" s="242">
        <f>Calculations!J110</f>
        <v>2.0530498360854135</v>
      </c>
      <c r="G18" s="242">
        <f>Calculations!K110</f>
        <v>2.3929536269013183</v>
      </c>
      <c r="H18" s="242">
        <f>Calculations!L110</f>
        <v>2.7157742009224024</v>
      </c>
      <c r="I18" s="242">
        <f>Calculations!M110</f>
        <v>3.0190668898316897</v>
      </c>
      <c r="J18" s="242">
        <f>Calculations!N110</f>
        <v>3.2970626994150996</v>
      </c>
      <c r="K18" s="242">
        <f>Calculations!O110</f>
        <v>3.5261942635856629</v>
      </c>
      <c r="L18" s="242">
        <f>Calculations!P110</f>
        <v>3.4035588625836053</v>
      </c>
      <c r="M18" s="242">
        <f>Calculations!Q110</f>
        <v>3.2739650864094587</v>
      </c>
      <c r="N18" s="242">
        <f>Calculations!R110</f>
        <v>3.148649087474388</v>
      </c>
      <c r="O18" s="242">
        <f>Calculations!S110</f>
        <v>3.0232394678809067</v>
      </c>
      <c r="P18" s="242">
        <f>Calculations!T110</f>
        <v>2.9048890892181634</v>
      </c>
      <c r="Q18" s="241">
        <f t="shared" si="1"/>
        <v>34.649378820879932</v>
      </c>
    </row>
    <row r="19" spans="1:17" x14ac:dyDescent="0.2">
      <c r="A19" t="s">
        <v>17</v>
      </c>
      <c r="B19" s="242">
        <f>Calculations!F102</f>
        <v>0</v>
      </c>
      <c r="C19" s="242">
        <f>Calculations!G102</f>
        <v>1.2950510294822025E-3</v>
      </c>
      <c r="D19" s="242">
        <f>Calculations!H102</f>
        <v>6.7100754214643718E-2</v>
      </c>
      <c r="E19" s="242">
        <f>Calculations!I102</f>
        <v>0.14673166671607896</v>
      </c>
      <c r="F19" s="242">
        <f>Calculations!J102</f>
        <v>0.25497626129988205</v>
      </c>
      <c r="G19" s="242">
        <f>Calculations!K102</f>
        <v>0.41079114565125019</v>
      </c>
      <c r="H19" s="242">
        <f>Calculations!L102</f>
        <v>0.55514135226188988</v>
      </c>
      <c r="I19" s="242">
        <f>Calculations!M102</f>
        <v>0.70222167147469106</v>
      </c>
      <c r="J19" s="242">
        <f>Calculations!N102</f>
        <v>0.87703767442893321</v>
      </c>
      <c r="K19" s="242">
        <f>Calculations!O102</f>
        <v>1.0789500678766129</v>
      </c>
      <c r="L19" s="242">
        <f>Calculations!P102</f>
        <v>1.312077322083683</v>
      </c>
      <c r="M19" s="242">
        <f>Calculations!Q102</f>
        <v>1.5781128388042718</v>
      </c>
      <c r="N19" s="242">
        <f>Calculations!R102</f>
        <v>1.8783156891868862</v>
      </c>
      <c r="O19" s="242">
        <f>Calculations!S102</f>
        <v>2.2134455068952321</v>
      </c>
      <c r="P19" s="242">
        <f>Calculations!T102</f>
        <v>2.5837092372839794</v>
      </c>
      <c r="Q19" s="241">
        <f t="shared" si="1"/>
        <v>13.591510433963391</v>
      </c>
    </row>
    <row r="20" spans="1:17" x14ac:dyDescent="0.2">
      <c r="A20" t="s">
        <v>124</v>
      </c>
      <c r="B20" s="242">
        <f>Calculations!F101</f>
        <v>0.12</v>
      </c>
      <c r="C20" s="242">
        <f>Calculations!G101</f>
        <v>0.41213294711469867</v>
      </c>
      <c r="D20" s="242">
        <f>Calculations!H101</f>
        <v>0.54094592411259146</v>
      </c>
      <c r="E20" s="242">
        <f>Calculations!I101</f>
        <v>0.68063644057678785</v>
      </c>
      <c r="F20" s="242">
        <f>Calculations!J101</f>
        <v>0.94793426618173537</v>
      </c>
      <c r="G20" s="242">
        <f>Calculations!K101</f>
        <v>0.96608963580904661</v>
      </c>
      <c r="H20" s="242">
        <f>Calculations!L101</f>
        <v>0.979948089968118</v>
      </c>
      <c r="I20" s="242">
        <f>Calculations!M101</f>
        <v>0.97108800921231675</v>
      </c>
      <c r="J20" s="242">
        <f>Calculations!N101</f>
        <v>0.96484518932947783</v>
      </c>
      <c r="K20" s="242">
        <f>Calculations!O101</f>
        <v>0.89559636269626219</v>
      </c>
      <c r="L20" s="242">
        <f>Calculations!P101</f>
        <v>0.83223228935139426</v>
      </c>
      <c r="M20" s="242">
        <f>Calculations!Q101</f>
        <v>0.76024316673197867</v>
      </c>
      <c r="N20" s="242">
        <f>Calculations!R101</f>
        <v>0.6807892011387412</v>
      </c>
      <c r="O20" s="242">
        <f>Calculations!S101</f>
        <v>0.59225751457718101</v>
      </c>
      <c r="P20" s="242">
        <f>Calculations!T101</f>
        <v>0.48996719110841996</v>
      </c>
      <c r="Q20" s="241">
        <f t="shared" si="1"/>
        <v>9.7616273566814602</v>
      </c>
    </row>
    <row r="21" spans="1:17" x14ac:dyDescent="0.2">
      <c r="A21" t="s">
        <v>173</v>
      </c>
      <c r="B21" s="242">
        <f>Calculations!F100</f>
        <v>3.2</v>
      </c>
      <c r="C21" s="242">
        <f>Calculations!G100</f>
        <v>3.1002444027253007</v>
      </c>
      <c r="D21" s="242">
        <f>Calculations!H100</f>
        <v>2.907872514418008</v>
      </c>
      <c r="E21" s="242">
        <f>Calculations!I100</f>
        <v>2.8452097660886171</v>
      </c>
      <c r="F21" s="242">
        <f>Calculations!J100</f>
        <v>2.5419541982938041</v>
      </c>
      <c r="G21" s="242">
        <f>Calculations!K100</f>
        <v>2.3252702159326253</v>
      </c>
      <c r="H21" s="242">
        <f>Calculations!L100</f>
        <v>2.3037819996730797</v>
      </c>
      <c r="I21" s="242">
        <f>Calculations!M100</f>
        <v>2.2845202881583244</v>
      </c>
      <c r="J21" s="242">
        <f>Calculations!N100</f>
        <v>2.2710721157665503</v>
      </c>
      <c r="K21" s="242">
        <f>Calculations!O100</f>
        <v>2.2434083674767185</v>
      </c>
      <c r="L21" s="242">
        <f>Calculations!P100</f>
        <v>2.2265617524271559</v>
      </c>
      <c r="M21" s="242">
        <f>Calculations!Q100</f>
        <v>2.2253838551006022</v>
      </c>
      <c r="N21" s="242">
        <f>Calculations!R100</f>
        <v>2.2445002747388045</v>
      </c>
      <c r="O21" s="242">
        <f>Calculations!S100</f>
        <v>2.0863707086172756</v>
      </c>
      <c r="P21" s="242">
        <f>Calculations!T100</f>
        <v>1.9681497560250838</v>
      </c>
      <c r="Q21" s="241">
        <f t="shared" si="1"/>
        <v>27.56618329829864</v>
      </c>
    </row>
    <row r="22" spans="1:17" x14ac:dyDescent="0.2">
      <c r="A22" t="s">
        <v>169</v>
      </c>
      <c r="B22" s="242">
        <f>Calculations!F113</f>
        <v>0.67170700000000005</v>
      </c>
      <c r="C22" s="242">
        <f>Calculations!G113</f>
        <v>1.1117490067122131</v>
      </c>
      <c r="D22" s="242">
        <f>Calculations!H113</f>
        <v>1.8363058554506735</v>
      </c>
      <c r="E22" s="242">
        <f>Calculations!I113</f>
        <v>1.9231067773755139</v>
      </c>
      <c r="F22" s="242">
        <f>Calculations!J113</f>
        <v>2.0952028743797655</v>
      </c>
      <c r="G22" s="242">
        <f>Calculations!K113</f>
        <v>2.2532753194035107</v>
      </c>
      <c r="H22" s="242">
        <f>Calculations!L113</f>
        <v>2.4105602189776665</v>
      </c>
      <c r="I22" s="242">
        <f>Calculations!M113</f>
        <v>2.7404631869345106</v>
      </c>
      <c r="J22" s="242">
        <f>Calculations!N113</f>
        <v>3.2646188125830906</v>
      </c>
      <c r="K22" s="242">
        <f>Calculations!O113</f>
        <v>3.2787156461047524</v>
      </c>
      <c r="L22" s="242">
        <f>Calculations!P113</f>
        <v>3.6668517358718944</v>
      </c>
      <c r="M22" s="242">
        <f>Calculations!Q113</f>
        <v>4.1870304048958609</v>
      </c>
      <c r="N22" s="242">
        <f>Calculations!R113</f>
        <v>4.8968209819606354</v>
      </c>
      <c r="O22" s="242">
        <f>Calculations!S113</f>
        <v>4.9478063436612416</v>
      </c>
      <c r="P22" s="242">
        <f>Calculations!T113</f>
        <v>4.9691307756141647</v>
      </c>
      <c r="Q22" s="241">
        <f t="shared" si="1"/>
        <v>40.633583077762609</v>
      </c>
    </row>
    <row r="23" spans="1:17" x14ac:dyDescent="0.2">
      <c r="A23" t="s">
        <v>68</v>
      </c>
      <c r="B23" s="242">
        <f>Calculations!F123</f>
        <v>0</v>
      </c>
      <c r="C23" s="242">
        <f>Calculations!G123</f>
        <v>0</v>
      </c>
      <c r="D23" s="242">
        <f>Calculations!H123</f>
        <v>0</v>
      </c>
      <c r="E23" s="242">
        <f>Calculations!I123</f>
        <v>0</v>
      </c>
      <c r="F23" s="242">
        <f>Calculations!J123</f>
        <v>0</v>
      </c>
      <c r="G23" s="242">
        <f>Calculations!K123</f>
        <v>0</v>
      </c>
      <c r="H23" s="242">
        <f>Calculations!L123</f>
        <v>0</v>
      </c>
      <c r="I23" s="242">
        <f>Calculations!M123</f>
        <v>0</v>
      </c>
      <c r="J23" s="242">
        <f>Calculations!N123</f>
        <v>0</v>
      </c>
      <c r="K23" s="242">
        <f>Calculations!O123</f>
        <v>0</v>
      </c>
      <c r="L23" s="242">
        <f>Calculations!P123</f>
        <v>0</v>
      </c>
      <c r="M23" s="242">
        <f>Calculations!Q123</f>
        <v>0</v>
      </c>
      <c r="N23" s="242">
        <f>Calculations!R123</f>
        <v>0</v>
      </c>
      <c r="O23" s="242">
        <f>Calculations!S123</f>
        <v>0</v>
      </c>
      <c r="P23" s="242">
        <f>Calculations!T123</f>
        <v>0</v>
      </c>
      <c r="Q23" s="241">
        <f t="shared" si="1"/>
        <v>0</v>
      </c>
    </row>
    <row r="24" spans="1:17" x14ac:dyDescent="0.2">
      <c r="A24" t="s">
        <v>170</v>
      </c>
      <c r="B24" s="242">
        <f>Calculations!F134+Calculations!F135+Calculations!F136+Calculations!F137</f>
        <v>0.155</v>
      </c>
      <c r="C24" s="242">
        <f>Calculations!G134+Calculations!G135+Calculations!G136+Calculations!G137</f>
        <v>0.20421526100697263</v>
      </c>
      <c r="D24" s="242">
        <f>Calculations!H134+Calculations!H135+Calculations!H136+Calculations!H137</f>
        <v>0.40769822038212911</v>
      </c>
      <c r="E24" s="242">
        <f>Calculations!I134+Calculations!I135+Calculations!I136+Calculations!I137</f>
        <v>1.0175305544680087</v>
      </c>
      <c r="F24" s="242">
        <f>Calculations!J134+Calculations!J135+Calculations!J136+Calculations!J137</f>
        <v>1.9111898842543211</v>
      </c>
      <c r="G24" s="242">
        <f>Calculations!K134+Calculations!K135+Calculations!K136+Calculations!K137</f>
        <v>2.1468170494722778</v>
      </c>
      <c r="H24" s="242">
        <f>Calculations!L134+Calculations!L135+Calculations!L136+Calculations!L137</f>
        <v>2.3087699632425878</v>
      </c>
      <c r="I24" s="242">
        <f>Calculations!M134+Calculations!M135+Calculations!M136+Calculations!M137</f>
        <v>2.5855168713476706</v>
      </c>
      <c r="J24" s="242">
        <f>Calculations!N134+Calculations!N135+Calculations!N136+Calculations!N137</f>
        <v>2.8505597012660662</v>
      </c>
      <c r="K24" s="242">
        <f>Calculations!O134+Calculations!O135+Calculations!O136+Calculations!O137</f>
        <v>3.1177851601680637</v>
      </c>
      <c r="L24" s="242">
        <f>Calculations!P134+Calculations!P135+Calculations!P136+Calculations!P137</f>
        <v>3.3765329399587629</v>
      </c>
      <c r="M24" s="242">
        <f>Calculations!Q134+Calculations!Q135+Calculations!Q136+Calculations!Q137</f>
        <v>3.5163629781657328</v>
      </c>
      <c r="N24" s="242">
        <f>Calculations!R134+Calculations!R135+Calculations!R136+Calculations!R137</f>
        <v>3.6552645906351895</v>
      </c>
      <c r="O24" s="242">
        <f>Calculations!S134+Calculations!S135+Calculations!S136+Calculations!S137</f>
        <v>3.7422646794728269</v>
      </c>
      <c r="P24" s="242">
        <f>Calculations!T134+Calculations!T135+Calculations!T136+Calculations!T137</f>
        <v>3.8267000781761338</v>
      </c>
      <c r="Q24" s="241">
        <f>SUM(E24:P24)</f>
        <v>34.055294450627642</v>
      </c>
    </row>
    <row r="25" spans="1:17" x14ac:dyDescent="0.2">
      <c r="B25" s="242"/>
      <c r="C25" s="242"/>
      <c r="D25" s="242"/>
      <c r="E25" s="242"/>
      <c r="F25" s="242"/>
      <c r="G25" s="242"/>
      <c r="H25" s="242"/>
      <c r="I25" s="242"/>
      <c r="J25" s="242"/>
      <c r="K25" s="242"/>
      <c r="L25" s="242"/>
      <c r="M25" s="242"/>
      <c r="N25" s="242"/>
      <c r="O25" s="242"/>
      <c r="P25" s="242"/>
    </row>
    <row r="26" spans="1:17" x14ac:dyDescent="0.2">
      <c r="B26" s="242"/>
      <c r="C26" s="242"/>
      <c r="D26" s="242"/>
      <c r="E26" s="242"/>
      <c r="F26" s="242"/>
      <c r="G26" s="242"/>
      <c r="H26" s="242"/>
      <c r="I26" s="242"/>
      <c r="J26" s="242"/>
      <c r="K26" s="242"/>
      <c r="L26" s="242"/>
      <c r="M26" s="242"/>
      <c r="N26" s="242"/>
      <c r="O26" s="242"/>
      <c r="P26" s="242"/>
    </row>
    <row r="44" spans="1:5" x14ac:dyDescent="0.2">
      <c r="A44" s="10"/>
      <c r="B44" t="s">
        <v>182</v>
      </c>
      <c r="C44" t="s">
        <v>184</v>
      </c>
      <c r="D44" t="s">
        <v>183</v>
      </c>
      <c r="E44" t="s">
        <v>201</v>
      </c>
    </row>
    <row r="45" spans="1:5" x14ac:dyDescent="0.2">
      <c r="A45" t="s">
        <v>5</v>
      </c>
      <c r="B45" s="241">
        <v>228.81774216143626</v>
      </c>
      <c r="C45" s="241">
        <v>228.81774216143626</v>
      </c>
      <c r="D45" s="241">
        <v>515.27571249450159</v>
      </c>
      <c r="E45" s="241">
        <v>515.27571249450159</v>
      </c>
    </row>
    <row r="46" spans="1:5" x14ac:dyDescent="0.2">
      <c r="A46" t="s">
        <v>63</v>
      </c>
      <c r="B46" s="241">
        <v>1758.2312137454132</v>
      </c>
      <c r="C46" s="241">
        <v>1758.2312137454132</v>
      </c>
      <c r="D46" s="241">
        <v>2327.2835375643704</v>
      </c>
      <c r="E46" s="241">
        <v>2327.2835375643704</v>
      </c>
    </row>
    <row r="47" spans="1:5" x14ac:dyDescent="0.2">
      <c r="A47" t="s">
        <v>1</v>
      </c>
      <c r="B47" s="241">
        <v>13543.684710351377</v>
      </c>
      <c r="C47" s="241">
        <v>14774.928774928774</v>
      </c>
      <c r="D47" s="241">
        <v>11752.784252784255</v>
      </c>
      <c r="E47" s="241">
        <v>13711.581628248296</v>
      </c>
    </row>
    <row r="48" spans="1:5" x14ac:dyDescent="0.2">
      <c r="A48" t="s">
        <v>38</v>
      </c>
      <c r="B48" s="241">
        <v>6043.6181016419605</v>
      </c>
      <c r="C48" s="241">
        <v>6043.6181016419605</v>
      </c>
      <c r="D48" s="241">
        <v>6043.6181016419605</v>
      </c>
      <c r="E48" s="241">
        <v>6043.6181016419605</v>
      </c>
    </row>
    <row r="49" spans="1:5" x14ac:dyDescent="0.2">
      <c r="A49" t="s">
        <v>17</v>
      </c>
      <c r="B49" s="241">
        <v>424.96937542154114</v>
      </c>
      <c r="C49" s="241">
        <v>442.56196801413375</v>
      </c>
      <c r="D49" s="241">
        <v>400.33974579191147</v>
      </c>
      <c r="E49" s="241">
        <v>424.96937542154114</v>
      </c>
    </row>
    <row r="50" spans="1:5" x14ac:dyDescent="0.2">
      <c r="A50" t="s">
        <v>124</v>
      </c>
      <c r="B50" s="241">
        <v>703.7037037037037</v>
      </c>
      <c r="C50" s="241">
        <v>633.33333333333348</v>
      </c>
      <c r="D50" s="241">
        <v>633.33333333333348</v>
      </c>
      <c r="E50" s="241">
        <v>633.33333333333348</v>
      </c>
    </row>
    <row r="51" spans="1:5" x14ac:dyDescent="0.2">
      <c r="A51" t="s">
        <v>173</v>
      </c>
      <c r="B51" s="241">
        <v>9626.1841452968365</v>
      </c>
      <c r="C51" s="241">
        <v>11228.439255090179</v>
      </c>
      <c r="D51" s="241">
        <v>9534.473306421316</v>
      </c>
      <c r="E51" s="241">
        <v>11059.321008807252</v>
      </c>
    </row>
    <row r="52" spans="1:5" x14ac:dyDescent="0.2">
      <c r="A52" t="s">
        <v>169</v>
      </c>
      <c r="B52" s="241">
        <v>3686.7132867132864</v>
      </c>
      <c r="C52" s="241">
        <v>3686.7132867132864</v>
      </c>
      <c r="D52" s="241">
        <v>3686.7132867132864</v>
      </c>
      <c r="E52" s="241">
        <v>3686.7132867132864</v>
      </c>
    </row>
    <row r="53" spans="1:5" x14ac:dyDescent="0.2">
      <c r="A53" t="s">
        <v>68</v>
      </c>
      <c r="B53" s="241">
        <v>2396.068376068376</v>
      </c>
      <c r="C53" s="241">
        <v>2670.3846153846152</v>
      </c>
      <c r="D53" s="241">
        <v>2004.188034188034</v>
      </c>
      <c r="E53" s="241">
        <v>2424.0598290598286</v>
      </c>
    </row>
    <row r="54" spans="1:5" x14ac:dyDescent="0.2">
      <c r="D54" s="241"/>
    </row>
    <row r="55" spans="1:5" x14ac:dyDescent="0.2">
      <c r="A55" s="10"/>
      <c r="B55" t="s">
        <v>182</v>
      </c>
      <c r="C55" t="s">
        <v>184</v>
      </c>
      <c r="D55" t="s">
        <v>183</v>
      </c>
      <c r="E55" t="s">
        <v>201</v>
      </c>
    </row>
    <row r="56" spans="1:5" x14ac:dyDescent="0.2">
      <c r="A56" t="s">
        <v>5</v>
      </c>
      <c r="B56" s="241">
        <v>2.7836386830189026</v>
      </c>
      <c r="C56" s="241">
        <v>2.7836386830189026</v>
      </c>
      <c r="D56" s="241">
        <v>6.2741004234347528</v>
      </c>
      <c r="E56" s="241">
        <v>6.2741004234347528</v>
      </c>
    </row>
    <row r="57" spans="1:5" x14ac:dyDescent="0.2">
      <c r="A57" t="s">
        <v>63</v>
      </c>
      <c r="B57" s="241">
        <v>41.200013918397545</v>
      </c>
      <c r="C57" s="241">
        <v>41.200013918397545</v>
      </c>
      <c r="D57" s="241">
        <v>57.416225156439545</v>
      </c>
      <c r="E57" s="241">
        <v>57.416225156439545</v>
      </c>
    </row>
    <row r="58" spans="1:5" x14ac:dyDescent="0.2">
      <c r="A58" t="s">
        <v>1</v>
      </c>
      <c r="B58" s="241">
        <v>88.876922512500002</v>
      </c>
      <c r="C58" s="241">
        <v>96.393015001250006</v>
      </c>
      <c r="D58" s="241">
        <v>77.972680091249998</v>
      </c>
      <c r="E58" s="241">
        <v>89.978432153749992</v>
      </c>
    </row>
    <row r="59" spans="1:5" x14ac:dyDescent="0.2">
      <c r="A59" t="s">
        <v>38</v>
      </c>
      <c r="B59" s="241">
        <v>39.339823092828041</v>
      </c>
      <c r="C59" s="241">
        <v>39.339823092828041</v>
      </c>
      <c r="D59" s="241">
        <v>39.339823092828041</v>
      </c>
      <c r="E59" s="241">
        <v>39.339823092828041</v>
      </c>
    </row>
    <row r="60" spans="1:5" x14ac:dyDescent="0.2">
      <c r="A60" t="s">
        <v>17</v>
      </c>
      <c r="B60" s="241">
        <v>2.6245883376119195</v>
      </c>
      <c r="C60" s="241">
        <v>2.7264106296119195</v>
      </c>
      <c r="D60" s="241">
        <v>2.4810186613619196</v>
      </c>
      <c r="E60" s="241">
        <v>2.6245883376119195</v>
      </c>
    </row>
    <row r="61" spans="1:5" x14ac:dyDescent="0.2">
      <c r="A61" t="s">
        <v>124</v>
      </c>
      <c r="B61" s="241">
        <v>3.6802926517499994</v>
      </c>
      <c r="C61" s="241">
        <v>3.3392527739999993</v>
      </c>
      <c r="D61" s="241">
        <v>3.3392527739999993</v>
      </c>
      <c r="E61" s="241">
        <v>3.3392527739999993</v>
      </c>
    </row>
    <row r="62" spans="1:5" x14ac:dyDescent="0.2">
      <c r="A62" t="s">
        <v>173</v>
      </c>
      <c r="B62" s="241">
        <v>35.954068760863514</v>
      </c>
      <c r="C62" s="241">
        <v>44.443693718581287</v>
      </c>
      <c r="D62" s="241">
        <v>35.56001585244104</v>
      </c>
      <c r="E62" s="241">
        <v>43.710071107977093</v>
      </c>
    </row>
    <row r="63" spans="1:5" x14ac:dyDescent="0.2">
      <c r="A63" t="s">
        <v>169</v>
      </c>
      <c r="B63" s="241">
        <v>37.346533660200002</v>
      </c>
      <c r="C63" s="241">
        <v>38.818015785199997</v>
      </c>
      <c r="D63" s="241">
        <v>30.431075810199999</v>
      </c>
      <c r="E63" s="241">
        <v>36.973789360200001</v>
      </c>
    </row>
    <row r="64" spans="1:5" x14ac:dyDescent="0.2">
      <c r="A64" t="s">
        <v>68</v>
      </c>
      <c r="B64" s="241">
        <v>12.909828937499999</v>
      </c>
      <c r="C64" s="241">
        <v>14.328961762499999</v>
      </c>
      <c r="D64" s="241">
        <v>10.9158451875</v>
      </c>
      <c r="E64" s="241">
        <v>13.071536156249998</v>
      </c>
    </row>
    <row r="65" spans="1:5" x14ac:dyDescent="0.2">
      <c r="A65" t="s">
        <v>170</v>
      </c>
      <c r="B65" s="241">
        <v>16.792999999999999</v>
      </c>
      <c r="C65" s="241">
        <v>34.643000000000001</v>
      </c>
      <c r="D65" s="241">
        <v>15.542999999999999</v>
      </c>
      <c r="E65" s="241">
        <v>24.393000000000001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Intermediate Calculations</vt:lpstr>
      <vt:lpstr>Summary</vt:lpstr>
      <vt:lpstr>Reduction Targets</vt:lpstr>
      <vt:lpstr>Demand Reduction Scenarios</vt:lpstr>
      <vt:lpstr>Supply Scenarios</vt:lpstr>
      <vt:lpstr>Cerulogy High Perf. Scenario </vt:lpstr>
      <vt:lpstr>Calculations</vt:lpstr>
      <vt:lpstr>GHG Calculations</vt:lpstr>
      <vt:lpstr>Figures I</vt:lpstr>
      <vt:lpstr>Figures II</vt:lpstr>
      <vt:lpstr>Maximum Cost Pass-Through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2015-04-01T22:31:20Z</dcterms:created>
  <dcterms:modified xsi:type="dcterms:W3CDTF">2018-04-23T23:54:16Z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4b213ff6-be55-432a-a92f-92cff52a7cda</vt:lpwstr>
  </property>
</Properties>
</file>