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tibe\Documents\Lou Dinkler\Tech and Economic Case\"/>
    </mc:Choice>
  </mc:AlternateContent>
  <xr:revisionPtr revIDLastSave="0" documentId="8_{CFE62A70-A546-41B8-8779-D854714990E7}" xr6:coauthVersionLast="45" xr6:coauthVersionMax="45" xr10:uidLastSave="{00000000-0000-0000-0000-000000000000}"/>
  <bookViews>
    <workbookView xWindow="-110" yWindow="-110" windowWidth="19420" windowHeight="10420" activeTab="1" xr2:uid="{865E4CF9-1DC2-4B06-A879-8EC2374CDE04}"/>
  </bookViews>
  <sheets>
    <sheet name="Emissions Calcs" sheetId="4" r:id="rId1"/>
    <sheet name="GDF Categories" sheetId="3" r:id="rId2"/>
    <sheet name="Sheet2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3" l="1"/>
  <c r="G12" i="3"/>
  <c r="H7" i="3" l="1"/>
  <c r="H8" i="3"/>
  <c r="H6" i="3"/>
  <c r="AC6" i="4"/>
  <c r="G18" i="3" l="1"/>
  <c r="E15" i="3"/>
  <c r="K41" i="4" l="1"/>
  <c r="B41" i="4"/>
  <c r="L41" i="4" s="1"/>
  <c r="K40" i="4"/>
  <c r="B40" i="4"/>
  <c r="K39" i="4"/>
  <c r="B39" i="4"/>
  <c r="L39" i="4" s="1"/>
  <c r="D41" i="4" l="1"/>
  <c r="I41" i="4" s="1"/>
  <c r="J41" i="4" s="1"/>
  <c r="M41" i="4" s="1"/>
  <c r="N41" i="4" s="1"/>
  <c r="D39" i="4"/>
  <c r="I39" i="4" s="1"/>
  <c r="J39" i="4" s="1"/>
  <c r="P39" i="4" s="1"/>
  <c r="P41" i="4"/>
  <c r="L40" i="4"/>
  <c r="D40" i="4"/>
  <c r="I40" i="4" s="1"/>
  <c r="J40" i="4" s="1"/>
  <c r="F21" i="3"/>
  <c r="G21" i="3"/>
  <c r="E21" i="3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6" i="4"/>
  <c r="Q6" i="4" s="1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6" i="4"/>
  <c r="V6" i="4"/>
  <c r="O6" i="4"/>
  <c r="N21" i="4"/>
  <c r="M39" i="4" l="1"/>
  <c r="N39" i="4" s="1"/>
  <c r="Q12" i="4"/>
  <c r="AB12" i="4" s="1"/>
  <c r="P40" i="4"/>
  <c r="M40" i="4"/>
  <c r="N40" i="4" s="1"/>
  <c r="W16" i="4"/>
  <c r="W8" i="4"/>
  <c r="Q14" i="4"/>
  <c r="W13" i="4"/>
  <c r="W6" i="4"/>
  <c r="AB6" i="4" s="1"/>
  <c r="W19" i="4"/>
  <c r="W11" i="4"/>
  <c r="Q15" i="4"/>
  <c r="W12" i="4"/>
  <c r="W18" i="4"/>
  <c r="W10" i="4"/>
  <c r="Q13" i="4"/>
  <c r="Q19" i="4"/>
  <c r="Q11" i="4"/>
  <c r="W17" i="4"/>
  <c r="W9" i="4"/>
  <c r="Q18" i="4"/>
  <c r="Q10" i="4"/>
  <c r="Q17" i="4"/>
  <c r="Q9" i="4"/>
  <c r="W7" i="4"/>
  <c r="W15" i="4"/>
  <c r="Q16" i="4"/>
  <c r="Q8" i="4"/>
  <c r="W14" i="4"/>
  <c r="Q7" i="4"/>
  <c r="AB13" i="4" l="1"/>
  <c r="N42" i="4"/>
  <c r="AB7" i="4"/>
  <c r="AB16" i="4"/>
  <c r="P42" i="4"/>
  <c r="Q42" i="4"/>
  <c r="AB11" i="4"/>
  <c r="AB9" i="4"/>
  <c r="AB17" i="4"/>
  <c r="AB14" i="4"/>
  <c r="AB8" i="4"/>
  <c r="AB15" i="4"/>
  <c r="AB18" i="4"/>
  <c r="AB10" i="4"/>
  <c r="AB19" i="4"/>
  <c r="K30" i="4" l="1"/>
  <c r="B30" i="4"/>
  <c r="L30" i="4" s="1"/>
  <c r="K29" i="4"/>
  <c r="B29" i="4"/>
  <c r="L29" i="4" s="1"/>
  <c r="K28" i="4"/>
  <c r="B28" i="4"/>
  <c r="L28" i="4" s="1"/>
  <c r="T19" i="4"/>
  <c r="T18" i="4"/>
  <c r="T17" i="4"/>
  <c r="T16" i="4"/>
  <c r="T15" i="4"/>
  <c r="T14" i="4"/>
  <c r="D14" i="4"/>
  <c r="A14" i="4"/>
  <c r="T13" i="4"/>
  <c r="B13" i="4"/>
  <c r="E13" i="4" s="1"/>
  <c r="T12" i="4"/>
  <c r="B12" i="4"/>
  <c r="E12" i="4" s="1"/>
  <c r="T11" i="4"/>
  <c r="B11" i="4"/>
  <c r="E11" i="4" s="1"/>
  <c r="T10" i="4"/>
  <c r="B10" i="4"/>
  <c r="E10" i="4" s="1"/>
  <c r="T9" i="4"/>
  <c r="B9" i="4"/>
  <c r="E9" i="4" s="1"/>
  <c r="T8" i="4"/>
  <c r="B8" i="4"/>
  <c r="E8" i="4" s="1"/>
  <c r="E14" i="4" s="1"/>
  <c r="T7" i="4"/>
  <c r="B7" i="4"/>
  <c r="E7" i="4" s="1"/>
  <c r="T6" i="4"/>
  <c r="B6" i="4"/>
  <c r="E6" i="4" s="1"/>
  <c r="B14" i="4" l="1"/>
  <c r="D28" i="4"/>
  <c r="I28" i="4" s="1"/>
  <c r="J28" i="4" s="1"/>
  <c r="D29" i="4"/>
  <c r="I29" i="4" s="1"/>
  <c r="J29" i="4" s="1"/>
  <c r="D30" i="4"/>
  <c r="I30" i="4" s="1"/>
  <c r="J30" i="4" s="1"/>
  <c r="M28" i="4" l="1"/>
  <c r="N28" i="4" s="1"/>
  <c r="P28" i="4"/>
  <c r="M30" i="4"/>
  <c r="N30" i="4" s="1"/>
  <c r="P30" i="4"/>
  <c r="M29" i="4"/>
  <c r="N29" i="4" s="1"/>
  <c r="N45" i="4" s="1"/>
  <c r="P29" i="4"/>
  <c r="N31" i="4" l="1"/>
  <c r="P31" i="4"/>
  <c r="P45" i="4"/>
  <c r="Q45" i="4" s="1"/>
  <c r="Q31" i="4"/>
  <c r="F11" i="4"/>
  <c r="G11" i="4" s="1"/>
  <c r="F12" i="4"/>
  <c r="G12" i="4" s="1"/>
  <c r="F7" i="4"/>
  <c r="G7" i="4" s="1"/>
  <c r="F11" i="3" s="1"/>
  <c r="F13" i="4"/>
  <c r="G13" i="4" s="1"/>
  <c r="F8" i="4"/>
  <c r="F6" i="4"/>
  <c r="F9" i="4"/>
  <c r="G9" i="4" s="1"/>
  <c r="F10" i="4"/>
  <c r="G10" i="4" s="1"/>
  <c r="G8" i="4" l="1"/>
  <c r="G14" i="4" s="1"/>
  <c r="F14" i="4"/>
  <c r="R11" i="4"/>
  <c r="Y11" i="4" s="1"/>
  <c r="R17" i="4"/>
  <c r="Y17" i="4" s="1"/>
  <c r="R7" i="4"/>
  <c r="Y7" i="4" s="1"/>
  <c r="R19" i="4"/>
  <c r="Y19" i="4" s="1"/>
  <c r="R6" i="4"/>
  <c r="Y6" i="4" s="1"/>
  <c r="R9" i="4"/>
  <c r="Y9" i="4" s="1"/>
  <c r="R10" i="4"/>
  <c r="Y10" i="4" s="1"/>
  <c r="R12" i="4"/>
  <c r="Y12" i="4" s="1"/>
  <c r="R18" i="4"/>
  <c r="Y18" i="4" s="1"/>
  <c r="R13" i="4"/>
  <c r="Y13" i="4" s="1"/>
  <c r="R8" i="4"/>
  <c r="Y8" i="4" s="1"/>
  <c r="R14" i="4"/>
  <c r="Y14" i="4" s="1"/>
  <c r="R15" i="4"/>
  <c r="Y15" i="4" s="1"/>
  <c r="R16" i="4"/>
  <c r="Y16" i="4" s="1"/>
  <c r="G6" i="4"/>
  <c r="X9" i="4" l="1"/>
  <c r="S9" i="4"/>
  <c r="AC9" i="4"/>
  <c r="S13" i="4"/>
  <c r="X13" i="4"/>
  <c r="AC13" i="4"/>
  <c r="S19" i="4"/>
  <c r="AC19" i="4"/>
  <c r="X19" i="4"/>
  <c r="X15" i="4"/>
  <c r="AC15" i="4"/>
  <c r="S15" i="4"/>
  <c r="AC10" i="4"/>
  <c r="X10" i="4"/>
  <c r="S10" i="4"/>
  <c r="AC11" i="4"/>
  <c r="S11" i="4"/>
  <c r="X11" i="4"/>
  <c r="X14" i="4"/>
  <c r="S14" i="4"/>
  <c r="AC14" i="4"/>
  <c r="S8" i="4"/>
  <c r="AC8" i="4"/>
  <c r="X8" i="4"/>
  <c r="S6" i="4"/>
  <c r="X6" i="4"/>
  <c r="S18" i="4"/>
  <c r="AC18" i="4"/>
  <c r="X18" i="4"/>
  <c r="S7" i="4"/>
  <c r="X7" i="4"/>
  <c r="AC7" i="4"/>
  <c r="AC16" i="4"/>
  <c r="S16" i="4"/>
  <c r="X16" i="4"/>
  <c r="S12" i="4"/>
  <c r="AC12" i="4"/>
  <c r="X12" i="4"/>
  <c r="AC17" i="4"/>
  <c r="X17" i="4"/>
  <c r="S17" i="4"/>
  <c r="G11" i="3"/>
  <c r="E11" i="3"/>
  <c r="G8" i="3" l="1"/>
  <c r="F8" i="3"/>
  <c r="E8" i="3"/>
  <c r="D8" i="3"/>
  <c r="C8" i="3"/>
  <c r="E19" i="3" l="1"/>
  <c r="E16" i="3"/>
  <c r="F15" i="3"/>
  <c r="F18" i="3" s="1"/>
  <c r="F19" i="3"/>
  <c r="G15" i="3"/>
  <c r="G19" i="3"/>
  <c r="G16" i="3"/>
  <c r="F16" i="3"/>
  <c r="E18" i="3" l="1"/>
  <c r="E12" i="3" l="1"/>
  <c r="E13" i="3" s="1"/>
  <c r="E20" i="3"/>
  <c r="F20" i="3"/>
  <c r="F12" i="3"/>
  <c r="F13" i="3" s="1"/>
  <c r="E22" i="3" l="1"/>
  <c r="F22" i="3"/>
  <c r="G13" i="3" l="1"/>
  <c r="G20" i="3"/>
</calcChain>
</file>

<file path=xl/sharedStrings.xml><?xml version="1.0" encoding="utf-8"?>
<sst xmlns="http://schemas.openxmlformats.org/spreadsheetml/2006/main" count="175" uniqueCount="110">
  <si>
    <t>Flowrate</t>
  </si>
  <si>
    <t>gph</t>
  </si>
  <si>
    <t>ft3/hr</t>
  </si>
  <si>
    <t>HC Conc</t>
  </si>
  <si>
    <t>% vol</t>
  </si>
  <si>
    <t>Mass Emission</t>
  </si>
  <si>
    <t>lb/hr</t>
  </si>
  <si>
    <t>lb/day</t>
  </si>
  <si>
    <t>tons/year</t>
  </si>
  <si>
    <t>Fuel Pump Rate</t>
  </si>
  <si>
    <t>Unc Emission Factor</t>
  </si>
  <si>
    <t>lb/1,000 gal</t>
  </si>
  <si>
    <t>Recovery Efficiency</t>
  </si>
  <si>
    <t>Recovered Mass</t>
  </si>
  <si>
    <t>Pumping Hours</t>
  </si>
  <si>
    <t>hrs/day</t>
  </si>
  <si>
    <t>Gal/month</t>
  </si>
  <si>
    <t>Gallons Pumped</t>
  </si>
  <si>
    <t>V storage</t>
  </si>
  <si>
    <t>V ullage</t>
  </si>
  <si>
    <t>V vapors</t>
  </si>
  <si>
    <t>Vu</t>
  </si>
  <si>
    <t>Vvu</t>
  </si>
  <si>
    <t>Evap Rate</t>
  </si>
  <si>
    <t>Pressure Initial</t>
  </si>
  <si>
    <t>Pressure Final</t>
  </si>
  <si>
    <t>Gal</t>
  </si>
  <si>
    <t>iwc</t>
  </si>
  <si>
    <t>P atm</t>
  </si>
  <si>
    <t>gal/hr</t>
  </si>
  <si>
    <t>Volume Required</t>
  </si>
  <si>
    <t>hrs</t>
  </si>
  <si>
    <t>Time to fill buffer</t>
  </si>
  <si>
    <t>Time before Venting</t>
  </si>
  <si>
    <t>Time for Venting</t>
  </si>
  <si>
    <t>Time to atm</t>
  </si>
  <si>
    <t>Vent Flowrate</t>
  </si>
  <si>
    <t>X hr/day</t>
  </si>
  <si>
    <t>T1,T2, T3</t>
  </si>
  <si>
    <t>Fugitives</t>
  </si>
  <si>
    <t>Vent and Fugitive Emissions</t>
  </si>
  <si>
    <t>% Vent&amp;Fugitive</t>
  </si>
  <si>
    <t>Table 9.1</t>
  </si>
  <si>
    <t>Unrecovered Mass</t>
  </si>
  <si>
    <t>% Vent &amp; Fugitive</t>
  </si>
  <si>
    <t>(Vent+Fugitive)/Unrecovered</t>
  </si>
  <si>
    <t xml:space="preserve">ARID Technologies, Inc. </t>
  </si>
  <si>
    <t>Time To crack P/V</t>
  </si>
  <si>
    <t>"+2.5 iwc"</t>
  </si>
  <si>
    <t>(Vent+Fugitive)/Recov</t>
  </si>
  <si>
    <t>Vapor Recovery Efficiency</t>
  </si>
  <si>
    <t>% Recovery</t>
  </si>
  <si>
    <t>Refueling Emissions</t>
  </si>
  <si>
    <t>Number GDF</t>
  </si>
  <si>
    <t>GDF1</t>
  </si>
  <si>
    <t>GDF2</t>
  </si>
  <si>
    <t>GDF3</t>
  </si>
  <si>
    <t>GDF4</t>
  </si>
  <si>
    <t>GDF5</t>
  </si>
  <si>
    <t>% Sites</t>
  </si>
  <si>
    <t>Number of Sites</t>
  </si>
  <si>
    <t>Emissions Reduced (tons/year-site)</t>
  </si>
  <si>
    <t>Cost of Emission Reduction, $/lb</t>
  </si>
  <si>
    <t>Total Tons/Yr for GDF Category</t>
  </si>
  <si>
    <t>Total Tons/Day for GDF Category</t>
  </si>
  <si>
    <t>Useful Life, years</t>
  </si>
  <si>
    <t>Avg Monthly T-put, gal</t>
  </si>
  <si>
    <t>% T-put</t>
  </si>
  <si>
    <t>T. Tiberi, 22 April 2020</t>
  </si>
  <si>
    <t>Cost of Installation @$42,000 per site</t>
  </si>
  <si>
    <t>Fuel Savings @ $3.00/gallon</t>
  </si>
  <si>
    <t>Foregone Maintenance on ISD Alarms</t>
  </si>
  <si>
    <t>Cost @ $50,000 per PERMEATOR</t>
  </si>
  <si>
    <t>Annual Maintenance, $750 for PM</t>
  </si>
  <si>
    <t>ORVR Penetraton</t>
  </si>
  <si>
    <t>%</t>
  </si>
  <si>
    <t>ORVR Recovery Eff</t>
  </si>
  <si>
    <t>a</t>
  </si>
  <si>
    <t>b</t>
  </si>
  <si>
    <t>ORVR</t>
  </si>
  <si>
    <t>Stage II</t>
  </si>
  <si>
    <t>Summer</t>
  </si>
  <si>
    <t>Winter</t>
  </si>
  <si>
    <t>Fugitive Check</t>
  </si>
  <si>
    <t>ft3/day</t>
  </si>
  <si>
    <t>hrs where P &gt;0</t>
  </si>
  <si>
    <t>Vent &amp; Fugitive</t>
  </si>
  <si>
    <t>AVG</t>
  </si>
  <si>
    <t>ORVR &amp; Stage II</t>
  </si>
  <si>
    <t>Site Emission Factor</t>
  </si>
  <si>
    <t>Total Phase II</t>
  </si>
  <si>
    <t>Total Phase II Check</t>
  </si>
  <si>
    <t>28b</t>
  </si>
  <si>
    <t>29b</t>
  </si>
  <si>
    <t>30b</t>
  </si>
  <si>
    <t>31b</t>
  </si>
  <si>
    <t>32b</t>
  </si>
  <si>
    <t>33b</t>
  </si>
  <si>
    <t>34b</t>
  </si>
  <si>
    <t>35b</t>
  </si>
  <si>
    <t>36b</t>
  </si>
  <si>
    <t>37b</t>
  </si>
  <si>
    <t>38b</t>
  </si>
  <si>
    <t>39b</t>
  </si>
  <si>
    <t>40b</t>
  </si>
  <si>
    <t>41b</t>
  </si>
  <si>
    <t>42b</t>
  </si>
  <si>
    <t>43b</t>
  </si>
  <si>
    <t>44b</t>
  </si>
  <si>
    <t>Cost/year (Equip &amp; Install)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</si>
</sst>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"/>
    <numFmt numFmtId="166" formatCode="_(* #,##0_);_(* \(#,##0\);_(* &quot;-&quot;??_);_(@_)"/>
    <numFmt numFmtId="167" formatCode="_(&quot;$&quot;* #,##0_);_(&quot;$&quot;* \(#,##0\);_(&quot;$&quot;* &quot;-&quot;??_);_(@_)"/>
    <numFmt numFmtId="168" formatCode="0.0%"/>
    <numFmt numFmtId="172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9" fontId="0" fillId="0" borderId="0" xfId="2" applyFont="1"/>
    <xf numFmtId="166" fontId="0" fillId="0" borderId="0" xfId="1" applyNumberFormat="1" applyFont="1"/>
    <xf numFmtId="166" fontId="0" fillId="0" borderId="0" xfId="0" applyNumberFormat="1"/>
    <xf numFmtId="43" fontId="0" fillId="0" borderId="0" xfId="0" applyNumberForma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6" fillId="0" borderId="0" xfId="0" applyNumberFormat="1" applyFont="1"/>
    <xf numFmtId="9" fontId="6" fillId="0" borderId="0" xfId="2" applyFont="1"/>
    <xf numFmtId="43" fontId="6" fillId="0" borderId="0" xfId="0" applyNumberFormat="1" applyFont="1"/>
    <xf numFmtId="0" fontId="0" fillId="0" borderId="0" xfId="0" applyAlignment="1">
      <alignment horizontal="center"/>
    </xf>
    <xf numFmtId="0" fontId="7" fillId="0" borderId="0" xfId="0" applyFont="1"/>
    <xf numFmtId="0" fontId="8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/>
    <xf numFmtId="167" fontId="0" fillId="0" borderId="0" xfId="3" applyNumberFormat="1" applyFont="1"/>
    <xf numFmtId="168" fontId="0" fillId="0" borderId="0" xfId="2" applyNumberFormat="1" applyFont="1"/>
    <xf numFmtId="1" fontId="0" fillId="0" borderId="0" xfId="0" applyNumberFormat="1"/>
    <xf numFmtId="167" fontId="0" fillId="0" borderId="0" xfId="0" applyNumberFormat="1"/>
    <xf numFmtId="44" fontId="0" fillId="0" borderId="0" xfId="0" applyNumberFormat="1"/>
    <xf numFmtId="0" fontId="11" fillId="0" borderId="0" xfId="0" applyFont="1" applyAlignment="1">
      <alignment horizontal="center"/>
    </xf>
    <xf numFmtId="166" fontId="0" fillId="0" borderId="0" xfId="1" applyNumberFormat="1" applyFont="1" applyAlignment="1">
      <alignment horizontal="center"/>
    </xf>
    <xf numFmtId="0" fontId="12" fillId="0" borderId="0" xfId="0" applyFont="1" applyAlignment="1">
      <alignment horizontal="center"/>
    </xf>
    <xf numFmtId="43" fontId="2" fillId="0" borderId="0" xfId="0" applyNumberFormat="1" applyFont="1"/>
    <xf numFmtId="0" fontId="0" fillId="0" borderId="0" xfId="0" applyBorder="1"/>
    <xf numFmtId="0" fontId="0" fillId="2" borderId="0" xfId="0" applyFill="1"/>
    <xf numFmtId="0" fontId="0" fillId="3" borderId="0" xfId="0" applyFill="1"/>
    <xf numFmtId="43" fontId="0" fillId="2" borderId="0" xfId="0" applyNumberFormat="1" applyFill="1"/>
    <xf numFmtId="43" fontId="0" fillId="3" borderId="0" xfId="0" applyNumberFormat="1" applyFill="1"/>
    <xf numFmtId="0" fontId="5" fillId="0" borderId="0" xfId="0" applyFont="1" applyAlignment="1">
      <alignment horizontal="center" wrapText="1"/>
    </xf>
    <xf numFmtId="168" fontId="0" fillId="0" borderId="0" xfId="0" applyNumberFormat="1"/>
    <xf numFmtId="43" fontId="2" fillId="0" borderId="0" xfId="1" applyNumberFormat="1" applyFont="1"/>
    <xf numFmtId="172" fontId="0" fillId="0" borderId="0" xfId="0" applyNumberFormat="1"/>
    <xf numFmtId="2" fontId="13" fillId="0" borderId="0" xfId="0" applyNumberFormat="1" applyFont="1"/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14</xdr:row>
      <xdr:rowOff>19050</xdr:rowOff>
    </xdr:from>
    <xdr:to>
      <xdr:col>6</xdr:col>
      <xdr:colOff>457200</xdr:colOff>
      <xdr:row>23</xdr:row>
      <xdr:rowOff>82550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ED61A8-D3E9-4C67-85B4-7394F0897A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200" y="2622550"/>
          <a:ext cx="4260850" cy="1720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23D8E-0887-4030-B006-3779CE4157A9}">
  <sheetPr>
    <pageSetUpPr fitToPage="1"/>
  </sheetPr>
  <dimension ref="A1:AC45"/>
  <sheetViews>
    <sheetView topLeftCell="I19" zoomScale="75" zoomScaleNormal="75" workbookViewId="0">
      <selection activeCell="A48" sqref="A48"/>
    </sheetView>
  </sheetViews>
  <sheetFormatPr defaultRowHeight="14.5" x14ac:dyDescent="0.35"/>
  <cols>
    <col min="1" max="1" width="13.54296875" customWidth="1"/>
    <col min="2" max="2" width="10.1796875" bestFit="1" customWidth="1"/>
    <col min="3" max="3" width="10.1796875" customWidth="1"/>
    <col min="4" max="4" width="10.1796875" bestFit="1" customWidth="1"/>
    <col min="5" max="5" width="13.81640625" customWidth="1"/>
    <col min="6" max="6" width="13.54296875" customWidth="1"/>
    <col min="7" max="7" width="13.1796875" bestFit="1" customWidth="1"/>
    <col min="8" max="8" width="14.81640625" customWidth="1"/>
    <col min="9" max="9" width="18.81640625" customWidth="1"/>
    <col min="10" max="10" width="17.54296875" bestFit="1" customWidth="1"/>
    <col min="11" max="11" width="22.26953125" customWidth="1"/>
    <col min="12" max="13" width="20.7265625" customWidth="1"/>
    <col min="14" max="15" width="16.7265625" customWidth="1"/>
    <col min="16" max="16" width="14.453125" customWidth="1"/>
    <col min="17" max="17" width="14.453125" bestFit="1" customWidth="1"/>
    <col min="18" max="18" width="16.1796875" customWidth="1"/>
    <col min="19" max="19" width="22.81640625" customWidth="1"/>
    <col min="20" max="20" width="14.453125" bestFit="1" customWidth="1"/>
    <col min="21" max="21" width="17.81640625" customWidth="1"/>
    <col min="22" max="22" width="17.7265625" customWidth="1"/>
    <col min="23" max="23" width="18.26953125" customWidth="1"/>
    <col min="24" max="24" width="27" customWidth="1"/>
    <col min="25" max="25" width="25.1796875" customWidth="1"/>
    <col min="27" max="27" width="12.54296875" bestFit="1" customWidth="1"/>
    <col min="29" max="29" width="19.453125" bestFit="1" customWidth="1"/>
  </cols>
  <sheetData>
    <row r="1" spans="1:29" ht="15.5" x14ac:dyDescent="0.35">
      <c r="C1" s="15" t="s">
        <v>40</v>
      </c>
      <c r="D1" s="15"/>
      <c r="E1" s="15"/>
      <c r="J1" s="15" t="s">
        <v>52</v>
      </c>
      <c r="N1" t="s">
        <v>77</v>
      </c>
      <c r="O1" t="s">
        <v>78</v>
      </c>
    </row>
    <row r="2" spans="1:29" ht="15.5" x14ac:dyDescent="0.35">
      <c r="A2" s="27">
        <v>1</v>
      </c>
      <c r="B2" s="27">
        <v>2</v>
      </c>
      <c r="C2" s="27">
        <v>3</v>
      </c>
      <c r="D2" s="27">
        <v>4</v>
      </c>
      <c r="E2" s="27">
        <v>5</v>
      </c>
      <c r="F2" s="27">
        <v>6</v>
      </c>
      <c r="G2" s="27">
        <v>7</v>
      </c>
      <c r="I2" s="27">
        <v>8</v>
      </c>
      <c r="J2" s="29">
        <v>9</v>
      </c>
      <c r="K2" s="27">
        <v>10</v>
      </c>
      <c r="L2" s="27">
        <v>11</v>
      </c>
      <c r="M2" s="27">
        <v>12</v>
      </c>
      <c r="N2" s="27">
        <v>13</v>
      </c>
      <c r="O2" s="27">
        <v>14</v>
      </c>
      <c r="P2" s="27">
        <v>15</v>
      </c>
      <c r="Q2" s="27">
        <v>16</v>
      </c>
      <c r="R2" s="27">
        <v>17</v>
      </c>
      <c r="S2" s="27">
        <v>18</v>
      </c>
      <c r="T2" s="27">
        <v>19</v>
      </c>
      <c r="U2" s="27">
        <v>20</v>
      </c>
      <c r="V2" s="27">
        <v>21</v>
      </c>
      <c r="W2" s="27">
        <v>22</v>
      </c>
      <c r="X2" s="27">
        <v>23</v>
      </c>
      <c r="Y2" s="27">
        <v>24</v>
      </c>
      <c r="AA2" s="27">
        <v>25</v>
      </c>
      <c r="AB2" s="27">
        <v>26</v>
      </c>
      <c r="AC2" s="27">
        <v>27</v>
      </c>
    </row>
    <row r="3" spans="1:29" ht="43.5" x14ac:dyDescent="0.35">
      <c r="A3" s="8" t="s">
        <v>36</v>
      </c>
      <c r="B3" s="8" t="s">
        <v>0</v>
      </c>
      <c r="C3" s="8" t="s">
        <v>39</v>
      </c>
      <c r="D3" s="8" t="s">
        <v>3</v>
      </c>
      <c r="E3" s="8" t="s">
        <v>5</v>
      </c>
      <c r="F3" s="8" t="s">
        <v>5</v>
      </c>
      <c r="G3" s="8" t="s">
        <v>5</v>
      </c>
      <c r="I3" s="10" t="s">
        <v>9</v>
      </c>
      <c r="J3" s="10" t="s">
        <v>10</v>
      </c>
      <c r="K3" s="10" t="s">
        <v>12</v>
      </c>
      <c r="L3" s="10" t="s">
        <v>74</v>
      </c>
      <c r="M3" s="10" t="s">
        <v>76</v>
      </c>
      <c r="N3" s="10" t="s">
        <v>13</v>
      </c>
      <c r="O3" s="10" t="s">
        <v>13</v>
      </c>
      <c r="P3" s="10" t="s">
        <v>14</v>
      </c>
      <c r="Q3" s="10" t="s">
        <v>13</v>
      </c>
      <c r="R3" s="10" t="s">
        <v>86</v>
      </c>
      <c r="S3" s="10" t="s">
        <v>41</v>
      </c>
      <c r="T3" s="10" t="s">
        <v>17</v>
      </c>
      <c r="U3" s="10" t="s">
        <v>43</v>
      </c>
      <c r="V3" s="10" t="s">
        <v>43</v>
      </c>
      <c r="W3" s="10" t="s">
        <v>43</v>
      </c>
      <c r="X3" s="10" t="s">
        <v>44</v>
      </c>
      <c r="Y3" s="10" t="s">
        <v>50</v>
      </c>
      <c r="AA3" s="10" t="s">
        <v>90</v>
      </c>
      <c r="AB3" s="36" t="s">
        <v>91</v>
      </c>
      <c r="AC3" s="8" t="s">
        <v>89</v>
      </c>
    </row>
    <row r="4" spans="1:29" x14ac:dyDescent="0.35">
      <c r="A4" s="9" t="s">
        <v>1</v>
      </c>
      <c r="B4" s="9" t="s">
        <v>2</v>
      </c>
      <c r="C4" s="9" t="s">
        <v>2</v>
      </c>
      <c r="D4" s="9" t="s">
        <v>4</v>
      </c>
      <c r="E4" s="9" t="s">
        <v>6</v>
      </c>
      <c r="F4" s="9" t="s">
        <v>7</v>
      </c>
      <c r="G4" s="9" t="s">
        <v>8</v>
      </c>
      <c r="I4" s="9" t="s">
        <v>1</v>
      </c>
      <c r="J4" s="9" t="s">
        <v>11</v>
      </c>
      <c r="K4" s="9"/>
      <c r="L4" s="9" t="s">
        <v>75</v>
      </c>
      <c r="M4" s="9" t="s">
        <v>75</v>
      </c>
      <c r="N4" s="9" t="s">
        <v>6</v>
      </c>
      <c r="O4" s="9" t="s">
        <v>6</v>
      </c>
      <c r="P4" s="9" t="s">
        <v>15</v>
      </c>
      <c r="Q4" s="9" t="s">
        <v>7</v>
      </c>
      <c r="R4" s="9" t="s">
        <v>7</v>
      </c>
      <c r="S4" s="9" t="s">
        <v>49</v>
      </c>
      <c r="T4" s="9" t="s">
        <v>16</v>
      </c>
      <c r="U4" s="9" t="s">
        <v>7</v>
      </c>
      <c r="V4" s="9" t="s">
        <v>7</v>
      </c>
      <c r="W4" s="9" t="s">
        <v>7</v>
      </c>
      <c r="X4" s="9" t="s">
        <v>45</v>
      </c>
      <c r="Y4" s="9" t="s">
        <v>51</v>
      </c>
      <c r="AA4" s="9" t="s">
        <v>7</v>
      </c>
      <c r="AB4" s="9" t="s">
        <v>7</v>
      </c>
      <c r="AC4" s="9" t="s">
        <v>11</v>
      </c>
    </row>
    <row r="5" spans="1:29" x14ac:dyDescent="0.35">
      <c r="A5" s="9"/>
      <c r="B5" s="9"/>
      <c r="C5" s="9" t="s">
        <v>42</v>
      </c>
      <c r="D5" s="9"/>
      <c r="E5" s="9"/>
      <c r="F5" s="9" t="s">
        <v>37</v>
      </c>
      <c r="G5" s="9"/>
      <c r="N5" s="14" t="s">
        <v>79</v>
      </c>
      <c r="O5" s="14" t="s">
        <v>80</v>
      </c>
      <c r="U5" s="14" t="s">
        <v>79</v>
      </c>
      <c r="V5" s="14" t="s">
        <v>80</v>
      </c>
      <c r="W5" s="14" t="s">
        <v>88</v>
      </c>
    </row>
    <row r="6" spans="1:29" x14ac:dyDescent="0.35">
      <c r="A6">
        <v>100</v>
      </c>
      <c r="B6" s="3">
        <f>A6/7.48</f>
        <v>13.36898395721925</v>
      </c>
      <c r="C6" s="2">
        <v>3.43</v>
      </c>
      <c r="D6" s="4">
        <v>0.48</v>
      </c>
      <c r="E6">
        <f>66/384*D6*(B6+C6)</f>
        <v>1.3859161764705878</v>
      </c>
      <c r="F6" s="1">
        <f>E6*($N$45)</f>
        <v>4.8511785787629131</v>
      </c>
      <c r="G6" s="1">
        <f>F6*365/2000</f>
        <v>0.88534009062423158</v>
      </c>
      <c r="I6">
        <v>500</v>
      </c>
      <c r="J6">
        <v>8.4</v>
      </c>
      <c r="K6" s="4">
        <v>0.95</v>
      </c>
      <c r="L6" s="4">
        <v>0.9</v>
      </c>
      <c r="M6" s="4">
        <v>0.95</v>
      </c>
      <c r="N6" s="16">
        <f>I6*J6/1000*L6*M6</f>
        <v>3.5910000000000002</v>
      </c>
      <c r="O6" s="16">
        <f>I6*J6/1000*(1-L6)*K6</f>
        <v>0.39899999999999991</v>
      </c>
      <c r="P6">
        <v>10</v>
      </c>
      <c r="Q6">
        <f>(N6+O6)*P6</f>
        <v>39.900000000000006</v>
      </c>
      <c r="R6" s="40">
        <f>(5*$F$11+7*$F$8)/12</f>
        <v>11.333886473868981</v>
      </c>
      <c r="S6" s="4">
        <f>R6/Q6</f>
        <v>0.28405730510949823</v>
      </c>
      <c r="T6" s="5">
        <f>I6*P6*30</f>
        <v>150000</v>
      </c>
      <c r="U6" s="38">
        <f>(I6*J6/1000*L6*(1-M6))*P6</f>
        <v>1.8900000000000017</v>
      </c>
      <c r="V6" s="17">
        <f>(I6*J6/1000*(1-L6)*(1-K6))*P6</f>
        <v>0.21000000000000016</v>
      </c>
      <c r="W6" s="30">
        <f>U6+V6</f>
        <v>2.1000000000000019</v>
      </c>
      <c r="X6" s="4">
        <f>R6/W6</f>
        <v>5.3970887970804622</v>
      </c>
      <c r="Y6" s="4">
        <f t="shared" ref="Y6:Y19" si="0">(Q6-(R6))/(W6+Q6)</f>
        <v>0.68014556014597671</v>
      </c>
      <c r="Z6" s="4"/>
      <c r="AA6" s="3">
        <f>I6*J6/1000*P6</f>
        <v>42</v>
      </c>
      <c r="AB6" s="39">
        <f>Q6+W6</f>
        <v>42.000000000000007</v>
      </c>
      <c r="AC6" s="7">
        <f>(R6+W6)/(I6*P6)*1000</f>
        <v>2.6867772947737967</v>
      </c>
    </row>
    <row r="7" spans="1:29" x14ac:dyDescent="0.35">
      <c r="A7">
        <v>150</v>
      </c>
      <c r="B7" s="3">
        <f t="shared" ref="B7:B13" si="1">A7/7.48</f>
        <v>20.053475935828875</v>
      </c>
      <c r="C7" s="2">
        <v>3.43</v>
      </c>
      <c r="D7" s="4">
        <v>0.48</v>
      </c>
      <c r="E7">
        <f t="shared" ref="E7:E13" si="2">66/384*D7*(B7+C7)</f>
        <v>1.937386764705882</v>
      </c>
      <c r="F7" s="1">
        <f t="shared" ref="F7:F13" si="3">E7*($N$45)</f>
        <v>6.7815134358664579</v>
      </c>
      <c r="G7" s="1">
        <f t="shared" ref="G7:G13" si="4">F7*365/2000</f>
        <v>1.2376262020456286</v>
      </c>
      <c r="I7">
        <v>750</v>
      </c>
      <c r="J7">
        <v>8.4</v>
      </c>
      <c r="K7" s="4">
        <v>0.95</v>
      </c>
      <c r="L7" s="4">
        <v>0.9</v>
      </c>
      <c r="M7" s="4">
        <v>0.95</v>
      </c>
      <c r="N7" s="16">
        <f t="shared" ref="N7:N19" si="5">I7*J7/1000*L7*M7</f>
        <v>5.3864999999999998</v>
      </c>
      <c r="O7" s="16">
        <f t="shared" ref="O7:O19" si="6">I7*J7/1000*(1-L7)*K7</f>
        <v>0.59849999999999992</v>
      </c>
      <c r="P7">
        <v>10</v>
      </c>
      <c r="Q7">
        <f t="shared" ref="Q7:Q19" si="7">(N7+O7)*P7</f>
        <v>59.849999999999994</v>
      </c>
      <c r="R7" s="40">
        <f t="shared" ref="R7:R19" si="8">(5*$F$11+7*$F$8)/12</f>
        <v>11.333886473868981</v>
      </c>
      <c r="S7" s="4">
        <f t="shared" ref="S7:S19" si="9">R7/Q7</f>
        <v>0.18937153673966553</v>
      </c>
      <c r="T7" s="5">
        <f t="shared" ref="T7:T19" si="10">I7*P7*30</f>
        <v>225000</v>
      </c>
      <c r="U7" s="38">
        <f t="shared" ref="U7:U19" si="11">(I7*J7/1000*L7*(1-M7))*P7</f>
        <v>2.8350000000000026</v>
      </c>
      <c r="V7" s="17">
        <f t="shared" ref="V7:V19" si="12">(I7*J7/1000*(1-L7)*(1-K7))*P7</f>
        <v>0.31500000000000022</v>
      </c>
      <c r="W7" s="30">
        <f t="shared" ref="W7:W19" si="13">U7+V7</f>
        <v>3.150000000000003</v>
      </c>
      <c r="X7" s="4">
        <f t="shared" ref="X7:X19" si="14">R7/W7</f>
        <v>3.5980591980536412</v>
      </c>
      <c r="Y7" s="4">
        <f t="shared" si="0"/>
        <v>0.77009704009731772</v>
      </c>
      <c r="Z7" s="4"/>
      <c r="AA7" s="3">
        <f t="shared" ref="AA7:AA19" si="15">I7*J7/1000*P7</f>
        <v>63</v>
      </c>
      <c r="AB7" s="39">
        <f t="shared" ref="AB7:AB19" si="16">Q7+W7</f>
        <v>63</v>
      </c>
      <c r="AC7" s="7">
        <f t="shared" ref="AC7:AC19" si="17">(R7+W7)/(I7*P7)*1000</f>
        <v>1.9311848631825315</v>
      </c>
    </row>
    <row r="8" spans="1:29" x14ac:dyDescent="0.35">
      <c r="A8" s="32">
        <v>195</v>
      </c>
      <c r="B8" s="3">
        <f t="shared" si="1"/>
        <v>26.069518716577537</v>
      </c>
      <c r="C8" s="2">
        <v>3.43</v>
      </c>
      <c r="D8" s="4">
        <v>0.48</v>
      </c>
      <c r="E8">
        <f t="shared" si="2"/>
        <v>2.4337102941176467</v>
      </c>
      <c r="F8" s="1">
        <f t="shared" si="3"/>
        <v>8.5188148072596466</v>
      </c>
      <c r="G8" s="1">
        <f t="shared" si="4"/>
        <v>1.5546837023248854</v>
      </c>
      <c r="H8" s="32" t="s">
        <v>81</v>
      </c>
      <c r="I8">
        <v>1000</v>
      </c>
      <c r="J8">
        <v>8.4</v>
      </c>
      <c r="K8" s="4">
        <v>0.95</v>
      </c>
      <c r="L8" s="4">
        <v>0.9</v>
      </c>
      <c r="M8" s="4">
        <v>0.95</v>
      </c>
      <c r="N8" s="16">
        <f t="shared" si="5"/>
        <v>7.1820000000000004</v>
      </c>
      <c r="O8" s="16">
        <f t="shared" si="6"/>
        <v>0.79799999999999982</v>
      </c>
      <c r="P8">
        <v>10</v>
      </c>
      <c r="Q8">
        <f t="shared" si="7"/>
        <v>79.800000000000011</v>
      </c>
      <c r="R8" s="40">
        <f t="shared" si="8"/>
        <v>11.333886473868981</v>
      </c>
      <c r="S8" s="4">
        <f t="shared" si="9"/>
        <v>0.14202865255474911</v>
      </c>
      <c r="T8" s="5">
        <f t="shared" si="10"/>
        <v>300000</v>
      </c>
      <c r="U8" s="38">
        <f t="shared" si="11"/>
        <v>3.7800000000000034</v>
      </c>
      <c r="V8" s="17">
        <f t="shared" si="12"/>
        <v>0.42000000000000032</v>
      </c>
      <c r="W8" s="30">
        <f t="shared" si="13"/>
        <v>4.2000000000000037</v>
      </c>
      <c r="X8" s="4">
        <f t="shared" si="14"/>
        <v>2.6985443985402311</v>
      </c>
      <c r="Y8" s="4">
        <f t="shared" si="0"/>
        <v>0.81507278007298822</v>
      </c>
      <c r="Z8" s="4"/>
      <c r="AA8" s="3">
        <f t="shared" si="15"/>
        <v>84</v>
      </c>
      <c r="AB8" s="39">
        <f t="shared" si="16"/>
        <v>84.000000000000014</v>
      </c>
      <c r="AC8" s="7">
        <f t="shared" si="17"/>
        <v>1.5533886473868985</v>
      </c>
    </row>
    <row r="9" spans="1:29" x14ac:dyDescent="0.35">
      <c r="A9">
        <v>250</v>
      </c>
      <c r="B9" s="3">
        <f t="shared" si="1"/>
        <v>33.422459893048128</v>
      </c>
      <c r="C9" s="2">
        <v>3.43</v>
      </c>
      <c r="D9" s="4">
        <v>0.48</v>
      </c>
      <c r="E9">
        <f t="shared" si="2"/>
        <v>3.0403279411764701</v>
      </c>
      <c r="F9" s="1">
        <f t="shared" si="3"/>
        <v>10.642183150073544</v>
      </c>
      <c r="G9" s="1">
        <f t="shared" si="4"/>
        <v>1.9421984248884219</v>
      </c>
      <c r="I9">
        <v>1250</v>
      </c>
      <c r="J9">
        <v>8.4</v>
      </c>
      <c r="K9" s="4">
        <v>0.95</v>
      </c>
      <c r="L9" s="4">
        <v>0.9</v>
      </c>
      <c r="M9" s="4">
        <v>0.95</v>
      </c>
      <c r="N9" s="16">
        <f t="shared" si="5"/>
        <v>8.9775000000000009</v>
      </c>
      <c r="O9" s="16">
        <f t="shared" si="6"/>
        <v>0.99749999999999983</v>
      </c>
      <c r="P9">
        <v>10</v>
      </c>
      <c r="Q9">
        <f t="shared" si="7"/>
        <v>99.750000000000014</v>
      </c>
      <c r="R9" s="40">
        <f t="shared" si="8"/>
        <v>11.333886473868981</v>
      </c>
      <c r="S9" s="4">
        <f t="shared" si="9"/>
        <v>0.1136229220437993</v>
      </c>
      <c r="T9" s="5">
        <f t="shared" si="10"/>
        <v>375000</v>
      </c>
      <c r="U9" s="38">
        <f t="shared" si="11"/>
        <v>4.725000000000005</v>
      </c>
      <c r="V9" s="17">
        <f t="shared" si="12"/>
        <v>0.52500000000000036</v>
      </c>
      <c r="W9" s="30">
        <f t="shared" si="13"/>
        <v>5.2500000000000053</v>
      </c>
      <c r="X9" s="4">
        <f t="shared" si="14"/>
        <v>2.1588355188321846</v>
      </c>
      <c r="Y9" s="4">
        <f t="shared" si="0"/>
        <v>0.84205822405839059</v>
      </c>
      <c r="Z9" s="4"/>
      <c r="AA9" s="3">
        <f t="shared" si="15"/>
        <v>105</v>
      </c>
      <c r="AB9" s="39">
        <f t="shared" si="16"/>
        <v>105.00000000000001</v>
      </c>
      <c r="AC9" s="7">
        <f t="shared" si="17"/>
        <v>1.3267109179095189</v>
      </c>
    </row>
    <row r="10" spans="1:29" x14ac:dyDescent="0.35">
      <c r="A10">
        <v>300</v>
      </c>
      <c r="B10" s="3">
        <f t="shared" si="1"/>
        <v>40.106951871657749</v>
      </c>
      <c r="C10" s="2">
        <v>3.43</v>
      </c>
      <c r="D10" s="4">
        <v>0.48</v>
      </c>
      <c r="E10">
        <f t="shared" si="2"/>
        <v>3.591798529411764</v>
      </c>
      <c r="F10" s="1">
        <f t="shared" si="3"/>
        <v>12.572518007177088</v>
      </c>
      <c r="G10" s="1">
        <f t="shared" si="4"/>
        <v>2.2944845363098185</v>
      </c>
      <c r="I10">
        <v>1500</v>
      </c>
      <c r="J10">
        <v>8.4</v>
      </c>
      <c r="K10" s="4">
        <v>0.95</v>
      </c>
      <c r="L10" s="4">
        <v>0.9</v>
      </c>
      <c r="M10" s="4">
        <v>0.95</v>
      </c>
      <c r="N10" s="16">
        <f t="shared" si="5"/>
        <v>10.773</v>
      </c>
      <c r="O10" s="16">
        <f t="shared" si="6"/>
        <v>1.1969999999999998</v>
      </c>
      <c r="P10">
        <v>10</v>
      </c>
      <c r="Q10">
        <f t="shared" si="7"/>
        <v>119.69999999999999</v>
      </c>
      <c r="R10" s="40">
        <f t="shared" si="8"/>
        <v>11.333886473868981</v>
      </c>
      <c r="S10" s="4">
        <f t="shared" si="9"/>
        <v>9.4685768369832765E-2</v>
      </c>
      <c r="T10" s="5">
        <f t="shared" si="10"/>
        <v>450000</v>
      </c>
      <c r="U10" s="38">
        <f t="shared" si="11"/>
        <v>5.6700000000000053</v>
      </c>
      <c r="V10" s="17">
        <f t="shared" si="12"/>
        <v>0.63000000000000045</v>
      </c>
      <c r="W10" s="30">
        <f t="shared" si="13"/>
        <v>6.300000000000006</v>
      </c>
      <c r="X10" s="4">
        <f t="shared" si="14"/>
        <v>1.7990295990268206</v>
      </c>
      <c r="Y10" s="4">
        <f t="shared" si="0"/>
        <v>0.86004852004865873</v>
      </c>
      <c r="Z10" s="4"/>
      <c r="AA10" s="3">
        <f t="shared" si="15"/>
        <v>126</v>
      </c>
      <c r="AB10" s="39">
        <f t="shared" si="16"/>
        <v>126</v>
      </c>
      <c r="AC10" s="7">
        <f t="shared" si="17"/>
        <v>1.1755924315912658</v>
      </c>
    </row>
    <row r="11" spans="1:29" x14ac:dyDescent="0.35">
      <c r="A11" s="33">
        <v>370</v>
      </c>
      <c r="B11" s="3">
        <f t="shared" si="1"/>
        <v>49.465240641711226</v>
      </c>
      <c r="C11" s="2">
        <v>3.43</v>
      </c>
      <c r="D11" s="4">
        <v>0.48</v>
      </c>
      <c r="E11">
        <f t="shared" si="2"/>
        <v>4.3638573529411753</v>
      </c>
      <c r="F11" s="1">
        <f t="shared" si="3"/>
        <v>15.274986807122048</v>
      </c>
      <c r="G11" s="1">
        <f t="shared" si="4"/>
        <v>2.7876850922997738</v>
      </c>
      <c r="H11" s="33" t="s">
        <v>82</v>
      </c>
      <c r="I11">
        <v>1750</v>
      </c>
      <c r="J11">
        <v>8.4</v>
      </c>
      <c r="K11" s="4">
        <v>0.95</v>
      </c>
      <c r="L11" s="4">
        <v>0.9</v>
      </c>
      <c r="M11" s="4">
        <v>0.95</v>
      </c>
      <c r="N11" s="16">
        <f t="shared" si="5"/>
        <v>12.5685</v>
      </c>
      <c r="O11" s="16">
        <f t="shared" si="6"/>
        <v>1.3964999999999994</v>
      </c>
      <c r="P11">
        <v>10</v>
      </c>
      <c r="Q11">
        <f t="shared" si="7"/>
        <v>139.65</v>
      </c>
      <c r="R11" s="40">
        <f t="shared" si="8"/>
        <v>11.333886473868981</v>
      </c>
      <c r="S11" s="4">
        <f t="shared" si="9"/>
        <v>8.1159230031285223E-2</v>
      </c>
      <c r="T11" s="5">
        <f t="shared" si="10"/>
        <v>525000</v>
      </c>
      <c r="U11" s="38">
        <f t="shared" si="11"/>
        <v>6.6150000000000064</v>
      </c>
      <c r="V11" s="17">
        <f t="shared" si="12"/>
        <v>0.73500000000000032</v>
      </c>
      <c r="W11" s="30">
        <f t="shared" si="13"/>
        <v>7.3500000000000068</v>
      </c>
      <c r="X11" s="4">
        <f t="shared" si="14"/>
        <v>1.5420253705944178</v>
      </c>
      <c r="Y11" s="4">
        <f t="shared" si="0"/>
        <v>0.87289873147027919</v>
      </c>
      <c r="Z11" s="4"/>
      <c r="AA11" s="3">
        <f t="shared" si="15"/>
        <v>147</v>
      </c>
      <c r="AB11" s="39">
        <f t="shared" si="16"/>
        <v>147</v>
      </c>
      <c r="AC11" s="7">
        <f t="shared" si="17"/>
        <v>1.0676506556496563</v>
      </c>
    </row>
    <row r="12" spans="1:29" x14ac:dyDescent="0.35">
      <c r="A12">
        <v>400</v>
      </c>
      <c r="B12" s="3">
        <f t="shared" si="1"/>
        <v>53.475935828876999</v>
      </c>
      <c r="C12" s="2">
        <v>3.43</v>
      </c>
      <c r="D12" s="4">
        <v>0.48</v>
      </c>
      <c r="E12">
        <f t="shared" si="2"/>
        <v>4.6947397058823519</v>
      </c>
      <c r="F12" s="1">
        <f t="shared" si="3"/>
        <v>16.433187721384176</v>
      </c>
      <c r="G12" s="1">
        <f t="shared" si="4"/>
        <v>2.9990567591526118</v>
      </c>
      <c r="I12">
        <v>2000</v>
      </c>
      <c r="J12">
        <v>8.4</v>
      </c>
      <c r="K12" s="4">
        <v>0.95</v>
      </c>
      <c r="L12" s="4">
        <v>0.9</v>
      </c>
      <c r="M12" s="4">
        <v>0.95</v>
      </c>
      <c r="N12" s="16">
        <f t="shared" si="5"/>
        <v>14.364000000000001</v>
      </c>
      <c r="O12" s="16">
        <f t="shared" si="6"/>
        <v>1.5959999999999996</v>
      </c>
      <c r="P12">
        <v>10</v>
      </c>
      <c r="Q12">
        <f t="shared" si="7"/>
        <v>159.60000000000002</v>
      </c>
      <c r="R12" s="40">
        <f t="shared" si="8"/>
        <v>11.333886473868981</v>
      </c>
      <c r="S12" s="4">
        <f t="shared" si="9"/>
        <v>7.1014326277374556E-2</v>
      </c>
      <c r="T12" s="5">
        <f t="shared" si="10"/>
        <v>600000</v>
      </c>
      <c r="U12" s="38">
        <f t="shared" si="11"/>
        <v>7.5600000000000067</v>
      </c>
      <c r="V12" s="17">
        <f t="shared" si="12"/>
        <v>0.84000000000000064</v>
      </c>
      <c r="W12" s="30">
        <f t="shared" si="13"/>
        <v>8.4000000000000075</v>
      </c>
      <c r="X12" s="4">
        <f t="shared" si="14"/>
        <v>1.3492721992701155</v>
      </c>
      <c r="Y12" s="4">
        <f t="shared" si="0"/>
        <v>0.8825363900364942</v>
      </c>
      <c r="Z12" s="4"/>
      <c r="AA12" s="3">
        <f t="shared" si="15"/>
        <v>168</v>
      </c>
      <c r="AB12" s="39">
        <f t="shared" si="16"/>
        <v>168.00000000000003</v>
      </c>
      <c r="AC12" s="7">
        <f t="shared" si="17"/>
        <v>0.98669432369344945</v>
      </c>
    </row>
    <row r="13" spans="1:29" x14ac:dyDescent="0.35">
      <c r="A13">
        <v>450</v>
      </c>
      <c r="B13" s="3">
        <f t="shared" si="1"/>
        <v>60.160427807486627</v>
      </c>
      <c r="C13" s="2">
        <v>3.43</v>
      </c>
      <c r="D13" s="4">
        <v>0.48</v>
      </c>
      <c r="E13">
        <f t="shared" si="2"/>
        <v>5.2462102941176463</v>
      </c>
      <c r="F13" s="1">
        <f t="shared" si="3"/>
        <v>18.363522578487718</v>
      </c>
      <c r="G13" s="1">
        <f t="shared" si="4"/>
        <v>3.3513428705740083</v>
      </c>
      <c r="I13">
        <v>2250</v>
      </c>
      <c r="J13">
        <v>8.4</v>
      </c>
      <c r="K13" s="4">
        <v>0.95</v>
      </c>
      <c r="L13" s="4">
        <v>0.9</v>
      </c>
      <c r="M13" s="4">
        <v>0.95</v>
      </c>
      <c r="N13" s="16">
        <f t="shared" si="5"/>
        <v>16.159499999999998</v>
      </c>
      <c r="O13" s="16">
        <f t="shared" si="6"/>
        <v>1.7954999999999994</v>
      </c>
      <c r="P13">
        <v>10</v>
      </c>
      <c r="Q13">
        <f t="shared" si="7"/>
        <v>179.54999999999998</v>
      </c>
      <c r="R13" s="40">
        <f t="shared" si="8"/>
        <v>11.333886473868981</v>
      </c>
      <c r="S13" s="4">
        <f t="shared" si="9"/>
        <v>6.312384557988851E-2</v>
      </c>
      <c r="T13" s="5">
        <f t="shared" si="10"/>
        <v>675000</v>
      </c>
      <c r="U13" s="38">
        <f t="shared" si="11"/>
        <v>8.5050000000000061</v>
      </c>
      <c r="V13" s="17">
        <f t="shared" si="12"/>
        <v>0.94500000000000051</v>
      </c>
      <c r="W13" s="30">
        <f t="shared" si="13"/>
        <v>9.4500000000000064</v>
      </c>
      <c r="X13" s="4">
        <f t="shared" si="14"/>
        <v>1.1993530660178808</v>
      </c>
      <c r="Y13" s="4">
        <f t="shared" si="0"/>
        <v>0.89003234669910591</v>
      </c>
      <c r="Z13" s="4"/>
      <c r="AA13" s="3">
        <f t="shared" si="15"/>
        <v>189</v>
      </c>
      <c r="AB13" s="39">
        <f t="shared" si="16"/>
        <v>189</v>
      </c>
      <c r="AC13" s="7">
        <f t="shared" si="17"/>
        <v>0.92372828772751059</v>
      </c>
    </row>
    <row r="14" spans="1:29" x14ac:dyDescent="0.35">
      <c r="A14" s="11">
        <f>AVERAGE(A6:A13)</f>
        <v>276.875</v>
      </c>
      <c r="B14" s="11">
        <f>AVERAGE(B6:B13)</f>
        <v>37.015374331550802</v>
      </c>
      <c r="C14" s="11"/>
      <c r="D14" s="12">
        <f>AVERAGE(D6:D13)</f>
        <v>0.48</v>
      </c>
      <c r="E14" s="11">
        <f t="shared" ref="E14:F14" si="18">(7*E8+5*E11)/12</f>
        <v>3.2379382352941168</v>
      </c>
      <c r="F14" s="11">
        <f t="shared" si="18"/>
        <v>11.333886473868981</v>
      </c>
      <c r="G14" s="11">
        <f>(7*G8+5*G11)/12</f>
        <v>2.068434281481089</v>
      </c>
      <c r="I14">
        <v>2500</v>
      </c>
      <c r="J14">
        <v>8.4</v>
      </c>
      <c r="K14" s="4">
        <v>0.95</v>
      </c>
      <c r="L14" s="4">
        <v>0.9</v>
      </c>
      <c r="M14" s="4">
        <v>0.95</v>
      </c>
      <c r="N14" s="16">
        <f t="shared" si="5"/>
        <v>17.955000000000002</v>
      </c>
      <c r="O14" s="16">
        <f t="shared" si="6"/>
        <v>1.9949999999999997</v>
      </c>
      <c r="P14">
        <v>10</v>
      </c>
      <c r="Q14">
        <f t="shared" si="7"/>
        <v>199.50000000000003</v>
      </c>
      <c r="R14" s="40">
        <f t="shared" si="8"/>
        <v>11.333886473868981</v>
      </c>
      <c r="S14" s="4">
        <f t="shared" si="9"/>
        <v>5.6811461021899649E-2</v>
      </c>
      <c r="T14" s="5">
        <f t="shared" si="10"/>
        <v>750000</v>
      </c>
      <c r="U14" s="38">
        <f t="shared" si="11"/>
        <v>9.4500000000000099</v>
      </c>
      <c r="V14" s="17">
        <f t="shared" si="12"/>
        <v>1.0500000000000007</v>
      </c>
      <c r="W14" s="30">
        <f t="shared" si="13"/>
        <v>10.500000000000011</v>
      </c>
      <c r="X14" s="4">
        <f t="shared" si="14"/>
        <v>1.0794177594160923</v>
      </c>
      <c r="Y14" s="4">
        <f t="shared" si="0"/>
        <v>0.89602911202919533</v>
      </c>
      <c r="Z14" s="4"/>
      <c r="AA14" s="3">
        <f t="shared" si="15"/>
        <v>210</v>
      </c>
      <c r="AB14" s="39">
        <f t="shared" si="16"/>
        <v>210.00000000000003</v>
      </c>
      <c r="AC14" s="7">
        <f t="shared" si="17"/>
        <v>0.87335545895475974</v>
      </c>
    </row>
    <row r="15" spans="1:29" x14ac:dyDescent="0.35">
      <c r="I15">
        <v>2750</v>
      </c>
      <c r="J15">
        <v>8.4</v>
      </c>
      <c r="K15" s="4">
        <v>0.95</v>
      </c>
      <c r="L15" s="4">
        <v>0.9</v>
      </c>
      <c r="M15" s="4">
        <v>0.95</v>
      </c>
      <c r="N15" s="16">
        <f t="shared" si="5"/>
        <v>19.750500000000002</v>
      </c>
      <c r="O15" s="16">
        <f t="shared" si="6"/>
        <v>2.1944999999999997</v>
      </c>
      <c r="P15">
        <v>10</v>
      </c>
      <c r="Q15">
        <f t="shared" si="7"/>
        <v>219.45</v>
      </c>
      <c r="R15" s="40">
        <f t="shared" si="8"/>
        <v>11.333886473868981</v>
      </c>
      <c r="S15" s="4">
        <f t="shared" si="9"/>
        <v>5.1646782747181506E-2</v>
      </c>
      <c r="T15" s="5">
        <f t="shared" si="10"/>
        <v>825000</v>
      </c>
      <c r="U15" s="38">
        <f t="shared" si="11"/>
        <v>10.39500000000001</v>
      </c>
      <c r="V15" s="17">
        <f t="shared" si="12"/>
        <v>1.1550000000000009</v>
      </c>
      <c r="W15" s="30">
        <f t="shared" si="13"/>
        <v>11.550000000000011</v>
      </c>
      <c r="X15" s="4">
        <f t="shared" si="14"/>
        <v>0.98128887219644756</v>
      </c>
      <c r="Y15" s="4">
        <f t="shared" si="0"/>
        <v>0.90093555639017753</v>
      </c>
      <c r="Z15" s="4"/>
      <c r="AA15" s="3">
        <f t="shared" si="15"/>
        <v>231</v>
      </c>
      <c r="AB15" s="39">
        <f t="shared" si="16"/>
        <v>231</v>
      </c>
      <c r="AC15" s="7">
        <f t="shared" si="17"/>
        <v>0.8321413263225087</v>
      </c>
    </row>
    <row r="16" spans="1:29" x14ac:dyDescent="0.35">
      <c r="I16">
        <v>3000</v>
      </c>
      <c r="J16">
        <v>8.4</v>
      </c>
      <c r="K16" s="4">
        <v>0.95</v>
      </c>
      <c r="L16" s="4">
        <v>0.9</v>
      </c>
      <c r="M16" s="4">
        <v>0.95</v>
      </c>
      <c r="N16" s="16">
        <f t="shared" si="5"/>
        <v>21.545999999999999</v>
      </c>
      <c r="O16" s="16">
        <f t="shared" si="6"/>
        <v>2.3939999999999997</v>
      </c>
      <c r="P16">
        <v>10</v>
      </c>
      <c r="Q16">
        <f t="shared" si="7"/>
        <v>239.39999999999998</v>
      </c>
      <c r="R16" s="40">
        <f t="shared" si="8"/>
        <v>11.333886473868981</v>
      </c>
      <c r="S16" s="4">
        <f t="shared" si="9"/>
        <v>4.7342884184916383E-2</v>
      </c>
      <c r="T16" s="5">
        <f t="shared" si="10"/>
        <v>900000</v>
      </c>
      <c r="U16" s="38">
        <f t="shared" si="11"/>
        <v>11.340000000000011</v>
      </c>
      <c r="V16" s="17">
        <f t="shared" si="12"/>
        <v>1.2600000000000009</v>
      </c>
      <c r="W16" s="30">
        <f t="shared" si="13"/>
        <v>12.600000000000012</v>
      </c>
      <c r="X16" s="4">
        <f t="shared" si="14"/>
        <v>0.89951479951341029</v>
      </c>
      <c r="Y16" s="4">
        <f t="shared" si="0"/>
        <v>0.90502426002432934</v>
      </c>
      <c r="Z16" s="4"/>
      <c r="AA16" s="3">
        <f t="shared" si="15"/>
        <v>252</v>
      </c>
      <c r="AB16" s="39">
        <f t="shared" si="16"/>
        <v>252</v>
      </c>
      <c r="AC16" s="7">
        <f t="shared" si="17"/>
        <v>0.79779621579563309</v>
      </c>
    </row>
    <row r="17" spans="1:29" x14ac:dyDescent="0.35">
      <c r="I17">
        <v>3250</v>
      </c>
      <c r="J17">
        <v>8.4</v>
      </c>
      <c r="K17" s="4">
        <v>0.95</v>
      </c>
      <c r="L17" s="4">
        <v>0.9</v>
      </c>
      <c r="M17" s="4">
        <v>0.95</v>
      </c>
      <c r="N17" s="16">
        <f t="shared" si="5"/>
        <v>23.3415</v>
      </c>
      <c r="O17" s="16">
        <f t="shared" si="6"/>
        <v>2.5934999999999993</v>
      </c>
      <c r="P17">
        <v>10</v>
      </c>
      <c r="Q17">
        <f t="shared" si="7"/>
        <v>259.34999999999997</v>
      </c>
      <c r="R17" s="40">
        <f t="shared" si="8"/>
        <v>11.333886473868981</v>
      </c>
      <c r="S17" s="4">
        <f t="shared" si="9"/>
        <v>4.3701123862999743E-2</v>
      </c>
      <c r="T17" s="5">
        <f t="shared" si="10"/>
        <v>975000</v>
      </c>
      <c r="U17" s="38">
        <f t="shared" si="11"/>
        <v>12.285000000000011</v>
      </c>
      <c r="V17" s="17">
        <f t="shared" si="12"/>
        <v>1.3650000000000009</v>
      </c>
      <c r="W17" s="30">
        <f t="shared" si="13"/>
        <v>13.650000000000011</v>
      </c>
      <c r="X17" s="4">
        <f t="shared" si="14"/>
        <v>0.83032135339699431</v>
      </c>
      <c r="Y17" s="4">
        <f t="shared" si="0"/>
        <v>0.90848393233015012</v>
      </c>
      <c r="Z17" s="4"/>
      <c r="AA17" s="3">
        <f t="shared" si="15"/>
        <v>273</v>
      </c>
      <c r="AB17" s="39">
        <f t="shared" si="16"/>
        <v>273</v>
      </c>
      <c r="AC17" s="7">
        <f t="shared" si="17"/>
        <v>0.76873496842673816</v>
      </c>
    </row>
    <row r="18" spans="1:29" x14ac:dyDescent="0.35">
      <c r="I18">
        <v>3500</v>
      </c>
      <c r="J18">
        <v>8.4</v>
      </c>
      <c r="K18" s="4">
        <v>0.95</v>
      </c>
      <c r="L18" s="4">
        <v>0.9</v>
      </c>
      <c r="M18" s="4">
        <v>0.95</v>
      </c>
      <c r="N18" s="16">
        <f t="shared" si="5"/>
        <v>25.137</v>
      </c>
      <c r="O18" s="16">
        <f t="shared" si="6"/>
        <v>2.7929999999999988</v>
      </c>
      <c r="P18">
        <v>10</v>
      </c>
      <c r="Q18">
        <f t="shared" si="7"/>
        <v>279.3</v>
      </c>
      <c r="R18" s="40">
        <f t="shared" si="8"/>
        <v>11.333886473868981</v>
      </c>
      <c r="S18" s="4">
        <f t="shared" si="9"/>
        <v>4.0579615015642612E-2</v>
      </c>
      <c r="T18" s="5">
        <f t="shared" si="10"/>
        <v>1050000</v>
      </c>
      <c r="U18" s="38">
        <f t="shared" si="11"/>
        <v>13.230000000000013</v>
      </c>
      <c r="V18" s="17">
        <f t="shared" si="12"/>
        <v>1.4700000000000006</v>
      </c>
      <c r="W18" s="30">
        <f t="shared" si="13"/>
        <v>14.700000000000014</v>
      </c>
      <c r="X18" s="4">
        <f t="shared" si="14"/>
        <v>0.7710126852972089</v>
      </c>
      <c r="Y18" s="4">
        <f t="shared" si="0"/>
        <v>0.91144936573513957</v>
      </c>
      <c r="Z18" s="4"/>
      <c r="AA18" s="3">
        <f t="shared" si="15"/>
        <v>294</v>
      </c>
      <c r="AB18" s="39">
        <f t="shared" si="16"/>
        <v>294</v>
      </c>
      <c r="AC18" s="7">
        <f t="shared" si="17"/>
        <v>0.74382532782482846</v>
      </c>
    </row>
    <row r="19" spans="1:29" x14ac:dyDescent="0.35">
      <c r="I19">
        <v>3750</v>
      </c>
      <c r="J19">
        <v>8.4</v>
      </c>
      <c r="K19" s="4">
        <v>0.95</v>
      </c>
      <c r="L19" s="4">
        <v>0.9</v>
      </c>
      <c r="M19" s="4">
        <v>0.95</v>
      </c>
      <c r="N19" s="16">
        <f t="shared" si="5"/>
        <v>26.932500000000001</v>
      </c>
      <c r="O19" s="16">
        <f t="shared" si="6"/>
        <v>2.9924999999999993</v>
      </c>
      <c r="P19">
        <v>10</v>
      </c>
      <c r="Q19">
        <f t="shared" si="7"/>
        <v>299.25</v>
      </c>
      <c r="R19" s="40">
        <f t="shared" si="8"/>
        <v>11.333886473868981</v>
      </c>
      <c r="S19" s="4">
        <f t="shared" si="9"/>
        <v>3.7874307347933102E-2</v>
      </c>
      <c r="T19" s="5">
        <f t="shared" si="10"/>
        <v>1125000</v>
      </c>
      <c r="U19" s="38">
        <f t="shared" si="11"/>
        <v>14.175000000000013</v>
      </c>
      <c r="V19" s="17">
        <f t="shared" si="12"/>
        <v>1.5750000000000011</v>
      </c>
      <c r="W19" s="30">
        <f t="shared" si="13"/>
        <v>15.750000000000014</v>
      </c>
      <c r="X19" s="4">
        <f t="shared" si="14"/>
        <v>0.71961183961072828</v>
      </c>
      <c r="Y19" s="4">
        <f t="shared" si="0"/>
        <v>0.91401940801946358</v>
      </c>
      <c r="Z19" s="4"/>
      <c r="AA19" s="3">
        <f t="shared" si="15"/>
        <v>315</v>
      </c>
      <c r="AB19" s="39">
        <f t="shared" si="16"/>
        <v>315</v>
      </c>
      <c r="AC19" s="7">
        <f t="shared" si="17"/>
        <v>0.72223697263650655</v>
      </c>
    </row>
    <row r="20" spans="1:29" x14ac:dyDescent="0.35">
      <c r="U20" s="7"/>
    </row>
    <row r="21" spans="1:29" x14ac:dyDescent="0.35">
      <c r="N21" s="16">
        <f>I6*J6/1000*L6*M6*K6</f>
        <v>3.4114499999999999</v>
      </c>
    </row>
    <row r="23" spans="1:29" x14ac:dyDescent="0.35">
      <c r="X23" s="31"/>
      <c r="Y23" s="31"/>
    </row>
    <row r="24" spans="1:29" x14ac:dyDescent="0.35">
      <c r="A24" s="27">
        <v>28</v>
      </c>
      <c r="B24" s="27">
        <v>29</v>
      </c>
      <c r="C24" s="27">
        <v>30</v>
      </c>
      <c r="D24" s="27">
        <v>31</v>
      </c>
      <c r="E24" s="27">
        <v>32</v>
      </c>
      <c r="F24" s="27">
        <v>33</v>
      </c>
      <c r="G24" s="27">
        <v>34</v>
      </c>
      <c r="H24" s="27">
        <v>35</v>
      </c>
      <c r="I24" s="27">
        <v>36</v>
      </c>
      <c r="J24" s="27">
        <v>37</v>
      </c>
      <c r="K24" s="27">
        <v>38</v>
      </c>
      <c r="L24" s="27">
        <v>39</v>
      </c>
      <c r="M24" s="27">
        <v>40</v>
      </c>
      <c r="N24" s="27">
        <v>41</v>
      </c>
      <c r="O24" s="27">
        <v>42</v>
      </c>
      <c r="P24" s="27">
        <v>43</v>
      </c>
      <c r="Q24" s="27">
        <v>44</v>
      </c>
      <c r="X24" s="31"/>
      <c r="Y24" s="31"/>
    </row>
    <row r="25" spans="1:29" x14ac:dyDescent="0.35">
      <c r="A25" s="18" t="s">
        <v>18</v>
      </c>
      <c r="B25" s="18" t="s">
        <v>19</v>
      </c>
      <c r="C25" s="18"/>
      <c r="D25" s="18" t="s">
        <v>20</v>
      </c>
      <c r="E25" s="18" t="s">
        <v>24</v>
      </c>
      <c r="F25" s="18" t="s">
        <v>23</v>
      </c>
      <c r="G25" s="18" t="s">
        <v>28</v>
      </c>
      <c r="H25" s="18" t="s">
        <v>25</v>
      </c>
      <c r="I25" s="18" t="s">
        <v>30</v>
      </c>
      <c r="J25" s="18" t="s">
        <v>35</v>
      </c>
      <c r="K25" s="18" t="s">
        <v>32</v>
      </c>
      <c r="L25" s="18" t="s">
        <v>47</v>
      </c>
      <c r="M25" s="19" t="s">
        <v>33</v>
      </c>
      <c r="N25" s="18" t="s">
        <v>34</v>
      </c>
      <c r="O25" s="18" t="s">
        <v>83</v>
      </c>
      <c r="P25" s="18" t="s">
        <v>83</v>
      </c>
      <c r="Q25" s="18" t="s">
        <v>83</v>
      </c>
      <c r="R25" s="18"/>
    </row>
    <row r="26" spans="1:29" x14ac:dyDescent="0.35">
      <c r="A26" s="9" t="s">
        <v>38</v>
      </c>
      <c r="B26" s="9" t="s">
        <v>21</v>
      </c>
      <c r="C26" s="9"/>
      <c r="D26" s="9" t="s">
        <v>22</v>
      </c>
      <c r="E26" s="9"/>
      <c r="F26" s="9"/>
      <c r="G26" s="9"/>
      <c r="H26" s="9"/>
      <c r="I26" s="9"/>
      <c r="J26" s="9"/>
      <c r="K26" s="9"/>
      <c r="L26" s="9" t="s">
        <v>48</v>
      </c>
      <c r="M26" s="9"/>
      <c r="N26" s="9"/>
      <c r="O26" s="9"/>
    </row>
    <row r="27" spans="1:29" x14ac:dyDescent="0.35">
      <c r="A27" s="9" t="s">
        <v>26</v>
      </c>
      <c r="B27" s="9" t="s">
        <v>26</v>
      </c>
      <c r="C27" s="9"/>
      <c r="D27" s="9" t="s">
        <v>26</v>
      </c>
      <c r="E27" s="9" t="s">
        <v>27</v>
      </c>
      <c r="F27" s="9" t="s">
        <v>29</v>
      </c>
      <c r="G27" s="9"/>
      <c r="H27" s="9"/>
      <c r="I27" s="9" t="s">
        <v>26</v>
      </c>
      <c r="J27" s="9" t="s">
        <v>31</v>
      </c>
      <c r="K27" s="9" t="s">
        <v>31</v>
      </c>
      <c r="L27" s="9" t="s">
        <v>31</v>
      </c>
      <c r="M27" s="9" t="s">
        <v>31</v>
      </c>
      <c r="N27" s="9" t="s">
        <v>31</v>
      </c>
      <c r="O27" s="9" t="s">
        <v>2</v>
      </c>
      <c r="P27" s="9" t="s">
        <v>85</v>
      </c>
      <c r="Q27" s="9" t="s">
        <v>84</v>
      </c>
      <c r="R27" s="9"/>
    </row>
    <row r="28" spans="1:29" x14ac:dyDescent="0.35">
      <c r="A28" s="5">
        <v>60000</v>
      </c>
      <c r="B28" s="5">
        <f>0.5*A28</f>
        <v>30000</v>
      </c>
      <c r="C28" s="5"/>
      <c r="D28" s="5">
        <f>B28*(G28+E28)/G28</f>
        <v>29410.319410319411</v>
      </c>
      <c r="E28">
        <v>-8</v>
      </c>
      <c r="F28">
        <v>150</v>
      </c>
      <c r="G28">
        <v>407</v>
      </c>
      <c r="H28">
        <v>0</v>
      </c>
      <c r="I28" s="6">
        <f>B28-D28</f>
        <v>589.68058968058904</v>
      </c>
      <c r="J28" s="7">
        <f>I28/F28</f>
        <v>3.9312039312039269</v>
      </c>
      <c r="K28" s="2">
        <f>400/F28</f>
        <v>2.6666666666666665</v>
      </c>
      <c r="L28" s="7">
        <f>((B28+400)*(G28+2.5)/G28-(B28+400))/F28</f>
        <v>1.2448812448812532</v>
      </c>
      <c r="M28" s="7">
        <f>J28+K28+L28</f>
        <v>7.8427518427518468</v>
      </c>
      <c r="N28" s="7">
        <f>12-M28</f>
        <v>4.1572481572481532</v>
      </c>
      <c r="O28" s="7"/>
      <c r="P28" s="7">
        <f>12-J28</f>
        <v>8.0687960687960736</v>
      </c>
    </row>
    <row r="29" spans="1:29" x14ac:dyDescent="0.35">
      <c r="A29" s="5">
        <v>110000</v>
      </c>
      <c r="B29" s="5">
        <f>0.5*A29</f>
        <v>55000</v>
      </c>
      <c r="C29" s="5"/>
      <c r="D29" s="5">
        <f>B29*(G29+E29)/G29</f>
        <v>53918.91891891892</v>
      </c>
      <c r="E29">
        <v>-8</v>
      </c>
      <c r="F29" s="32">
        <v>195</v>
      </c>
      <c r="G29">
        <v>407</v>
      </c>
      <c r="H29">
        <v>0</v>
      </c>
      <c r="I29" s="6">
        <f>B29-D29</f>
        <v>1081.0810810810799</v>
      </c>
      <c r="J29" s="7">
        <f>I29/F29</f>
        <v>5.5440055440055378</v>
      </c>
      <c r="K29" s="2">
        <f>400/F29</f>
        <v>2.0512820512820511</v>
      </c>
      <c r="L29" s="7">
        <f>((B29+400)*(G29+2.5)/G29-(B29+400))/F29</f>
        <v>1.7451017451017368</v>
      </c>
      <c r="M29" s="7">
        <f>J29+K29+L29</f>
        <v>9.3403893403893257</v>
      </c>
      <c r="N29" s="34">
        <f>11-M29</f>
        <v>1.6596106596106743</v>
      </c>
      <c r="O29" s="7"/>
      <c r="P29" s="34">
        <f t="shared" ref="P29:P30" si="19">11-J29</f>
        <v>5.4559944559944622</v>
      </c>
    </row>
    <row r="30" spans="1:29" x14ac:dyDescent="0.35">
      <c r="A30" s="5">
        <v>120000</v>
      </c>
      <c r="B30" s="5">
        <f>0.5*A30</f>
        <v>60000</v>
      </c>
      <c r="C30" s="5"/>
      <c r="D30" s="5">
        <f>B30*(G30+E30)/G30</f>
        <v>58820.638820638822</v>
      </c>
      <c r="E30">
        <v>-8</v>
      </c>
      <c r="F30">
        <v>350</v>
      </c>
      <c r="G30">
        <v>407</v>
      </c>
      <c r="H30">
        <v>0</v>
      </c>
      <c r="I30" s="6">
        <f>B30-D30</f>
        <v>1179.3611793611781</v>
      </c>
      <c r="J30" s="7">
        <f>I30/F30</f>
        <v>3.3696033696033658</v>
      </c>
      <c r="K30" s="2">
        <f>400/F30</f>
        <v>1.1428571428571428</v>
      </c>
      <c r="L30" s="7">
        <f>((B30+400)*(G30+2.5)/G30-(B30+400))/F30</f>
        <v>1.0600210600210578</v>
      </c>
      <c r="M30" s="7">
        <f>J30+K30+L30</f>
        <v>5.5724815724815659</v>
      </c>
      <c r="N30" s="7">
        <f>11-M30</f>
        <v>5.4275184275184341</v>
      </c>
      <c r="O30" s="7"/>
      <c r="P30" s="7">
        <f t="shared" si="19"/>
        <v>7.6303966303966337</v>
      </c>
    </row>
    <row r="31" spans="1:29" x14ac:dyDescent="0.35">
      <c r="N31" s="13">
        <f>AVERAGE(N28:N30)</f>
        <v>3.7481257481257537</v>
      </c>
      <c r="O31" s="7">
        <v>3.43</v>
      </c>
      <c r="P31" s="7">
        <f>AVERAGE(P28:P30)</f>
        <v>7.0517290517290574</v>
      </c>
      <c r="Q31">
        <f>O31*P29</f>
        <v>18.714060984061007</v>
      </c>
    </row>
    <row r="32" spans="1:29" x14ac:dyDescent="0.35">
      <c r="K32" s="20" t="s">
        <v>46</v>
      </c>
      <c r="L32" s="20"/>
      <c r="M32" s="20"/>
    </row>
    <row r="33" spans="1:17" x14ac:dyDescent="0.35">
      <c r="G33" s="7"/>
      <c r="K33" s="21" t="s">
        <v>68</v>
      </c>
      <c r="L33" s="21"/>
      <c r="M33" s="21"/>
    </row>
    <row r="34" spans="1:17" x14ac:dyDescent="0.35">
      <c r="G34" s="7"/>
      <c r="I34" s="7"/>
    </row>
    <row r="35" spans="1:17" x14ac:dyDescent="0.35">
      <c r="A35" s="27" t="s">
        <v>92</v>
      </c>
      <c r="B35" s="27" t="s">
        <v>93</v>
      </c>
      <c r="C35" s="27" t="s">
        <v>94</v>
      </c>
      <c r="D35" s="27" t="s">
        <v>95</v>
      </c>
      <c r="E35" s="27" t="s">
        <v>96</v>
      </c>
      <c r="F35" s="27" t="s">
        <v>97</v>
      </c>
      <c r="G35" s="27" t="s">
        <v>98</v>
      </c>
      <c r="H35" s="27" t="s">
        <v>99</v>
      </c>
      <c r="I35" s="27" t="s">
        <v>100</v>
      </c>
      <c r="J35" s="27" t="s">
        <v>101</v>
      </c>
      <c r="K35" s="27" t="s">
        <v>102</v>
      </c>
      <c r="L35" s="27" t="s">
        <v>103</v>
      </c>
      <c r="M35" s="27" t="s">
        <v>104</v>
      </c>
      <c r="N35" s="27" t="s">
        <v>105</v>
      </c>
      <c r="O35" s="27" t="s">
        <v>106</v>
      </c>
      <c r="P35" s="27" t="s">
        <v>107</v>
      </c>
      <c r="Q35" s="27" t="s">
        <v>108</v>
      </c>
    </row>
    <row r="36" spans="1:17" x14ac:dyDescent="0.35">
      <c r="A36" s="18" t="s">
        <v>18</v>
      </c>
      <c r="B36" s="18" t="s">
        <v>19</v>
      </c>
      <c r="C36" s="18"/>
      <c r="D36" s="18" t="s">
        <v>20</v>
      </c>
      <c r="E36" s="18" t="s">
        <v>24</v>
      </c>
      <c r="F36" s="18" t="s">
        <v>23</v>
      </c>
      <c r="G36" s="18" t="s">
        <v>28</v>
      </c>
      <c r="H36" s="18" t="s">
        <v>25</v>
      </c>
      <c r="I36" s="18" t="s">
        <v>30</v>
      </c>
      <c r="J36" s="18" t="s">
        <v>35</v>
      </c>
      <c r="K36" s="18" t="s">
        <v>32</v>
      </c>
      <c r="L36" s="18" t="s">
        <v>47</v>
      </c>
      <c r="M36" s="19" t="s">
        <v>33</v>
      </c>
      <c r="N36" s="18" t="s">
        <v>34</v>
      </c>
      <c r="O36" s="18" t="s">
        <v>83</v>
      </c>
      <c r="P36" s="18" t="s">
        <v>83</v>
      </c>
      <c r="Q36" s="18" t="s">
        <v>83</v>
      </c>
    </row>
    <row r="37" spans="1:17" x14ac:dyDescent="0.35">
      <c r="A37" s="9" t="s">
        <v>38</v>
      </c>
      <c r="B37" s="9" t="s">
        <v>21</v>
      </c>
      <c r="C37" s="9"/>
      <c r="D37" s="9" t="s">
        <v>22</v>
      </c>
      <c r="E37" s="9"/>
      <c r="F37" s="9"/>
      <c r="G37" s="9"/>
      <c r="H37" s="9"/>
      <c r="I37" s="9"/>
      <c r="J37" s="9"/>
      <c r="K37" s="9"/>
      <c r="L37" s="9" t="s">
        <v>48</v>
      </c>
      <c r="M37" s="9"/>
      <c r="N37" s="9"/>
      <c r="O37" s="9"/>
    </row>
    <row r="38" spans="1:17" x14ac:dyDescent="0.35">
      <c r="A38" s="9" t="s">
        <v>26</v>
      </c>
      <c r="B38" s="9" t="s">
        <v>26</v>
      </c>
      <c r="C38" s="9"/>
      <c r="D38" s="9" t="s">
        <v>26</v>
      </c>
      <c r="E38" s="9" t="s">
        <v>27</v>
      </c>
      <c r="F38" s="9" t="s">
        <v>29</v>
      </c>
      <c r="G38" s="9"/>
      <c r="H38" s="9"/>
      <c r="I38" s="9" t="s">
        <v>26</v>
      </c>
      <c r="J38" s="9" t="s">
        <v>31</v>
      </c>
      <c r="K38" s="9" t="s">
        <v>31</v>
      </c>
      <c r="L38" s="9" t="s">
        <v>31</v>
      </c>
      <c r="M38" s="9" t="s">
        <v>31</v>
      </c>
      <c r="N38" s="9" t="s">
        <v>31</v>
      </c>
      <c r="O38" s="9" t="s">
        <v>2</v>
      </c>
      <c r="P38" s="9" t="s">
        <v>85</v>
      </c>
      <c r="Q38" s="9" t="s">
        <v>84</v>
      </c>
    </row>
    <row r="39" spans="1:17" x14ac:dyDescent="0.35">
      <c r="A39" s="5">
        <v>60000</v>
      </c>
      <c r="B39" s="5">
        <f>0.5*A39</f>
        <v>30000</v>
      </c>
      <c r="C39" s="5"/>
      <c r="D39" s="5">
        <f>B39*(G39+E39)/G39</f>
        <v>29410.319410319411</v>
      </c>
      <c r="E39">
        <v>-8</v>
      </c>
      <c r="F39">
        <v>150</v>
      </c>
      <c r="G39">
        <v>407</v>
      </c>
      <c r="H39">
        <v>0</v>
      </c>
      <c r="I39" s="6">
        <f>B39-D39</f>
        <v>589.68058968058904</v>
      </c>
      <c r="J39" s="7">
        <f>I39/F39</f>
        <v>3.9312039312039269</v>
      </c>
      <c r="K39" s="2">
        <f>400/F39</f>
        <v>2.6666666666666665</v>
      </c>
      <c r="L39" s="7">
        <f>((B39+400)*(G39+2.5)/G39-(B39+400))/F39</f>
        <v>1.2448812448812532</v>
      </c>
      <c r="M39" s="7">
        <f>J39+K39+L39</f>
        <v>7.8427518427518468</v>
      </c>
      <c r="N39" s="7">
        <f>12-M39</f>
        <v>4.1572481572481532</v>
      </c>
      <c r="O39" s="7"/>
      <c r="P39" s="7">
        <f>12-J39</f>
        <v>8.0687960687960736</v>
      </c>
    </row>
    <row r="40" spans="1:17" x14ac:dyDescent="0.35">
      <c r="A40" s="5">
        <v>110000</v>
      </c>
      <c r="B40" s="5">
        <f>0.5*A40</f>
        <v>55000</v>
      </c>
      <c r="C40" s="5"/>
      <c r="D40" s="5">
        <f>B40*(G40+E40)/G40</f>
        <v>53918.91891891892</v>
      </c>
      <c r="E40">
        <v>-8</v>
      </c>
      <c r="F40" s="33">
        <v>370</v>
      </c>
      <c r="G40">
        <v>407</v>
      </c>
      <c r="H40">
        <v>0</v>
      </c>
      <c r="I40" s="6">
        <f>B40-D40</f>
        <v>1081.0810810810799</v>
      </c>
      <c r="J40" s="7">
        <f>I40/F40</f>
        <v>2.9218407596785942</v>
      </c>
      <c r="K40" s="2">
        <f>400/F40</f>
        <v>1.0810810810810811</v>
      </c>
      <c r="L40" s="7">
        <f>((B40+400)*(G40+2.5)/G40-(B40+400))/F40</f>
        <v>0.91971578458064496</v>
      </c>
      <c r="M40" s="7">
        <f>J40+K40+L40</f>
        <v>4.9226376253403208</v>
      </c>
      <c r="N40" s="35">
        <f>11-M40</f>
        <v>6.0773623746596792</v>
      </c>
      <c r="O40" s="7"/>
      <c r="P40" s="35">
        <f t="shared" ref="P40:P41" si="20">11-J40</f>
        <v>8.0781592403214049</v>
      </c>
    </row>
    <row r="41" spans="1:17" x14ac:dyDescent="0.35">
      <c r="A41" s="5">
        <v>120000</v>
      </c>
      <c r="B41" s="5">
        <f>0.5*A41</f>
        <v>60000</v>
      </c>
      <c r="C41" s="5"/>
      <c r="D41" s="5">
        <f>B41*(G41+E41)/G41</f>
        <v>58820.638820638822</v>
      </c>
      <c r="E41">
        <v>-8</v>
      </c>
      <c r="F41">
        <v>350</v>
      </c>
      <c r="G41">
        <v>407</v>
      </c>
      <c r="H41">
        <v>0</v>
      </c>
      <c r="I41" s="6">
        <f>B41-D41</f>
        <v>1179.3611793611781</v>
      </c>
      <c r="J41" s="7">
        <f>I41/F41</f>
        <v>3.3696033696033658</v>
      </c>
      <c r="K41" s="2">
        <f>400/F41</f>
        <v>1.1428571428571428</v>
      </c>
      <c r="L41" s="7">
        <f>((B41+400)*(G41+2.5)/G41-(B41+400))/F41</f>
        <v>1.0600210600210578</v>
      </c>
      <c r="M41" s="7">
        <f>J41+K41+L41</f>
        <v>5.5724815724815659</v>
      </c>
      <c r="N41" s="7">
        <f>11-M41</f>
        <v>5.4275184275184341</v>
      </c>
      <c r="O41" s="7"/>
      <c r="P41" s="7">
        <f t="shared" si="20"/>
        <v>7.6303966303966337</v>
      </c>
    </row>
    <row r="42" spans="1:17" x14ac:dyDescent="0.35">
      <c r="N42" s="13">
        <f>AVERAGE(N39:N41)</f>
        <v>5.2207096531420891</v>
      </c>
      <c r="O42" s="7">
        <v>3.43</v>
      </c>
      <c r="P42" s="7">
        <f>AVERAGE(P39:P41)</f>
        <v>7.9257839798380374</v>
      </c>
      <c r="Q42">
        <f>O42*P40</f>
        <v>27.708086194302421</v>
      </c>
    </row>
    <row r="45" spans="1:17" x14ac:dyDescent="0.35">
      <c r="M45" t="s">
        <v>87</v>
      </c>
      <c r="N45" s="7">
        <f>(5*N40+7*N29)/12</f>
        <v>3.5003405408810928</v>
      </c>
      <c r="O45" s="7"/>
      <c r="P45" s="7">
        <f t="shared" ref="P45" si="21">(5*P40+7*P29)/12</f>
        <v>6.5485631161306879</v>
      </c>
      <c r="Q45">
        <f>O42*P45</f>
        <v>22.461571488328261</v>
      </c>
    </row>
  </sheetData>
  <pageMargins left="0.7" right="0.7" top="0.75" bottom="0.75" header="0.3" footer="0.3"/>
  <pageSetup scale="25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0B59E-D024-451E-8DDE-AFF4E6943D9C}">
  <sheetPr>
    <pageSetUpPr fitToPage="1"/>
  </sheetPr>
  <dimension ref="A2:K22"/>
  <sheetViews>
    <sheetView tabSelected="1" zoomScale="75" zoomScaleNormal="75" workbookViewId="0">
      <selection activeCell="G23" sqref="G23"/>
    </sheetView>
  </sheetViews>
  <sheetFormatPr defaultRowHeight="14.5" x14ac:dyDescent="0.35"/>
  <cols>
    <col min="1" max="1" width="17.1796875" bestFit="1" customWidth="1"/>
    <col min="2" max="2" width="33.54296875" customWidth="1"/>
    <col min="3" max="3" width="15.81640625" bestFit="1" customWidth="1"/>
    <col min="4" max="4" width="12.26953125" bestFit="1" customWidth="1"/>
    <col min="5" max="5" width="15.1796875" bestFit="1" customWidth="1"/>
    <col min="6" max="6" width="15.54296875" bestFit="1" customWidth="1"/>
    <col min="7" max="7" width="14.7265625" bestFit="1" customWidth="1"/>
    <col min="8" max="8" width="11.54296875" bestFit="1" customWidth="1"/>
    <col min="9" max="9" width="16.26953125" bestFit="1" customWidth="1"/>
    <col min="10" max="10" width="17.81640625" bestFit="1" customWidth="1"/>
    <col min="11" max="11" width="14.54296875" bestFit="1" customWidth="1"/>
  </cols>
  <sheetData>
    <row r="2" spans="1:11" x14ac:dyDescent="0.35">
      <c r="I2" s="14" t="s">
        <v>53</v>
      </c>
    </row>
    <row r="3" spans="1:11" x14ac:dyDescent="0.35">
      <c r="C3" s="27" t="s">
        <v>54</v>
      </c>
      <c r="D3" s="27" t="s">
        <v>55</v>
      </c>
      <c r="E3" s="27" t="s">
        <v>56</v>
      </c>
      <c r="F3" s="27" t="s">
        <v>57</v>
      </c>
      <c r="G3" s="27" t="s">
        <v>58</v>
      </c>
      <c r="I3" s="28">
        <v>10000</v>
      </c>
      <c r="J3" s="22"/>
      <c r="K3" s="22"/>
    </row>
    <row r="5" spans="1:11" x14ac:dyDescent="0.35">
      <c r="A5" s="9">
        <v>33</v>
      </c>
      <c r="B5" s="21" t="s">
        <v>66</v>
      </c>
      <c r="C5" s="5">
        <v>25000</v>
      </c>
      <c r="D5" s="5">
        <v>37500</v>
      </c>
      <c r="E5" s="5">
        <v>75000</v>
      </c>
      <c r="F5" s="5">
        <v>150000</v>
      </c>
      <c r="G5" s="5">
        <v>300000</v>
      </c>
    </row>
    <row r="6" spans="1:11" x14ac:dyDescent="0.35">
      <c r="A6" s="9">
        <v>34</v>
      </c>
      <c r="B6" s="21" t="s">
        <v>59</v>
      </c>
      <c r="C6" s="23">
        <v>4.7E-2</v>
      </c>
      <c r="D6" s="23">
        <v>0.14099999999999999</v>
      </c>
      <c r="E6" s="23">
        <v>0.45700000000000002</v>
      </c>
      <c r="F6" s="23">
        <v>0.313</v>
      </c>
      <c r="G6" s="23">
        <v>4.2000000000000003E-2</v>
      </c>
      <c r="H6" s="37">
        <f>SUM(C6:G6)</f>
        <v>1</v>
      </c>
    </row>
    <row r="7" spans="1:11" x14ac:dyDescent="0.35">
      <c r="A7" s="9">
        <v>35</v>
      </c>
      <c r="B7" s="21" t="s">
        <v>67</v>
      </c>
      <c r="C7" s="23">
        <v>6.0000000000000001E-3</v>
      </c>
      <c r="D7" s="23">
        <v>5.2999999999999999E-2</v>
      </c>
      <c r="E7" s="23">
        <v>0.34300000000000003</v>
      </c>
      <c r="F7" s="23">
        <v>0.47099999999999997</v>
      </c>
      <c r="G7" s="23">
        <v>0.127</v>
      </c>
      <c r="H7" s="37">
        <f t="shared" ref="H7:H8" si="0">SUM(C7:G7)</f>
        <v>1</v>
      </c>
    </row>
    <row r="8" spans="1:11" x14ac:dyDescent="0.35">
      <c r="A8" s="9">
        <v>36</v>
      </c>
      <c r="B8" s="21" t="s">
        <v>60</v>
      </c>
      <c r="C8" s="24">
        <f>$I$3*C6</f>
        <v>470</v>
      </c>
      <c r="D8" s="5">
        <f>$I$3*D6</f>
        <v>1409.9999999999998</v>
      </c>
      <c r="E8" s="5">
        <f>$I$3*E6</f>
        <v>4570</v>
      </c>
      <c r="F8" s="5">
        <f>$I$3*F6</f>
        <v>3130</v>
      </c>
      <c r="G8" s="24">
        <f>$I$3*G6</f>
        <v>420</v>
      </c>
      <c r="H8" s="5">
        <f t="shared" si="0"/>
        <v>10000</v>
      </c>
    </row>
    <row r="9" spans="1:11" x14ac:dyDescent="0.35">
      <c r="A9" s="9"/>
    </row>
    <row r="10" spans="1:11" x14ac:dyDescent="0.35">
      <c r="A10" s="9"/>
    </row>
    <row r="11" spans="1:11" x14ac:dyDescent="0.35">
      <c r="A11" s="9">
        <v>37</v>
      </c>
      <c r="B11" s="21" t="s">
        <v>61</v>
      </c>
      <c r="E11" s="2">
        <f>'Emissions Calcs'!G6</f>
        <v>0.88534009062423158</v>
      </c>
      <c r="F11" s="2">
        <f>'Emissions Calcs'!G7</f>
        <v>1.2376262020456286</v>
      </c>
      <c r="G11" s="2">
        <f>'Emissions Calcs'!G14</f>
        <v>2.068434281481089</v>
      </c>
    </row>
    <row r="12" spans="1:11" x14ac:dyDescent="0.35">
      <c r="A12" s="9">
        <v>38</v>
      </c>
      <c r="B12" s="21" t="s">
        <v>63</v>
      </c>
      <c r="E12" s="5">
        <f>E8*E11</f>
        <v>4046.0042141527383</v>
      </c>
      <c r="F12" s="5">
        <f>F8*F11</f>
        <v>3873.7700124028174</v>
      </c>
      <c r="G12" s="5">
        <f>G8*G11</f>
        <v>868.74239822205732</v>
      </c>
    </row>
    <row r="13" spans="1:11" x14ac:dyDescent="0.35">
      <c r="A13" s="9">
        <v>39</v>
      </c>
      <c r="B13" s="21" t="s">
        <v>64</v>
      </c>
      <c r="E13" s="2">
        <f>E12/365</f>
        <v>11.084943052473255</v>
      </c>
      <c r="F13" s="2">
        <f>F12/365</f>
        <v>10.613068527131007</v>
      </c>
      <c r="G13" s="2">
        <f>G12/365</f>
        <v>2.380116159512486</v>
      </c>
    </row>
    <row r="14" spans="1:11" x14ac:dyDescent="0.35">
      <c r="A14" s="9"/>
      <c r="B14" s="21"/>
    </row>
    <row r="15" spans="1:11" x14ac:dyDescent="0.35">
      <c r="A15" s="9">
        <v>40</v>
      </c>
      <c r="B15" s="21" t="s">
        <v>72</v>
      </c>
      <c r="E15" s="22">
        <f>50000*E8*0.85</f>
        <v>194225000</v>
      </c>
      <c r="F15" s="22">
        <f>50000*F8*0.9</f>
        <v>140850000</v>
      </c>
      <c r="G15" s="22">
        <f>50000*G8</f>
        <v>21000000</v>
      </c>
    </row>
    <row r="16" spans="1:11" x14ac:dyDescent="0.35">
      <c r="A16" s="9">
        <v>41</v>
      </c>
      <c r="B16" s="21" t="s">
        <v>69</v>
      </c>
      <c r="E16" s="22">
        <f>E8*42000</f>
        <v>191940000</v>
      </c>
      <c r="F16" s="22">
        <f>F8*42000</f>
        <v>131460000</v>
      </c>
      <c r="G16" s="22">
        <f>G8*42000</f>
        <v>17640000</v>
      </c>
    </row>
    <row r="17" spans="1:7" x14ac:dyDescent="0.35">
      <c r="A17" s="9">
        <v>42</v>
      </c>
      <c r="B17" s="21" t="s">
        <v>65</v>
      </c>
      <c r="E17">
        <v>15</v>
      </c>
      <c r="F17">
        <v>15</v>
      </c>
      <c r="G17">
        <v>15</v>
      </c>
    </row>
    <row r="18" spans="1:7" x14ac:dyDescent="0.35">
      <c r="A18" s="9">
        <v>43</v>
      </c>
      <c r="B18" s="21" t="s">
        <v>109</v>
      </c>
      <c r="E18" s="25">
        <f>(E15+E16)/E17</f>
        <v>25744333.333333332</v>
      </c>
      <c r="F18" s="25">
        <f>(F15+F16)/F17</f>
        <v>18154000</v>
      </c>
      <c r="G18" s="25">
        <f>(G15+G16)/G17</f>
        <v>2576000</v>
      </c>
    </row>
    <row r="19" spans="1:7" x14ac:dyDescent="0.35">
      <c r="A19" s="9">
        <v>44</v>
      </c>
      <c r="B19" s="21" t="s">
        <v>73</v>
      </c>
      <c r="E19" s="25">
        <f>750*E8</f>
        <v>3427500</v>
      </c>
      <c r="F19" s="25">
        <f>750*F8</f>
        <v>2347500</v>
      </c>
      <c r="G19" s="25">
        <f>750*G8</f>
        <v>315000</v>
      </c>
    </row>
    <row r="20" spans="1:7" x14ac:dyDescent="0.35">
      <c r="A20" s="9">
        <v>45</v>
      </c>
      <c r="B20" s="21" t="s">
        <v>70</v>
      </c>
      <c r="E20" s="25">
        <f>E11*2000/5.2*3*E8*0.95</f>
        <v>4435043.0808981946</v>
      </c>
      <c r="F20" s="25">
        <f>F11*2000/5.2*3*F8*0.95</f>
        <v>4246247.8982107798</v>
      </c>
      <c r="G20" s="25">
        <f>G11*2000/5.2*3*G8*0.95</f>
        <v>952275.32112802425</v>
      </c>
    </row>
    <row r="21" spans="1:7" x14ac:dyDescent="0.35">
      <c r="A21" s="9">
        <v>46</v>
      </c>
      <c r="B21" s="21" t="s">
        <v>71</v>
      </c>
      <c r="E21" s="25">
        <f>5500*E8</f>
        <v>25135000</v>
      </c>
      <c r="F21" s="25">
        <f t="shared" ref="F21:G21" si="1">5500*F8</f>
        <v>17215000</v>
      </c>
      <c r="G21" s="25">
        <f t="shared" si="1"/>
        <v>2310000</v>
      </c>
    </row>
    <row r="22" spans="1:7" x14ac:dyDescent="0.35">
      <c r="A22" s="9">
        <v>47</v>
      </c>
      <c r="B22" s="20" t="s">
        <v>62</v>
      </c>
      <c r="E22" s="26">
        <f>(E18+E19-E20-E21)/E13*1/2000*1/365</f>
        <v>-4.9210248740219294E-2</v>
      </c>
      <c r="F22" s="26">
        <f>(F18+F19-F20-F21)/F13*1/2000*1/365</f>
        <v>-0.12387775928074102</v>
      </c>
      <c r="G22" s="26">
        <f>(G18+G19-G20-G21)/G13*1/2000*1/365</f>
        <v>-0.21368550786048049</v>
      </c>
    </row>
  </sheetData>
  <pageMargins left="0.7" right="0.7" top="0.75" bottom="0.75" header="0.3" footer="0.3"/>
  <pageSetup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D580D-F7DE-40E3-AD12-8B51E6620E5F}">
  <dimension ref="A1"/>
  <sheetViews>
    <sheetView topLeftCell="A16" workbookViewId="0">
      <selection activeCell="G18" sqref="G18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Emissions Calcs</vt:lpstr>
      <vt:lpstr>GDF Categories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 Tiberi</dc:creator>
  <cp:lastModifiedBy>Ted Tiberi</cp:lastModifiedBy>
  <cp:lastPrinted>2020-05-11T21:14:28Z</cp:lastPrinted>
  <dcterms:created xsi:type="dcterms:W3CDTF">2020-04-21T15:18:24Z</dcterms:created>
  <dcterms:modified xsi:type="dcterms:W3CDTF">2020-05-14T12:33:30Z</dcterms:modified>
</cp:coreProperties>
</file>