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drawings/drawing4.xml" ContentType="application/vnd.openxmlformats-officedocument.drawing+xml"/>
  <Override PartName="/xl/comments7.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14"/>
  <workbookPr codeName="ThisWorkbook" defaultThemeVersion="166925"/>
  <mc:AlternateContent xmlns:mc="http://schemas.openxmlformats.org/markup-compatibility/2006">
    <mc:Choice Requires="x15">
      <x15ac:absPath xmlns:x15ac="http://schemas.microsoft.com/office/spreadsheetml/2010/11/ac" url="/Users/colin.murphy/Downloads/"/>
    </mc:Choice>
  </mc:AlternateContent>
  <xr:revisionPtr revIDLastSave="0" documentId="8_{74FD1BE5-BB9A-4B4C-A9DE-7BC82431ABCF}" xr6:coauthVersionLast="36" xr6:coauthVersionMax="36" xr10:uidLastSave="{00000000-0000-0000-0000-000000000000}"/>
  <bookViews>
    <workbookView xWindow="0" yWindow="0" windowWidth="33600" windowHeight="21000" activeTab="6" xr2:uid="{4711243A-0A53-0B4C-95B6-16C314F53BB6}"/>
  </bookViews>
  <sheets>
    <sheet name="Introduction" sheetId="5" r:id="rId1"/>
    <sheet name="Constants" sheetId="14" r:id="rId2"/>
    <sheet name="DC FC Capacity Effect" sheetId="4" r:id="rId3"/>
    <sheet name="Hydrogen Capacity Effect" sheetId="3" r:id="rId4"/>
    <sheet name="DC FC Station Revenue" sheetId="13" r:id="rId5"/>
    <sheet name="Hydrogen Station Revenue" sheetId="7" r:id="rId6"/>
    <sheet name="CI Effect " sheetId="15" r:id="rId7"/>
    <sheet name="Delay Rationale" sheetId="16" r:id="rId8"/>
  </sheets>
  <externalReferences>
    <externalReference r:id="rId9"/>
    <externalReference r:id="rId10"/>
    <externalReference r:id="rId11"/>
    <externalReference r:id="rId12"/>
  </externalReferences>
  <definedNames>
    <definedName name="_P" localSheetId="6">'[1]Tables 14 15 16 data'!#REF!</definedName>
    <definedName name="_P" localSheetId="2">'[1]Tables 14 15 16 data'!#REF!</definedName>
    <definedName name="_P" localSheetId="4">'[1]Tables 14 15 16 data'!#REF!</definedName>
    <definedName name="_P" localSheetId="3">'[1]Tables 14 15 16 data'!#REF!</definedName>
    <definedName name="_P" localSheetId="5">'[1]Tables 14 15 16 data'!#REF!</definedName>
    <definedName name="_P">'[1]Tables 14 15 16 data'!#REF!</definedName>
    <definedName name="_Regression_Out" localSheetId="6" hidden="1">#REF!</definedName>
    <definedName name="_Regression_Out" localSheetId="2" hidden="1">#REF!</definedName>
    <definedName name="_Regression_Out" localSheetId="4" hidden="1">#REF!</definedName>
    <definedName name="_Regression_Out" localSheetId="3" hidden="1">#REF!</definedName>
    <definedName name="_Regression_Out" localSheetId="5" hidden="1">#REF!</definedName>
    <definedName name="_Regression_Out" hidden="1">#REF!</definedName>
    <definedName name="_Regression_X" localSheetId="6" hidden="1">#REF!</definedName>
    <definedName name="_Regression_X" localSheetId="2" hidden="1">#REF!</definedName>
    <definedName name="_Regression_X" localSheetId="4" hidden="1">#REF!</definedName>
    <definedName name="_Regression_X" localSheetId="3" hidden="1">#REF!</definedName>
    <definedName name="_Regression_X" localSheetId="5" hidden="1">#REF!</definedName>
    <definedName name="_Regression_X" hidden="1">#REF!</definedName>
    <definedName name="_Regression_Y" localSheetId="6" hidden="1">#REF!</definedName>
    <definedName name="_Regression_Y" localSheetId="2" hidden="1">#REF!</definedName>
    <definedName name="_Regression_Y" localSheetId="4" hidden="1">#REF!</definedName>
    <definedName name="_Regression_Y" localSheetId="3" hidden="1">#REF!</definedName>
    <definedName name="_Regression_Y" localSheetId="5" hidden="1">#REF!</definedName>
    <definedName name="_Regression_Y" hidden="1">#REF!</definedName>
    <definedName name="_S" localSheetId="6">'[1]Tables 14 15 16 data'!#REF!</definedName>
    <definedName name="_S" localSheetId="2">'[1]Tables 14 15 16 data'!#REF!</definedName>
    <definedName name="_S" localSheetId="4">'[1]Tables 14 15 16 data'!#REF!</definedName>
    <definedName name="_S" localSheetId="3">'[1]Tables 14 15 16 data'!#REF!</definedName>
    <definedName name="_S" localSheetId="5">'[1]Tables 14 15 16 data'!#REF!</definedName>
    <definedName name="_S">'[1]Tables 14 15 16 data'!#REF!</definedName>
    <definedName name="\p" localSheetId="6">'[1]Tables 14 15 16 data'!#REF!</definedName>
    <definedName name="\p" localSheetId="2">'[1]Tables 14 15 16 data'!#REF!</definedName>
    <definedName name="\p" localSheetId="4">'[1]Tables 14 15 16 data'!#REF!</definedName>
    <definedName name="\p" localSheetId="3">'[1]Tables 14 15 16 data'!#REF!</definedName>
    <definedName name="\p" localSheetId="5">'[1]Tables 14 15 16 data'!#REF!</definedName>
    <definedName name="\p">'[1]Tables 14 15 16 data'!#REF!</definedName>
    <definedName name="\s" localSheetId="6">'[1]Tables 14 15 16 data'!#REF!</definedName>
    <definedName name="\s" localSheetId="2">'[1]Tables 14 15 16 data'!#REF!</definedName>
    <definedName name="\s" localSheetId="4">'[1]Tables 14 15 16 data'!#REF!</definedName>
    <definedName name="\s" localSheetId="3">'[1]Tables 14 15 16 data'!#REF!</definedName>
    <definedName name="\s" localSheetId="5">'[1]Tables 14 15 16 data'!#REF!</definedName>
    <definedName name="\s">'[1]Tables 14 15 16 data'!#REF!</definedName>
    <definedName name="DAYSPERQTR" localSheetId="7">[4]Constants!$D$12</definedName>
    <definedName name="DAYSPERQTR">Constants!$D$12</definedName>
    <definedName name="Domestic_chart6" localSheetId="6">#REF!</definedName>
    <definedName name="Domestic_chart6" localSheetId="2">#REF!</definedName>
    <definedName name="Domestic_chart6" localSheetId="4">#REF!</definedName>
    <definedName name="Domestic_chart6" localSheetId="3">#REF!</definedName>
    <definedName name="Domestic_chart6" localSheetId="5">#REF!</definedName>
    <definedName name="Domestic_chart6">#REF!</definedName>
    <definedName name="EER">Constants!$D$10</definedName>
    <definedName name="Forecast_Model_Output" localSheetId="6">#REF!</definedName>
    <definedName name="Forecast_Model_Output" localSheetId="2">#REF!</definedName>
    <definedName name="Forecast_Model_Output" localSheetId="4">#REF!</definedName>
    <definedName name="Forecast_Model_Output" localSheetId="3">#REF!</definedName>
    <definedName name="Forecast_Model_Output" localSheetId="5">#REF!</definedName>
    <definedName name="Forecast_Model_Output">#REF!</definedName>
    <definedName name="H2CAPBIG" localSheetId="7">[4]Constants!$D$15</definedName>
    <definedName name="H2CAPBIG">Constants!$D$15</definedName>
    <definedName name="H2CAPSM" localSheetId="7">[4]Constants!$D$34</definedName>
    <definedName name="H2CAPSM">Constants!$D$34</definedName>
    <definedName name="H2ED" localSheetId="7">[4]Constants!$D$7</definedName>
    <definedName name="H2ED">Constants!$D$7</definedName>
    <definedName name="HDEVEER">Constants!$D$11</definedName>
    <definedName name="HDH2EER" localSheetId="7">[4]Constants!$D$9</definedName>
    <definedName name="HDH2EER">Constants!$D$9</definedName>
    <definedName name="LATECON">[2]LATGDP!$B$5</definedName>
    <definedName name="LCFSPRICE" localSheetId="7">[4]Constants!$D$14</definedName>
    <definedName name="LCFSPRICE">Constants!$D$14</definedName>
    <definedName name="LDEVEER">Constants!$D$10</definedName>
    <definedName name="LDH2EER" localSheetId="7">[4]Constants!$D$8</definedName>
    <definedName name="LDH2EER">Constants!$D$8</definedName>
    <definedName name="model_output" localSheetId="6">#REF!</definedName>
    <definedName name="model_output" localSheetId="2">#REF!</definedName>
    <definedName name="model_output" localSheetId="4">#REF!</definedName>
    <definedName name="model_output" localSheetId="3">#REF!</definedName>
    <definedName name="model_output" localSheetId="5">#REF!</definedName>
    <definedName name="model_output">#REF!</definedName>
    <definedName name="_xlnm.Print_Area" localSheetId="6">'CI Effect '!$A$21:$M$77</definedName>
    <definedName name="_xlnm.Print_Area" localSheetId="2">'DC FC Capacity Effect'!$A$2:$M$62</definedName>
    <definedName name="_xlnm.Print_Area" localSheetId="4">'DC FC Station Revenue'!$A$2:$M$63</definedName>
    <definedName name="_xlnm.Print_Area" localSheetId="7">'Delay Rationale'!$A$5:$S$114</definedName>
    <definedName name="_xlnm.Print_Area" localSheetId="3">'Hydrogen Capacity Effect'!$A$17:$M$67</definedName>
    <definedName name="_xlnm.Print_Area" localSheetId="5">'Hydrogen Station Revenue'!$A$20:$M$95</definedName>
    <definedName name="Print_Area_MI">'[3]F41 data'!$CD$76:$CQ$117</definedName>
    <definedName name="Print_Titles_MI">'[3]F41 data'!$A$1:$A$65536</definedName>
    <definedName name="ss" localSheetId="6">'[1]Tables 14 15 16 data'!#REF!</definedName>
    <definedName name="ss" localSheetId="2">'[1]Tables 14 15 16 data'!#REF!</definedName>
    <definedName name="ss" localSheetId="4">'[1]Tables 14 15 16 data'!#REF!</definedName>
    <definedName name="ss" localSheetId="3">'[1]Tables 14 15 16 data'!#REF!</definedName>
    <definedName name="ss" localSheetId="5">'[1]Tables 14 15 16 data'!#REF!</definedName>
    <definedName name="ss">'[1]Tables 14 15 16 data'!#REF!</definedName>
    <definedName name="sss" localSheetId="6" hidden="1">{#N/A,#N/A,FALSE,"Form 41 Commuter Domestic";#N/A,#N/A,FALSE,"FORM41--COMMUTER % CHG";#N/A,#N/A,FALSE,"Total Domestic Traffic Stats";#N/A,#N/A,FALSE,"TOTAL DOM TRAFFIC--% CHG";#N/A,#N/A,FALSE,"TotDomTraf-Large Carriers Only";#N/A,#N/A,FALSE,"TOTDOMTRAF-LARGECAR% CHG"}</definedName>
    <definedName name="sss" localSheetId="2" hidden="1">{#N/A,#N/A,FALSE,"Form 41 Commuter Domestic";#N/A,#N/A,FALSE,"FORM41--COMMUTER % CHG";#N/A,#N/A,FALSE,"Total Domestic Traffic Stats";#N/A,#N/A,FALSE,"TOTAL DOM TRAFFIC--% CHG";#N/A,#N/A,FALSE,"TotDomTraf-Large Carriers Only";#N/A,#N/A,FALSE,"TOTDOMTRAF-LARGECAR% CHG"}</definedName>
    <definedName name="sss" localSheetId="4" hidden="1">{#N/A,#N/A,FALSE,"Form 41 Commuter Domestic";#N/A,#N/A,FALSE,"FORM41--COMMUTER % CHG";#N/A,#N/A,FALSE,"Total Domestic Traffic Stats";#N/A,#N/A,FALSE,"TOTAL DOM TRAFFIC--% CHG";#N/A,#N/A,FALSE,"TotDomTraf-Large Carriers Only";#N/A,#N/A,FALSE,"TOTDOMTRAF-LARGECAR% CHG"}</definedName>
    <definedName name="sss" localSheetId="7" hidden="1">{#N/A,#N/A,FALSE,"Form 41 Commuter Domestic";#N/A,#N/A,FALSE,"FORM41--COMMUTER % CHG";#N/A,#N/A,FALSE,"Total Domestic Traffic Stats";#N/A,#N/A,FALSE,"TOTAL DOM TRAFFIC--% CHG";#N/A,#N/A,FALSE,"TotDomTraf-Large Carriers Only";#N/A,#N/A,FALSE,"TOTDOMTRAF-LARGECAR% CHG"}</definedName>
    <definedName name="sss" localSheetId="3" hidden="1">{#N/A,#N/A,FALSE,"Form 41 Commuter Domestic";#N/A,#N/A,FALSE,"FORM41--COMMUTER % CHG";#N/A,#N/A,FALSE,"Total Domestic Traffic Stats";#N/A,#N/A,FALSE,"TOTAL DOM TRAFFIC--% CHG";#N/A,#N/A,FALSE,"TotDomTraf-Large Carriers Only";#N/A,#N/A,FALSE,"TOTDOMTRAF-LARGECAR% CHG"}</definedName>
    <definedName name="sss" localSheetId="5" hidden="1">{#N/A,#N/A,FALSE,"Form 41 Commuter Domestic";#N/A,#N/A,FALSE,"FORM41--COMMUTER % CHG";#N/A,#N/A,FALSE,"Total Domestic Traffic Stats";#N/A,#N/A,FALSE,"TOTAL DOM TRAFFIC--% CHG";#N/A,#N/A,FALSE,"TotDomTraf-Large Carriers Only";#N/A,#N/A,FALSE,"TOTDOMTRAF-LARGECAR% CHG"}</definedName>
    <definedName name="sss" hidden="1">{#N/A,#N/A,FALSE,"Form 41 Commuter Domestic";#N/A,#N/A,FALSE,"FORM41--COMMUTER % CHG";#N/A,#N/A,FALSE,"Total Domestic Traffic Stats";#N/A,#N/A,FALSE,"TOTAL DOM TRAFFIC--% CHG";#N/A,#N/A,FALSE,"TotDomTraf-Large Carriers Only";#N/A,#N/A,FALSE,"TOTDOMTRAF-LARGECAR% CHG"}</definedName>
    <definedName name="UPTIME" localSheetId="7">[4]Constants!$D$13</definedName>
    <definedName name="UPTIME">Constants!$D$13</definedName>
    <definedName name="wrn.DOM._.TRAF._.STATS." localSheetId="6" hidden="1">{#N/A,#N/A,FALSE,"Form 41 Commuter Domestic";#N/A,#N/A,FALSE,"FORM41--COMMUTER % CHG";#N/A,#N/A,FALSE,"Total Domestic Traffic Stats";#N/A,#N/A,FALSE,"TOTAL DOM TRAFFIC--% CHG";#N/A,#N/A,FALSE,"TotDomTraf-Large Carriers Only";#N/A,#N/A,FALSE,"TOTDOMTRAF-LARGECAR% CHG"}</definedName>
    <definedName name="wrn.DOM._.TRAF._.STATS." localSheetId="2" hidden="1">{#N/A,#N/A,FALSE,"Form 41 Commuter Domestic";#N/A,#N/A,FALSE,"FORM41--COMMUTER % CHG";#N/A,#N/A,FALSE,"Total Domestic Traffic Stats";#N/A,#N/A,FALSE,"TOTAL DOM TRAFFIC--% CHG";#N/A,#N/A,FALSE,"TotDomTraf-Large Carriers Only";#N/A,#N/A,FALSE,"TOTDOMTRAF-LARGECAR% CHG"}</definedName>
    <definedName name="wrn.DOM._.TRAF._.STATS." localSheetId="4" hidden="1">{#N/A,#N/A,FALSE,"Form 41 Commuter Domestic";#N/A,#N/A,FALSE,"FORM41--COMMUTER % CHG";#N/A,#N/A,FALSE,"Total Domestic Traffic Stats";#N/A,#N/A,FALSE,"TOTAL DOM TRAFFIC--% CHG";#N/A,#N/A,FALSE,"TotDomTraf-Large Carriers Only";#N/A,#N/A,FALSE,"TOTDOMTRAF-LARGECAR% CHG"}</definedName>
    <definedName name="wrn.DOM._.TRAF._.STATS." localSheetId="7" hidden="1">{#N/A,#N/A,FALSE,"Form 41 Commuter Domestic";#N/A,#N/A,FALSE,"FORM41--COMMUTER % CHG";#N/A,#N/A,FALSE,"Total Domestic Traffic Stats";#N/A,#N/A,FALSE,"TOTAL DOM TRAFFIC--% CHG";#N/A,#N/A,FALSE,"TotDomTraf-Large Carriers Only";#N/A,#N/A,FALSE,"TOTDOMTRAF-LARGECAR% CHG"}</definedName>
    <definedName name="wrn.DOM._.TRAF._.STATS." localSheetId="3" hidden="1">{#N/A,#N/A,FALSE,"Form 41 Commuter Domestic";#N/A,#N/A,FALSE,"FORM41--COMMUTER % CHG";#N/A,#N/A,FALSE,"Total Domestic Traffic Stats";#N/A,#N/A,FALSE,"TOTAL DOM TRAFFIC--% CHG";#N/A,#N/A,FALSE,"TotDomTraf-Large Carriers Only";#N/A,#N/A,FALSE,"TOTDOMTRAF-LARGECAR% CHG"}</definedName>
    <definedName name="wrn.DOM._.TRAF._.STATS." localSheetId="5" hidden="1">{#N/A,#N/A,FALSE,"Form 41 Commuter Domestic";#N/A,#N/A,FALSE,"FORM41--COMMUTER % CHG";#N/A,#N/A,FALSE,"Total Domestic Traffic Stats";#N/A,#N/A,FALSE,"TOTAL DOM TRAFFIC--% CHG";#N/A,#N/A,FALSE,"TotDomTraf-Large Carriers Only";#N/A,#N/A,FALSE,"TOTDOMTRAF-LARGECAR% CHG"}</definedName>
    <definedName name="wrn.DOM._.TRAF._.STATS." hidden="1">{#N/A,#N/A,FALSE,"Form 41 Commuter Domestic";#N/A,#N/A,FALSE,"FORM41--COMMUTER % CHG";#N/A,#N/A,FALSE,"Total Domestic Traffic Stats";#N/A,#N/A,FALSE,"TOTAL DOM TRAFFIC--% CHG";#N/A,#N/A,FALSE,"TotDomTraf-Large Carriers Only";#N/A,#N/A,FALSE,"TOTDOMTRAF-LARGECAR% CHG"}</definedName>
    <definedName name="wrn.econtab." localSheetId="6" hidden="1">{#N/A,#N/A,FALSE,"TABLE1";#N/A,#N/A,FALSE,"TABLE2";#N/A,#N/A,FALSE,"TABLE3";#N/A,#N/A,FALSE,"TABLE4";#N/A,#N/A,FALSE,"TABLE5"}</definedName>
    <definedName name="wrn.econtab." localSheetId="2" hidden="1">{#N/A,#N/A,FALSE,"TABLE1";#N/A,#N/A,FALSE,"TABLE2";#N/A,#N/A,FALSE,"TABLE3";#N/A,#N/A,FALSE,"TABLE4";#N/A,#N/A,FALSE,"TABLE5"}</definedName>
    <definedName name="wrn.econtab." localSheetId="4" hidden="1">{#N/A,#N/A,FALSE,"TABLE1";#N/A,#N/A,FALSE,"TABLE2";#N/A,#N/A,FALSE,"TABLE3";#N/A,#N/A,FALSE,"TABLE4";#N/A,#N/A,FALSE,"TABLE5"}</definedName>
    <definedName name="wrn.econtab." localSheetId="7" hidden="1">{#N/A,#N/A,FALSE,"TABLE1";#N/A,#N/A,FALSE,"TABLE2";#N/A,#N/A,FALSE,"TABLE3";#N/A,#N/A,FALSE,"TABLE4";#N/A,#N/A,FALSE,"TABLE5"}</definedName>
    <definedName name="wrn.econtab." localSheetId="3" hidden="1">{#N/A,#N/A,FALSE,"TABLE1";#N/A,#N/A,FALSE,"TABLE2";#N/A,#N/A,FALSE,"TABLE3";#N/A,#N/A,FALSE,"TABLE4";#N/A,#N/A,FALSE,"TABLE5"}</definedName>
    <definedName name="wrn.econtab." localSheetId="5" hidden="1">{#N/A,#N/A,FALSE,"TABLE1";#N/A,#N/A,FALSE,"TABLE2";#N/A,#N/A,FALSE,"TABLE3";#N/A,#N/A,FALSE,"TABLE4";#N/A,#N/A,FALSE,"TABLE5"}</definedName>
    <definedName name="wrn.econtab." hidden="1">{#N/A,#N/A,FALSE,"TABLE1";#N/A,#N/A,FALSE,"TABLE2";#N/A,#N/A,FALSE,"TABLE3";#N/A,#N/A,FALSE,"TABLE4";#N/A,#N/A,FALSE,"TABLE5"}</definedName>
    <definedName name="wrn.FORECAST." localSheetId="6" hidden="1">{"TOT",#N/A,FALSE,"ASFCST99";"TOTINT",#N/A,FALSE,"ASFCST99";"DOM",#N/A,FALSE,"ASFCST99";"NORTHATL",#N/A,FALSE,"ASFCST99";"PACIFIC",#N/A,FALSE,"ASFCST99";"LATAM",#N/A,FALSE,"ASFCST99"}</definedName>
    <definedName name="wrn.FORECAST." localSheetId="2" hidden="1">{"TOT",#N/A,FALSE,"ASFCST99";"TOTINT",#N/A,FALSE,"ASFCST99";"DOM",#N/A,FALSE,"ASFCST99";"NORTHATL",#N/A,FALSE,"ASFCST99";"PACIFIC",#N/A,FALSE,"ASFCST99";"LATAM",#N/A,FALSE,"ASFCST99"}</definedName>
    <definedName name="wrn.FORECAST." localSheetId="4" hidden="1">{"TOT",#N/A,FALSE,"ASFCST99";"TOTINT",#N/A,FALSE,"ASFCST99";"DOM",#N/A,FALSE,"ASFCST99";"NORTHATL",#N/A,FALSE,"ASFCST99";"PACIFIC",#N/A,FALSE,"ASFCST99";"LATAM",#N/A,FALSE,"ASFCST99"}</definedName>
    <definedName name="wrn.FORECAST." localSheetId="7" hidden="1">{"TOT",#N/A,FALSE,"ASFCST99";"TOTINT",#N/A,FALSE,"ASFCST99";"DOM",#N/A,FALSE,"ASFCST99";"NORTHATL",#N/A,FALSE,"ASFCST99";"PACIFIC",#N/A,FALSE,"ASFCST99";"LATAM",#N/A,FALSE,"ASFCST99"}</definedName>
    <definedName name="wrn.FORECAST." localSheetId="3" hidden="1">{"TOT",#N/A,FALSE,"ASFCST99";"TOTINT",#N/A,FALSE,"ASFCST99";"DOM",#N/A,FALSE,"ASFCST99";"NORTHATL",#N/A,FALSE,"ASFCST99";"PACIFIC",#N/A,FALSE,"ASFCST99";"LATAM",#N/A,FALSE,"ASFCST99"}</definedName>
    <definedName name="wrn.FORECAST." localSheetId="5" hidden="1">{"TOT",#N/A,FALSE,"ASFCST99";"TOTINT",#N/A,FALSE,"ASFCST99";"DOM",#N/A,FALSE,"ASFCST99";"NORTHATL",#N/A,FALSE,"ASFCST99";"PACIFIC",#N/A,FALSE,"ASFCST99";"LATAM",#N/A,FALSE,"ASFCST99"}</definedName>
    <definedName name="wrn.FORECAST." hidden="1">{"TOT",#N/A,FALSE,"ASFCST99";"TOTINT",#N/A,FALSE,"ASFCST99";"DOM",#N/A,FALSE,"ASFCST99";"NORTHATL",#N/A,FALSE,"ASFCST99";"PACIFIC",#N/A,FALSE,"ASFCST99";"LATAM",#N/A,FALSE,"ASFCST99"}</definedName>
  </definedNames>
  <calcPr calcId="179021"/>
  <fileRecoveryPr repairLoad="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Q102" i="16" l="1"/>
  <c r="P102" i="16"/>
  <c r="O102" i="16"/>
  <c r="N102" i="16"/>
  <c r="M102" i="16"/>
  <c r="L102" i="16"/>
  <c r="K102" i="16"/>
  <c r="J102" i="16"/>
  <c r="I102" i="16"/>
  <c r="H102" i="16"/>
  <c r="G102" i="16"/>
  <c r="Q101" i="16"/>
  <c r="P101" i="16"/>
  <c r="O101" i="16"/>
  <c r="N101" i="16"/>
  <c r="M101" i="16"/>
  <c r="L101" i="16"/>
  <c r="K101" i="16"/>
  <c r="J101" i="16"/>
  <c r="I101" i="16"/>
  <c r="H101" i="16"/>
  <c r="G101" i="16"/>
  <c r="Q100" i="16"/>
  <c r="P100" i="16"/>
  <c r="O100" i="16"/>
  <c r="N100" i="16"/>
  <c r="M100" i="16"/>
  <c r="L100" i="16"/>
  <c r="K100" i="16"/>
  <c r="J100" i="16"/>
  <c r="I100" i="16"/>
  <c r="H100" i="16"/>
  <c r="G100" i="16"/>
  <c r="B96" i="16"/>
  <c r="B95" i="16"/>
  <c r="B94" i="16"/>
  <c r="Q78" i="16"/>
  <c r="P78" i="16"/>
  <c r="O78" i="16"/>
  <c r="N78" i="16"/>
  <c r="M78" i="16"/>
  <c r="L78" i="16"/>
  <c r="K78" i="16"/>
  <c r="J78" i="16"/>
  <c r="I78" i="16"/>
  <c r="H78" i="16"/>
  <c r="G78" i="16"/>
  <c r="Q77" i="16"/>
  <c r="P77" i="16"/>
  <c r="O77" i="16"/>
  <c r="N77" i="16"/>
  <c r="M77" i="16"/>
  <c r="L77" i="16"/>
  <c r="K77" i="16"/>
  <c r="J77" i="16"/>
  <c r="I77" i="16"/>
  <c r="H77" i="16"/>
  <c r="G77" i="16"/>
  <c r="Q76" i="16"/>
  <c r="P76" i="16"/>
  <c r="O76" i="16"/>
  <c r="N76" i="16"/>
  <c r="M76" i="16"/>
  <c r="L76" i="16"/>
  <c r="K76" i="16"/>
  <c r="J76" i="16"/>
  <c r="I76" i="16"/>
  <c r="H76" i="16"/>
  <c r="G76" i="16"/>
  <c r="B72" i="16"/>
  <c r="B71" i="16"/>
  <c r="B70" i="16"/>
  <c r="Q53" i="16"/>
  <c r="P53" i="16"/>
  <c r="O53" i="16"/>
  <c r="N53" i="16"/>
  <c r="M53" i="16"/>
  <c r="L53" i="16"/>
  <c r="K53" i="16"/>
  <c r="J53" i="16"/>
  <c r="I53" i="16"/>
  <c r="H53" i="16"/>
  <c r="G53" i="16"/>
  <c r="Q52" i="16"/>
  <c r="P52" i="16"/>
  <c r="O52" i="16"/>
  <c r="N52" i="16"/>
  <c r="M52" i="16"/>
  <c r="L52" i="16"/>
  <c r="K52" i="16"/>
  <c r="J52" i="16"/>
  <c r="I52" i="16"/>
  <c r="H52" i="16"/>
  <c r="G52" i="16"/>
  <c r="Q51" i="16"/>
  <c r="P51" i="16"/>
  <c r="O51" i="16"/>
  <c r="N51" i="16"/>
  <c r="M51" i="16"/>
  <c r="L51" i="16"/>
  <c r="K51" i="16"/>
  <c r="J51" i="16"/>
  <c r="I51" i="16"/>
  <c r="H51" i="16"/>
  <c r="G51" i="16"/>
  <c r="B47" i="16"/>
  <c r="B46" i="16"/>
  <c r="B45" i="16"/>
  <c r="Q28" i="16"/>
  <c r="P28" i="16"/>
  <c r="O28" i="16"/>
  <c r="N28" i="16"/>
  <c r="M28" i="16"/>
  <c r="L28" i="16"/>
  <c r="K28" i="16"/>
  <c r="J28" i="16"/>
  <c r="I28" i="16"/>
  <c r="H28" i="16"/>
  <c r="G28" i="16"/>
  <c r="Q27" i="16"/>
  <c r="P27" i="16"/>
  <c r="O27" i="16"/>
  <c r="N27" i="16"/>
  <c r="M27" i="16"/>
  <c r="L27" i="16"/>
  <c r="K27" i="16"/>
  <c r="J27" i="16"/>
  <c r="I27" i="16"/>
  <c r="H27" i="16"/>
  <c r="G27" i="16"/>
  <c r="Q26" i="16"/>
  <c r="P26" i="16"/>
  <c r="O26" i="16"/>
  <c r="N26" i="16"/>
  <c r="M26" i="16"/>
  <c r="L26" i="16"/>
  <c r="K26" i="16"/>
  <c r="J26" i="16"/>
  <c r="I26" i="16"/>
  <c r="H26" i="16"/>
  <c r="G26" i="16"/>
  <c r="B22" i="16"/>
  <c r="B21" i="16"/>
  <c r="B20" i="16"/>
  <c r="Q9" i="16"/>
  <c r="Q10" i="16" s="1"/>
  <c r="P9" i="16"/>
  <c r="P10" i="16" s="1"/>
  <c r="O9" i="16"/>
  <c r="O10" i="16" s="1"/>
  <c r="N9" i="16"/>
  <c r="N10" i="16" s="1"/>
  <c r="M9" i="16"/>
  <c r="M10" i="16" s="1"/>
  <c r="L9" i="16"/>
  <c r="L10" i="16" s="1"/>
  <c r="K9" i="16"/>
  <c r="K10" i="16" s="1"/>
  <c r="J9" i="16"/>
  <c r="J10" i="16" s="1"/>
  <c r="I9" i="16"/>
  <c r="I10" i="16" s="1"/>
  <c r="H9" i="16"/>
  <c r="H10" i="16" s="1"/>
  <c r="G9" i="16"/>
  <c r="G10" i="16" s="1"/>
  <c r="F9" i="16"/>
  <c r="F10" i="16" s="1"/>
  <c r="C72" i="16" l="1"/>
  <c r="M90" i="16" s="1"/>
  <c r="C21" i="16"/>
  <c r="K39" i="16" s="1"/>
  <c r="C96" i="16"/>
  <c r="N114" i="16" s="1"/>
  <c r="C22" i="16"/>
  <c r="Q40" i="16" s="1"/>
  <c r="C45" i="16"/>
  <c r="P63" i="16" s="1"/>
  <c r="C94" i="16"/>
  <c r="I112" i="16" s="1"/>
  <c r="C46" i="16"/>
  <c r="H64" i="16" s="1"/>
  <c r="C95" i="16"/>
  <c r="K113" i="16" s="1"/>
  <c r="C71" i="16"/>
  <c r="C20" i="16"/>
  <c r="H38" i="16" s="1"/>
  <c r="C47" i="16"/>
  <c r="M65" i="16" s="1"/>
  <c r="C70" i="16"/>
  <c r="M88" i="16" s="1"/>
  <c r="H40" i="16"/>
  <c r="Q89" i="16"/>
  <c r="Q90" i="16"/>
  <c r="H88" i="16"/>
  <c r="J88" i="16"/>
  <c r="Q88" i="16" l="1"/>
  <c r="Q64" i="16"/>
  <c r="J64" i="16"/>
  <c r="L64" i="16"/>
  <c r="I64" i="16"/>
  <c r="O64" i="16"/>
  <c r="L113" i="16"/>
  <c r="J112" i="16"/>
  <c r="J40" i="16"/>
  <c r="P40" i="16"/>
  <c r="M63" i="16"/>
  <c r="H63" i="16"/>
  <c r="O112" i="16"/>
  <c r="L63" i="16"/>
  <c r="Q114" i="16"/>
  <c r="K40" i="16"/>
  <c r="O88" i="16"/>
  <c r="O40" i="16"/>
  <c r="I88" i="16"/>
  <c r="G40" i="16"/>
  <c r="P88" i="16"/>
  <c r="G88" i="16"/>
  <c r="L88" i="16"/>
  <c r="N65" i="16"/>
  <c r="O65" i="16"/>
  <c r="K38" i="16"/>
  <c r="P65" i="16"/>
  <c r="J114" i="16"/>
  <c r="I114" i="16"/>
  <c r="H65" i="16"/>
  <c r="G65" i="16"/>
  <c r="O114" i="16"/>
  <c r="G114" i="16"/>
  <c r="P114" i="16"/>
  <c r="J113" i="16"/>
  <c r="H114" i="16"/>
  <c r="M112" i="16"/>
  <c r="Q112" i="16"/>
  <c r="J63" i="16"/>
  <c r="N112" i="16"/>
  <c r="L112" i="16"/>
  <c r="P38" i="16"/>
  <c r="O38" i="16"/>
  <c r="P89" i="16"/>
  <c r="H89" i="16"/>
  <c r="K89" i="16"/>
  <c r="J89" i="16"/>
  <c r="N38" i="16"/>
  <c r="K90" i="16"/>
  <c r="G38" i="16"/>
  <c r="O39" i="16"/>
  <c r="N89" i="16"/>
  <c r="N64" i="16"/>
  <c r="M64" i="16"/>
  <c r="K64" i="16"/>
  <c r="Q39" i="16"/>
  <c r="N39" i="16"/>
  <c r="P39" i="16"/>
  <c r="I39" i="16"/>
  <c r="H39" i="16"/>
  <c r="O90" i="16"/>
  <c r="N90" i="16"/>
  <c r="H90" i="16"/>
  <c r="G90" i="16"/>
  <c r="P90" i="16"/>
  <c r="I90" i="16"/>
  <c r="P113" i="16"/>
  <c r="O113" i="16"/>
  <c r="M113" i="16"/>
  <c r="H113" i="16"/>
  <c r="G113" i="16"/>
  <c r="N113" i="16"/>
  <c r="G39" i="16"/>
  <c r="Q113" i="16"/>
  <c r="I113" i="16"/>
  <c r="G64" i="16"/>
  <c r="P112" i="16"/>
  <c r="H112" i="16"/>
  <c r="K112" i="16"/>
  <c r="J39" i="16"/>
  <c r="L90" i="16"/>
  <c r="L89" i="16"/>
  <c r="N88" i="16"/>
  <c r="K88" i="16"/>
  <c r="N40" i="16"/>
  <c r="L40" i="16"/>
  <c r="M40" i="16"/>
  <c r="Q38" i="16"/>
  <c r="I38" i="16"/>
  <c r="L38" i="16"/>
  <c r="L39" i="16"/>
  <c r="J38" i="16"/>
  <c r="N63" i="16"/>
  <c r="Q63" i="16"/>
  <c r="I63" i="16"/>
  <c r="G63" i="16"/>
  <c r="I89" i="16"/>
  <c r="O89" i="16"/>
  <c r="J90" i="16"/>
  <c r="K63" i="16"/>
  <c r="G112" i="16"/>
  <c r="G89" i="16"/>
  <c r="M89" i="16"/>
  <c r="M39" i="16"/>
  <c r="I40" i="16"/>
  <c r="M38" i="16"/>
  <c r="P64" i="16"/>
  <c r="J65" i="16"/>
  <c r="I65" i="16"/>
  <c r="K65" i="16"/>
  <c r="Q65" i="16"/>
  <c r="M114" i="16"/>
  <c r="L114" i="16"/>
  <c r="K114" i="16"/>
  <c r="L65" i="16"/>
  <c r="O63" i="16"/>
  <c r="S114" i="16" l="1"/>
  <c r="S65" i="16"/>
  <c r="S88" i="16"/>
  <c r="S38" i="16"/>
  <c r="S40" i="16"/>
  <c r="S63" i="16"/>
  <c r="S90" i="16"/>
  <c r="S113" i="16"/>
  <c r="S39" i="16"/>
  <c r="S89" i="16"/>
  <c r="S112" i="16"/>
  <c r="S64" i="16"/>
  <c r="F31" i="15" l="1"/>
  <c r="G31" i="15"/>
  <c r="H31" i="15"/>
  <c r="I31" i="15"/>
  <c r="J31" i="15"/>
  <c r="K31" i="15"/>
  <c r="L31" i="15"/>
  <c r="M31" i="15"/>
  <c r="N31" i="15"/>
  <c r="O31" i="15"/>
  <c r="P31" i="15"/>
  <c r="E31" i="15"/>
  <c r="F18" i="15"/>
  <c r="G18" i="15"/>
  <c r="H18" i="15"/>
  <c r="I18" i="15"/>
  <c r="J18" i="15"/>
  <c r="K18" i="15"/>
  <c r="L18" i="15"/>
  <c r="M18" i="15"/>
  <c r="N18" i="15"/>
  <c r="O18" i="15"/>
  <c r="P18" i="15"/>
  <c r="E18" i="15"/>
  <c r="L19" i="15"/>
  <c r="M19" i="15" s="1"/>
  <c r="N19" i="15" s="1"/>
  <c r="O19" i="15" s="1"/>
  <c r="P19" i="15" s="1"/>
  <c r="H53" i="14"/>
  <c r="H54" i="14"/>
  <c r="H52" i="14"/>
  <c r="E53" i="14"/>
  <c r="E52" i="14"/>
  <c r="E38" i="15"/>
  <c r="F36" i="15" s="1"/>
  <c r="E29" i="7"/>
  <c r="E54" i="7"/>
  <c r="F52" i="7"/>
  <c r="M41" i="7"/>
  <c r="N41" i="7"/>
  <c r="N42" i="7" s="1"/>
  <c r="N44" i="7" s="1"/>
  <c r="O41" i="7"/>
  <c r="O40" i="7" s="1"/>
  <c r="P41" i="7"/>
  <c r="P40" i="7" s="1"/>
  <c r="L41" i="7"/>
  <c r="L40" i="7" s="1"/>
  <c r="F41" i="7"/>
  <c r="G41" i="7"/>
  <c r="H41" i="7"/>
  <c r="I41" i="7"/>
  <c r="J41" i="7"/>
  <c r="K41" i="7"/>
  <c r="E41" i="7"/>
  <c r="E24" i="15" s="1"/>
  <c r="P47" i="7"/>
  <c r="P22" i="7"/>
  <c r="L29" i="7"/>
  <c r="K22" i="7"/>
  <c r="P29" i="7"/>
  <c r="E36" i="7"/>
  <c r="F34" i="7" s="1"/>
  <c r="O29" i="7"/>
  <c r="O47" i="7"/>
  <c r="M40" i="7"/>
  <c r="L47" i="7"/>
  <c r="M47" i="7"/>
  <c r="N47" i="7"/>
  <c r="M18" i="7"/>
  <c r="N18" i="7" s="1"/>
  <c r="L18" i="7"/>
  <c r="M29" i="7"/>
  <c r="N29" i="7"/>
  <c r="E29" i="15" l="1"/>
  <c r="E32" i="15"/>
  <c r="E33" i="15" s="1"/>
  <c r="P48" i="7"/>
  <c r="P49" i="7" s="1"/>
  <c r="P42" i="7"/>
  <c r="P44" i="7" s="1"/>
  <c r="P43" i="7"/>
  <c r="M42" i="7"/>
  <c r="M44" i="7" s="1"/>
  <c r="O43" i="7"/>
  <c r="O42" i="7"/>
  <c r="O44" i="7" s="1"/>
  <c r="O48" i="7"/>
  <c r="O49" i="7" s="1"/>
  <c r="L42" i="7"/>
  <c r="L44" i="7" s="1"/>
  <c r="N48" i="7"/>
  <c r="N49" i="7" s="1"/>
  <c r="M43" i="7"/>
  <c r="N40" i="7"/>
  <c r="N43" i="7"/>
  <c r="N45" i="7" s="1"/>
  <c r="N46" i="7" s="1"/>
  <c r="M48" i="7"/>
  <c r="M49" i="7" s="1"/>
  <c r="L43" i="7"/>
  <c r="L48" i="7"/>
  <c r="L49" i="7" s="1"/>
  <c r="P45" i="7" l="1"/>
  <c r="P46" i="7" s="1"/>
  <c r="P51" i="7" s="1"/>
  <c r="P55" i="7" s="1"/>
  <c r="M45" i="7"/>
  <c r="M46" i="7" s="1"/>
  <c r="M51" i="7" s="1"/>
  <c r="M56" i="7" s="1"/>
  <c r="L45" i="7"/>
  <c r="L46" i="7" s="1"/>
  <c r="L51" i="7" s="1"/>
  <c r="O45" i="7"/>
  <c r="O46" i="7" s="1"/>
  <c r="N50" i="7"/>
  <c r="N51" i="7"/>
  <c r="N55" i="7" s="1"/>
  <c r="M50" i="7" l="1"/>
  <c r="P50" i="7"/>
  <c r="P56" i="7"/>
  <c r="L56" i="7"/>
  <c r="M55" i="7"/>
  <c r="L50" i="7"/>
  <c r="O51" i="7"/>
  <c r="O55" i="7" s="1"/>
  <c r="O56" i="7"/>
  <c r="O50" i="7"/>
  <c r="N56" i="7"/>
  <c r="L55" i="7"/>
  <c r="G18" i="13" l="1"/>
  <c r="H18" i="13" s="1"/>
  <c r="I18" i="13" s="1"/>
  <c r="J18" i="13" s="1"/>
  <c r="K18" i="13" s="1"/>
  <c r="L18" i="13" s="1"/>
  <c r="F18" i="13"/>
  <c r="E18" i="13"/>
  <c r="K38" i="4"/>
  <c r="K37" i="4"/>
  <c r="F41" i="4"/>
  <c r="G41" i="4"/>
  <c r="H41" i="4"/>
  <c r="I41" i="4"/>
  <c r="J41" i="4"/>
  <c r="K41" i="4"/>
  <c r="E41" i="4"/>
  <c r="E29" i="4"/>
  <c r="F40" i="4"/>
  <c r="G40" i="4"/>
  <c r="H40" i="4"/>
  <c r="I40" i="4"/>
  <c r="J40" i="4"/>
  <c r="K40" i="4"/>
  <c r="E40" i="4"/>
  <c r="G10" i="15"/>
  <c r="E66" i="7"/>
  <c r="E67" i="7" s="1"/>
  <c r="F48" i="7"/>
  <c r="F49" i="7" s="1"/>
  <c r="G48" i="7"/>
  <c r="H48" i="7"/>
  <c r="H49" i="7" s="1"/>
  <c r="I48" i="7"/>
  <c r="I49" i="7" s="1"/>
  <c r="J48" i="7"/>
  <c r="J49" i="7" s="1"/>
  <c r="E48" i="7"/>
  <c r="E49" i="7" s="1"/>
  <c r="E17" i="15"/>
  <c r="E26" i="15" s="1"/>
  <c r="F11" i="15"/>
  <c r="E11" i="15"/>
  <c r="F10" i="15"/>
  <c r="E10" i="15"/>
  <c r="P8" i="15"/>
  <c r="O8" i="15"/>
  <c r="N8" i="15"/>
  <c r="M8" i="15"/>
  <c r="L8" i="15"/>
  <c r="K8" i="15"/>
  <c r="J8" i="15"/>
  <c r="I8" i="15"/>
  <c r="H8" i="15"/>
  <c r="G8" i="15"/>
  <c r="F8" i="15"/>
  <c r="E8" i="15"/>
  <c r="L54" i="3"/>
  <c r="M54" i="3" s="1"/>
  <c r="N54" i="3" s="1"/>
  <c r="O54" i="3" s="1"/>
  <c r="P54" i="3"/>
  <c r="K54" i="3"/>
  <c r="L55" i="3" s="1"/>
  <c r="E17" i="7"/>
  <c r="E61" i="7" s="1"/>
  <c r="K43" i="3"/>
  <c r="K32" i="3"/>
  <c r="K33" i="3" s="1"/>
  <c r="K35" i="3" s="1"/>
  <c r="K38" i="3" s="1"/>
  <c r="K40" i="7"/>
  <c r="F11" i="7"/>
  <c r="G11" i="7"/>
  <c r="H11" i="7"/>
  <c r="I11" i="7"/>
  <c r="J11" i="7"/>
  <c r="K11" i="7"/>
  <c r="E11" i="7"/>
  <c r="F10" i="7"/>
  <c r="G10" i="7"/>
  <c r="H10" i="7"/>
  <c r="I10" i="7"/>
  <c r="J10" i="7"/>
  <c r="K10" i="7"/>
  <c r="E10" i="7"/>
  <c r="K23" i="7"/>
  <c r="L15" i="3"/>
  <c r="M15" i="3" s="1"/>
  <c r="L65" i="3"/>
  <c r="D54" i="3"/>
  <c r="D55" i="3" s="1"/>
  <c r="F11" i="3"/>
  <c r="G11" i="3"/>
  <c r="H11" i="3"/>
  <c r="I11" i="3"/>
  <c r="J11" i="3"/>
  <c r="K11" i="3"/>
  <c r="E11" i="3"/>
  <c r="F10" i="3"/>
  <c r="G10" i="3"/>
  <c r="H10" i="3"/>
  <c r="I10" i="3"/>
  <c r="J10" i="3"/>
  <c r="K10" i="3"/>
  <c r="E10" i="3"/>
  <c r="G49" i="7"/>
  <c r="K20" i="3"/>
  <c r="K21" i="3" s="1"/>
  <c r="K23" i="3" s="1"/>
  <c r="K24" i="3" s="1"/>
  <c r="E20" i="3"/>
  <c r="E21" i="3" s="1"/>
  <c r="E23" i="3" s="1"/>
  <c r="E24" i="3" s="1"/>
  <c r="E22" i="7"/>
  <c r="E23" i="7" s="1"/>
  <c r="E58" i="7"/>
  <c r="K59" i="7"/>
  <c r="K61" i="7" s="1"/>
  <c r="F65" i="7"/>
  <c r="G65" i="7"/>
  <c r="H65" i="7"/>
  <c r="I65" i="7"/>
  <c r="J65" i="7"/>
  <c r="K65" i="7"/>
  <c r="E65" i="7"/>
  <c r="F40" i="7"/>
  <c r="G40" i="7"/>
  <c r="H40" i="7"/>
  <c r="I40" i="7"/>
  <c r="J40" i="7"/>
  <c r="E40" i="7"/>
  <c r="K47" i="7"/>
  <c r="J47" i="7"/>
  <c r="I47" i="7"/>
  <c r="H47" i="7"/>
  <c r="G47" i="7"/>
  <c r="F47" i="7"/>
  <c r="E47" i="7"/>
  <c r="F29" i="7"/>
  <c r="G29" i="7"/>
  <c r="H29" i="7"/>
  <c r="I29" i="7"/>
  <c r="J29" i="7"/>
  <c r="K29" i="7"/>
  <c r="D28" i="14"/>
  <c r="K41" i="13"/>
  <c r="J41" i="13"/>
  <c r="I41" i="13"/>
  <c r="H41" i="13"/>
  <c r="G41" i="13"/>
  <c r="F41" i="13"/>
  <c r="E41" i="13"/>
  <c r="F40" i="13"/>
  <c r="D65" i="13"/>
  <c r="D64" i="13"/>
  <c r="M20" i="13" s="1"/>
  <c r="C64" i="13"/>
  <c r="E20" i="13" s="1"/>
  <c r="E26" i="13" s="1"/>
  <c r="C65" i="13"/>
  <c r="F29" i="13"/>
  <c r="G29" i="13" s="1"/>
  <c r="H29" i="13" s="1"/>
  <c r="I29" i="13" s="1"/>
  <c r="J29" i="13" s="1"/>
  <c r="C60" i="13"/>
  <c r="K30" i="13"/>
  <c r="J30" i="13"/>
  <c r="I30" i="13"/>
  <c r="H30" i="13"/>
  <c r="G30" i="13"/>
  <c r="F30" i="13"/>
  <c r="E30" i="13"/>
  <c r="F24" i="13"/>
  <c r="G24" i="13" s="1"/>
  <c r="H24" i="13" s="1"/>
  <c r="M21" i="13"/>
  <c r="L21" i="13"/>
  <c r="K21" i="13"/>
  <c r="J21" i="13"/>
  <c r="I21" i="13"/>
  <c r="H21" i="13"/>
  <c r="G21" i="13"/>
  <c r="F21" i="13"/>
  <c r="E21" i="13"/>
  <c r="M19" i="13"/>
  <c r="L19" i="13"/>
  <c r="K19" i="13"/>
  <c r="J19" i="13"/>
  <c r="I19" i="13"/>
  <c r="H19" i="13"/>
  <c r="G19" i="13"/>
  <c r="F19" i="13"/>
  <c r="E19" i="13"/>
  <c r="P8" i="13"/>
  <c r="O8" i="13"/>
  <c r="N8" i="13"/>
  <c r="M8" i="13"/>
  <c r="L8" i="13"/>
  <c r="K8" i="13"/>
  <c r="J8" i="13"/>
  <c r="I8" i="13"/>
  <c r="H8" i="13"/>
  <c r="G8" i="13"/>
  <c r="F8" i="13"/>
  <c r="E8" i="13"/>
  <c r="F29" i="4"/>
  <c r="G29" i="4"/>
  <c r="H29" i="4"/>
  <c r="I29" i="4"/>
  <c r="J29" i="4"/>
  <c r="K29" i="4"/>
  <c r="F28" i="4"/>
  <c r="G28" i="4"/>
  <c r="H28" i="4"/>
  <c r="I28" i="4"/>
  <c r="J28" i="4"/>
  <c r="K28" i="4"/>
  <c r="E28" i="4"/>
  <c r="K19" i="3" l="1"/>
  <c r="K30" i="7"/>
  <c r="K24" i="15"/>
  <c r="E25" i="15"/>
  <c r="E27" i="15" s="1"/>
  <c r="E28" i="15" s="1"/>
  <c r="G11" i="15"/>
  <c r="K66" i="7"/>
  <c r="K67" i="7" s="1"/>
  <c r="K48" i="7"/>
  <c r="K49" i="7" s="1"/>
  <c r="S49" i="7" s="1"/>
  <c r="F17" i="15"/>
  <c r="L10" i="3"/>
  <c r="L11" i="3"/>
  <c r="K55" i="3"/>
  <c r="K57" i="3" s="1"/>
  <c r="K58" i="3" s="1"/>
  <c r="K59" i="3" s="1"/>
  <c r="E25" i="7"/>
  <c r="I42" i="7"/>
  <c r="I44" i="7" s="1"/>
  <c r="E43" i="7"/>
  <c r="K43" i="7"/>
  <c r="K25" i="7"/>
  <c r="G42" i="7"/>
  <c r="G44" i="7" s="1"/>
  <c r="E24" i="7"/>
  <c r="E26" i="7" s="1"/>
  <c r="E30" i="7"/>
  <c r="E31" i="7" s="1"/>
  <c r="J42" i="7"/>
  <c r="J44" i="7" s="1"/>
  <c r="E42" i="7"/>
  <c r="E44" i="7" s="1"/>
  <c r="N15" i="3"/>
  <c r="O15" i="3" s="1"/>
  <c r="M10" i="3"/>
  <c r="M11" i="3"/>
  <c r="L57" i="3"/>
  <c r="L58" i="3" s="1"/>
  <c r="L59" i="3" s="1"/>
  <c r="K42" i="7"/>
  <c r="K44" i="7" s="1"/>
  <c r="F42" i="7"/>
  <c r="F44" i="7" s="1"/>
  <c r="K24" i="7"/>
  <c r="K26" i="7" s="1"/>
  <c r="H42" i="7"/>
  <c r="H44" i="7" s="1"/>
  <c r="K60" i="7"/>
  <c r="K62" i="7" s="1"/>
  <c r="E60" i="7"/>
  <c r="E62" i="7" s="1"/>
  <c r="E54" i="3"/>
  <c r="K36" i="3"/>
  <c r="K37" i="3" s="1"/>
  <c r="K31" i="7"/>
  <c r="F59" i="7"/>
  <c r="F66" i="7" s="1"/>
  <c r="K58" i="7"/>
  <c r="H22" i="13"/>
  <c r="E22" i="13"/>
  <c r="E37" i="13" s="1"/>
  <c r="E38" i="13" s="1"/>
  <c r="E39" i="13" s="1"/>
  <c r="E43" i="13" s="1"/>
  <c r="F22" i="13"/>
  <c r="F37" i="13" s="1"/>
  <c r="F38" i="13" s="1"/>
  <c r="F42" i="13" s="1"/>
  <c r="F44" i="13" s="1"/>
  <c r="G20" i="13"/>
  <c r="G26" i="13" s="1"/>
  <c r="G27" i="13" s="1"/>
  <c r="G28" i="13" s="1"/>
  <c r="G32" i="13" s="1"/>
  <c r="F20" i="13"/>
  <c r="F26" i="13" s="1"/>
  <c r="F27" i="13" s="1"/>
  <c r="F28" i="13" s="1"/>
  <c r="F32" i="13" s="1"/>
  <c r="H20" i="13"/>
  <c r="H26" i="13" s="1"/>
  <c r="H27" i="13" s="1"/>
  <c r="H28" i="13" s="1"/>
  <c r="H32" i="13" s="1"/>
  <c r="G22" i="13"/>
  <c r="G37" i="13" s="1"/>
  <c r="G40" i="13"/>
  <c r="R8" i="13"/>
  <c r="I24" i="13"/>
  <c r="I22" i="13" s="1"/>
  <c r="M22" i="13"/>
  <c r="E27" i="13"/>
  <c r="E28" i="13" s="1"/>
  <c r="E32" i="13" s="1"/>
  <c r="AI11" i="3"/>
  <c r="AL11" i="3"/>
  <c r="AN11" i="3"/>
  <c r="AG11" i="3"/>
  <c r="AH11" i="3"/>
  <c r="AJ11" i="3"/>
  <c r="AK11" i="3"/>
  <c r="AM11" i="3"/>
  <c r="AO11" i="3"/>
  <c r="AP11" i="3"/>
  <c r="AQ11" i="3"/>
  <c r="K32" i="15" l="1"/>
  <c r="K33" i="15" s="1"/>
  <c r="K26" i="15"/>
  <c r="K29" i="15"/>
  <c r="E30" i="15"/>
  <c r="E35" i="15"/>
  <c r="E34" i="15"/>
  <c r="S44" i="7"/>
  <c r="H10" i="15"/>
  <c r="H11" i="15"/>
  <c r="G17" i="15"/>
  <c r="G59" i="7"/>
  <c r="G66" i="7" s="1"/>
  <c r="K45" i="7"/>
  <c r="K46" i="7" s="1"/>
  <c r="E45" i="7"/>
  <c r="E46" i="7" s="1"/>
  <c r="K60" i="3"/>
  <c r="L60" i="3"/>
  <c r="M55" i="3"/>
  <c r="M57" i="3" s="1"/>
  <c r="F54" i="3"/>
  <c r="E43" i="3"/>
  <c r="E19" i="3" s="1"/>
  <c r="E32" i="3"/>
  <c r="E33" i="3" s="1"/>
  <c r="E35" i="3" s="1"/>
  <c r="K63" i="7"/>
  <c r="K64" i="7" s="1"/>
  <c r="K69" i="7" s="1"/>
  <c r="K70" i="7" s="1"/>
  <c r="E63" i="7"/>
  <c r="P15" i="3"/>
  <c r="F58" i="7"/>
  <c r="E42" i="13"/>
  <c r="E44" i="13" s="1"/>
  <c r="E45" i="13" s="1"/>
  <c r="F39" i="13"/>
  <c r="G38" i="13"/>
  <c r="H40" i="13"/>
  <c r="H37" i="13" s="1"/>
  <c r="I20" i="13"/>
  <c r="I26" i="13" s="1"/>
  <c r="I27" i="13" s="1"/>
  <c r="I28" i="13" s="1"/>
  <c r="I32" i="13" s="1"/>
  <c r="F31" i="13"/>
  <c r="F33" i="13" s="1"/>
  <c r="F34" i="13" s="1"/>
  <c r="H31" i="13"/>
  <c r="H33" i="13" s="1"/>
  <c r="H34" i="13" s="1"/>
  <c r="E31" i="13"/>
  <c r="E33" i="13" s="1"/>
  <c r="E34" i="13" s="1"/>
  <c r="G31" i="13"/>
  <c r="G33" i="13" s="1"/>
  <c r="G34" i="13" s="1"/>
  <c r="J24" i="13"/>
  <c r="J22" i="13" s="1"/>
  <c r="E39" i="15" l="1"/>
  <c r="L61" i="3"/>
  <c r="K50" i="3"/>
  <c r="I10" i="15"/>
  <c r="I11" i="15"/>
  <c r="G58" i="7"/>
  <c r="K68" i="7"/>
  <c r="H59" i="7"/>
  <c r="H66" i="7" s="1"/>
  <c r="H17" i="15"/>
  <c r="K61" i="3"/>
  <c r="K27" i="3"/>
  <c r="K39" i="3"/>
  <c r="K41" i="3" s="1"/>
  <c r="E64" i="7"/>
  <c r="E69" i="7" s="1"/>
  <c r="E70" i="7" s="1"/>
  <c r="K50" i="7"/>
  <c r="E50" i="7"/>
  <c r="M58" i="3"/>
  <c r="M59" i="3" s="1"/>
  <c r="M60" i="3"/>
  <c r="N55" i="3"/>
  <c r="N57" i="3" s="1"/>
  <c r="E38" i="3"/>
  <c r="E36" i="3"/>
  <c r="E37" i="3" s="1"/>
  <c r="G54" i="3"/>
  <c r="F43" i="3"/>
  <c r="F32" i="3"/>
  <c r="F33" i="3" s="1"/>
  <c r="F35" i="3" s="1"/>
  <c r="E68" i="7"/>
  <c r="K71" i="7"/>
  <c r="G39" i="13"/>
  <c r="G43" i="13" s="1"/>
  <c r="G42" i="13"/>
  <c r="G44" i="13" s="1"/>
  <c r="F43" i="13"/>
  <c r="F45" i="13" s="1"/>
  <c r="H38" i="13"/>
  <c r="I40" i="13"/>
  <c r="I37" i="13" s="1"/>
  <c r="J20" i="13"/>
  <c r="J26" i="13" s="1"/>
  <c r="J27" i="13" s="1"/>
  <c r="J28" i="13" s="1"/>
  <c r="J32" i="13" s="1"/>
  <c r="K24" i="13"/>
  <c r="K22" i="13" s="1"/>
  <c r="K37" i="13" s="1"/>
  <c r="K38" i="13" s="1"/>
  <c r="I31" i="13"/>
  <c r="I33" i="13" s="1"/>
  <c r="I34" i="13" s="1"/>
  <c r="E40" i="15" l="1"/>
  <c r="H58" i="7"/>
  <c r="I59" i="7"/>
  <c r="I66" i="7" s="1"/>
  <c r="K40" i="3"/>
  <c r="M61" i="3"/>
  <c r="J11" i="15"/>
  <c r="J10" i="15"/>
  <c r="I17" i="15"/>
  <c r="E71" i="7"/>
  <c r="I58" i="7"/>
  <c r="J59" i="7"/>
  <c r="J66" i="7" s="1"/>
  <c r="P55" i="3"/>
  <c r="P57" i="3" s="1"/>
  <c r="O55" i="3"/>
  <c r="O57" i="3" s="1"/>
  <c r="N58" i="3"/>
  <c r="N59" i="3" s="1"/>
  <c r="N60" i="3"/>
  <c r="F38" i="3"/>
  <c r="F36" i="3"/>
  <c r="F37" i="3" s="1"/>
  <c r="H54" i="3"/>
  <c r="G43" i="3"/>
  <c r="G32" i="3"/>
  <c r="G33" i="3" s="1"/>
  <c r="G35" i="3" s="1"/>
  <c r="J58" i="7"/>
  <c r="H39" i="13"/>
  <c r="H43" i="13" s="1"/>
  <c r="H42" i="13"/>
  <c r="H44" i="13" s="1"/>
  <c r="K42" i="13"/>
  <c r="K44" i="13" s="1"/>
  <c r="K39" i="13"/>
  <c r="K43" i="13" s="1"/>
  <c r="G45" i="13"/>
  <c r="I38" i="13"/>
  <c r="J40" i="13"/>
  <c r="K20" i="13"/>
  <c r="K26" i="13" s="1"/>
  <c r="K27" i="13" s="1"/>
  <c r="K28" i="13" s="1"/>
  <c r="K32" i="13" s="1"/>
  <c r="M32" i="13" s="1"/>
  <c r="J31" i="13"/>
  <c r="J33" i="13" s="1"/>
  <c r="J34" i="13" s="1"/>
  <c r="L24" i="13"/>
  <c r="L22" i="13" s="1"/>
  <c r="K45" i="13" l="1"/>
  <c r="N61" i="3"/>
  <c r="K10" i="15"/>
  <c r="K11" i="15"/>
  <c r="J17" i="15"/>
  <c r="O60" i="3"/>
  <c r="O58" i="3"/>
  <c r="O59" i="3" s="1"/>
  <c r="P58" i="3"/>
  <c r="P59" i="3" s="1"/>
  <c r="P60" i="3"/>
  <c r="G36" i="3"/>
  <c r="G37" i="3" s="1"/>
  <c r="G38" i="3"/>
  <c r="I54" i="3"/>
  <c r="H32" i="3"/>
  <c r="H33" i="3" s="1"/>
  <c r="H35" i="3" s="1"/>
  <c r="H43" i="3"/>
  <c r="N11" i="3"/>
  <c r="N10" i="3"/>
  <c r="P10" i="3"/>
  <c r="P11" i="3"/>
  <c r="O10" i="3"/>
  <c r="O11" i="3"/>
  <c r="J37" i="13"/>
  <c r="J38" i="13" s="1"/>
  <c r="I39" i="13"/>
  <c r="I43" i="13" s="1"/>
  <c r="I42" i="13"/>
  <c r="I44" i="13" s="1"/>
  <c r="H45" i="13"/>
  <c r="L20" i="13"/>
  <c r="K31" i="13"/>
  <c r="K33" i="13" s="1"/>
  <c r="K34" i="13" s="1"/>
  <c r="K25" i="15" l="1"/>
  <c r="K27" i="15" s="1"/>
  <c r="K28" i="15" s="1"/>
  <c r="O61" i="3"/>
  <c r="P61" i="3"/>
  <c r="L11" i="15"/>
  <c r="L10" i="15"/>
  <c r="J54" i="3"/>
  <c r="I32" i="3"/>
  <c r="I33" i="3" s="1"/>
  <c r="I35" i="3" s="1"/>
  <c r="I43" i="3"/>
  <c r="H36" i="3"/>
  <c r="H37" i="3" s="1"/>
  <c r="H38" i="3"/>
  <c r="J39" i="13"/>
  <c r="J43" i="13" s="1"/>
  <c r="J42" i="13"/>
  <c r="J44" i="13" s="1"/>
  <c r="I45" i="13"/>
  <c r="K30" i="15" l="1"/>
  <c r="K35" i="15"/>
  <c r="K34" i="15"/>
  <c r="J45" i="13"/>
  <c r="M10" i="15"/>
  <c r="M11" i="15"/>
  <c r="I38" i="3"/>
  <c r="I36" i="3"/>
  <c r="I37" i="3" s="1"/>
  <c r="J32" i="3"/>
  <c r="J33" i="3" s="1"/>
  <c r="J35" i="3" s="1"/>
  <c r="J43" i="3"/>
  <c r="M45" i="13"/>
  <c r="M44" i="13"/>
  <c r="M43" i="13"/>
  <c r="M33" i="13"/>
  <c r="P8" i="7"/>
  <c r="O8" i="7"/>
  <c r="N8" i="7"/>
  <c r="M8" i="7"/>
  <c r="L8" i="7"/>
  <c r="K8" i="7"/>
  <c r="J8" i="7"/>
  <c r="I8" i="7"/>
  <c r="H8" i="7"/>
  <c r="G8" i="7"/>
  <c r="F8" i="7"/>
  <c r="E8" i="7"/>
  <c r="K39" i="15" l="1"/>
  <c r="N11" i="15"/>
  <c r="N10" i="15"/>
  <c r="J38" i="3"/>
  <c r="J36" i="3"/>
  <c r="J37" i="3" s="1"/>
  <c r="M34" i="13"/>
  <c r="F22" i="7"/>
  <c r="F23" i="7" s="1"/>
  <c r="F24" i="15" s="1"/>
  <c r="O41" i="4"/>
  <c r="O30" i="4"/>
  <c r="F29" i="15" l="1"/>
  <c r="F32" i="15"/>
  <c r="F33" i="15" s="1"/>
  <c r="F25" i="15"/>
  <c r="F27" i="15" s="1"/>
  <c r="F26" i="15"/>
  <c r="K40" i="15"/>
  <c r="O10" i="15"/>
  <c r="O11" i="15"/>
  <c r="F30" i="7"/>
  <c r="F31" i="7" s="1"/>
  <c r="F24" i="7"/>
  <c r="F26" i="7" s="1"/>
  <c r="F67" i="7"/>
  <c r="F60" i="7"/>
  <c r="F62" i="7" s="1"/>
  <c r="K27" i="7"/>
  <c r="K28" i="7" s="1"/>
  <c r="E27" i="7"/>
  <c r="E28" i="7" s="1"/>
  <c r="E33" i="7" s="1"/>
  <c r="G22" i="7"/>
  <c r="G23" i="7" s="1"/>
  <c r="G24" i="15" s="1"/>
  <c r="E20" i="4"/>
  <c r="M20" i="4" s="1"/>
  <c r="E18" i="4"/>
  <c r="M18" i="4" s="1"/>
  <c r="C59" i="4"/>
  <c r="F39" i="4"/>
  <c r="G39" i="4" s="1"/>
  <c r="F27" i="4"/>
  <c r="G27" i="4" s="1"/>
  <c r="F22" i="4"/>
  <c r="F18" i="4" s="1"/>
  <c r="E36" i="4"/>
  <c r="M19" i="4"/>
  <c r="L19" i="4"/>
  <c r="K19" i="4"/>
  <c r="J19" i="4"/>
  <c r="I19" i="4"/>
  <c r="H19" i="4"/>
  <c r="G19" i="4"/>
  <c r="F19" i="4"/>
  <c r="E19" i="4"/>
  <c r="M17" i="4"/>
  <c r="L17" i="4"/>
  <c r="K17" i="4"/>
  <c r="J17" i="4"/>
  <c r="I17" i="4"/>
  <c r="H17" i="4"/>
  <c r="G17" i="4"/>
  <c r="F17" i="4"/>
  <c r="E17" i="4"/>
  <c r="P8" i="4"/>
  <c r="O8" i="4"/>
  <c r="N8" i="4"/>
  <c r="M8" i="4"/>
  <c r="L8" i="4"/>
  <c r="K8" i="4"/>
  <c r="J8" i="4"/>
  <c r="I8" i="4"/>
  <c r="H8" i="4"/>
  <c r="G8" i="4"/>
  <c r="F8" i="4"/>
  <c r="E8" i="4"/>
  <c r="G29" i="15" l="1"/>
  <c r="G32" i="15"/>
  <c r="G33" i="15" s="1"/>
  <c r="G25" i="15"/>
  <c r="G27" i="15" s="1"/>
  <c r="G26" i="15"/>
  <c r="F28" i="15"/>
  <c r="P10" i="15"/>
  <c r="P11" i="15"/>
  <c r="G30" i="7"/>
  <c r="G31" i="7" s="1"/>
  <c r="G24" i="7"/>
  <c r="G26" i="7" s="1"/>
  <c r="G67" i="7"/>
  <c r="G60" i="7"/>
  <c r="G62" i="7" s="1"/>
  <c r="K33" i="7"/>
  <c r="E32" i="7"/>
  <c r="E37" i="7"/>
  <c r="K32" i="7"/>
  <c r="H22" i="7"/>
  <c r="H23" i="7" s="1"/>
  <c r="H24" i="15" s="1"/>
  <c r="E24" i="4"/>
  <c r="E25" i="4" s="1"/>
  <c r="F20" i="4"/>
  <c r="F36" i="4"/>
  <c r="F37" i="4" s="1"/>
  <c r="R8" i="4"/>
  <c r="E38" i="4"/>
  <c r="E37" i="4"/>
  <c r="E44" i="4" s="1"/>
  <c r="E45" i="4" s="1"/>
  <c r="E30" i="4"/>
  <c r="E32" i="4"/>
  <c r="E33" i="4" s="1"/>
  <c r="H27" i="4"/>
  <c r="H39" i="4"/>
  <c r="G22" i="4"/>
  <c r="F24" i="4"/>
  <c r="E26" i="4"/>
  <c r="F30" i="15" l="1"/>
  <c r="F35" i="15"/>
  <c r="H29" i="15"/>
  <c r="H32" i="15"/>
  <c r="H33" i="15" s="1"/>
  <c r="H25" i="15"/>
  <c r="H27" i="15" s="1"/>
  <c r="H26" i="15"/>
  <c r="G28" i="15"/>
  <c r="G34" i="15"/>
  <c r="F34" i="15"/>
  <c r="K37" i="7"/>
  <c r="H30" i="7"/>
  <c r="H31" i="7" s="1"/>
  <c r="H24" i="7"/>
  <c r="H26" i="7" s="1"/>
  <c r="H67" i="7"/>
  <c r="H60" i="7"/>
  <c r="H62" i="7" s="1"/>
  <c r="K38" i="7"/>
  <c r="E38" i="7"/>
  <c r="I22" i="7"/>
  <c r="I23" i="7" s="1"/>
  <c r="I24" i="15" s="1"/>
  <c r="G20" i="4"/>
  <c r="G36" i="4" s="1"/>
  <c r="G18" i="4"/>
  <c r="F38" i="4"/>
  <c r="E42" i="4"/>
  <c r="E43" i="4" s="1"/>
  <c r="I27" i="4"/>
  <c r="F26" i="4"/>
  <c r="F25" i="4"/>
  <c r="E31" i="4"/>
  <c r="I39" i="4"/>
  <c r="F44" i="4"/>
  <c r="F45" i="4" s="1"/>
  <c r="F42" i="4"/>
  <c r="G24" i="4"/>
  <c r="H22" i="4"/>
  <c r="H28" i="15" l="1"/>
  <c r="H34" i="15"/>
  <c r="I29" i="15"/>
  <c r="I32" i="15"/>
  <c r="I33" i="15" s="1"/>
  <c r="I25" i="15"/>
  <c r="I27" i="15" s="1"/>
  <c r="I28" i="15" s="1"/>
  <c r="I26" i="15"/>
  <c r="F40" i="15"/>
  <c r="F37" i="15"/>
  <c r="F38" i="15"/>
  <c r="G36" i="15" s="1"/>
  <c r="G37" i="15" s="1"/>
  <c r="F39" i="15"/>
  <c r="G30" i="15"/>
  <c r="G35" i="15"/>
  <c r="I30" i="7"/>
  <c r="I31" i="7" s="1"/>
  <c r="I24" i="7"/>
  <c r="I26" i="7" s="1"/>
  <c r="I67" i="7"/>
  <c r="I60" i="7"/>
  <c r="I62" i="7" s="1"/>
  <c r="J22" i="7"/>
  <c r="J23" i="7" s="1"/>
  <c r="J24" i="15" s="1"/>
  <c r="H20" i="4"/>
  <c r="H18" i="4"/>
  <c r="H24" i="4" s="1"/>
  <c r="F30" i="4"/>
  <c r="F32" i="4"/>
  <c r="F33" i="4" s="1"/>
  <c r="H36" i="4"/>
  <c r="I22" i="4"/>
  <c r="G25" i="4"/>
  <c r="G26" i="4"/>
  <c r="G37" i="4"/>
  <c r="G38" i="4"/>
  <c r="F43" i="4"/>
  <c r="J39" i="4"/>
  <c r="J27" i="4"/>
  <c r="J29" i="15" l="1"/>
  <c r="J32" i="15"/>
  <c r="J33" i="15" s="1"/>
  <c r="J25" i="15"/>
  <c r="J27" i="15" s="1"/>
  <c r="J26" i="15"/>
  <c r="I34" i="15"/>
  <c r="I39" i="15"/>
  <c r="G39" i="15"/>
  <c r="G38" i="15"/>
  <c r="H36" i="15" s="1"/>
  <c r="G40" i="15"/>
  <c r="H30" i="15"/>
  <c r="H35" i="15"/>
  <c r="I30" i="15"/>
  <c r="I40" i="15" s="1"/>
  <c r="I35" i="15"/>
  <c r="J30" i="7"/>
  <c r="J31" i="7" s="1"/>
  <c r="J24" i="7"/>
  <c r="J26" i="7" s="1"/>
  <c r="R26" i="7" s="1"/>
  <c r="J60" i="7"/>
  <c r="J62" i="7" s="1"/>
  <c r="P62" i="7" s="1"/>
  <c r="J67" i="7"/>
  <c r="P65" i="7"/>
  <c r="I20" i="4"/>
  <c r="I36" i="4" s="1"/>
  <c r="I18" i="4"/>
  <c r="I24" i="4" s="1"/>
  <c r="G30" i="4"/>
  <c r="G31" i="4" s="1"/>
  <c r="G32" i="4"/>
  <c r="G33" i="4" s="1"/>
  <c r="J22" i="4"/>
  <c r="H26" i="4"/>
  <c r="H25" i="4"/>
  <c r="H37" i="4"/>
  <c r="H38" i="4"/>
  <c r="F31" i="4"/>
  <c r="G42" i="4"/>
  <c r="G44" i="4"/>
  <c r="G45" i="4" s="1"/>
  <c r="R26" i="15" l="1"/>
  <c r="J28" i="15"/>
  <c r="R27" i="15"/>
  <c r="H38" i="15"/>
  <c r="I36" i="15" s="1"/>
  <c r="I37" i="15" s="1"/>
  <c r="I38" i="15" s="1"/>
  <c r="J36" i="15" s="1"/>
  <c r="H39" i="15"/>
  <c r="H40" i="15"/>
  <c r="H37" i="15"/>
  <c r="R33" i="15"/>
  <c r="J34" i="15"/>
  <c r="R34" i="15" s="1"/>
  <c r="R31" i="7"/>
  <c r="P67" i="7"/>
  <c r="J18" i="4"/>
  <c r="J24" i="4" s="1"/>
  <c r="J20" i="4"/>
  <c r="J36" i="4" s="1"/>
  <c r="K22" i="4"/>
  <c r="H42" i="4"/>
  <c r="H43" i="4" s="1"/>
  <c r="H44" i="4"/>
  <c r="H45" i="4" s="1"/>
  <c r="I25" i="4"/>
  <c r="I26" i="4"/>
  <c r="I37" i="4"/>
  <c r="I38" i="4"/>
  <c r="G43" i="4"/>
  <c r="H30" i="4"/>
  <c r="H32" i="4"/>
  <c r="H33" i="4" s="1"/>
  <c r="J30" i="15" l="1"/>
  <c r="J35" i="15"/>
  <c r="R28" i="15"/>
  <c r="K20" i="4"/>
  <c r="K36" i="4" s="1"/>
  <c r="K18" i="4"/>
  <c r="I42" i="4"/>
  <c r="I43" i="4" s="1"/>
  <c r="I44" i="4"/>
  <c r="I45" i="4" s="1"/>
  <c r="I30" i="4"/>
  <c r="I31" i="4" s="1"/>
  <c r="I32" i="4"/>
  <c r="I33" i="4" s="1"/>
  <c r="H31" i="4"/>
  <c r="J26" i="4"/>
  <c r="J25" i="4"/>
  <c r="J37" i="4"/>
  <c r="J38" i="4"/>
  <c r="L22" i="4"/>
  <c r="K24" i="4"/>
  <c r="J39" i="15" l="1"/>
  <c r="R39" i="15" s="1"/>
  <c r="R35" i="15"/>
  <c r="J40" i="15"/>
  <c r="R40" i="15" s="1"/>
  <c r="R30" i="15"/>
  <c r="J37" i="15"/>
  <c r="J38" i="15" s="1"/>
  <c r="K36" i="15" s="1"/>
  <c r="L20" i="4"/>
  <c r="L18" i="4"/>
  <c r="J42" i="4"/>
  <c r="J43" i="4" s="1"/>
  <c r="J44" i="4"/>
  <c r="J45" i="4" s="1"/>
  <c r="J30" i="4"/>
  <c r="J32" i="4"/>
  <c r="J33" i="4" s="1"/>
  <c r="K25" i="4"/>
  <c r="K26" i="4"/>
  <c r="K37" i="15" l="1"/>
  <c r="K38" i="15"/>
  <c r="L36" i="15" s="1"/>
  <c r="K32" i="4"/>
  <c r="K33" i="4" s="1"/>
  <c r="R34" i="4" s="1"/>
  <c r="K30" i="4"/>
  <c r="K31" i="4" s="1"/>
  <c r="J31" i="4"/>
  <c r="K44" i="4"/>
  <c r="K45" i="4" s="1"/>
  <c r="M45" i="4" s="1"/>
  <c r="K42" i="4"/>
  <c r="M33" i="4" l="1"/>
  <c r="M30" i="4"/>
  <c r="R31" i="4"/>
  <c r="M31" i="4"/>
  <c r="R32" i="4"/>
  <c r="K43" i="4"/>
  <c r="M43" i="4" s="1"/>
  <c r="M42" i="4"/>
  <c r="F8" i="3" l="1"/>
  <c r="E8" i="3"/>
  <c r="P8" i="3"/>
  <c r="O8" i="3"/>
  <c r="N8" i="3"/>
  <c r="M8" i="3"/>
  <c r="L8" i="3"/>
  <c r="K8" i="3"/>
  <c r="J8" i="3"/>
  <c r="I8" i="3"/>
  <c r="H8" i="3"/>
  <c r="G8" i="3"/>
  <c r="E26" i="3" l="1"/>
  <c r="K25" i="3"/>
  <c r="F20" i="3"/>
  <c r="F21" i="3" s="1"/>
  <c r="M36" i="3"/>
  <c r="E25" i="3"/>
  <c r="F23" i="3" l="1"/>
  <c r="F24" i="3" s="1"/>
  <c r="F19" i="3"/>
  <c r="K26" i="3"/>
  <c r="F25" i="3"/>
  <c r="F26" i="3"/>
  <c r="G20" i="3"/>
  <c r="G21" i="3" s="1"/>
  <c r="M38" i="3"/>
  <c r="M37" i="3"/>
  <c r="G23" i="3" l="1"/>
  <c r="G24" i="3" s="1"/>
  <c r="G19" i="3"/>
  <c r="K29" i="3"/>
  <c r="K28" i="3"/>
  <c r="H20" i="3"/>
  <c r="H21" i="3" s="1"/>
  <c r="H23" i="3" l="1"/>
  <c r="H24" i="3" s="1"/>
  <c r="H19" i="3"/>
  <c r="I20" i="3"/>
  <c r="I21" i="3" s="1"/>
  <c r="G25" i="3"/>
  <c r="G26" i="3"/>
  <c r="I23" i="3" l="1"/>
  <c r="I24" i="3" s="1"/>
  <c r="I19" i="3"/>
  <c r="J20" i="3"/>
  <c r="H25" i="3"/>
  <c r="H26" i="3"/>
  <c r="J21" i="3" l="1"/>
  <c r="I26" i="3"/>
  <c r="I25" i="3"/>
  <c r="J23" i="3" l="1"/>
  <c r="J24" i="3" s="1"/>
  <c r="J19" i="3"/>
  <c r="J26" i="3"/>
  <c r="J25" i="3"/>
  <c r="M25" i="3" s="1"/>
  <c r="M23" i="3"/>
  <c r="M24" i="3"/>
  <c r="K51" i="7" l="1"/>
  <c r="K55" i="7" s="1"/>
  <c r="R44" i="7"/>
  <c r="R49" i="7"/>
  <c r="E51" i="7" l="1"/>
  <c r="K56" i="7"/>
  <c r="E55" i="7" l="1"/>
  <c r="E56" i="7"/>
  <c r="K44" i="3" l="1"/>
  <c r="K46" i="3"/>
  <c r="K49" i="3" s="1"/>
  <c r="K51" i="3" l="1"/>
  <c r="K52" i="3"/>
  <c r="K47" i="3"/>
  <c r="K48" i="3" s="1"/>
  <c r="F44" i="3"/>
  <c r="F46" i="3" s="1"/>
  <c r="F49" i="3" s="1"/>
  <c r="G44" i="3"/>
  <c r="G46" i="3" s="1"/>
  <c r="G49" i="3" s="1"/>
  <c r="H44" i="3"/>
  <c r="H46" i="3" s="1"/>
  <c r="H49" i="3" s="1"/>
  <c r="I44" i="3"/>
  <c r="I46" i="3" s="1"/>
  <c r="I49" i="3" s="1"/>
  <c r="J44" i="3"/>
  <c r="J46" i="3" s="1"/>
  <c r="J49" i="3" s="1"/>
  <c r="I47" i="3" l="1"/>
  <c r="I48" i="3" s="1"/>
  <c r="G47" i="3"/>
  <c r="G48" i="3" s="1"/>
  <c r="J47" i="3"/>
  <c r="J48" i="3" s="1"/>
  <c r="F47" i="3"/>
  <c r="F48" i="3" s="1"/>
  <c r="H47" i="3"/>
  <c r="H48" i="3" s="1"/>
  <c r="M47" i="3" l="1"/>
  <c r="M48" i="3"/>
  <c r="E44" i="3"/>
  <c r="E46" i="3" s="1"/>
  <c r="E49" i="3" s="1"/>
  <c r="E47" i="3" l="1"/>
  <c r="E48" i="3" s="1"/>
  <c r="E55" i="3"/>
  <c r="E57" i="3" s="1"/>
  <c r="F55" i="3"/>
  <c r="F57" i="3" s="1"/>
  <c r="G55" i="3"/>
  <c r="H55" i="3"/>
  <c r="I55" i="3"/>
  <c r="I57" i="3" s="1"/>
  <c r="J55" i="3"/>
  <c r="J57" i="3" l="1"/>
  <c r="J60" i="3" s="1"/>
  <c r="H57" i="3"/>
  <c r="H58" i="3" s="1"/>
  <c r="H59" i="3" s="1"/>
  <c r="G57" i="3"/>
  <c r="G60" i="3" s="1"/>
  <c r="F60" i="3"/>
  <c r="F58" i="3"/>
  <c r="F59" i="3" s="1"/>
  <c r="I58" i="3"/>
  <c r="I59" i="3" s="1"/>
  <c r="I60" i="3"/>
  <c r="E60" i="3"/>
  <c r="E58" i="3"/>
  <c r="E59" i="3" s="1"/>
  <c r="G50" i="3" l="1"/>
  <c r="E50" i="3"/>
  <c r="I50" i="3"/>
  <c r="F50" i="3"/>
  <c r="F52" i="3" s="1"/>
  <c r="J50" i="3"/>
  <c r="G52" i="3"/>
  <c r="G51" i="3"/>
  <c r="E52" i="3"/>
  <c r="E51" i="3"/>
  <c r="I52" i="3"/>
  <c r="I51" i="3"/>
  <c r="J52" i="3"/>
  <c r="J51" i="3"/>
  <c r="F27" i="3"/>
  <c r="F39" i="3"/>
  <c r="F41" i="3" s="1"/>
  <c r="I39" i="3"/>
  <c r="I41" i="3" s="1"/>
  <c r="I27" i="3"/>
  <c r="G39" i="3"/>
  <c r="G41" i="3" s="1"/>
  <c r="G27" i="3"/>
  <c r="J39" i="3"/>
  <c r="J41" i="3" s="1"/>
  <c r="J27" i="3"/>
  <c r="E39" i="3"/>
  <c r="E41" i="3" s="1"/>
  <c r="E27" i="3"/>
  <c r="J58" i="3"/>
  <c r="J59" i="3" s="1"/>
  <c r="I61" i="3"/>
  <c r="G61" i="3"/>
  <c r="E61" i="3"/>
  <c r="F61" i="3"/>
  <c r="J61" i="3"/>
  <c r="H60" i="3"/>
  <c r="G58" i="3"/>
  <c r="G59" i="3" s="1"/>
  <c r="F51" i="3" l="1"/>
  <c r="H50" i="3"/>
  <c r="M50" i="3" s="1"/>
  <c r="H52" i="3"/>
  <c r="H51" i="3"/>
  <c r="T59" i="3"/>
  <c r="J28" i="3"/>
  <c r="J29" i="3"/>
  <c r="J40" i="3"/>
  <c r="I40" i="3"/>
  <c r="G28" i="3"/>
  <c r="G29" i="3"/>
  <c r="G40" i="3"/>
  <c r="I28" i="3"/>
  <c r="I29" i="3"/>
  <c r="F40" i="3"/>
  <c r="H39" i="3"/>
  <c r="H41" i="3" s="1"/>
  <c r="H27" i="3"/>
  <c r="F29" i="3"/>
  <c r="F28" i="3"/>
  <c r="E28" i="3"/>
  <c r="E29" i="3"/>
  <c r="E40" i="3"/>
  <c r="H61" i="3"/>
  <c r="H40" i="3" l="1"/>
  <c r="H28" i="3"/>
  <c r="H29" i="3"/>
  <c r="F17" i="7"/>
  <c r="F61" i="7" s="1"/>
  <c r="F63" i="7" s="1"/>
  <c r="F64" i="7" s="1"/>
  <c r="F68" i="7" l="1"/>
  <c r="G17" i="7"/>
  <c r="G61" i="7" s="1"/>
  <c r="G63" i="7" s="1"/>
  <c r="G64" i="7" s="1"/>
  <c r="F43" i="7"/>
  <c r="F25" i="7"/>
  <c r="G68" i="7" l="1"/>
  <c r="F69" i="7"/>
  <c r="F27" i="7"/>
  <c r="F45" i="7"/>
  <c r="H17" i="7"/>
  <c r="H61" i="7" s="1"/>
  <c r="H63" i="7" s="1"/>
  <c r="H64" i="7" s="1"/>
  <c r="G43" i="7"/>
  <c r="G45" i="7" s="1"/>
  <c r="G46" i="7" s="1"/>
  <c r="G25" i="7"/>
  <c r="G27" i="7" s="1"/>
  <c r="F46" i="7" l="1"/>
  <c r="F70" i="7"/>
  <c r="G69" i="7"/>
  <c r="G70" i="7" s="1"/>
  <c r="F71" i="7"/>
  <c r="H69" i="7"/>
  <c r="H68" i="7"/>
  <c r="F50" i="7"/>
  <c r="G28" i="7"/>
  <c r="G32" i="7"/>
  <c r="G51" i="7"/>
  <c r="G50" i="7"/>
  <c r="I17" i="7"/>
  <c r="I61" i="7" s="1"/>
  <c r="I63" i="7" s="1"/>
  <c r="I64" i="7" s="1"/>
  <c r="H43" i="7"/>
  <c r="H45" i="7" s="1"/>
  <c r="H46" i="7" s="1"/>
  <c r="H25" i="7"/>
  <c r="H27" i="7" s="1"/>
  <c r="F28" i="7"/>
  <c r="F32" i="7"/>
  <c r="G71" i="7" l="1"/>
  <c r="H71" i="7"/>
  <c r="H70" i="7"/>
  <c r="I68" i="7"/>
  <c r="J17" i="7"/>
  <c r="J61" i="7" s="1"/>
  <c r="J63" i="7" s="1"/>
  <c r="J64" i="7" s="1"/>
  <c r="I43" i="7"/>
  <c r="I25" i="7"/>
  <c r="F33" i="7"/>
  <c r="G56" i="7"/>
  <c r="G55" i="7"/>
  <c r="G33" i="7"/>
  <c r="G37" i="7" s="1"/>
  <c r="H28" i="7"/>
  <c r="H33" i="7" s="1"/>
  <c r="H32" i="7"/>
  <c r="H50" i="7"/>
  <c r="F51" i="7"/>
  <c r="F53" i="7" s="1"/>
  <c r="F54" i="7" s="1"/>
  <c r="G52" i="7" s="1"/>
  <c r="G53" i="7" s="1"/>
  <c r="G54" i="7" s="1"/>
  <c r="H52" i="7" s="1"/>
  <c r="S43" i="7" l="1"/>
  <c r="F35" i="7"/>
  <c r="F36" i="7" s="1"/>
  <c r="G34" i="7" s="1"/>
  <c r="F38" i="7"/>
  <c r="P63" i="7"/>
  <c r="I69" i="7"/>
  <c r="I71" i="7" s="1"/>
  <c r="J68" i="7"/>
  <c r="P68" i="7" s="1"/>
  <c r="G38" i="7"/>
  <c r="F56" i="7"/>
  <c r="F55" i="7"/>
  <c r="H38" i="7"/>
  <c r="H37" i="7"/>
  <c r="F37" i="7"/>
  <c r="I27" i="7"/>
  <c r="I45" i="7"/>
  <c r="H51" i="7"/>
  <c r="H55" i="7" s="1"/>
  <c r="J43" i="7"/>
  <c r="J45" i="7" s="1"/>
  <c r="J46" i="7" s="1"/>
  <c r="J25" i="7"/>
  <c r="J27" i="7" s="1"/>
  <c r="H53" i="7" l="1"/>
  <c r="H54" i="7" s="1"/>
  <c r="I52" i="7" s="1"/>
  <c r="G35" i="7"/>
  <c r="G36" i="7" s="1"/>
  <c r="H34" i="7" s="1"/>
  <c r="H35" i="7" s="1"/>
  <c r="H36" i="7" s="1"/>
  <c r="I34" i="7" s="1"/>
  <c r="I46" i="7"/>
  <c r="S46" i="7" s="1"/>
  <c r="S45" i="7"/>
  <c r="R25" i="7"/>
  <c r="H56" i="7"/>
  <c r="J69" i="7"/>
  <c r="J70" i="7" s="1"/>
  <c r="J71" i="7"/>
  <c r="P71" i="7" s="1"/>
  <c r="I70" i="7"/>
  <c r="R43" i="7"/>
  <c r="I50" i="7"/>
  <c r="S50" i="7" s="1"/>
  <c r="R45" i="7"/>
  <c r="J28" i="7"/>
  <c r="J32" i="7"/>
  <c r="I28" i="7"/>
  <c r="I32" i="7"/>
  <c r="R27" i="7"/>
  <c r="J50" i="7"/>
  <c r="P69" i="7" l="1"/>
  <c r="P70" i="7"/>
  <c r="R32" i="7"/>
  <c r="J33" i="7"/>
  <c r="J37" i="7" s="1"/>
  <c r="J51" i="7"/>
  <c r="J55" i="7" s="1"/>
  <c r="R50" i="7"/>
  <c r="I33" i="7"/>
  <c r="R28" i="7"/>
  <c r="I51" i="7"/>
  <c r="I53" i="7" s="1"/>
  <c r="I54" i="7" s="1"/>
  <c r="J52" i="7" s="1"/>
  <c r="J53" i="7" s="1"/>
  <c r="J54" i="7" s="1"/>
  <c r="K52" i="7" s="1"/>
  <c r="K53" i="7" s="1"/>
  <c r="K54" i="7" s="1"/>
  <c r="L52" i="7" s="1"/>
  <c r="R46" i="7"/>
  <c r="L53" i="7" l="1"/>
  <c r="L54" i="7"/>
  <c r="M52" i="7" s="1"/>
  <c r="S51" i="7"/>
  <c r="I35" i="7"/>
  <c r="I36" i="7" s="1"/>
  <c r="J34" i="7" s="1"/>
  <c r="J35" i="7" s="1"/>
  <c r="J36" i="7" s="1"/>
  <c r="K34" i="7" s="1"/>
  <c r="J56" i="7"/>
  <c r="J38" i="7"/>
  <c r="I55" i="7"/>
  <c r="R51" i="7"/>
  <c r="I38" i="7"/>
  <c r="I37" i="7"/>
  <c r="R33" i="7"/>
  <c r="I56" i="7"/>
  <c r="S56" i="7" l="1"/>
  <c r="M53" i="7"/>
  <c r="M54" i="7" s="1"/>
  <c r="N52" i="7" s="1"/>
  <c r="N53" i="7" s="1"/>
  <c r="N54" i="7" s="1"/>
  <c r="O52" i="7" s="1"/>
  <c r="O53" i="7" s="1"/>
  <c r="O54" i="7" s="1"/>
  <c r="P52" i="7" s="1"/>
  <c r="P53" i="7" s="1"/>
  <c r="P54" i="7" s="1"/>
  <c r="R38" i="7"/>
  <c r="R37" i="7"/>
  <c r="R55" i="7"/>
  <c r="S55" i="7"/>
  <c r="K35" i="7"/>
  <c r="K36" i="7" s="1"/>
  <c r="L34" i="7" s="1"/>
  <c r="R56" i="7"/>
  <c r="P23" i="7" l="1"/>
  <c r="L22" i="7"/>
  <c r="M22" i="7" s="1"/>
  <c r="N22" i="7" s="1"/>
  <c r="O22" i="7" s="1"/>
  <c r="O23" i="7" s="1"/>
  <c r="M23" i="7"/>
  <c r="O30" i="7" l="1"/>
  <c r="O31" i="7" s="1"/>
  <c r="O24" i="15"/>
  <c r="M24" i="7"/>
  <c r="M26" i="7" s="1"/>
  <c r="M24" i="15"/>
  <c r="P25" i="7"/>
  <c r="P24" i="15"/>
  <c r="L23" i="7"/>
  <c r="M25" i="7"/>
  <c r="M27" i="7" s="1"/>
  <c r="M28" i="7" s="1"/>
  <c r="M33" i="7" s="1"/>
  <c r="M30" i="7"/>
  <c r="M31" i="7" s="1"/>
  <c r="N23" i="7"/>
  <c r="O25" i="7"/>
  <c r="N30" i="7"/>
  <c r="N31" i="7" s="1"/>
  <c r="O24" i="7"/>
  <c r="O26" i="7" s="1"/>
  <c r="O27" i="7" s="1"/>
  <c r="O28" i="7" s="1"/>
  <c r="O33" i="7" s="1"/>
  <c r="O37" i="7" s="1"/>
  <c r="L30" i="7"/>
  <c r="L31" i="7" s="1"/>
  <c r="P24" i="7"/>
  <c r="P26" i="7" s="1"/>
  <c r="P30" i="7"/>
  <c r="P31" i="7" s="1"/>
  <c r="M29" i="15" l="1"/>
  <c r="M26" i="15"/>
  <c r="M32" i="15"/>
  <c r="M33" i="15" s="1"/>
  <c r="M25" i="15"/>
  <c r="M27" i="15" s="1"/>
  <c r="M28" i="15" s="1"/>
  <c r="P26" i="15"/>
  <c r="P32" i="15"/>
  <c r="P33" i="15" s="1"/>
  <c r="P29" i="15"/>
  <c r="P25" i="15"/>
  <c r="P27" i="15" s="1"/>
  <c r="L24" i="7"/>
  <c r="L26" i="7" s="1"/>
  <c r="L24" i="15"/>
  <c r="L25" i="7"/>
  <c r="L27" i="7" s="1"/>
  <c r="L32" i="7" s="1"/>
  <c r="N24" i="7"/>
  <c r="N26" i="7" s="1"/>
  <c r="S26" i="7" s="1"/>
  <c r="N24" i="15"/>
  <c r="O29" i="15"/>
  <c r="O26" i="15"/>
  <c r="O32" i="15"/>
  <c r="O33" i="15" s="1"/>
  <c r="O25" i="15"/>
  <c r="O27" i="15" s="1"/>
  <c r="S31" i="7"/>
  <c r="N25" i="7"/>
  <c r="M32" i="7"/>
  <c r="M38" i="7"/>
  <c r="M37" i="7"/>
  <c r="L28" i="7"/>
  <c r="L33" i="7" s="1"/>
  <c r="P27" i="7"/>
  <c r="P28" i="7" s="1"/>
  <c r="S25" i="7"/>
  <c r="O38" i="7"/>
  <c r="O32" i="7"/>
  <c r="L38" i="7" l="1"/>
  <c r="P28" i="15"/>
  <c r="M30" i="15"/>
  <c r="M35" i="15"/>
  <c r="M34" i="15"/>
  <c r="M39" i="15"/>
  <c r="O34" i="15"/>
  <c r="N27" i="7"/>
  <c r="N29" i="15"/>
  <c r="N26" i="15"/>
  <c r="N32" i="15"/>
  <c r="N33" i="15" s="1"/>
  <c r="N25" i="15"/>
  <c r="N27" i="15" s="1"/>
  <c r="N28" i="15" s="1"/>
  <c r="L29" i="15"/>
  <c r="L32" i="15"/>
  <c r="L33" i="15" s="1"/>
  <c r="L26" i="15"/>
  <c r="S26" i="15" s="1"/>
  <c r="L25" i="15"/>
  <c r="L27" i="15" s="1"/>
  <c r="P34" i="15"/>
  <c r="O28" i="15"/>
  <c r="P32" i="7"/>
  <c r="S27" i="7"/>
  <c r="L35" i="7"/>
  <c r="L36" i="7" s="1"/>
  <c r="M34" i="7" s="1"/>
  <c r="M35" i="7" s="1"/>
  <c r="P33" i="7"/>
  <c r="P37" i="7" s="1"/>
  <c r="L37" i="7"/>
  <c r="O30" i="15" l="1"/>
  <c r="O35" i="15"/>
  <c r="S33" i="15"/>
  <c r="N34" i="15"/>
  <c r="N39" i="15"/>
  <c r="P30" i="15"/>
  <c r="P40" i="15" s="1"/>
  <c r="P35" i="15"/>
  <c r="N35" i="15"/>
  <c r="N30" i="15"/>
  <c r="N40" i="15" s="1"/>
  <c r="M40" i="15"/>
  <c r="L28" i="15"/>
  <c r="S27" i="15"/>
  <c r="N28" i="7"/>
  <c r="N32" i="7"/>
  <c r="S32" i="7" s="1"/>
  <c r="P38" i="7"/>
  <c r="M36" i="7"/>
  <c r="N34" i="7" s="1"/>
  <c r="L35" i="15" l="1"/>
  <c r="L30" i="15"/>
  <c r="S28" i="15"/>
  <c r="N35" i="7"/>
  <c r="O39" i="15"/>
  <c r="L34" i="15"/>
  <c r="S34" i="15" s="1"/>
  <c r="N33" i="7"/>
  <c r="S28" i="7"/>
  <c r="P39" i="15"/>
  <c r="O40" i="15"/>
  <c r="N36" i="7"/>
  <c r="O34" i="7" s="1"/>
  <c r="O35" i="7" s="1"/>
  <c r="L40" i="15" l="1"/>
  <c r="S40" i="15" s="1"/>
  <c r="S30" i="15"/>
  <c r="N38" i="7"/>
  <c r="S38" i="7" s="1"/>
  <c r="N37" i="7"/>
  <c r="S37" i="7" s="1"/>
  <c r="S33" i="7"/>
  <c r="L38" i="15"/>
  <c r="M36" i="15" s="1"/>
  <c r="S35" i="15"/>
  <c r="L37" i="15"/>
  <c r="L39" i="15"/>
  <c r="S39" i="15" s="1"/>
  <c r="O36" i="7"/>
  <c r="P34" i="7" s="1"/>
  <c r="P35" i="7" s="1"/>
  <c r="M37" i="15" l="1"/>
  <c r="M38" i="15"/>
  <c r="N36" i="15" s="1"/>
  <c r="P36" i="7"/>
  <c r="E54" i="14"/>
  <c r="N37" i="15" l="1"/>
  <c r="N38" i="15"/>
  <c r="O36" i="15" s="1"/>
  <c r="O37" i="15" l="1"/>
  <c r="O38" i="15"/>
  <c r="P36" i="15" s="1"/>
  <c r="P37" i="15" l="1"/>
  <c r="P38" i="1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Microsoft Office User</author>
  </authors>
  <commentList>
    <comment ref="C24" authorId="0" shapeId="0" xr:uid="{EFA4CA27-8D84-7D4A-82E0-6E4AF18BE3A1}">
      <text>
        <r>
          <rPr>
            <sz val="10"/>
            <color rgb="FF000000"/>
            <rFont val="Tahoma"/>
            <family val="2"/>
          </rPr>
          <t xml:space="preserve">Author:
</t>
        </r>
        <r>
          <rPr>
            <sz val="10"/>
            <color rgb="FF000000"/>
            <rFont val="Tahoma"/>
            <family val="2"/>
          </rPr>
          <t xml:space="preserve">Assume EO target of 200 hydrogen stations is hit and state outperformc IEPR projection of hydrogen consumption slightly.
</t>
        </r>
      </text>
    </comment>
    <comment ref="C28" authorId="0" shapeId="0" xr:uid="{2188FDF8-B0A6-AE41-B1F7-64B0E9A52EAD}">
      <text>
        <r>
          <rPr>
            <sz val="10"/>
            <color rgb="FF000000"/>
            <rFont val="Tahoma"/>
            <family val="2"/>
          </rPr>
          <t xml:space="preserve">Author:
</t>
        </r>
        <r>
          <rPr>
            <sz val="10"/>
            <color rgb="FF000000"/>
            <rFont val="Tahoma"/>
            <family val="2"/>
          </rPr>
          <t xml:space="preserve">Assume half dispensing on weekends)
</t>
        </r>
        <r>
          <rPr>
            <sz val="10"/>
            <color rgb="FF000000"/>
            <rFont val="Tahoma"/>
            <family val="2"/>
          </rPr>
          <t xml:space="preserve">The denominator is therefor 52 weeks/year * 6 effective days per.week (5 weekdays and 2 half weekdays)
</t>
        </r>
      </text>
    </comment>
    <comment ref="C43" authorId="1" shapeId="0" xr:uid="{DEDF4E9B-8FA5-0245-B37F-06C8E709DC5D}">
      <text>
        <r>
          <rPr>
            <b/>
            <sz val="10"/>
            <color rgb="FF000000"/>
            <rFont val="Tahoma"/>
            <family val="2"/>
          </rPr>
          <t>Microsoft Office User:</t>
        </r>
        <r>
          <rPr>
            <sz val="10"/>
            <color rgb="FF000000"/>
            <rFont val="Tahoma"/>
            <family val="2"/>
          </rPr>
          <t xml:space="preserve">
</t>
        </r>
        <r>
          <rPr>
            <sz val="10"/>
            <color rgb="FF000000"/>
            <rFont val="Tahoma"/>
            <family val="2"/>
          </rPr>
          <t xml:space="preserve">NREL Central Cost Estimate +20% From : http://www.energy.ca.gov/2015publications/CEC-600-2015-016/CEC-600-2015-016.pdf. Figure 20
</t>
        </r>
      </text>
    </comment>
    <comment ref="C48" authorId="1" shapeId="0" xr:uid="{202BAD28-E476-8B48-9EB3-6D949BAFE15F}">
      <text>
        <r>
          <rPr>
            <b/>
            <sz val="10"/>
            <color rgb="FF000000"/>
            <rFont val="Tahoma"/>
            <family val="2"/>
          </rPr>
          <t>Microsoft Office User:</t>
        </r>
        <r>
          <rPr>
            <sz val="10"/>
            <color rgb="FF000000"/>
            <rFont val="Tahoma"/>
            <family val="2"/>
          </rPr>
          <t xml:space="preserve"> From table C-2 in </t>
        </r>
        <r>
          <rPr>
            <sz val="10"/>
            <color rgb="FF000000"/>
            <rFont val="Tahoma"/>
            <family val="2"/>
          </rPr>
          <t xml:space="preserve">http://www.energy.ca.gov/2017publications/CEC-600-2017-002/CEC-600-2017-002.pdf
</t>
        </r>
        <r>
          <rPr>
            <sz val="10"/>
            <color rgb="FF000000"/>
            <rFont val="Tahoma"/>
            <family val="2"/>
          </rPr>
          <t xml:space="preserve">
</t>
        </r>
        <r>
          <rPr>
            <sz val="10"/>
            <color rgb="FF000000"/>
            <rFont val="Tahoma"/>
            <family val="2"/>
          </rPr>
          <t xml:space="preserve">Using midpoint of range.
</t>
        </r>
        <r>
          <rPr>
            <sz val="10"/>
            <color rgb="FF000000"/>
            <rFont val="Tahoma"/>
            <family val="2"/>
          </rPr>
          <t xml:space="preserve">
</t>
        </r>
        <r>
          <rPr>
            <sz val="10"/>
            <color rgb="FF000000"/>
            <rFont val="Tahoma"/>
            <family val="2"/>
          </rPr>
          <t xml:space="preserve">
</t>
        </r>
        <r>
          <rPr>
            <sz val="10"/>
            <color rgb="FF000000"/>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Microsoft Office User</author>
    <author>Author</author>
  </authors>
  <commentList>
    <comment ref="B18" authorId="0" shapeId="0" xr:uid="{8D326122-EC25-8646-94BF-472DC22DE9EB}">
      <text>
        <r>
          <rPr>
            <b/>
            <sz val="10"/>
            <color rgb="FF000000"/>
            <rFont val="Tahoma"/>
            <family val="2"/>
          </rPr>
          <t>Microsoft Office User:</t>
        </r>
        <r>
          <rPr>
            <sz val="10"/>
            <color rgb="FF000000"/>
            <rFont val="Tahoma"/>
            <family val="2"/>
          </rPr>
          <t xml:space="preserve">
</t>
        </r>
        <r>
          <rPr>
            <sz val="10"/>
            <color rgb="FF000000"/>
            <rFont val="Tahoma"/>
            <family val="2"/>
          </rPr>
          <t>Per Modified text, existing DCFCs are ineligible for FCI credit, so all years reduce DCFC charging by 90% of the 2018 value to reflect the utilization of these chargers.</t>
        </r>
      </text>
    </comment>
    <comment ref="B20" authorId="0" shapeId="0" xr:uid="{436A1780-AE15-3E40-932A-6EAB7396AE9B}">
      <text>
        <r>
          <rPr>
            <b/>
            <sz val="10"/>
            <color rgb="FF000000"/>
            <rFont val="Tahoma"/>
            <family val="2"/>
          </rPr>
          <t>Microsoft Office User:</t>
        </r>
        <r>
          <rPr>
            <sz val="10"/>
            <color rgb="FF000000"/>
            <rFont val="Tahoma"/>
            <family val="2"/>
          </rPr>
          <t xml:space="preserve">
</t>
        </r>
        <r>
          <rPr>
            <sz val="10"/>
            <color rgb="FF000000"/>
            <rFont val="Calibri"/>
            <family val="2"/>
            <scheme val="minor"/>
          </rPr>
          <t>Per Modified text, existing DCFCs are ineligible for FCI credit, so all years reduce DCFC charging by 90% of the 2018 value to reflect the utilization of these chargers.</t>
        </r>
        <r>
          <rPr>
            <sz val="10"/>
            <color rgb="FF000000"/>
            <rFont val="Calibri"/>
            <family val="2"/>
            <scheme val="minor"/>
          </rPr>
          <t xml:space="preserve">
</t>
        </r>
      </text>
    </comment>
    <comment ref="B22" authorId="0" shapeId="0" xr:uid="{636D3515-928B-0B4F-B3C5-9BFD7E7AF98B}">
      <text>
        <r>
          <rPr>
            <b/>
            <sz val="10"/>
            <color rgb="FF000000"/>
            <rFont val="Tahoma"/>
            <family val="2"/>
          </rPr>
          <t>Microsoft Office User:</t>
        </r>
        <r>
          <rPr>
            <sz val="10"/>
            <color rgb="FF000000"/>
            <rFont val="Tahoma"/>
            <family val="2"/>
          </rPr>
          <t xml:space="preserve">
</t>
        </r>
        <r>
          <rPr>
            <sz val="10"/>
            <color rgb="FF000000"/>
            <rFont val="Tahoma"/>
            <family val="2"/>
          </rPr>
          <t>This line represents the fraction of total LDV charging done through DCFC. Modify the 2019 and 2027 years, and the model will create a linear trajectory between the two, or modify all values manually.</t>
        </r>
      </text>
    </comment>
    <comment ref="B24" authorId="1" shapeId="0" xr:uid="{CA63A360-525A-6C4D-9CD1-4164073C11DE}">
      <text>
        <r>
          <rPr>
            <sz val="10"/>
            <color rgb="FF000000"/>
            <rFont val="Tahoma"/>
            <family val="2"/>
          </rPr>
          <t xml:space="preserve">Author:
</t>
        </r>
        <r>
          <rPr>
            <sz val="10"/>
            <color rgb="FF000000"/>
            <rFont val="Tahoma"/>
            <family val="2"/>
          </rPr>
          <t xml:space="preserve">Since pre-2019 DCFC is excluded, I subtract 90% of the 2019 value to represent charging from stations ineligible for credits.
</t>
        </r>
      </text>
    </comment>
    <comment ref="B27" authorId="0" shapeId="0" xr:uid="{3B07436F-66DB-9946-9D43-A3AF82DFBF50}">
      <text>
        <r>
          <rPr>
            <b/>
            <sz val="10"/>
            <color rgb="FF000000"/>
            <rFont val="Tahoma"/>
            <family val="2"/>
          </rPr>
          <t>Microsoft Office User:</t>
        </r>
        <r>
          <rPr>
            <sz val="10"/>
            <color rgb="FF000000"/>
            <rFont val="Tahoma"/>
            <family val="2"/>
          </rPr>
          <t xml:space="preserve">
</t>
        </r>
        <r>
          <rPr>
            <sz val="10"/>
            <color rgb="FF000000"/>
            <rFont val="Tahoma"/>
            <family val="2"/>
          </rPr>
          <t xml:space="preserve">Modify 2020 and 2025 values and model will calculate linear growth trajectory, or modify manually.
</t>
        </r>
        <r>
          <rPr>
            <sz val="10"/>
            <color rgb="FF000000"/>
            <rFont val="Tahoma"/>
            <family val="2"/>
          </rPr>
          <t xml:space="preserve">
</t>
        </r>
        <r>
          <rPr>
            <sz val="10"/>
            <color rgb="FF000000"/>
            <rFont val="Tahoma"/>
            <family val="2"/>
          </rPr>
          <t xml:space="preserve">Approximately 1800 DC FCs are installed at present. Governor's executive order targets 10,000 by 2025. </t>
        </r>
      </text>
    </comment>
    <comment ref="B28" authorId="0" shapeId="0" xr:uid="{B0AB46EA-DD0E-D149-A584-E98D2FD24C9A}">
      <text>
        <r>
          <rPr>
            <b/>
            <sz val="10"/>
            <color rgb="FF000000"/>
            <rFont val="Tahoma"/>
            <family val="2"/>
          </rPr>
          <t>Microsoft Office User:</t>
        </r>
        <r>
          <rPr>
            <sz val="10"/>
            <color rgb="FF000000"/>
            <rFont val="Tahoma"/>
            <family val="2"/>
          </rPr>
          <t xml:space="preserve">
</t>
        </r>
        <r>
          <rPr>
            <sz val="10"/>
            <color rgb="FF000000"/>
            <rFont val="Tahoma"/>
            <family val="2"/>
          </rPr>
          <t xml:space="preserve">Taken from the equation in 95486.2 (b) (2) (G)
</t>
        </r>
        <r>
          <rPr>
            <sz val="10"/>
            <color rgb="FF000000"/>
            <rFont val="Tahoma"/>
            <family val="2"/>
          </rPr>
          <t xml:space="preserve">
</t>
        </r>
        <r>
          <rPr>
            <sz val="10"/>
            <color rgb="FF000000"/>
            <rFont val="Tahoma"/>
            <family val="2"/>
          </rPr>
          <t>Cap_FCI = 43 * Power rating^0.45</t>
        </r>
      </text>
    </comment>
    <comment ref="B36" authorId="1" shapeId="0" xr:uid="{37EFF8A0-E6D7-6B49-B645-1CD4E6655325}">
      <text>
        <r>
          <rPr>
            <sz val="10"/>
            <color rgb="FF000000"/>
            <rFont val="Tahoma"/>
            <family val="2"/>
          </rPr>
          <t xml:space="preserve">Author:
</t>
        </r>
        <r>
          <rPr>
            <sz val="10"/>
            <color rgb="FF000000"/>
            <rFont val="Tahoma"/>
            <family val="2"/>
          </rPr>
          <t xml:space="preserve">Since pre-2019 DCFC is excluded, I subtract 90% of the 2019 value to represent charging from stations ineligible for credits.
</t>
        </r>
      </text>
    </comment>
    <comment ref="B39" authorId="0" shapeId="0" xr:uid="{B033C843-E67F-ED4B-A755-1347ED730717}">
      <text>
        <r>
          <rPr>
            <b/>
            <sz val="10"/>
            <color rgb="FF000000"/>
            <rFont val="Tahoma"/>
            <family val="2"/>
          </rPr>
          <t>Microsoft Office User:</t>
        </r>
        <r>
          <rPr>
            <sz val="10"/>
            <color rgb="FF000000"/>
            <rFont val="Tahoma"/>
            <family val="2"/>
          </rPr>
          <t xml:space="preserve">
</t>
        </r>
        <r>
          <rPr>
            <sz val="10"/>
            <color rgb="FF000000"/>
            <rFont val="Tahoma"/>
            <family val="2"/>
          </rPr>
          <t xml:space="preserve">Modify 2020 and 2025 values and model will calculate linear growth trajectory, or modify manually.
</t>
        </r>
        <r>
          <rPr>
            <sz val="10"/>
            <color rgb="FF000000"/>
            <rFont val="Tahoma"/>
            <family val="2"/>
          </rPr>
          <t xml:space="preserve">
</t>
        </r>
        <r>
          <rPr>
            <sz val="10"/>
            <color rgb="FF000000"/>
            <rFont val="Tahoma"/>
            <family val="2"/>
          </rPr>
          <t xml:space="preserve">Approximately 1800 DC FCs are installed at present. Governor's executive order targets 10,000 by 2025. </t>
        </r>
      </text>
    </comment>
    <comment ref="B40" authorId="0" shapeId="0" xr:uid="{8A56483B-CC7F-1D4C-B7FF-6A52CADC69FA}">
      <text>
        <r>
          <rPr>
            <b/>
            <sz val="10"/>
            <color rgb="FF000000"/>
            <rFont val="Tahoma"/>
            <family val="2"/>
          </rPr>
          <t>Microsoft Office User:</t>
        </r>
        <r>
          <rPr>
            <sz val="10"/>
            <color rgb="FF000000"/>
            <rFont val="Tahoma"/>
            <family val="2"/>
          </rPr>
          <t xml:space="preserve">
</t>
        </r>
        <r>
          <rPr>
            <sz val="10"/>
            <color rgb="FF000000"/>
            <rFont val="Tahoma"/>
            <family val="2"/>
          </rPr>
          <t xml:space="preserve">Taken from the equation in 95486.2 (b) (2) (G)
</t>
        </r>
        <r>
          <rPr>
            <sz val="10"/>
            <color rgb="FF000000"/>
            <rFont val="Tahoma"/>
            <family val="2"/>
          </rPr>
          <t xml:space="preserve">
</t>
        </r>
        <r>
          <rPr>
            <sz val="10"/>
            <color rgb="FF000000"/>
            <rFont val="Tahoma"/>
            <family val="2"/>
          </rPr>
          <t>Cap_FCI = 43 * Power rating^0.45</t>
        </r>
      </text>
    </comment>
    <comment ref="B58" authorId="1" shapeId="0" xr:uid="{2D8CA6B8-11AF-CA46-86CE-0F32FDAAF262}">
      <text>
        <r>
          <rPr>
            <sz val="10"/>
            <color rgb="FF000000"/>
            <rFont val="Tahoma"/>
            <family val="2"/>
          </rPr>
          <t xml:space="preserve">Author:
</t>
        </r>
        <r>
          <rPr>
            <sz val="10"/>
            <color rgb="FF000000"/>
            <rFont val="Tahoma"/>
            <family val="2"/>
          </rPr>
          <t>From my fast charger behavior model, assumes charger utilization pattern is approximately the same as a gas station. 1 hour of maximum (10 minute on, one minute off) intensity charging, with utilization scaling down from there along same use pattern as a gasoline station.</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Author</author>
    <author>Microsoft Office User</author>
  </authors>
  <commentList>
    <comment ref="B21" authorId="0" shapeId="0" xr:uid="{34040001-4E34-5248-A068-A9345D2999FC}">
      <text>
        <r>
          <rPr>
            <sz val="10"/>
            <color rgb="FF000000"/>
            <rFont val="Tahoma"/>
            <family val="2"/>
          </rPr>
          <t xml:space="preserve">Author:
</t>
        </r>
        <r>
          <rPr>
            <sz val="10"/>
            <color rgb="FF000000"/>
            <rFont val="Tahoma"/>
            <family val="2"/>
          </rPr>
          <t xml:space="preserve">Assumes weekends dispense half as much as weekdays.
</t>
        </r>
      </text>
    </comment>
    <comment ref="B33" authorId="0" shapeId="0" xr:uid="{5EBEE87E-958E-1145-8AC6-3EA79CC03A9D}">
      <text>
        <r>
          <rPr>
            <sz val="10"/>
            <color rgb="FF000000"/>
            <rFont val="Tahoma"/>
            <family val="2"/>
          </rPr>
          <t xml:space="preserve">Author:
</t>
        </r>
        <r>
          <rPr>
            <sz val="10"/>
            <color rgb="FF000000"/>
            <rFont val="Tahoma"/>
            <family val="2"/>
          </rPr>
          <t xml:space="preserve">Assumes weekends dispense half as much as weekdays.
</t>
        </r>
      </text>
    </comment>
    <comment ref="B44" authorId="0" shapeId="0" xr:uid="{834AA47F-2AE1-FF46-80FE-EA02F381A738}">
      <text>
        <r>
          <rPr>
            <sz val="10"/>
            <color rgb="FF000000"/>
            <rFont val="Tahoma"/>
            <family val="2"/>
          </rPr>
          <t xml:space="preserve">Author:
</t>
        </r>
        <r>
          <rPr>
            <sz val="10"/>
            <color rgb="FF000000"/>
            <rFont val="Tahoma"/>
            <family val="2"/>
          </rPr>
          <t xml:space="preserve">Assumes weekends dispense half as much as weekdays.
</t>
        </r>
      </text>
    </comment>
    <comment ref="K54" authorId="1" shapeId="0" xr:uid="{93A3E2AC-8F53-1D40-A9F9-B425864D51D5}">
      <text>
        <r>
          <rPr>
            <b/>
            <sz val="10"/>
            <color rgb="FF000000"/>
            <rFont val="Tahoma"/>
            <family val="2"/>
          </rPr>
          <t>Microsoft Office User:</t>
        </r>
        <r>
          <rPr>
            <sz val="10"/>
            <color rgb="FF000000"/>
            <rFont val="Tahoma"/>
            <family val="2"/>
          </rPr>
          <t xml:space="preserve">
</t>
        </r>
        <r>
          <rPr>
            <sz val="10"/>
            <color rgb="FF000000"/>
            <rFont val="Tahoma"/>
            <family val="2"/>
          </rPr>
          <t xml:space="preserve">Per CEC and NREL, max average capacity is 75% of nameplate capacity. This value set to 70% of average nameplate capacity in 2025 and 75% in 2030.
</t>
        </r>
      </text>
    </comment>
    <comment ref="B55" authorId="0" shapeId="0" xr:uid="{ECE67720-0E76-9047-AE2D-C1C0A7163DE9}">
      <text>
        <r>
          <rPr>
            <sz val="10"/>
            <color rgb="FF000000"/>
            <rFont val="Tahoma"/>
            <family val="2"/>
          </rPr>
          <t xml:space="preserve">Author:
</t>
        </r>
        <r>
          <rPr>
            <sz val="10"/>
            <color rgb="FF000000"/>
            <rFont val="Tahoma"/>
            <family val="2"/>
          </rPr>
          <t xml:space="preserve">Assumes weekends dispense half as much as weekdays.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Microsoft Office User</author>
    <author>Author</author>
  </authors>
  <commentList>
    <comment ref="B20" authorId="0" shapeId="0" xr:uid="{6A0C0E87-B0D9-FF43-A1DB-52449A16BB5D}">
      <text>
        <r>
          <rPr>
            <b/>
            <sz val="10"/>
            <color rgb="FF000000"/>
            <rFont val="Tahoma"/>
            <family val="2"/>
          </rPr>
          <t>Microsoft Office User:</t>
        </r>
        <r>
          <rPr>
            <sz val="10"/>
            <color rgb="FF000000"/>
            <rFont val="Tahoma"/>
            <family val="2"/>
          </rPr>
          <t xml:space="preserve">
</t>
        </r>
        <r>
          <rPr>
            <sz val="10"/>
            <color rgb="FF000000"/>
            <rFont val="Tahoma"/>
            <family val="2"/>
          </rPr>
          <t>Per Modified text, existing DCFCs are ineligible for FCI credit, so all years reduce DCFC charging by 90% of the 2018 value to reflect the utilization of these chargers.</t>
        </r>
      </text>
    </comment>
    <comment ref="B22" authorId="0" shapeId="0" xr:uid="{997EB500-D752-E941-A2EE-27D73193C49B}">
      <text>
        <r>
          <rPr>
            <b/>
            <sz val="10"/>
            <color rgb="FF000000"/>
            <rFont val="Tahoma"/>
            <family val="2"/>
          </rPr>
          <t>Microsoft Office User:</t>
        </r>
        <r>
          <rPr>
            <sz val="10"/>
            <color rgb="FF000000"/>
            <rFont val="Tahoma"/>
            <family val="2"/>
          </rPr>
          <t xml:space="preserve">
</t>
        </r>
        <r>
          <rPr>
            <sz val="10"/>
            <color rgb="FF000000"/>
            <rFont val="Calibri"/>
            <family val="2"/>
          </rPr>
          <t xml:space="preserve">Per Modified text, existing DCFCs are ineligible for FCI credit, so all years reduce DCFC charging by 90% of the 2018 value to reflect the utilization of these chargers.
</t>
        </r>
      </text>
    </comment>
    <comment ref="B24" authorId="0" shapeId="0" xr:uid="{253356B4-6656-A048-AF9F-8C147CBDA5B5}">
      <text>
        <r>
          <rPr>
            <b/>
            <sz val="10"/>
            <color rgb="FF000000"/>
            <rFont val="Tahoma"/>
            <family val="2"/>
          </rPr>
          <t>Microsoft Office User:</t>
        </r>
        <r>
          <rPr>
            <sz val="10"/>
            <color rgb="FF000000"/>
            <rFont val="Tahoma"/>
            <family val="2"/>
          </rPr>
          <t xml:space="preserve">
</t>
        </r>
        <r>
          <rPr>
            <sz val="10"/>
            <color rgb="FF000000"/>
            <rFont val="Tahoma"/>
            <family val="2"/>
          </rPr>
          <t>This line represents the fraction of total LDV charging done through DCFC. Modify the 2019 and 2027 years, and the model will create a linear trajectory between the two, or modify all values manually.</t>
        </r>
      </text>
    </comment>
    <comment ref="B26" authorId="1" shapeId="0" xr:uid="{606A2109-8889-5149-8BB9-E8DE8168F41D}">
      <text>
        <r>
          <rPr>
            <sz val="10"/>
            <color rgb="FF000000"/>
            <rFont val="Tahoma"/>
            <family val="2"/>
          </rPr>
          <t xml:space="preserve">Author:
</t>
        </r>
        <r>
          <rPr>
            <sz val="10"/>
            <color rgb="FF000000"/>
            <rFont val="Tahoma"/>
            <family val="2"/>
          </rPr>
          <t xml:space="preserve">Since pre-2019 DCFC is excluded, I subtract 90% of the 2019 value to represent charging from stations ineligible for credits.
</t>
        </r>
      </text>
    </comment>
    <comment ref="B30" authorId="0" shapeId="0" xr:uid="{2EEBE2C9-18C7-4740-A6FA-FF65B21F2CFB}">
      <text>
        <r>
          <rPr>
            <b/>
            <sz val="10"/>
            <color rgb="FF000000"/>
            <rFont val="Tahoma"/>
            <family val="2"/>
          </rPr>
          <t>Microsoft Office User:</t>
        </r>
        <r>
          <rPr>
            <sz val="10"/>
            <color rgb="FF000000"/>
            <rFont val="Tahoma"/>
            <family val="2"/>
          </rPr>
          <t xml:space="preserve">
</t>
        </r>
        <r>
          <rPr>
            <sz val="10"/>
            <color rgb="FF000000"/>
            <rFont val="Tahoma"/>
            <family val="2"/>
          </rPr>
          <t xml:space="preserve">Taken from the equation in 95486.2 (b) (2) (G)
</t>
        </r>
        <r>
          <rPr>
            <sz val="10"/>
            <color rgb="FF000000"/>
            <rFont val="Tahoma"/>
            <family val="2"/>
          </rPr>
          <t xml:space="preserve">
</t>
        </r>
        <r>
          <rPr>
            <sz val="10"/>
            <color rgb="FF000000"/>
            <rFont val="Tahoma"/>
            <family val="2"/>
          </rPr>
          <t>Cap_FCI = 43 * Power rating^0.45</t>
        </r>
      </text>
    </comment>
    <comment ref="B37" authorId="1" shapeId="0" xr:uid="{BE61206D-8EC8-3D47-BCBE-261A137AC9FD}">
      <text>
        <r>
          <rPr>
            <sz val="10"/>
            <color rgb="FF000000"/>
            <rFont val="Tahoma"/>
            <family val="2"/>
          </rPr>
          <t xml:space="preserve">Author:
</t>
        </r>
        <r>
          <rPr>
            <sz val="10"/>
            <color rgb="FF000000"/>
            <rFont val="Tahoma"/>
            <family val="2"/>
          </rPr>
          <t xml:space="preserve">Since pre-2019 DCFC is excluded, I subtract 90% of the 2019 value to represent charging from stations ineligible for credits.
</t>
        </r>
      </text>
    </comment>
    <comment ref="B41" authorId="0" shapeId="0" xr:uid="{5AE8805E-722D-1040-A251-B2068E8D7040}">
      <text>
        <r>
          <rPr>
            <b/>
            <sz val="10"/>
            <color rgb="FF000000"/>
            <rFont val="Tahoma"/>
            <family val="2"/>
          </rPr>
          <t>Microsoft Office User:</t>
        </r>
        <r>
          <rPr>
            <sz val="10"/>
            <color rgb="FF000000"/>
            <rFont val="Tahoma"/>
            <family val="2"/>
          </rPr>
          <t xml:space="preserve">
</t>
        </r>
        <r>
          <rPr>
            <sz val="10"/>
            <color rgb="FF000000"/>
            <rFont val="Tahoma"/>
            <family val="2"/>
          </rPr>
          <t xml:space="preserve">Taken from the equation in 95486.2 (b) (2) (G)
</t>
        </r>
        <r>
          <rPr>
            <sz val="10"/>
            <color rgb="FF000000"/>
            <rFont val="Tahoma"/>
            <family val="2"/>
          </rPr>
          <t xml:space="preserve">
</t>
        </r>
        <r>
          <rPr>
            <sz val="10"/>
            <color rgb="FF000000"/>
            <rFont val="Tahoma"/>
            <family val="2"/>
          </rPr>
          <t>Cap_FCI = 43 * Power rating^0.45</t>
        </r>
      </text>
    </comment>
    <comment ref="B59" authorId="1" shapeId="0" xr:uid="{4C44F0BC-DFD1-7B4B-9F91-C5D979629E1F}">
      <text>
        <r>
          <rPr>
            <sz val="10"/>
            <color rgb="FF000000"/>
            <rFont val="Tahoma"/>
            <family val="2"/>
          </rPr>
          <t xml:space="preserve">Author:
</t>
        </r>
        <r>
          <rPr>
            <sz val="10"/>
            <color rgb="FF000000"/>
            <rFont val="Tahoma"/>
            <family val="2"/>
          </rPr>
          <t>From my fast charger behavior model, assumes charger utilization pattern is approximately the same as a gas station. 1 hour of maximum (10 minute on, one minute off) intensity charging, with utilization scaling down from there along same use pattern as a gasoline station.</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Author</author>
    <author>Microsoft Office User</author>
  </authors>
  <commentList>
    <comment ref="B15" authorId="0" shapeId="0" xr:uid="{A6E42A62-E00A-E149-81FF-EA91C09EBEE4}">
      <text>
        <r>
          <rPr>
            <b/>
            <sz val="10"/>
            <color rgb="FF000000"/>
            <rFont val="Tahoma"/>
            <family val="2"/>
          </rPr>
          <t>Author:</t>
        </r>
        <r>
          <rPr>
            <sz val="10"/>
            <color rgb="FF000000"/>
            <rFont val="Tahoma"/>
            <family val="2"/>
          </rPr>
          <t xml:space="preserve">
</t>
        </r>
        <r>
          <rPr>
            <sz val="10"/>
            <color rgb="FF000000"/>
            <rFont val="Tahoma"/>
            <family val="2"/>
          </rPr>
          <t xml:space="preserve">Assumes 50kg/day dispensing from 1200kg/day capacity stations
</t>
        </r>
      </text>
    </comment>
    <comment ref="B18" authorId="1" shapeId="0" xr:uid="{E6471974-0C83-ED44-A136-0DDA64BA3099}">
      <text>
        <r>
          <rPr>
            <b/>
            <sz val="10"/>
            <color rgb="FF000000"/>
            <rFont val="Tahoma"/>
            <family val="2"/>
          </rPr>
          <t>Microsoft Office User:</t>
        </r>
        <r>
          <rPr>
            <sz val="10"/>
            <color rgb="FF000000"/>
            <rFont val="Tahoma"/>
            <family val="2"/>
          </rPr>
          <t xml:space="preserve">
</t>
        </r>
        <r>
          <rPr>
            <sz val="10"/>
            <color rgb="FF000000"/>
            <rFont val="Tahoma"/>
            <family val="2"/>
          </rPr>
          <t xml:space="preserve">NREL Central Cost Estimate From : http://www.energy.ca.gov/2015publications/CEC-600-2015-016/CEC-600-2015-016.pdf. Figure 20
</t>
        </r>
      </text>
    </comment>
    <comment ref="B25" authorId="1" shapeId="0" xr:uid="{3BF1829F-0615-0B4D-AC3F-402E681C9970}">
      <text>
        <r>
          <rPr>
            <b/>
            <sz val="10"/>
            <color rgb="FF000000"/>
            <rFont val="Tahoma"/>
            <family val="2"/>
          </rPr>
          <t>Microsoft Office User:</t>
        </r>
        <r>
          <rPr>
            <sz val="10"/>
            <color rgb="FF000000"/>
            <rFont val="Tahoma"/>
            <family val="2"/>
          </rPr>
          <t xml:space="preserve">
</t>
        </r>
        <r>
          <rPr>
            <sz val="10"/>
            <color rgb="FF000000"/>
            <rFont val="Tahoma"/>
            <family val="2"/>
          </rPr>
          <t>Assumes Daily dispensing is for weekdays, half on weekends.</t>
        </r>
      </text>
    </comment>
    <comment ref="B26" authorId="1" shapeId="0" xr:uid="{9F1E1FD1-4AD1-E840-B4A3-FE27D6B1D5B8}">
      <text>
        <r>
          <rPr>
            <b/>
            <sz val="10"/>
            <color rgb="FF000000"/>
            <rFont val="Tahoma"/>
            <family val="2"/>
          </rPr>
          <t>Microsoft Office User:</t>
        </r>
        <r>
          <rPr>
            <sz val="10"/>
            <color rgb="FF000000"/>
            <rFont val="Tahoma"/>
            <family val="2"/>
          </rPr>
          <t xml:space="preserve">
</t>
        </r>
        <r>
          <rPr>
            <sz val="10"/>
            <color rgb="FF000000"/>
            <rFont val="Calibri"/>
            <family val="2"/>
          </rPr>
          <t xml:space="preserve">Assumes Daily dispensing is for weekdays, half on weekends.
</t>
        </r>
      </text>
    </comment>
    <comment ref="B28" authorId="1" shapeId="0" xr:uid="{48EC4DAE-72B3-8240-AFF6-F80E82B157C0}">
      <text>
        <r>
          <rPr>
            <b/>
            <sz val="10"/>
            <color rgb="FF000000"/>
            <rFont val="Tahoma"/>
            <family val="2"/>
          </rPr>
          <t>Microsoft Office User:</t>
        </r>
        <r>
          <rPr>
            <sz val="10"/>
            <color rgb="FF000000"/>
            <rFont val="Tahoma"/>
            <family val="2"/>
          </rPr>
          <t xml:space="preserve">
</t>
        </r>
        <r>
          <rPr>
            <sz val="10"/>
            <color rgb="FF000000"/>
            <rFont val="Tahoma"/>
            <family val="2"/>
          </rPr>
          <t>Fuel revenue + LCFS credits minus H2 costs.</t>
        </r>
      </text>
    </comment>
    <comment ref="B43" authorId="1" shapeId="0" xr:uid="{B0DDA54B-FA7F-1C4C-86F5-7A3EA0CE1CBE}">
      <text>
        <r>
          <rPr>
            <b/>
            <sz val="10"/>
            <color rgb="FF000000"/>
            <rFont val="Tahoma"/>
            <family val="2"/>
          </rPr>
          <t>Microsoft Office User:</t>
        </r>
        <r>
          <rPr>
            <sz val="10"/>
            <color rgb="FF000000"/>
            <rFont val="Tahoma"/>
            <family val="2"/>
          </rPr>
          <t xml:space="preserve">
</t>
        </r>
        <r>
          <rPr>
            <sz val="10"/>
            <color rgb="FF000000"/>
            <rFont val="Tahoma"/>
            <family val="2"/>
          </rPr>
          <t>Assumes Daily dispensing is for weekdays, half on weekends.</t>
        </r>
      </text>
    </comment>
    <comment ref="B44" authorId="1" shapeId="0" xr:uid="{8635C713-3B54-E94A-941C-8B591C2B4F6B}">
      <text>
        <r>
          <rPr>
            <b/>
            <sz val="10"/>
            <color rgb="FF000000"/>
            <rFont val="Tahoma"/>
            <family val="2"/>
          </rPr>
          <t>Microsoft Office User:</t>
        </r>
        <r>
          <rPr>
            <sz val="10"/>
            <color rgb="FF000000"/>
            <rFont val="Tahoma"/>
            <family val="2"/>
          </rPr>
          <t xml:space="preserve">
</t>
        </r>
        <r>
          <rPr>
            <sz val="10"/>
            <color rgb="FF000000"/>
            <rFont val="Calibri"/>
            <family val="2"/>
          </rPr>
          <t xml:space="preserve">Assumes Daily dispensing is for weekdays, half on weekends.
</t>
        </r>
      </text>
    </comment>
    <comment ref="B46" authorId="1" shapeId="0" xr:uid="{763D7602-006E-3846-B1D5-4FFC4156C180}">
      <text>
        <r>
          <rPr>
            <b/>
            <sz val="10"/>
            <color rgb="FF000000"/>
            <rFont val="Tahoma"/>
            <family val="2"/>
          </rPr>
          <t>Microsoft Office User:</t>
        </r>
        <r>
          <rPr>
            <sz val="10"/>
            <color rgb="FF000000"/>
            <rFont val="Tahoma"/>
            <family val="2"/>
          </rPr>
          <t xml:space="preserve">
</t>
        </r>
        <r>
          <rPr>
            <sz val="10"/>
            <color rgb="FF000000"/>
            <rFont val="Tahoma"/>
            <family val="2"/>
          </rPr>
          <t>Fuel revenue + LCFS credits minus H2 costs.</t>
        </r>
      </text>
    </comment>
    <comment ref="B59" authorId="0" shapeId="0" xr:uid="{6EB73FC8-1588-664D-9415-65EA3D133DCE}">
      <text>
        <r>
          <rPr>
            <sz val="10"/>
            <color rgb="FF000000"/>
            <rFont val="Tahoma"/>
            <family val="2"/>
          </rPr>
          <t xml:space="preserve">Author:
</t>
        </r>
        <r>
          <rPr>
            <sz val="10"/>
            <color rgb="FF000000"/>
            <rFont val="Tahoma"/>
            <family val="2"/>
          </rPr>
          <t xml:space="preserve">Assumes weekends dispense half as much as weekdays.
</t>
        </r>
      </text>
    </comment>
    <comment ref="B61" authorId="1" shapeId="0" xr:uid="{239F13A7-1169-B346-A09D-7BE1BB7E381A}">
      <text>
        <r>
          <rPr>
            <b/>
            <sz val="10"/>
            <color rgb="FF000000"/>
            <rFont val="Tahoma"/>
            <family val="2"/>
          </rPr>
          <t>Microsoft Office User:</t>
        </r>
        <r>
          <rPr>
            <sz val="10"/>
            <color rgb="FF000000"/>
            <rFont val="Tahoma"/>
            <family val="2"/>
          </rPr>
          <t xml:space="preserve">
</t>
        </r>
        <r>
          <rPr>
            <sz val="10"/>
            <color rgb="FF000000"/>
            <rFont val="Tahoma"/>
            <family val="2"/>
          </rPr>
          <t>Assumes Daily dispensing is for weekdays, half on weekends.</t>
        </r>
      </text>
    </comment>
    <comment ref="B62" authorId="1" shapeId="0" xr:uid="{690921AD-C79E-8748-AAAF-603A7DA56E36}">
      <text>
        <r>
          <rPr>
            <b/>
            <sz val="10"/>
            <color rgb="FF000000"/>
            <rFont val="Tahoma"/>
            <family val="2"/>
          </rPr>
          <t>Microsoft Office User:</t>
        </r>
        <r>
          <rPr>
            <sz val="10"/>
            <color rgb="FF000000"/>
            <rFont val="Tahoma"/>
            <family val="2"/>
          </rPr>
          <t xml:space="preserve">
</t>
        </r>
        <r>
          <rPr>
            <sz val="10"/>
            <color rgb="FF000000"/>
            <rFont val="Calibri"/>
            <family val="2"/>
          </rPr>
          <t xml:space="preserve">Assumes Daily dispensing is for weekdays, half on weekends.
</t>
        </r>
      </text>
    </comment>
    <comment ref="B64" authorId="1" shapeId="0" xr:uid="{EF425B5A-9821-6D48-9642-403CEA7FE9B6}">
      <text>
        <r>
          <rPr>
            <b/>
            <sz val="10"/>
            <color rgb="FF000000"/>
            <rFont val="Tahoma"/>
            <family val="2"/>
          </rPr>
          <t>Microsoft Office User:</t>
        </r>
        <r>
          <rPr>
            <sz val="10"/>
            <color rgb="FF000000"/>
            <rFont val="Tahoma"/>
            <family val="2"/>
          </rPr>
          <t xml:space="preserve">
</t>
        </r>
        <r>
          <rPr>
            <sz val="10"/>
            <color rgb="FF000000"/>
            <rFont val="Tahoma"/>
            <family val="2"/>
          </rPr>
          <t>Fuel revenue + LCFS credits minus H2 costs.</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Author</author>
    <author>Microsoft Office User</author>
  </authors>
  <commentList>
    <comment ref="B15" authorId="0" shapeId="0" xr:uid="{FDAFECD6-1D74-9D44-975B-BA365237BC08}">
      <text>
        <r>
          <rPr>
            <b/>
            <sz val="10"/>
            <color rgb="FF000000"/>
            <rFont val="Tahoma"/>
            <family val="2"/>
          </rPr>
          <t>Author:</t>
        </r>
        <r>
          <rPr>
            <sz val="10"/>
            <color rgb="FF000000"/>
            <rFont val="Tahoma"/>
            <family val="2"/>
          </rPr>
          <t xml:space="preserve">
</t>
        </r>
        <r>
          <rPr>
            <sz val="10"/>
            <color rgb="FF000000"/>
            <rFont val="Tahoma"/>
            <family val="2"/>
          </rPr>
          <t xml:space="preserve">Assumes 50kg/day dispensing from 1200kg/day capacity stations
</t>
        </r>
      </text>
    </comment>
    <comment ref="B18" authorId="1" shapeId="0" xr:uid="{2303125E-6BD2-9D46-AB8F-FBDD538E0EFD}">
      <text>
        <r>
          <rPr>
            <b/>
            <sz val="10"/>
            <color rgb="FF000000"/>
            <rFont val="Tahoma"/>
            <family val="2"/>
          </rPr>
          <t>Microsoft Office User:</t>
        </r>
        <r>
          <rPr>
            <sz val="10"/>
            <color rgb="FF000000"/>
            <rFont val="Tahoma"/>
            <family val="2"/>
          </rPr>
          <t xml:space="preserve">
</t>
        </r>
        <r>
          <rPr>
            <sz val="10"/>
            <color rgb="FF000000"/>
            <rFont val="Tahoma"/>
            <family val="2"/>
          </rPr>
          <t xml:space="preserve">NREL Central Cost Estimate From : http://www.energy.ca.gov/2015publications/CEC-600-2015-016/CEC-600-2015-016.pdf. Figure 20
</t>
        </r>
      </text>
    </comment>
    <comment ref="B26" authorId="1" shapeId="0" xr:uid="{D6341B53-C0C8-D146-86A0-C8F67AB6E085}">
      <text>
        <r>
          <rPr>
            <b/>
            <sz val="10"/>
            <color rgb="FF000000"/>
            <rFont val="Tahoma"/>
            <family val="2"/>
          </rPr>
          <t>Microsoft Office User:</t>
        </r>
        <r>
          <rPr>
            <sz val="10"/>
            <color rgb="FF000000"/>
            <rFont val="Tahoma"/>
            <family val="2"/>
          </rPr>
          <t xml:space="preserve">
</t>
        </r>
        <r>
          <rPr>
            <sz val="10"/>
            <color rgb="FF000000"/>
            <rFont val="Tahoma"/>
            <family val="2"/>
          </rPr>
          <t>Assumes Daily dispensing is for weekdays, half on weekends.</t>
        </r>
      </text>
    </comment>
    <comment ref="B27" authorId="1" shapeId="0" xr:uid="{2BF011DE-3C53-4C48-92F1-9DE846EB1CA0}">
      <text>
        <r>
          <rPr>
            <b/>
            <sz val="10"/>
            <color rgb="FF000000"/>
            <rFont val="Tahoma"/>
            <family val="2"/>
          </rPr>
          <t>Microsoft Office User:</t>
        </r>
        <r>
          <rPr>
            <sz val="10"/>
            <color rgb="FF000000"/>
            <rFont val="Tahoma"/>
            <family val="2"/>
          </rPr>
          <t xml:space="preserve">
</t>
        </r>
        <r>
          <rPr>
            <sz val="10"/>
            <color rgb="FF000000"/>
            <rFont val="Calibri"/>
            <family val="2"/>
          </rPr>
          <t xml:space="preserve">Assumes Daily dispensing is for weekdays, half on weekends.
</t>
        </r>
      </text>
    </comment>
    <comment ref="B30" authorId="1" shapeId="0" xr:uid="{3154C032-9BFA-954D-A134-BA45ABE51D0F}">
      <text>
        <r>
          <rPr>
            <b/>
            <sz val="10"/>
            <color rgb="FF000000"/>
            <rFont val="Tahoma"/>
            <family val="2"/>
          </rPr>
          <t>Microsoft Office User:</t>
        </r>
        <r>
          <rPr>
            <sz val="10"/>
            <color rgb="FF000000"/>
            <rFont val="Tahoma"/>
            <family val="2"/>
          </rPr>
          <t xml:space="preserve">
</t>
        </r>
        <r>
          <rPr>
            <sz val="10"/>
            <color rgb="FF000000"/>
            <rFont val="Tahoma"/>
            <family val="2"/>
          </rPr>
          <t>Fuel revenue + LCFS credits minus H2 costs.</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Microsoft Office User</author>
  </authors>
  <commentList>
    <comment ref="G18" authorId="0" shapeId="0" xr:uid="{562D49F8-1E9E-7C4C-AC19-68F662DA097A}">
      <text>
        <r>
          <rPr>
            <b/>
            <sz val="10"/>
            <color rgb="FF000000"/>
            <rFont val="Tahoma"/>
            <family val="2"/>
          </rPr>
          <t>Microsoft Office User:</t>
        </r>
        <r>
          <rPr>
            <sz val="10"/>
            <color rgb="FF000000"/>
            <rFont val="Tahoma"/>
            <family val="2"/>
          </rPr>
          <t xml:space="preserve">
</t>
        </r>
        <r>
          <rPr>
            <sz val="10"/>
            <color rgb="FF000000"/>
            <rFont val="Tahoma"/>
            <family val="2"/>
          </rPr>
          <t xml:space="preserve">Manually copied from CI effect 1
</t>
        </r>
      </text>
    </comment>
    <comment ref="G43" authorId="0" shapeId="0" xr:uid="{BA76038B-982F-CE43-B5C9-78B7811BAEA1}">
      <text>
        <r>
          <rPr>
            <b/>
            <sz val="10"/>
            <color rgb="FF000000"/>
            <rFont val="Tahoma"/>
            <family val="2"/>
          </rPr>
          <t>Microsoft Office User:</t>
        </r>
        <r>
          <rPr>
            <sz val="10"/>
            <color rgb="FF000000"/>
            <rFont val="Tahoma"/>
            <family val="2"/>
          </rPr>
          <t xml:space="preserve">
</t>
        </r>
        <r>
          <rPr>
            <sz val="10"/>
            <color rgb="FF000000"/>
            <rFont val="Tahoma"/>
            <family val="2"/>
          </rPr>
          <t xml:space="preserve">Manually copied from CI effect 1
</t>
        </r>
      </text>
    </comment>
    <comment ref="G68" authorId="0" shapeId="0" xr:uid="{B14F809E-FB4A-774B-B626-509A73AA429D}">
      <text>
        <r>
          <rPr>
            <b/>
            <sz val="10"/>
            <color rgb="FF000000"/>
            <rFont val="Tahoma"/>
            <family val="2"/>
          </rPr>
          <t>Microsoft Office User:</t>
        </r>
        <r>
          <rPr>
            <sz val="10"/>
            <color rgb="FF000000"/>
            <rFont val="Tahoma"/>
            <family val="2"/>
          </rPr>
          <t xml:space="preserve">
</t>
        </r>
        <r>
          <rPr>
            <sz val="10"/>
            <color rgb="FF000000"/>
            <rFont val="Tahoma"/>
            <family val="2"/>
          </rPr>
          <t xml:space="preserve">Manually copied from CI effect 1
</t>
        </r>
      </text>
    </comment>
    <comment ref="A91" authorId="0" shapeId="0" xr:uid="{7DF3618B-68A3-9048-A89E-753556DA5A28}">
      <text>
        <r>
          <rPr>
            <b/>
            <sz val="10"/>
            <color rgb="FF000000"/>
            <rFont val="Tahoma"/>
            <family val="2"/>
          </rPr>
          <t>Microsoft Office User:</t>
        </r>
        <r>
          <rPr>
            <sz val="10"/>
            <color rgb="FF000000"/>
            <rFont val="Tahoma"/>
            <family val="2"/>
          </rPr>
          <t xml:space="preserve">
</t>
        </r>
        <r>
          <rPr>
            <sz val="10"/>
            <color rgb="FF000000"/>
            <rFont val="Tahoma"/>
            <family val="2"/>
          </rPr>
          <t xml:space="preserve">Assume no reduction in CI through 2025, then 8% per year.
</t>
        </r>
      </text>
    </comment>
    <comment ref="G92" authorId="0" shapeId="0" xr:uid="{AB1DBD27-3DFF-2241-B9F8-697422BF63A4}">
      <text>
        <r>
          <rPr>
            <b/>
            <sz val="10"/>
            <color rgb="FF000000"/>
            <rFont val="Tahoma"/>
            <family val="2"/>
          </rPr>
          <t>Microsoft Office User:</t>
        </r>
        <r>
          <rPr>
            <sz val="10"/>
            <color rgb="FF000000"/>
            <rFont val="Tahoma"/>
            <family val="2"/>
          </rPr>
          <t xml:space="preserve">
</t>
        </r>
        <r>
          <rPr>
            <sz val="10"/>
            <color rgb="FF000000"/>
            <rFont val="Tahoma"/>
            <family val="2"/>
          </rPr>
          <t xml:space="preserve">Manually copied from CI effect 1
</t>
        </r>
      </text>
    </comment>
  </commentList>
</comments>
</file>

<file path=xl/sharedStrings.xml><?xml version="1.0" encoding="utf-8"?>
<sst xmlns="http://schemas.openxmlformats.org/spreadsheetml/2006/main" count="433" uniqueCount="186">
  <si>
    <t>Year</t>
  </si>
  <si>
    <t>Units</t>
  </si>
  <si>
    <t>Gasoline Compliance Schedule</t>
  </si>
  <si>
    <t>g/MJ</t>
  </si>
  <si>
    <t>Diesel Compliance Schedule</t>
  </si>
  <si>
    <t>Total Deficits</t>
  </si>
  <si>
    <t>MMT</t>
  </si>
  <si>
    <t>Max H2FC Infrastructure Credits (million)</t>
  </si>
  <si>
    <t>Hydrogen for LDV (EER Adj.)</t>
  </si>
  <si>
    <t>Hydrogen for HDV (EER Adj.)</t>
  </si>
  <si>
    <t>Hydrogen for LDVs</t>
  </si>
  <si>
    <t>mm MJ</t>
  </si>
  <si>
    <t>Hydrogen for HDVs</t>
  </si>
  <si>
    <t>Average Daily Hydrogen dispensed (assumption - see "Success Case")</t>
  </si>
  <si>
    <t>Number of stations</t>
  </si>
  <si>
    <t>Quarterly Credit per station</t>
  </si>
  <si>
    <t>Yearly Infrastructure Capacity Revenue per station</t>
  </si>
  <si>
    <t>Total Program Revenue to HRI</t>
  </si>
  <si>
    <t>Total LCFS credits from HRI</t>
  </si>
  <si>
    <t xml:space="preserve">Average </t>
  </si>
  <si>
    <t>Percent of LCFS program</t>
  </si>
  <si>
    <t>Total Yearly Hydrogen (mm kg)</t>
  </si>
  <si>
    <t>Hydrogen Energy Density</t>
  </si>
  <si>
    <t>MJ/kg</t>
  </si>
  <si>
    <t>Days per quarter</t>
  </si>
  <si>
    <t>Uptime fraction</t>
  </si>
  <si>
    <t>Average LCFS credit price</t>
  </si>
  <si>
    <t>"Success Case" Assumptions</t>
  </si>
  <si>
    <t>2025 Total Hydrogen Dispensed (kg)</t>
  </si>
  <si>
    <t>2025 Total Hydrogen Stations</t>
  </si>
  <si>
    <t>2019 Average Hydrogen Dispensed (kg/weekday)</t>
  </si>
  <si>
    <t>2025 Average Hydrogen Dispensed (kg/weekday)</t>
  </si>
  <si>
    <t>Small Station Case</t>
  </si>
  <si>
    <t>Quarterly Hydrogen per station (kg)</t>
  </si>
  <si>
    <t>Small Station Case Assumptions</t>
  </si>
  <si>
    <t>2020-2025 Total</t>
  </si>
  <si>
    <t>General Assumptions and Constants</t>
  </si>
  <si>
    <t>Station daily capacity - BAU and Success Case (kg)</t>
  </si>
  <si>
    <t>Average Hydrogen kg Per Station/Day (kg</t>
  </si>
  <si>
    <t>Station Capacity (kg/day)</t>
  </si>
  <si>
    <t>Max DCFC Infrastructure Credits (million)</t>
  </si>
  <si>
    <t>Electricity for LDVs (EER Adj.)</t>
  </si>
  <si>
    <t>Electricity for HDV (EER Adj.)</t>
  </si>
  <si>
    <t>CARB Electricity for LDVs</t>
  </si>
  <si>
    <t>CARB Electricity for HDVs</t>
  </si>
  <si>
    <t>Cerulogy Electricity for LDVs</t>
  </si>
  <si>
    <t>Cerulogy Electricity for HDVs</t>
  </si>
  <si>
    <t>CARB Total Electricity</t>
  </si>
  <si>
    <t>Cerulogy Total Electricity</t>
  </si>
  <si>
    <t>DFCF Fraction of charging (from RMI/EVGo</t>
  </si>
  <si>
    <t>CARB Assumptions</t>
  </si>
  <si>
    <t>Average Daily DCFC - All stations(kWh)</t>
  </si>
  <si>
    <t>Quarterly Charging per Station (kWh)</t>
  </si>
  <si>
    <t>Daily Charging Per Station</t>
  </si>
  <si>
    <t>Number of chargers</t>
  </si>
  <si>
    <t>2020 Totals</t>
  </si>
  <si>
    <t>Quarterly Credit per charger</t>
  </si>
  <si>
    <t>Yearly Infrastructure Capacity Revenue per charger</t>
  </si>
  <si>
    <t>Total Program Revenue to DCFC</t>
  </si>
  <si>
    <t>Total LCFS credits from DCFC</t>
  </si>
  <si>
    <t>Cerulogy Assumptions</t>
  </si>
  <si>
    <t>Average Daily DCFC All Stations (kWh)</t>
  </si>
  <si>
    <t>Constants (from Illustrative Compliance Scenario Calculator</t>
  </si>
  <si>
    <t>Energy Conversion Factor</t>
  </si>
  <si>
    <t>MJ/kWh</t>
  </si>
  <si>
    <t>EER Ratio (DCFC=3.4 per staff)</t>
  </si>
  <si>
    <t>Electricity CI (Not EER adjusted)</t>
  </si>
  <si>
    <t>Assumptions</t>
  </si>
  <si>
    <t>Station Power Rating (kW)</t>
  </si>
  <si>
    <t>Typical kWh per day, 150 kW charger</t>
  </si>
  <si>
    <t>Quarterly kWh Dispensed</t>
  </si>
  <si>
    <t>Fraction of LDV charging as DCFC</t>
  </si>
  <si>
    <t>Fraction of HDV charging as DCFC</t>
  </si>
  <si>
    <t>Eligible CARB DCFC Electricity (mm MJ)</t>
  </si>
  <si>
    <t>Eligible Cerulogy DCFC Electricity (mm MJ/year)</t>
  </si>
  <si>
    <t>mm MWh</t>
  </si>
  <si>
    <t>2019 Hydrogen Price ($/kg)</t>
  </si>
  <si>
    <t>2025 Hydrogen Price ($/kg)</t>
  </si>
  <si>
    <t>Fraction of sales to LDV</t>
  </si>
  <si>
    <t>Fraction of sales to HDV</t>
  </si>
  <si>
    <t>Quarterly Fuel Sales Revenue</t>
  </si>
  <si>
    <t>Quarterly LCFS Dispensed Credit Revenue</t>
  </si>
  <si>
    <t>Quarterly HRI Credit per station</t>
  </si>
  <si>
    <t xml:space="preserve">Yearly Operational Surplus </t>
  </si>
  <si>
    <t>Yearly Sales + Dispensed LCFS Revenue per station</t>
  </si>
  <si>
    <t>NREL H2A Hydrogen Trucked to Station Cost</t>
  </si>
  <si>
    <t>Higher Cost (Central Projection + 20%)</t>
  </si>
  <si>
    <t>Lower Cost (Central Projection)</t>
  </si>
  <si>
    <t>Unadjusted Hydrogen CI</t>
  </si>
  <si>
    <t>Gross Revenue per station</t>
  </si>
  <si>
    <t>2020-2030 Total</t>
  </si>
  <si>
    <t>Market Share - Firm X</t>
  </si>
  <si>
    <t>Max HRI Credits, Firm X</t>
  </si>
  <si>
    <t>Max Stations</t>
  </si>
  <si>
    <t>HRI per Station</t>
  </si>
  <si>
    <t>Level CI</t>
  </si>
  <si>
    <t>Delay Decline</t>
  </si>
  <si>
    <t>Credit Price</t>
  </si>
  <si>
    <t>Operational Surplus, Per Station</t>
  </si>
  <si>
    <t>HRI Revenue, Per Station</t>
  </si>
  <si>
    <t>Total Net Revenue, Firm</t>
  </si>
  <si>
    <t>SUM</t>
  </si>
  <si>
    <t>4% Constant Decline</t>
  </si>
  <si>
    <t>2025 H2 CI</t>
  </si>
  <si>
    <t>2020 CI</t>
  </si>
  <si>
    <t>2020 H2 CI</t>
  </si>
  <si>
    <t xml:space="preserve">Quarterly HRI Credits </t>
  </si>
  <si>
    <t>Effective Daily Capacity (Cap_FCI, Kwh/day)</t>
  </si>
  <si>
    <t>Average Daily DCFC (kWh/day)</t>
  </si>
  <si>
    <t>Fraction of HDV charging at FCI Eligible chargers</t>
  </si>
  <si>
    <t>Pre-FCI LDV Charging</t>
  </si>
  <si>
    <t>Pre-FCI HDV Charging</t>
  </si>
  <si>
    <t>CARB</t>
  </si>
  <si>
    <t>Cerulogy</t>
  </si>
  <si>
    <t>Grid Average Electricity CI</t>
  </si>
  <si>
    <t>Quarterly HRI Credit per charger</t>
  </si>
  <si>
    <t>LCFS Credit Price</t>
  </si>
  <si>
    <t>Yearly Dispensed LCFS Revenue per charger</t>
  </si>
  <si>
    <t>Quarterly Dispensed LCFS Credits per charger</t>
  </si>
  <si>
    <t>Total LCFS Revenue Per Charger</t>
  </si>
  <si>
    <t>Yearly grid average electricity CI improvement</t>
  </si>
  <si>
    <t>Fixed O&amp;M Costs (see chart), $/year</t>
  </si>
  <si>
    <t>Yearly O&amp;M Costs</t>
  </si>
  <si>
    <t>Net Revenue (- H2, O&amp;M)  Per Station</t>
  </si>
  <si>
    <t>Quarterly Hydrogen Dispensed (kg)</t>
  </si>
  <si>
    <t>LCFS Credit Price ($/tonne)</t>
  </si>
  <si>
    <t>Fraction of net revenue from Capacity Credits</t>
  </si>
  <si>
    <t>Fraction of net revenue from Hydrogen Sales</t>
  </si>
  <si>
    <t>Fixed O&amp;M Costs</t>
  </si>
  <si>
    <t>Yearly Hydrogen Dispensed per station (kg)</t>
  </si>
  <si>
    <t>Average Weekday Hydrogen Dispensed</t>
  </si>
  <si>
    <t>Average Weekday Hydrogen dispensed (kg)</t>
  </si>
  <si>
    <t>LD Hydrogen EER</t>
  </si>
  <si>
    <t>HD Hydrogen EER</t>
  </si>
  <si>
    <t>LD EV EER</t>
  </si>
  <si>
    <t>HD EV EER</t>
  </si>
  <si>
    <t>Existing Stations</t>
  </si>
  <si>
    <t>Existing stations by capacity</t>
  </si>
  <si>
    <t>Capacity</t>
  </si>
  <si>
    <t>Count</t>
  </si>
  <si>
    <t>CEC Projection, New Stations</t>
  </si>
  <si>
    <t>CARB Projection, New Stations</t>
  </si>
  <si>
    <t>Total HRI Revenue (New + Old)</t>
  </si>
  <si>
    <t>Total LCFS credits from HRI, New Stations</t>
  </si>
  <si>
    <t>Total LCFS credits from HRI, Old Stations</t>
  </si>
  <si>
    <t>New Station Revenue from HRI</t>
  </si>
  <si>
    <t>Dispensed LCFS Credits/Quarter</t>
  </si>
  <si>
    <t>Hydrogen CI (not EER Adjusted)</t>
  </si>
  <si>
    <t>Small Station Case, New Stations</t>
  </si>
  <si>
    <t>Delivered Cost of Hydrogen to Stations  ($/kg)</t>
  </si>
  <si>
    <t>Hydrogen Retail Price ($/kg)</t>
  </si>
  <si>
    <t>Average Capacity (kg/day)</t>
  </si>
  <si>
    <t>Year 0</t>
  </si>
  <si>
    <t>Year 1</t>
  </si>
  <si>
    <t>Year 2</t>
  </si>
  <si>
    <t>Year 3</t>
  </si>
  <si>
    <t>Year 4</t>
  </si>
  <si>
    <t>Year 5</t>
  </si>
  <si>
    <t>Year 6</t>
  </si>
  <si>
    <t>Year 7</t>
  </si>
  <si>
    <t>Year 8</t>
  </si>
  <si>
    <t>Year 9</t>
  </si>
  <si>
    <t>Year 10</t>
  </si>
  <si>
    <t>Year 11</t>
  </si>
  <si>
    <t>Volumes based on midpoint between CARB and Success (CEC) scenarios.</t>
  </si>
  <si>
    <t>Firm Stations</t>
  </si>
  <si>
    <t>8% Constant Decline</t>
  </si>
  <si>
    <t>Cost of Capital</t>
  </si>
  <si>
    <t>Starting Capital Balance</t>
  </si>
  <si>
    <t>Interest/Discount Rate</t>
  </si>
  <si>
    <t>Net Operationmal Revenue (- H2, O&amp;M)  Per Station</t>
  </si>
  <si>
    <t>Ending Capital Balance</t>
  </si>
  <si>
    <t>Station Capital Cost</t>
  </si>
  <si>
    <t>2030 Average Hydrogen Dispensed (kg/weekday)</t>
  </si>
  <si>
    <t>RNG Costs</t>
  </si>
  <si>
    <t>Source</t>
  </si>
  <si>
    <t>Fopssil NG</t>
  </si>
  <si>
    <t>33% Renewable</t>
  </si>
  <si>
    <t>100% Renewable</t>
  </si>
  <si>
    <t xml:space="preserve">Low </t>
  </si>
  <si>
    <t>High</t>
  </si>
  <si>
    <t>Midpoint</t>
  </si>
  <si>
    <t>Cost Ratio</t>
  </si>
  <si>
    <t>H2 Cost Ratio</t>
  </si>
  <si>
    <t>Base Cost of Hydrogen to Stations</t>
  </si>
  <si>
    <t>Yearly Hydrogen Cost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</si>
</sst>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6" formatCode="&quot;$&quot;#,##0_);[Red]\(&quot;$&quot;#,##0\)"/>
    <numFmt numFmtId="44" formatCode="_(&quot;$&quot;* #,##0.00_);_(&quot;$&quot;* \(#,##0.00\);_(&quot;$&quot;* &quot;-&quot;??_);_(@_)"/>
    <numFmt numFmtId="43" formatCode="_(* #,##0.00_);_(* \(#,##0.00\);_(* &quot;-&quot;??_);_(@_)"/>
    <numFmt numFmtId="164" formatCode="0.0"/>
    <numFmt numFmtId="165" formatCode="_(&quot;$&quot;* #,##0_);_(&quot;$&quot;* \(#,##0\);_(&quot;$&quot;* &quot;-&quot;??_);_(@_)"/>
    <numFmt numFmtId="166" formatCode="_(* #,##0_);_(* \(#,##0\);_(* &quot;-&quot;??_);_(@_)"/>
    <numFmt numFmtId="167" formatCode="0.0%"/>
    <numFmt numFmtId="168" formatCode="_(* #,##0.0_);_(* \(#,##0.0\);_(* &quot;-&quot;??_);_(@_)"/>
  </numFmts>
  <fonts count="16">
    <font>
      <sz val="11"/>
      <color theme="1"/>
      <name val="Calibri"/>
      <family val="2"/>
      <scheme val="minor"/>
    </font>
    <font>
      <sz val="12"/>
      <color theme="1"/>
      <name val="Calibri"/>
      <family val="2"/>
      <scheme val="minor"/>
    </font>
    <font>
      <sz val="11"/>
      <color theme="1"/>
      <name val="Calibri"/>
      <family val="2"/>
      <scheme val="minor"/>
    </font>
    <font>
      <b/>
      <sz val="11"/>
      <color theme="1"/>
      <name val="Calibri"/>
      <family val="2"/>
      <scheme val="minor"/>
    </font>
    <font>
      <sz val="11"/>
      <color rgb="FF000000"/>
      <name val="Calibri"/>
      <family val="2"/>
      <scheme val="minor"/>
    </font>
    <font>
      <sz val="11"/>
      <color rgb="FF9C0006"/>
      <name val="Calibri"/>
      <family val="2"/>
      <scheme val="minor"/>
    </font>
    <font>
      <b/>
      <sz val="16"/>
      <color theme="1"/>
      <name val="Calibri"/>
      <family val="2"/>
      <scheme val="minor"/>
    </font>
    <font>
      <sz val="10"/>
      <color rgb="FF000000"/>
      <name val="Tahoma"/>
      <family val="2"/>
    </font>
    <font>
      <b/>
      <sz val="16"/>
      <color theme="1"/>
      <name val="Calibri (Body)_x0000_"/>
    </font>
    <font>
      <b/>
      <sz val="10"/>
      <color rgb="FF000000"/>
      <name val="Tahoma"/>
      <family val="2"/>
    </font>
    <font>
      <sz val="10"/>
      <color rgb="FF000000"/>
      <name val="Calibri"/>
      <family val="2"/>
      <scheme val="minor"/>
    </font>
    <font>
      <b/>
      <sz val="14"/>
      <color theme="1"/>
      <name val="Calibri"/>
      <family val="2"/>
      <scheme val="minor"/>
    </font>
    <font>
      <sz val="14"/>
      <color theme="1"/>
      <name val="Calibri"/>
      <family val="2"/>
      <scheme val="minor"/>
    </font>
    <font>
      <b/>
      <sz val="12"/>
      <color theme="1"/>
      <name val="Calibri"/>
      <family val="2"/>
      <scheme val="minor"/>
    </font>
    <font>
      <sz val="10"/>
      <color rgb="FF000000"/>
      <name val="Calibri"/>
      <family val="2"/>
    </font>
    <font>
      <sz val="16"/>
      <color theme="1"/>
      <name val="Calibri"/>
      <family val="2"/>
      <scheme val="minor"/>
    </font>
  </fonts>
  <fills count="6">
    <fill>
      <patternFill patternType="none"/>
    </fill>
    <fill>
      <patternFill patternType="gray125"/>
    </fill>
    <fill>
      <patternFill patternType="solid">
        <fgColor rgb="FFFFC7CE"/>
      </patternFill>
    </fill>
    <fill>
      <patternFill patternType="solid">
        <fgColor theme="0"/>
        <bgColor indexed="64"/>
      </patternFill>
    </fill>
    <fill>
      <patternFill patternType="solid">
        <fgColor rgb="FFFFFF00"/>
        <bgColor indexed="64"/>
      </patternFill>
    </fill>
    <fill>
      <patternFill patternType="solid">
        <fgColor theme="4" tint="0.59999389629810485"/>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5">
    <xf numFmtId="0" fontId="0" fillId="0" borderId="0"/>
    <xf numFmtId="43" fontId="2" fillId="0" borderId="0" applyFont="0" applyFill="0" applyBorder="0" applyAlignment="0" applyProtection="0"/>
    <xf numFmtId="44" fontId="2" fillId="0" borderId="0" applyFont="0" applyFill="0" applyBorder="0" applyAlignment="0" applyProtection="0"/>
    <xf numFmtId="9" fontId="2" fillId="0" borderId="0" applyFont="0" applyFill="0" applyBorder="0" applyAlignment="0" applyProtection="0"/>
    <xf numFmtId="0" fontId="5" fillId="2" borderId="0" applyNumberFormat="0" applyBorder="0" applyAlignment="0" applyProtection="0"/>
  </cellStyleXfs>
  <cellXfs count="103">
    <xf numFmtId="0" fontId="0" fillId="0" borderId="0" xfId="0"/>
    <xf numFmtId="0" fontId="3" fillId="3" borderId="1" xfId="0" applyFont="1" applyFill="1" applyBorder="1" applyAlignment="1">
      <alignment horizontal="left"/>
    </xf>
    <xf numFmtId="0" fontId="3" fillId="0" borderId="1" xfId="0" applyFont="1" applyBorder="1" applyAlignment="1">
      <alignment horizontal="left"/>
    </xf>
    <xf numFmtId="0" fontId="3" fillId="4" borderId="1" xfId="0" applyFont="1" applyFill="1" applyBorder="1" applyAlignment="1">
      <alignment horizontal="center"/>
    </xf>
    <xf numFmtId="0" fontId="3" fillId="4" borderId="1" xfId="0" applyFont="1" applyFill="1" applyBorder="1"/>
    <xf numFmtId="164" fontId="0" fillId="0" borderId="0" xfId="0" applyNumberFormat="1"/>
    <xf numFmtId="165" fontId="4" fillId="0" borderId="0" xfId="0" applyNumberFormat="1" applyFont="1"/>
    <xf numFmtId="164" fontId="3" fillId="0" borderId="0" xfId="0" applyNumberFormat="1" applyFont="1"/>
    <xf numFmtId="0" fontId="4" fillId="0" borderId="0" xfId="0" applyFont="1"/>
    <xf numFmtId="0" fontId="3" fillId="0" borderId="1" xfId="0" applyFont="1" applyBorder="1"/>
    <xf numFmtId="2" fontId="5" fillId="2" borderId="1" xfId="4" applyNumberFormat="1" applyBorder="1"/>
    <xf numFmtId="10" fontId="4" fillId="0" borderId="0" xfId="0" applyNumberFormat="1" applyFont="1"/>
    <xf numFmtId="0" fontId="3" fillId="0" borderId="0" xfId="0" applyFont="1"/>
    <xf numFmtId="0" fontId="3" fillId="3" borderId="1" xfId="0" applyFont="1" applyFill="1" applyBorder="1" applyAlignment="1">
      <alignment horizontal="center"/>
    </xf>
    <xf numFmtId="0" fontId="3" fillId="0" borderId="1" xfId="0" applyFont="1" applyBorder="1" applyAlignment="1">
      <alignment horizontal="center"/>
    </xf>
    <xf numFmtId="1" fontId="2" fillId="0" borderId="1" xfId="4" applyNumberFormat="1" applyFont="1" applyFill="1" applyBorder="1" applyAlignment="1">
      <alignment horizontal="center"/>
    </xf>
    <xf numFmtId="0" fontId="0" fillId="0" borderId="1" xfId="0" applyBorder="1" applyAlignment="1">
      <alignment horizontal="center"/>
    </xf>
    <xf numFmtId="1" fontId="2" fillId="0" borderId="1" xfId="0" applyNumberFormat="1" applyFont="1" applyFill="1" applyBorder="1" applyAlignment="1">
      <alignment horizontal="center"/>
    </xf>
    <xf numFmtId="164" fontId="0" fillId="0" borderId="1" xfId="0" applyNumberFormat="1" applyBorder="1" applyAlignment="1">
      <alignment horizontal="center"/>
    </xf>
    <xf numFmtId="0" fontId="3" fillId="0" borderId="0" xfId="0" applyFont="1" applyFill="1" applyBorder="1" applyAlignment="1">
      <alignment horizontal="center"/>
    </xf>
    <xf numFmtId="1" fontId="0" fillId="0" borderId="0" xfId="0" applyNumberFormat="1"/>
    <xf numFmtId="0" fontId="6" fillId="0" borderId="0" xfId="0" applyFont="1" applyAlignment="1">
      <alignment vertical="center" wrapText="1"/>
    </xf>
    <xf numFmtId="165" fontId="0" fillId="0" borderId="0" xfId="2" applyNumberFormat="1" applyFont="1"/>
    <xf numFmtId="165" fontId="0" fillId="0" borderId="0" xfId="0" applyNumberFormat="1"/>
    <xf numFmtId="166" fontId="0" fillId="0" borderId="0" xfId="1" applyNumberFormat="1" applyFont="1"/>
    <xf numFmtId="10" fontId="0" fillId="0" borderId="0" xfId="3" applyNumberFormat="1" applyFont="1"/>
    <xf numFmtId="10" fontId="0" fillId="0" borderId="0" xfId="0" applyNumberFormat="1"/>
    <xf numFmtId="2" fontId="0" fillId="0" borderId="0" xfId="0" applyNumberFormat="1"/>
    <xf numFmtId="43" fontId="0" fillId="0" borderId="0" xfId="1" applyFont="1"/>
    <xf numFmtId="0" fontId="6" fillId="0" borderId="0" xfId="0" applyFont="1" applyAlignment="1">
      <alignment horizontal="center" vertical="center" wrapText="1"/>
    </xf>
    <xf numFmtId="166" fontId="0" fillId="0" borderId="0" xfId="0" applyNumberFormat="1"/>
    <xf numFmtId="0" fontId="3" fillId="0" borderId="1" xfId="0" applyFont="1" applyFill="1" applyBorder="1" applyAlignment="1">
      <alignment horizontal="center"/>
    </xf>
    <xf numFmtId="0" fontId="0" fillId="0" borderId="1" xfId="0" applyFont="1" applyFill="1" applyBorder="1" applyAlignment="1">
      <alignment horizontal="center"/>
    </xf>
    <xf numFmtId="1" fontId="0" fillId="0" borderId="1" xfId="4" applyNumberFormat="1" applyFont="1" applyFill="1" applyBorder="1" applyAlignment="1">
      <alignment horizontal="center"/>
    </xf>
    <xf numFmtId="3" fontId="0" fillId="0" borderId="1" xfId="4" applyNumberFormat="1" applyFont="1" applyFill="1" applyBorder="1" applyAlignment="1">
      <alignment horizontal="center"/>
    </xf>
    <xf numFmtId="166" fontId="0" fillId="0" borderId="1" xfId="1" applyNumberFormat="1" applyFont="1" applyFill="1" applyBorder="1" applyAlignment="1">
      <alignment horizontal="center"/>
    </xf>
    <xf numFmtId="164" fontId="0" fillId="0" borderId="1" xfId="0" applyNumberFormat="1" applyFont="1" applyFill="1" applyBorder="1" applyAlignment="1">
      <alignment horizontal="center"/>
    </xf>
    <xf numFmtId="0" fontId="0" fillId="0" borderId="0" xfId="0" applyBorder="1" applyAlignment="1">
      <alignment horizontal="center"/>
    </xf>
    <xf numFmtId="164" fontId="0" fillId="0" borderId="0" xfId="0" applyNumberFormat="1" applyFont="1" applyFill="1" applyBorder="1" applyAlignment="1">
      <alignment horizontal="center"/>
    </xf>
    <xf numFmtId="166" fontId="0" fillId="0" borderId="0" xfId="1" applyNumberFormat="1" applyFont="1" applyFill="1" applyBorder="1" applyAlignment="1">
      <alignment horizontal="center"/>
    </xf>
    <xf numFmtId="0" fontId="0" fillId="0" borderId="0" xfId="0" applyAlignment="1">
      <alignment horizontal="left"/>
    </xf>
    <xf numFmtId="0" fontId="0" fillId="0" borderId="0" xfId="0" applyFill="1" applyBorder="1" applyAlignment="1">
      <alignment horizontal="left"/>
    </xf>
    <xf numFmtId="9" fontId="0" fillId="0" borderId="0" xfId="3" applyFont="1"/>
    <xf numFmtId="167" fontId="0" fillId="0" borderId="0" xfId="3" applyNumberFormat="1" applyFont="1"/>
    <xf numFmtId="0" fontId="6" fillId="0" borderId="0" xfId="0" applyFont="1" applyAlignment="1">
      <alignment horizontal="center" vertical="center" wrapText="1"/>
    </xf>
    <xf numFmtId="44" fontId="0" fillId="0" borderId="0" xfId="2" applyFont="1"/>
    <xf numFmtId="44" fontId="0" fillId="0" borderId="0" xfId="0" applyNumberFormat="1"/>
    <xf numFmtId="0" fontId="0" fillId="0" borderId="0" xfId="0" applyFont="1"/>
    <xf numFmtId="165" fontId="3" fillId="0" borderId="0" xfId="2" applyNumberFormat="1" applyFont="1"/>
    <xf numFmtId="9" fontId="0" fillId="0" borderId="0" xfId="0" applyNumberFormat="1"/>
    <xf numFmtId="165" fontId="3" fillId="0" borderId="0" xfId="0" applyNumberFormat="1" applyFont="1"/>
    <xf numFmtId="43" fontId="0" fillId="0" borderId="0" xfId="0" applyNumberFormat="1"/>
    <xf numFmtId="165" fontId="0" fillId="0" borderId="0" xfId="0" applyNumberFormat="1" applyFont="1"/>
    <xf numFmtId="164" fontId="0" fillId="0" borderId="0" xfId="0" applyNumberFormat="1" applyBorder="1" applyAlignment="1">
      <alignment horizontal="center"/>
    </xf>
    <xf numFmtId="0" fontId="6" fillId="0" borderId="0" xfId="0" applyFont="1" applyAlignment="1">
      <alignment horizontal="center" vertical="center" wrapText="1"/>
    </xf>
    <xf numFmtId="0" fontId="15" fillId="0" borderId="0" xfId="0" applyFont="1"/>
    <xf numFmtId="165" fontId="15" fillId="0" borderId="0" xfId="0" applyNumberFormat="1" applyFont="1"/>
    <xf numFmtId="0" fontId="13" fillId="4" borderId="1" xfId="0" applyFont="1" applyFill="1" applyBorder="1" applyAlignment="1">
      <alignment horizontal="center"/>
    </xf>
    <xf numFmtId="0" fontId="13" fillId="4" borderId="1" xfId="0" applyFont="1" applyFill="1" applyBorder="1"/>
    <xf numFmtId="0" fontId="13" fillId="0" borderId="0" xfId="0" applyFont="1"/>
    <xf numFmtId="0" fontId="6" fillId="0" borderId="0" xfId="0" applyFont="1" applyAlignment="1">
      <alignment horizontal="center" vertical="center" wrapText="1"/>
    </xf>
    <xf numFmtId="168" fontId="0" fillId="0" borderId="0" xfId="1" applyNumberFormat="1" applyFont="1" applyFill="1" applyBorder="1" applyAlignment="1">
      <alignment horizontal="center"/>
    </xf>
    <xf numFmtId="0" fontId="0" fillId="0" borderId="0" xfId="0" applyBorder="1" applyAlignment="1">
      <alignment horizontal="left"/>
    </xf>
    <xf numFmtId="43" fontId="3" fillId="0" borderId="0" xfId="1" applyFont="1"/>
    <xf numFmtId="6" fontId="0" fillId="0" borderId="0" xfId="3" applyNumberFormat="1" applyFont="1"/>
    <xf numFmtId="168" fontId="0" fillId="0" borderId="0" xfId="1" applyNumberFormat="1" applyFont="1"/>
    <xf numFmtId="0" fontId="0" fillId="0" borderId="0" xfId="0" applyFill="1" applyBorder="1" applyAlignment="1">
      <alignment horizontal="center"/>
    </xf>
    <xf numFmtId="168" fontId="4" fillId="0" borderId="0" xfId="1" applyNumberFormat="1" applyFont="1"/>
    <xf numFmtId="43" fontId="0" fillId="0" borderId="0" xfId="0" applyNumberFormat="1" applyFont="1"/>
    <xf numFmtId="1" fontId="0" fillId="5" borderId="1" xfId="4" applyNumberFormat="1" applyFont="1" applyFill="1" applyBorder="1" applyAlignment="1">
      <alignment horizontal="center"/>
    </xf>
    <xf numFmtId="0" fontId="0" fillId="5" borderId="1" xfId="0" applyFont="1" applyFill="1" applyBorder="1" applyAlignment="1">
      <alignment horizontal="center"/>
    </xf>
    <xf numFmtId="9" fontId="0" fillId="5" borderId="0" xfId="3" applyFont="1" applyFill="1"/>
    <xf numFmtId="0" fontId="0" fillId="5" borderId="0" xfId="0" applyFill="1"/>
    <xf numFmtId="1" fontId="0" fillId="5" borderId="0" xfId="0" applyNumberFormat="1" applyFill="1"/>
    <xf numFmtId="164" fontId="0" fillId="5" borderId="0" xfId="0" applyNumberFormat="1" applyFill="1" applyBorder="1" applyAlignment="1">
      <alignment horizontal="center"/>
    </xf>
    <xf numFmtId="0" fontId="12" fillId="0" borderId="0" xfId="0" applyFont="1"/>
    <xf numFmtId="0" fontId="11" fillId="0" borderId="0" xfId="0" applyFont="1"/>
    <xf numFmtId="44" fontId="12" fillId="0" borderId="0" xfId="2" applyFont="1"/>
    <xf numFmtId="44" fontId="12" fillId="0" borderId="0" xfId="0" applyNumberFormat="1" applyFont="1"/>
    <xf numFmtId="0" fontId="12" fillId="5" borderId="1" xfId="0" applyFont="1" applyFill="1" applyBorder="1"/>
    <xf numFmtId="165" fontId="12" fillId="5" borderId="1" xfId="2" applyNumberFormat="1" applyFont="1" applyFill="1" applyBorder="1"/>
    <xf numFmtId="44" fontId="12" fillId="5" borderId="1" xfId="2" applyFont="1" applyFill="1" applyBorder="1"/>
    <xf numFmtId="9" fontId="12" fillId="5" borderId="1" xfId="3" applyFont="1" applyFill="1" applyBorder="1"/>
    <xf numFmtId="6" fontId="12" fillId="5" borderId="1" xfId="3" applyNumberFormat="1" applyFont="1" applyFill="1" applyBorder="1"/>
    <xf numFmtId="166" fontId="12" fillId="5" borderId="1" xfId="1" applyNumberFormat="1" applyFont="1" applyFill="1" applyBorder="1"/>
    <xf numFmtId="166" fontId="12" fillId="5" borderId="1" xfId="0" applyNumberFormat="1" applyFont="1" applyFill="1" applyBorder="1"/>
    <xf numFmtId="166" fontId="0" fillId="5" borderId="1" xfId="1" applyNumberFormat="1" applyFont="1" applyFill="1" applyBorder="1" applyAlignment="1">
      <alignment horizontal="center"/>
    </xf>
    <xf numFmtId="168" fontId="0" fillId="5" borderId="1" xfId="1" applyNumberFormat="1" applyFont="1" applyFill="1" applyBorder="1" applyAlignment="1">
      <alignment horizontal="center"/>
    </xf>
    <xf numFmtId="0" fontId="8" fillId="0" borderId="0" xfId="0" applyFont="1" applyAlignment="1">
      <alignment horizontal="center" vertical="center" wrapText="1"/>
    </xf>
    <xf numFmtId="0" fontId="0" fillId="0" borderId="0" xfId="0" applyAlignment="1">
      <alignment horizontal="center" vertical="center" wrapText="1"/>
    </xf>
    <xf numFmtId="0" fontId="6" fillId="0" borderId="0" xfId="0" applyFont="1" applyAlignment="1">
      <alignment horizontal="center" vertical="center" wrapText="1"/>
    </xf>
    <xf numFmtId="9" fontId="3" fillId="0" borderId="0" xfId="0" applyNumberFormat="1" applyFont="1"/>
    <xf numFmtId="3" fontId="12" fillId="5" borderId="1" xfId="0" applyNumberFormat="1" applyFont="1" applyFill="1" applyBorder="1"/>
    <xf numFmtId="166" fontId="0" fillId="5" borderId="0" xfId="1" applyNumberFormat="1" applyFont="1" applyFill="1"/>
    <xf numFmtId="44" fontId="0" fillId="5" borderId="0" xfId="0" applyNumberFormat="1" applyFill="1"/>
    <xf numFmtId="44" fontId="0" fillId="5" borderId="0" xfId="2" applyFont="1" applyFill="1"/>
    <xf numFmtId="0" fontId="1" fillId="0" borderId="0" xfId="0" applyFont="1"/>
    <xf numFmtId="9" fontId="1" fillId="0" borderId="0" xfId="0" applyNumberFormat="1" applyFont="1"/>
    <xf numFmtId="2" fontId="1" fillId="0" borderId="0" xfId="0" applyNumberFormat="1" applyFont="1"/>
    <xf numFmtId="166" fontId="1" fillId="0" borderId="0" xfId="1" applyNumberFormat="1" applyFont="1"/>
    <xf numFmtId="1" fontId="1" fillId="0" borderId="0" xfId="0" applyNumberFormat="1" applyFont="1"/>
    <xf numFmtId="166" fontId="1" fillId="0" borderId="0" xfId="0" applyNumberFormat="1" applyFont="1"/>
    <xf numFmtId="165" fontId="1" fillId="0" borderId="0" xfId="2" applyNumberFormat="1" applyFont="1"/>
  </cellXfs>
  <cellStyles count="5">
    <cellStyle name="Bad" xfId="4" builtinId="27"/>
    <cellStyle name="Comma" xfId="1" builtinId="3"/>
    <cellStyle name="Currency" xfId="2" builtinId="4"/>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4.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externalLink" Target="externalLinks/externalLink3.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externalLink" Target="externalLinks/externalLink2.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styles" Target="styles.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1</xdr:col>
      <xdr:colOff>292100</xdr:colOff>
      <xdr:row>2</xdr:row>
      <xdr:rowOff>50800</xdr:rowOff>
    </xdr:from>
    <xdr:to>
      <xdr:col>20</xdr:col>
      <xdr:colOff>330200</xdr:colOff>
      <xdr:row>50</xdr:row>
      <xdr:rowOff>114300</xdr:rowOff>
    </xdr:to>
    <xdr:sp macro="" textlink="">
      <xdr:nvSpPr>
        <xdr:cNvPr id="2" name="TextBox 1">
          <a:extLst>
            <a:ext uri="{FF2B5EF4-FFF2-40B4-BE49-F238E27FC236}">
              <a16:creationId xmlns:a16="http://schemas.microsoft.com/office/drawing/2014/main" id="{C6119D0F-27A2-FA4D-9861-6B046C1A7212}"/>
            </a:ext>
          </a:extLst>
        </xdr:cNvPr>
        <xdr:cNvSpPr txBox="1"/>
      </xdr:nvSpPr>
      <xdr:spPr>
        <a:xfrm>
          <a:off x="1117600" y="431800"/>
          <a:ext cx="15722600" cy="9207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t>LCFS Infrastructre Capacity Credit Estimation Model - August 2018 v0.5a</a:t>
          </a:r>
        </a:p>
        <a:p>
          <a:r>
            <a:rPr lang="en-US" sz="1400"/>
            <a:t>by Colin Murphy, Ph.D. -</a:t>
          </a:r>
          <a:r>
            <a:rPr lang="en-US" sz="1400" baseline="0"/>
            <a:t> NextGen Policy Center</a:t>
          </a:r>
        </a:p>
        <a:p>
          <a:r>
            <a:rPr lang="en-US" sz="1400" baseline="0"/>
            <a:t>colin.murphy@nextgenpolicy.org</a:t>
          </a:r>
        </a:p>
        <a:p>
          <a:endParaRPr lang="en-US" sz="1400" baseline="0"/>
        </a:p>
        <a:p>
          <a:r>
            <a:rPr lang="en-US" sz="1400" baseline="0"/>
            <a:t>This model is presented AS-IS and intended as an exploratory scenario operations tool. It has not been subject to peer-review and is not intended for formal regulatory use. Nop warranty regarding accuracy or function is offered. All rights reserved by the author.</a:t>
          </a:r>
        </a:p>
        <a:p>
          <a:endParaRPr lang="en-US" sz="1400" baseline="0"/>
        </a:p>
        <a:p>
          <a:r>
            <a:rPr lang="en-US" sz="1400" baseline="0"/>
            <a:t>To evaluate scenarios, modify values in "Constants" tab, which will propagate to all relevant fields, or blue-shaded fields in each tab. </a:t>
          </a:r>
        </a:p>
        <a:p>
          <a:endParaRPr lang="en-US" sz="1400" baseline="0"/>
        </a:p>
        <a:p>
          <a:r>
            <a:rPr lang="en-US" sz="1400" baseline="0"/>
            <a:t>DC FC Capacity Effect and Hydrogen Capacity Effect tabs evaluate aggregate FCI and HRI credit generation for several scenarios. </a:t>
          </a:r>
        </a:p>
        <a:p>
          <a:endParaRPr lang="en-US" sz="1400" baseline="0"/>
        </a:p>
        <a:p>
          <a:r>
            <a:rPr lang="en-US" sz="1400" baseline="0"/>
            <a:t>DC FC Station Revenue and Hydrogen Station Revenue evaluate HRI credits on a per-station basis. The model default assumes stations are installed in 2020. To change this assumption, manually change the CI targets in rows 3 and 4 to put the anticipated CI for the year of interest in the slot corresponding to 2020 (time constraints prevented implementing a more elegant solution). </a:t>
          </a:r>
        </a:p>
        <a:p>
          <a:endParaRPr lang="en-US" sz="1400" baseline="0"/>
        </a:p>
        <a:p>
          <a:r>
            <a:rPr lang="en-US" sz="1400" baseline="0"/>
            <a:t>Notes:</a:t>
          </a:r>
        </a:p>
        <a:p>
          <a:endParaRPr lang="en-US" sz="1400" baseline="0"/>
        </a:p>
        <a:p>
          <a:r>
            <a:rPr lang="en-US" sz="1400" baseline="0"/>
            <a:t>The model assumes daily volumes represent weekday activity, with half total activity on weekends. This is why you will see many 6/7 conversion factors in calculations, since a week with five full days and two half days yields six weekdays worth of activity.</a:t>
          </a:r>
        </a:p>
        <a:p>
          <a:endParaRPr lang="en-US" sz="1400" baseline="0"/>
        </a:p>
        <a:p>
          <a:r>
            <a:rPr lang="en-US" sz="1400" baseline="0"/>
            <a:t>If HRI credits go negative, as in the case for 2025 capacity based on the Cerulogy electricity growth trajectory, it indicates that on average, stations will be dispensing enough electricity to exceed their effective capacity. At this point, no FCI credits would be issued, stations would not be penalized. Time constraints prevented a more elegant solution. </a:t>
          </a:r>
        </a:p>
        <a:p>
          <a:endParaRPr lang="en-US" sz="1400" baseline="0"/>
        </a:p>
        <a:p>
          <a:r>
            <a:rPr lang="en-US" sz="1400" baseline="0"/>
            <a:t>Version updates:</a:t>
          </a:r>
        </a:p>
        <a:p>
          <a:endParaRPr lang="en-US" sz="1400" baseline="0"/>
        </a:p>
        <a:p>
          <a:r>
            <a:rPr lang="en-US" sz="1400" baseline="0"/>
            <a:t>0.3 - Adds per-station revenue calculator in "Hydrogen Station Revenue" tab and summary results tables in "Per Station Summaries" tab. Note the summary tables are not linked to the calculator and will not automatically update when parameters in the calculator are changed.</a:t>
          </a:r>
        </a:p>
        <a:p>
          <a:endParaRPr lang="en-US" sz="1400" baseline="0"/>
        </a:p>
        <a:p>
          <a:r>
            <a:rPr lang="en-US" sz="1400" baseline="0"/>
            <a:t>0.4 Adds wholesale and retail cost of hydrogen plus "delay rationale" table, which is not dynamic, but compares revenue projections under a variety of hydrogen GHG scenarios.</a:t>
          </a:r>
        </a:p>
        <a:p>
          <a:endParaRPr lang="en-US" sz="1400" baseline="0"/>
        </a:p>
        <a:p>
          <a:r>
            <a:rPr lang="en-US" sz="1400" baseline="0"/>
            <a:t>0.5 Adds CEC fixed O&amp;M costs. Relocates most user-defined variables to "Constants" tab &amp; improves variable naming for transparency.</a:t>
          </a:r>
        </a:p>
        <a:p>
          <a:endParaRPr lang="en-US" sz="1400" baseline="0"/>
        </a:p>
        <a:p>
          <a:r>
            <a:rPr lang="en-US" sz="1400" baseline="0"/>
            <a:t>This model is intended to be approximate and illustrative only and not predictive, nor useable for regulotory purposes. It has not been externally reviewed and is provided AS-IS, with no warranty of any kind implied.</a:t>
          </a:r>
        </a:p>
        <a:p>
          <a:endParaRPr lang="en-US" sz="1400" baseline="0"/>
        </a:p>
        <a:p>
          <a:r>
            <a:rPr lang="en-US" sz="1400" baseline="0"/>
            <a:t>0.5a Structurally identical to 0.5, but improved user-friendliness via labels and shading.</a:t>
          </a:r>
        </a:p>
        <a:p>
          <a:endParaRPr lang="en-US" sz="1400" baseline="0"/>
        </a:p>
        <a:p>
          <a:r>
            <a:rPr lang="en-US" sz="1400" baseline="0"/>
            <a:t> 1.0 - Capital costs included on Hydrogen Station Revenue and CI Effect tabs. Additional user-friendliness modifications. Note that time constraints prevented an update of the Delay Rationale tab from previous versions. This should be considered deprecated and not used until it can be updated. We are including it since previous versions were introduced into the public record.</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4</xdr:col>
      <xdr:colOff>650240</xdr:colOff>
      <xdr:row>11</xdr:row>
      <xdr:rowOff>0</xdr:rowOff>
    </xdr:from>
    <xdr:to>
      <xdr:col>12</xdr:col>
      <xdr:colOff>218440</xdr:colOff>
      <xdr:row>28</xdr:row>
      <xdr:rowOff>206328</xdr:rowOff>
    </xdr:to>
    <xdr:pic>
      <xdr:nvPicPr>
        <xdr:cNvPr id="2" name="Picture 1">
          <a:extLst>
            <a:ext uri="{FF2B5EF4-FFF2-40B4-BE49-F238E27FC236}">
              <a16:creationId xmlns:a16="http://schemas.microsoft.com/office/drawing/2014/main" id="{FBEE24F3-1655-7141-8BA3-8445113ABA35}"/>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4993640" y="1653926"/>
          <a:ext cx="6350000" cy="4308428"/>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18</xdr:col>
      <xdr:colOff>685800</xdr:colOff>
      <xdr:row>2</xdr:row>
      <xdr:rowOff>165100</xdr:rowOff>
    </xdr:from>
    <xdr:to>
      <xdr:col>26</xdr:col>
      <xdr:colOff>809752</xdr:colOff>
      <xdr:row>55</xdr:row>
      <xdr:rowOff>127000</xdr:rowOff>
    </xdr:to>
    <xdr:pic>
      <xdr:nvPicPr>
        <xdr:cNvPr id="2" name="Picture 1">
          <a:extLst>
            <a:ext uri="{FF2B5EF4-FFF2-40B4-BE49-F238E27FC236}">
              <a16:creationId xmlns:a16="http://schemas.microsoft.com/office/drawing/2014/main" id="{B0A2F6D8-E452-2840-9396-67A99295FE7A}"/>
            </a:ext>
          </a:extLst>
        </xdr:cNvPr>
        <xdr:cNvPicPr>
          <a:picLocks noChangeAspect="1"/>
        </xdr:cNvPicPr>
      </xdr:nvPicPr>
      <xdr:blipFill>
        <a:blip xmlns:r="http://schemas.openxmlformats.org/officeDocument/2006/relationships" r:embed="rId1"/>
        <a:stretch>
          <a:fillRect/>
        </a:stretch>
      </xdr:blipFill>
      <xdr:spPr>
        <a:xfrm>
          <a:off x="20281900" y="546100"/>
          <a:ext cx="6727952" cy="10058400"/>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647700</xdr:colOff>
      <xdr:row>0</xdr:row>
      <xdr:rowOff>228600</xdr:rowOff>
    </xdr:from>
    <xdr:to>
      <xdr:col>14</xdr:col>
      <xdr:colOff>304800</xdr:colOff>
      <xdr:row>3</xdr:row>
      <xdr:rowOff>203200</xdr:rowOff>
    </xdr:to>
    <xdr:sp macro="" textlink="">
      <xdr:nvSpPr>
        <xdr:cNvPr id="2" name="TextBox 1">
          <a:extLst>
            <a:ext uri="{FF2B5EF4-FFF2-40B4-BE49-F238E27FC236}">
              <a16:creationId xmlns:a16="http://schemas.microsoft.com/office/drawing/2014/main" id="{FCF566AA-C91A-714F-8161-A3167B73E7B9}"/>
            </a:ext>
          </a:extLst>
        </xdr:cNvPr>
        <xdr:cNvSpPr txBox="1"/>
      </xdr:nvSpPr>
      <xdr:spPr>
        <a:xfrm>
          <a:off x="647700" y="228600"/>
          <a:ext cx="11658600" cy="1485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600"/>
            <a:t>NOTE: This sheet remains unchanged from previous versions of the model</a:t>
          </a:r>
          <a:r>
            <a:rPr lang="en-US" sz="1600" baseline="0"/>
            <a:t> and does not reflect capital costs or the relative costs of hydrogen at different CIs. This shoudl be considered preliminary, deprecated work and we recommend not citing until it can be updated to reflect these additional costs. Since a version of this workbook was used in discussions with CARB personnel during the rulemaking, we are including it in this submission for transparency.</a:t>
          </a:r>
          <a:endParaRPr lang="en-US" sz="1600"/>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ksn2.faa.gov/C_MINER/International/Intl%202011/111212%202012%20Intl%20forecast%20tables.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ksn2.faa.gov/USERDATA/Work/Mid%20Year%20FY06%20OMB%20Trust%20Fund%20Update/FY06%20Midterm%20OMB%20Update%20International%20Market%20Forecas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ksn2.faa.gov/Terminal%20Area%20Forecast%20Central%20File/International/FAA%20Forecast/Intl%202011/111115%20Intl%20forecast%20with%20INS%20data%20-%20SAS%20input.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colin.murphy/Documents/LCFS%20Work/Capacity_Credit_Estimates_v0.5a.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2011 TABLE 3"/>
      <sheetName val="2012 TABLE 3"/>
      <sheetName val="2011 TABLE 4"/>
      <sheetName val="2012 TABLE 4"/>
      <sheetName val="2012 Tables 3 4 data"/>
      <sheetName val="2011 TABLE 5"/>
      <sheetName val="2012 TABLE 5"/>
      <sheetName val="2011 TABLE 6"/>
      <sheetName val="2012 TABLE 6 "/>
      <sheetName val="2011 TABLE 7"/>
      <sheetName val="2012 Table 7"/>
      <sheetName val="2011 TABLE 8"/>
      <sheetName val="2012 TABLE 8"/>
      <sheetName val="2012 table 8 data"/>
      <sheetName val="2011 TABLE 9"/>
      <sheetName val="2012 TABLE 9"/>
      <sheetName val="2012 Table 9 system data"/>
      <sheetName val="2012 Table 9 intl data"/>
      <sheetName val="2012 Table 9 data"/>
      <sheetName val="2011 TABLE 10"/>
      <sheetName val="2012 TABLE 10"/>
      <sheetName val="2011 TABLE 11"/>
      <sheetName val="2012 TABLE 11"/>
      <sheetName val="2011 TABLE 12"/>
      <sheetName val="2012 TABLE 12"/>
      <sheetName val="2012 Tables 5 7 10 12 Pax data"/>
      <sheetName val="2011 TABLE 13"/>
      <sheetName val="2012 TABLE 13"/>
      <sheetName val="Intl charts 4 &amp; 5"/>
      <sheetName val="2012 Table 13 LF data"/>
      <sheetName val="2012 Tables 6 10 13 ASMs data"/>
      <sheetName val="2012 Tables 5 6 7 11 13 RPMs"/>
      <sheetName val="2011 TABLE 14"/>
      <sheetName val="2012 TABLE 14"/>
      <sheetName val="2011 TABLE 15"/>
      <sheetName val="2012 TABLE 15"/>
      <sheetName val="2011 TABLE 16"/>
      <sheetName val="2012 TABLE 16"/>
      <sheetName val="Tables 14 15 16 data"/>
      <sheetName val="2011 TABLE 17"/>
      <sheetName val="2012 TABLE 17"/>
      <sheetName val="2011 TABLE 18"/>
      <sheetName val="2012 TABLE 18"/>
      <sheetName val="2011 TABLE 19"/>
      <sheetName val="2012 TABLE 19"/>
      <sheetName val="2011 TABLE 22"/>
      <sheetName val="2012 TABLE 22"/>
      <sheetName val="2011 TABLE 23"/>
      <sheetName val="2012 TABLE 23"/>
      <sheetName val="2011 TABLE 24"/>
      <sheetName val="2012 TABLE 24"/>
      <sheetName val="2012 Tables 23 24 system data"/>
      <sheetName val="2011 TABLE 25"/>
      <sheetName val="2012 TABLE 25"/>
      <sheetName val="Tables 23 24 25 intl data"/>
      <sheetName val="2012 Tables 23 24 25 data"/>
      <sheetName val="2011 U.S. Carrier data"/>
      <sheetName val="2011 PIVOT"/>
      <sheetName val="Intl tables 1 &amp; 2"/>
      <sheetName val="Data for Figure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ec 02 Econ Assump"/>
      <sheetName val="Pacific Pax"/>
      <sheetName val="Atlantic Pax"/>
      <sheetName val="Latin Pax"/>
      <sheetName val="Canada Pax"/>
      <sheetName val="Total Int Pax"/>
      <sheetName val="Int Traffic History"/>
      <sheetName val="LATGDP"/>
      <sheetName val="US and Canada GDP"/>
      <sheetName val="Pacific GDP Detail"/>
      <sheetName val="European GDP Detail"/>
      <sheetName val="Middle East GDP Detail"/>
      <sheetName val="Africa GDP Detail"/>
      <sheetName val="Latin GDP Detail"/>
      <sheetName val="t100int"/>
      <sheetName val="QTRLY FCST"/>
      <sheetName val="INTPASS"/>
      <sheetName val="Sum Check"/>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 pax data"/>
      <sheetName val="Real GDP"/>
      <sheetName val="Raw GDP data"/>
      <sheetName val="UK"/>
      <sheetName val="Germany"/>
      <sheetName val="France"/>
      <sheetName val="Netherlands"/>
      <sheetName val="Italy"/>
      <sheetName val="Ireland"/>
      <sheetName val="Spain"/>
      <sheetName val="Other Europe"/>
      <sheetName val="Mexico"/>
      <sheetName val="Dominican Rep"/>
      <sheetName val="Bahamas"/>
      <sheetName val="Jamaica"/>
      <sheetName val="Brazil"/>
      <sheetName val="Other LtnAm"/>
      <sheetName val="Japan"/>
      <sheetName val="S Korea"/>
      <sheetName val="Taiwan"/>
      <sheetName val="Hong Kong"/>
      <sheetName val="China"/>
      <sheetName val="India"/>
      <sheetName val="Other Pacific"/>
      <sheetName val="Pacific F41"/>
      <sheetName val="Atlantic F41"/>
      <sheetName val="Latin F41"/>
      <sheetName val="F41 data"/>
      <sheetName val="Exchange rates"/>
      <sheetName val="Transborder"/>
      <sheetName val="Transborder 2010"/>
      <sheetName val="Transborder 2009"/>
      <sheetName val="Transborder 2008"/>
      <sheetName val="Transborder 2007"/>
      <sheetName val="Transborder 2006"/>
      <sheetName val="Transborder 2005"/>
      <sheetName val="Transborder 2004"/>
      <sheetName val="Transborder 2003"/>
      <sheetName val="Transborder 2002"/>
      <sheetName val="Transborder 2001"/>
      <sheetName val="Transborder 2000"/>
      <sheetName val="Yield forecast"/>
      <sheetName val="DB Products yield"/>
      <sheetName val="Original yield data"/>
      <sheetName val="CPI"/>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ow r="1">
          <cell r="A1" t="str">
            <v>Source:  Email from Roger Schaufele to K. Lizotte dated 11/10/2011 04:59 PM (email is below).</v>
          </cell>
        </row>
        <row r="2">
          <cell r="A2" t="str">
            <v>Kathy - Attached is a file that contains summarized international Form 41 forecast information for each of the entities.  I have highlighted updated information in bold for each of the entities.  Data updated include FY 2010 asms, rpms, pax, yields and es</v>
          </cell>
        </row>
        <row r="3">
          <cell r="A3">
            <v>0</v>
          </cell>
        </row>
        <row r="4">
          <cell r="A4">
            <v>0</v>
          </cell>
        </row>
        <row r="5">
          <cell r="A5">
            <v>0</v>
          </cell>
        </row>
        <row r="6">
          <cell r="A6">
            <v>0</v>
          </cell>
        </row>
        <row r="7">
          <cell r="A7" t="str">
            <v xml:space="preserve"> </v>
          </cell>
        </row>
        <row r="8">
          <cell r="A8" t="str">
            <v>FY</v>
          </cell>
        </row>
        <row r="9">
          <cell r="A9" t="str">
            <v>1969</v>
          </cell>
        </row>
        <row r="10">
          <cell r="A10" t="str">
            <v>1970</v>
          </cell>
        </row>
        <row r="11">
          <cell r="A11" t="str">
            <v>1971</v>
          </cell>
        </row>
        <row r="12">
          <cell r="A12" t="str">
            <v>1972</v>
          </cell>
        </row>
        <row r="13">
          <cell r="A13" t="str">
            <v>1973</v>
          </cell>
        </row>
        <row r="14">
          <cell r="A14" t="str">
            <v>1974</v>
          </cell>
        </row>
        <row r="15">
          <cell r="A15" t="str">
            <v>1975</v>
          </cell>
        </row>
        <row r="16">
          <cell r="A16" t="str">
            <v>1976</v>
          </cell>
        </row>
        <row r="17">
          <cell r="A17" t="str">
            <v>1977</v>
          </cell>
        </row>
        <row r="18">
          <cell r="A18" t="str">
            <v>1978</v>
          </cell>
        </row>
        <row r="19">
          <cell r="A19" t="str">
            <v>1979</v>
          </cell>
        </row>
        <row r="20">
          <cell r="A20" t="str">
            <v>1980</v>
          </cell>
        </row>
        <row r="21">
          <cell r="A21" t="str">
            <v>1981</v>
          </cell>
        </row>
        <row r="22">
          <cell r="A22" t="str">
            <v>1982</v>
          </cell>
        </row>
        <row r="23">
          <cell r="A23" t="str">
            <v>1983</v>
          </cell>
        </row>
        <row r="24">
          <cell r="A24" t="str">
            <v>1984</v>
          </cell>
        </row>
        <row r="25">
          <cell r="A25" t="str">
            <v>1985</v>
          </cell>
        </row>
        <row r="26">
          <cell r="A26" t="str">
            <v>1986</v>
          </cell>
        </row>
        <row r="27">
          <cell r="A27" t="str">
            <v>1987</v>
          </cell>
        </row>
        <row r="28">
          <cell r="A28" t="str">
            <v>1988</v>
          </cell>
        </row>
        <row r="29">
          <cell r="A29" t="str">
            <v>1989</v>
          </cell>
        </row>
        <row r="30">
          <cell r="A30" t="str">
            <v>1990</v>
          </cell>
        </row>
        <row r="31">
          <cell r="A31" t="str">
            <v>1991</v>
          </cell>
        </row>
        <row r="32">
          <cell r="A32" t="str">
            <v>1992</v>
          </cell>
        </row>
        <row r="33">
          <cell r="A33" t="str">
            <v>1993</v>
          </cell>
        </row>
        <row r="34">
          <cell r="A34" t="str">
            <v>1994</v>
          </cell>
        </row>
        <row r="35">
          <cell r="A35" t="str">
            <v>1995</v>
          </cell>
        </row>
        <row r="36">
          <cell r="A36" t="str">
            <v>1996</v>
          </cell>
        </row>
        <row r="37">
          <cell r="A37" t="str">
            <v>1997</v>
          </cell>
        </row>
        <row r="38">
          <cell r="A38" t="str">
            <v>1998</v>
          </cell>
        </row>
        <row r="39">
          <cell r="A39">
            <v>1999</v>
          </cell>
        </row>
        <row r="40">
          <cell r="A40">
            <v>2000</v>
          </cell>
        </row>
        <row r="41">
          <cell r="A41" t="str">
            <v xml:space="preserve">2001 </v>
          </cell>
        </row>
        <row r="42">
          <cell r="A42" t="str">
            <v>2002</v>
          </cell>
        </row>
        <row r="43">
          <cell r="A43" t="str">
            <v>2003</v>
          </cell>
        </row>
        <row r="44">
          <cell r="A44">
            <v>2004</v>
          </cell>
        </row>
        <row r="45">
          <cell r="A45">
            <v>2005</v>
          </cell>
        </row>
        <row r="46">
          <cell r="A46">
            <v>2006</v>
          </cell>
        </row>
        <row r="47">
          <cell r="A47" t="str">
            <v>2007</v>
          </cell>
        </row>
        <row r="48">
          <cell r="A48">
            <v>2008</v>
          </cell>
        </row>
        <row r="49">
          <cell r="A49" t="str">
            <v>2009</v>
          </cell>
        </row>
        <row r="50">
          <cell r="A50" t="str">
            <v>2010</v>
          </cell>
        </row>
        <row r="51">
          <cell r="A51" t="str">
            <v>2011E</v>
          </cell>
        </row>
        <row r="53">
          <cell r="A53">
            <v>2012</v>
          </cell>
        </row>
        <row r="54">
          <cell r="A54">
            <v>2013</v>
          </cell>
        </row>
        <row r="55">
          <cell r="A55">
            <v>2014</v>
          </cell>
        </row>
        <row r="56">
          <cell r="A56">
            <v>2015</v>
          </cell>
        </row>
        <row r="57">
          <cell r="A57">
            <v>2016</v>
          </cell>
        </row>
        <row r="58">
          <cell r="A58">
            <v>2017</v>
          </cell>
        </row>
        <row r="59">
          <cell r="A59">
            <v>2018</v>
          </cell>
        </row>
        <row r="60">
          <cell r="A60">
            <v>2019</v>
          </cell>
        </row>
        <row r="61">
          <cell r="A61">
            <v>2020</v>
          </cell>
        </row>
        <row r="62">
          <cell r="A62">
            <v>2021</v>
          </cell>
        </row>
        <row r="63">
          <cell r="A63">
            <v>2022</v>
          </cell>
        </row>
        <row r="64">
          <cell r="A64">
            <v>2023</v>
          </cell>
        </row>
        <row r="65">
          <cell r="A65">
            <v>2024</v>
          </cell>
        </row>
        <row r="66">
          <cell r="A66">
            <v>2025</v>
          </cell>
        </row>
        <row r="67">
          <cell r="A67">
            <v>2026</v>
          </cell>
        </row>
        <row r="68">
          <cell r="A68">
            <v>2027</v>
          </cell>
        </row>
        <row r="69">
          <cell r="A69">
            <v>2028</v>
          </cell>
        </row>
        <row r="70">
          <cell r="A70">
            <v>2029</v>
          </cell>
        </row>
        <row r="71">
          <cell r="A71">
            <v>2030</v>
          </cell>
        </row>
        <row r="72">
          <cell r="A72">
            <v>2031</v>
          </cell>
        </row>
        <row r="73">
          <cell r="A73">
            <v>2032</v>
          </cell>
        </row>
        <row r="74">
          <cell r="A74">
            <v>0</v>
          </cell>
        </row>
        <row r="75">
          <cell r="A75">
            <v>0</v>
          </cell>
        </row>
        <row r="76">
          <cell r="A76" t="str">
            <v xml:space="preserve"> </v>
          </cell>
          <cell r="CD76">
            <v>0</v>
          </cell>
          <cell r="CE76">
            <v>0</v>
          </cell>
          <cell r="CF76" t="str">
            <v>LOAD</v>
          </cell>
          <cell r="CG76" t="str">
            <v>ENPLANE-</v>
          </cell>
          <cell r="CH76" t="str">
            <v>TRIP</v>
          </cell>
          <cell r="CI76" t="str">
            <v>MILES</v>
          </cell>
          <cell r="CJ76" t="str">
            <v>SEATS</v>
          </cell>
          <cell r="CK76" t="str">
            <v>PSGR.</v>
          </cell>
          <cell r="CL76" t="str">
            <v>PSGR.</v>
          </cell>
          <cell r="CM76" t="str">
            <v>REAL</v>
          </cell>
          <cell r="CN76" t="str">
            <v>PSGR.</v>
          </cell>
          <cell r="CO76" t="str">
            <v>REAL</v>
          </cell>
          <cell r="CP76" t="str">
            <v>JET</v>
          </cell>
          <cell r="CQ76" t="str">
            <v>REAL</v>
          </cell>
        </row>
        <row r="77">
          <cell r="A77" t="str">
            <v xml:space="preserve"> </v>
          </cell>
          <cell r="CD77" t="str">
            <v>ASM'S</v>
          </cell>
          <cell r="CE77" t="str">
            <v>RPM'S</v>
          </cell>
          <cell r="CF77" t="str">
            <v>FACTOR</v>
          </cell>
          <cell r="CG77" t="str">
            <v>MENTS</v>
          </cell>
          <cell r="CH77" t="str">
            <v>LENGTH</v>
          </cell>
          <cell r="CI77" t="str">
            <v>FLOWN</v>
          </cell>
          <cell r="CJ77" t="str">
            <v>PER/AC</v>
          </cell>
          <cell r="CK77" t="str">
            <v>REVENUES</v>
          </cell>
          <cell r="CL77" t="str">
            <v>YIELD</v>
          </cell>
          <cell r="CM77" t="str">
            <v>YIELD</v>
          </cell>
          <cell r="CN77" t="str">
            <v>RASM</v>
          </cell>
          <cell r="CO77" t="str">
            <v>RASM</v>
          </cell>
          <cell r="CP77" t="str">
            <v>FUEL</v>
          </cell>
          <cell r="CQ77" t="str">
            <v>JET FUEL</v>
          </cell>
        </row>
        <row r="78">
          <cell r="A78" t="str">
            <v>FY</v>
          </cell>
          <cell r="CD78" t="str">
            <v>(%)</v>
          </cell>
          <cell r="CE78" t="str">
            <v>(%)</v>
          </cell>
          <cell r="CF78" t="str">
            <v>(PTS)</v>
          </cell>
          <cell r="CG78" t="str">
            <v>(%)</v>
          </cell>
          <cell r="CH78" t="str">
            <v>(MILES)</v>
          </cell>
          <cell r="CI78" t="str">
            <v>(%)</v>
          </cell>
          <cell r="CJ78" t="str">
            <v>(SEATS)</v>
          </cell>
          <cell r="CK78" t="str">
            <v>(%)</v>
          </cell>
          <cell r="CL78" t="str">
            <v>(%)</v>
          </cell>
          <cell r="CM78" t="str">
            <v>(%)</v>
          </cell>
          <cell r="CN78" t="str">
            <v>(%)</v>
          </cell>
          <cell r="CO78" t="str">
            <v>(%)</v>
          </cell>
          <cell r="CP78" t="str">
            <v>(%)</v>
          </cell>
          <cell r="CQ78" t="str">
            <v>(%)</v>
          </cell>
        </row>
        <row r="79">
          <cell r="A79" t="str">
            <v>1969/70</v>
          </cell>
          <cell r="CD79">
            <v>9.1865510206594827</v>
          </cell>
          <cell r="CE79">
            <v>6.3978611871703617</v>
          </cell>
          <cell r="CF79">
            <v>-1.2979820156422406</v>
          </cell>
          <cell r="CG79">
            <v>-0.64507195033292053</v>
          </cell>
          <cell r="CH79">
            <v>50.637902329605254</v>
          </cell>
          <cell r="CI79">
            <v>5.2357044998385893</v>
          </cell>
          <cell r="CJ79">
            <v>3.9316993835168432</v>
          </cell>
          <cell r="CK79">
            <v>10.777768533893383</v>
          </cell>
          <cell r="CL79">
            <v>4.1165370223167352</v>
          </cell>
          <cell r="CM79">
            <v>-1.7255827149076697</v>
          </cell>
          <cell r="CN79">
            <v>1.4573383794610706</v>
          </cell>
          <cell r="CO79">
            <v>-4.2355701246496569</v>
          </cell>
          <cell r="CP79">
            <v>0</v>
          </cell>
          <cell r="CQ79">
            <v>0</v>
          </cell>
        </row>
        <row r="80">
          <cell r="A80" t="str">
            <v>1970/71</v>
          </cell>
          <cell r="CD80">
            <v>4.0143309886953693</v>
          </cell>
          <cell r="CE80">
            <v>0.68322604154014144</v>
          </cell>
          <cell r="CF80">
            <v>-1.5859755759604681</v>
          </cell>
          <cell r="CG80">
            <v>-1.1742433041417866</v>
          </cell>
          <cell r="CH80">
            <v>14.378267065943533</v>
          </cell>
          <cell r="CI80">
            <v>-4.2091735653998263</v>
          </cell>
          <cell r="CJ80">
            <v>9.328081037699306</v>
          </cell>
          <cell r="CK80">
            <v>4.7348881993258818</v>
          </cell>
          <cell r="CL80">
            <v>4.0241679940947739</v>
          </cell>
          <cell r="CM80">
            <v>-0.68456718503990821</v>
          </cell>
          <cell r="CN80">
            <v>0.69274801249150642</v>
          </cell>
          <cell r="CO80">
            <v>-3.8651878402333861</v>
          </cell>
          <cell r="CP80">
            <v>0</v>
          </cell>
          <cell r="CQ80">
            <v>0</v>
          </cell>
        </row>
        <row r="81">
          <cell r="A81" t="str">
            <v>1971/72</v>
          </cell>
          <cell r="CD81">
            <v>2.8777446462455947</v>
          </cell>
          <cell r="CE81">
            <v>12.035166028289645</v>
          </cell>
          <cell r="CF81">
            <v>4.2669452076073711</v>
          </cell>
          <cell r="CG81">
            <v>9.8034952460422922</v>
          </cell>
          <cell r="CH81">
            <v>15.840029140353522</v>
          </cell>
          <cell r="CI81">
            <v>-0.47415940011735769</v>
          </cell>
          <cell r="CJ81">
            <v>3.9736011857863218</v>
          </cell>
          <cell r="CK81">
            <v>13.563895229563027</v>
          </cell>
          <cell r="CL81">
            <v>1.364508355249261</v>
          </cell>
          <cell r="CM81">
            <v>-1.8948005950802815</v>
          </cell>
          <cell r="CN81">
            <v>10.387232554584802</v>
          </cell>
          <cell r="CO81">
            <v>6.8378038550804821</v>
          </cell>
          <cell r="CP81">
            <v>0</v>
          </cell>
          <cell r="CQ81">
            <v>0</v>
          </cell>
        </row>
        <row r="82">
          <cell r="A82" t="str">
            <v>1972/73</v>
          </cell>
          <cell r="CD82">
            <v>9.1769516963711606</v>
          </cell>
          <cell r="CE82">
            <v>8.2434887946698954</v>
          </cell>
          <cell r="CF82">
            <v>-0.446338477412624</v>
          </cell>
          <cell r="CG82">
            <v>7.0540573807778228</v>
          </cell>
          <cell r="CH82">
            <v>8.8352020011311652</v>
          </cell>
          <cell r="CI82">
            <v>4.330784065799631</v>
          </cell>
          <cell r="CJ82">
            <v>5.6650023567771939</v>
          </cell>
          <cell r="CK82">
            <v>11.761577311697668</v>
          </cell>
          <cell r="CL82">
            <v>3.2501617937512384</v>
          </cell>
          <cell r="CM82">
            <v>-1.6514538503625498</v>
          </cell>
          <cell r="CN82">
            <v>2.3673729438009161</v>
          </cell>
          <cell r="CO82">
            <v>-2.4923338881406409</v>
          </cell>
          <cell r="CP82">
            <v>0</v>
          </cell>
          <cell r="CQ82">
            <v>0</v>
          </cell>
        </row>
        <row r="83">
          <cell r="A83" t="str">
            <v>1973/74</v>
          </cell>
          <cell r="CD83">
            <v>-5.4869062099768939</v>
          </cell>
          <cell r="CE83">
            <v>1.8434583651975034</v>
          </cell>
          <cell r="CF83">
            <v>4.0142335998341068</v>
          </cell>
          <cell r="CG83">
            <v>4.003739289534991</v>
          </cell>
          <cell r="CH83">
            <v>-16.70091006308769</v>
          </cell>
          <cell r="CI83">
            <v>-9.2549409679385306</v>
          </cell>
          <cell r="CJ83">
            <v>5.2993736196662411</v>
          </cell>
          <cell r="CK83">
            <v>14.501693705380436</v>
          </cell>
          <cell r="CL83">
            <v>12.429109874482203</v>
          </cell>
          <cell r="CM83">
            <v>2.1087743366298817</v>
          </cell>
          <cell r="CN83">
            <v>21.1490272022683</v>
          </cell>
          <cell r="CO83">
            <v>10.028254190655339</v>
          </cell>
          <cell r="CP83">
            <v>0</v>
          </cell>
          <cell r="CQ83">
            <v>0</v>
          </cell>
        </row>
        <row r="84">
          <cell r="A84" t="str">
            <v>1974/75</v>
          </cell>
          <cell r="CD84">
            <v>4.2818182746751088</v>
          </cell>
          <cell r="CE84">
            <v>-2.0988498449366344</v>
          </cell>
          <cell r="CF84">
            <v>-3.4124615491714678</v>
          </cell>
          <cell r="CG84">
            <v>-2.8469528519997844</v>
          </cell>
          <cell r="CH84">
            <v>6.0627270867870493</v>
          </cell>
          <cell r="CI84">
            <v>1.2962103914970768</v>
          </cell>
          <cell r="CJ84">
            <v>3.9177903248119037</v>
          </cell>
          <cell r="CK84">
            <v>5.524107651489274</v>
          </cell>
          <cell r="CL84">
            <v>7.7863819621649677</v>
          </cell>
          <cell r="CM84">
            <v>-2.2872704418639977</v>
          </cell>
          <cell r="CN84">
            <v>1.1912808938006725</v>
          </cell>
          <cell r="CO84">
            <v>-8.2659972102219861</v>
          </cell>
          <cell r="CP84">
            <v>0</v>
          </cell>
          <cell r="CQ84">
            <v>0</v>
          </cell>
        </row>
        <row r="85">
          <cell r="A85" t="str">
            <v>1975/76</v>
          </cell>
          <cell r="CD85">
            <v>2.6965257621219596</v>
          </cell>
          <cell r="CE85">
            <v>9.765785765062418</v>
          </cell>
          <cell r="CF85">
            <v>3.6041894234523539</v>
          </cell>
          <cell r="CG85">
            <v>8.5660287744157024</v>
          </cell>
          <cell r="CH85">
            <v>8.7678628843706292</v>
          </cell>
          <cell r="CI85">
            <v>0.4021023699020132</v>
          </cell>
          <cell r="CJ85">
            <v>3.1271432098778007</v>
          </cell>
          <cell r="CK85">
            <v>12.356455246620545</v>
          </cell>
          <cell r="CL85">
            <v>2.3601794161097311</v>
          </cell>
          <cell r="CM85">
            <v>-3.7243791290815009</v>
          </cell>
          <cell r="CN85">
            <v>9.4062865445653685</v>
          </cell>
          <cell r="CO85">
            <v>2.9028888415753684</v>
          </cell>
          <cell r="CP85">
            <v>0</v>
          </cell>
          <cell r="CQ85">
            <v>0</v>
          </cell>
        </row>
        <row r="86">
          <cell r="A86" t="str">
            <v>1976/77</v>
          </cell>
          <cell r="CD86">
            <v>7.7668483064264882</v>
          </cell>
          <cell r="CE86">
            <v>6.6165985899890423</v>
          </cell>
          <cell r="CF86">
            <v>-0.59732074282045033</v>
          </cell>
          <cell r="CG86">
            <v>6.5763450268413015</v>
          </cell>
          <cell r="CH86">
            <v>0.30297790473321129</v>
          </cell>
          <cell r="CI86">
            <v>4.7719064664325517</v>
          </cell>
          <cell r="CJ86">
            <v>4.0010456536980428</v>
          </cell>
          <cell r="CK86">
            <v>13.473864057139151</v>
          </cell>
          <cell r="CL86">
            <v>6.4317053421679926</v>
          </cell>
          <cell r="CM86">
            <v>0.29170055011391582</v>
          </cell>
          <cell r="CN86">
            <v>5.2957062773936192</v>
          </cell>
          <cell r="CO86">
            <v>-0.77876315863981693</v>
          </cell>
          <cell r="CP86">
            <v>0</v>
          </cell>
          <cell r="CQ86">
            <v>0</v>
          </cell>
        </row>
        <row r="87">
          <cell r="A87" t="str">
            <v>1977/78</v>
          </cell>
          <cell r="CD87">
            <v>5.8158195957188186</v>
          </cell>
          <cell r="CE87">
            <v>16.619776847085909</v>
          </cell>
          <cell r="CF87">
            <v>5.6529161249479145</v>
          </cell>
          <cell r="CG87">
            <v>13.928737883173902</v>
          </cell>
          <cell r="CH87">
            <v>18.954753963805501</v>
          </cell>
          <cell r="CI87">
            <v>3.4804830976966405</v>
          </cell>
          <cell r="CJ87">
            <v>3.2490868089913079</v>
          </cell>
          <cell r="CK87">
            <v>17.721229466528566</v>
          </cell>
          <cell r="CL87">
            <v>0.94448184452189388</v>
          </cell>
          <cell r="CM87">
            <v>-5.6946958730351049</v>
          </cell>
          <cell r="CN87">
            <v>11.251068050406566</v>
          </cell>
          <cell r="CO87">
            <v>3.9340201191256918</v>
          </cell>
          <cell r="CP87">
            <v>0</v>
          </cell>
          <cell r="CQ87">
            <v>0</v>
          </cell>
        </row>
        <row r="88">
          <cell r="A88" t="str">
            <v>1978/79</v>
          </cell>
          <cell r="CD88">
            <v>12.669019699681616</v>
          </cell>
          <cell r="CE88">
            <v>16.677860781760458</v>
          </cell>
          <cell r="CF88">
            <v>2.1710819429220081</v>
          </cell>
          <cell r="CG88">
            <v>15.196814339973885</v>
          </cell>
          <cell r="CH88">
            <v>10.560842832574167</v>
          </cell>
          <cell r="CI88">
            <v>10.143739644125249</v>
          </cell>
          <cell r="CJ88">
            <v>3.3752984446695962</v>
          </cell>
          <cell r="CK88">
            <v>20.517382804481766</v>
          </cell>
          <cell r="CL88">
            <v>3.2907031351071314</v>
          </cell>
          <cell r="CM88">
            <v>-6.373709708501762</v>
          </cell>
          <cell r="CN88">
            <v>6.9658572744485614</v>
          </cell>
          <cell r="CO88">
            <v>-3.0424220139461333</v>
          </cell>
          <cell r="CP88">
            <v>0</v>
          </cell>
          <cell r="CQ88">
            <v>0</v>
          </cell>
        </row>
        <row r="89">
          <cell r="A89" t="str">
            <v>1979/80</v>
          </cell>
          <cell r="CD89">
            <v>7.8348938950035585</v>
          </cell>
          <cell r="CE89">
            <v>0.79062682335619971</v>
          </cell>
          <cell r="CF89">
            <v>-4.1278350156046741</v>
          </cell>
          <cell r="CG89">
            <v>-1.5019466662322678</v>
          </cell>
          <cell r="CH89">
            <v>19.364842944372413</v>
          </cell>
          <cell r="CI89">
            <v>4.7305392122338752</v>
          </cell>
          <cell r="CJ89">
            <v>4.463804253456999</v>
          </cell>
          <cell r="CK89">
            <v>24.388761749898215</v>
          </cell>
          <cell r="CL89">
            <v>23.413025268609221</v>
          </cell>
          <cell r="CM89">
            <v>8.6805953771916364</v>
          </cell>
          <cell r="CN89">
            <v>15.351123608479433</v>
          </cell>
          <cell r="CO89">
            <v>1.5810832277383557</v>
          </cell>
          <cell r="CP89">
            <v>0</v>
          </cell>
          <cell r="CQ89">
            <v>0</v>
          </cell>
        </row>
        <row r="90">
          <cell r="A90" t="str">
            <v>1980/81</v>
          </cell>
          <cell r="CD90">
            <v>-2.9658712547987465</v>
          </cell>
          <cell r="CE90">
            <v>-3.5433162642878768</v>
          </cell>
          <cell r="CF90">
            <v>-0.3514736611890541</v>
          </cell>
          <cell r="CG90">
            <v>-5.4517489456710528</v>
          </cell>
          <cell r="CH90">
            <v>17.184393325374003</v>
          </cell>
          <cell r="CI90">
            <v>-4.2556333192196423</v>
          </cell>
          <cell r="CJ90">
            <v>2.0887645599381983</v>
          </cell>
          <cell r="CK90">
            <v>14.178922966016705</v>
          </cell>
          <cell r="CL90">
            <v>18.373262011436033</v>
          </cell>
          <cell r="CM90">
            <v>6.5425947224204251</v>
          </cell>
          <cell r="CN90">
            <v>17.668828939388348</v>
          </cell>
          <cell r="CO90">
            <v>5.9085653307407782</v>
          </cell>
          <cell r="CP90">
            <v>0</v>
          </cell>
          <cell r="CQ90">
            <v>0</v>
          </cell>
        </row>
        <row r="91">
          <cell r="A91" t="str">
            <v>1981/82</v>
          </cell>
          <cell r="CD91">
            <v>2.9146348961609503</v>
          </cell>
          <cell r="CE91">
            <v>3.4382476859497579</v>
          </cell>
          <cell r="CF91">
            <v>0.29870850470184962</v>
          </cell>
          <cell r="CG91">
            <v>2.3145572919399893</v>
          </cell>
          <cell r="CH91">
            <v>9.53891380874677</v>
          </cell>
          <cell r="CI91">
            <v>-1.3783466900540886</v>
          </cell>
          <cell r="CJ91">
            <v>6.8405520031969616</v>
          </cell>
          <cell r="CK91">
            <v>0.82547564176340682</v>
          </cell>
          <cell r="CL91">
            <v>-2.5259245033993682</v>
          </cell>
          <cell r="CM91">
            <v>-9.2714469633609742</v>
          </cell>
          <cell r="CN91">
            <v>-2.02999238787126</v>
          </cell>
          <cell r="CO91">
            <v>-8.8098349601998365</v>
          </cell>
          <cell r="CP91">
            <v>0</v>
          </cell>
          <cell r="CQ91">
            <v>0</v>
          </cell>
        </row>
        <row r="92">
          <cell r="A92" t="str">
            <v>1982/83</v>
          </cell>
          <cell r="CD92">
            <v>4.7912295980385711</v>
          </cell>
          <cell r="CE92">
            <v>7.3823412590244608</v>
          </cell>
          <cell r="CF92">
            <v>1.4590819634255112</v>
          </cell>
          <cell r="CG92">
            <v>6.5510037304374213</v>
          </cell>
          <cell r="CH92">
            <v>6.8509887110567433</v>
          </cell>
          <cell r="CI92">
            <v>2.8622944704133513</v>
          </cell>
          <cell r="CJ92">
            <v>3.0751809476104768</v>
          </cell>
          <cell r="CK92">
            <v>3.5601855560556617</v>
          </cell>
          <cell r="CL92">
            <v>-3.5593894286110817</v>
          </cell>
          <cell r="CM92">
            <v>-6.7808556273447067</v>
          </cell>
          <cell r="CN92">
            <v>-1.1747586574802016</v>
          </cell>
          <cell r="CO92">
            <v>-4.4758801734100189</v>
          </cell>
          <cell r="CP92">
            <v>-8.3416285088592446</v>
          </cell>
          <cell r="CQ92">
            <v>-11.403350576360138</v>
          </cell>
        </row>
        <row r="93">
          <cell r="A93" t="str">
            <v>1983/84</v>
          </cell>
          <cell r="CD93">
            <v>10.072098622495297</v>
          </cell>
          <cell r="CE93">
            <v>7.858645198723524</v>
          </cell>
          <cell r="CF93">
            <v>-1.2159607871692728</v>
          </cell>
          <cell r="CG93">
            <v>7.9366403737909819</v>
          </cell>
          <cell r="CH93">
            <v>-0.63945144868750958</v>
          </cell>
          <cell r="CI93">
            <v>9.9247007537251122</v>
          </cell>
          <cell r="CJ93">
            <v>0.22401335046387771</v>
          </cell>
          <cell r="CK93">
            <v>14.957857022273501</v>
          </cell>
          <cell r="CL93">
            <v>6.5819590172582654</v>
          </cell>
          <cell r="CM93">
            <v>2.3431981330314988</v>
          </cell>
          <cell r="CN93">
            <v>4.4386892417982438</v>
          </cell>
          <cell r="CO93">
            <v>0.2851661236280556</v>
          </cell>
          <cell r="CP93">
            <v>-6.3423110338835853</v>
          </cell>
          <cell r="CQ93">
            <v>-10.067074137856613</v>
          </cell>
        </row>
        <row r="94">
          <cell r="A94" t="str">
            <v>1984/85</v>
          </cell>
          <cell r="CD94">
            <v>6.5236316549629025</v>
          </cell>
          <cell r="CE94">
            <v>11.013310650201213</v>
          </cell>
          <cell r="CF94">
            <v>2.4973158262288138</v>
          </cell>
          <cell r="CG94">
            <v>11.381596551211537</v>
          </cell>
          <cell r="CH94">
            <v>-2.9239265151774134</v>
          </cell>
          <cell r="CI94">
            <v>6.7614290946403477</v>
          </cell>
          <cell r="CJ94">
            <v>-0.37260848474565478</v>
          </cell>
          <cell r="CK94">
            <v>6.2798181997177682</v>
          </cell>
          <cell r="CL94">
            <v>-4.2638963046499168</v>
          </cell>
          <cell r="CM94">
            <v>-7.6667497678435614</v>
          </cell>
          <cell r="CN94">
            <v>-0.22888203439672683</v>
          </cell>
          <cell r="CO94">
            <v>-3.7751564407202398</v>
          </cell>
          <cell r="CP94">
            <v>-5.5078849721706842</v>
          </cell>
          <cell r="CQ94">
            <v>-8.8665219801081445</v>
          </cell>
        </row>
        <row r="95">
          <cell r="A95" t="str">
            <v>1985/86</v>
          </cell>
          <cell r="CD95">
            <v>11.076818795561039</v>
          </cell>
          <cell r="CE95">
            <v>8.1412749706227814</v>
          </cell>
          <cell r="CF95">
            <v>-1.6319181336202533</v>
          </cell>
          <cell r="CG95">
            <v>7.4036675991372869</v>
          </cell>
          <cell r="CH95">
            <v>6.0528867924239194</v>
          </cell>
          <cell r="CI95">
            <v>9.3357365977574602</v>
          </cell>
          <cell r="CJ95">
            <v>2.6579614007061707</v>
          </cell>
          <cell r="CK95">
            <v>0.59229408338399292</v>
          </cell>
          <cell r="CL95">
            <v>-6.9806656979858435</v>
          </cell>
          <cell r="CM95">
            <v>-9.235422029111696</v>
          </cell>
          <cell r="CN95">
            <v>-9.4389854029525484</v>
          </cell>
          <cell r="CO95">
            <v>-11.634152918911145</v>
          </cell>
          <cell r="CP95">
            <v>-20.787826727205793</v>
          </cell>
          <cell r="CQ95">
            <v>-22.707902274179514</v>
          </cell>
        </row>
        <row r="96">
          <cell r="A96" t="str">
            <v>1986/87</v>
          </cell>
          <cell r="CD96">
            <v>7.2887380411312597</v>
          </cell>
          <cell r="CE96">
            <v>11.222778350163987</v>
          </cell>
          <cell r="CF96">
            <v>2.2043774204510527</v>
          </cell>
          <cell r="CG96">
            <v>9.0171495230436882</v>
          </cell>
          <cell r="CH96">
            <v>17.954213925975182</v>
          </cell>
          <cell r="CI96">
            <v>8.1427601510890781</v>
          </cell>
          <cell r="CJ96">
            <v>-1.3391354050739039</v>
          </cell>
          <cell r="CK96">
            <v>10.409922976048946</v>
          </cell>
          <cell r="CL96">
            <v>-0.7308353434185233</v>
          </cell>
          <cell r="CM96">
            <v>-3.4466065297453108</v>
          </cell>
          <cell r="CN96">
            <v>2.9091449782186363</v>
          </cell>
          <cell r="CO96">
            <v>9.3792479703935783E-2</v>
          </cell>
          <cell r="CP96">
            <v>-19.395817195972111</v>
          </cell>
          <cell r="CQ96">
            <v>-21.60095831823179</v>
          </cell>
        </row>
        <row r="97">
          <cell r="A97" t="str">
            <v>1987/88</v>
          </cell>
          <cell r="CD97">
            <v>4.6169781052371572</v>
          </cell>
          <cell r="CE97">
            <v>4.5129536621670185</v>
          </cell>
          <cell r="CF97">
            <v>-6.1968946949157555E-2</v>
          </cell>
          <cell r="CG97">
            <v>0.95300616405291638</v>
          </cell>
          <cell r="CH97">
            <v>31.926553829353566</v>
          </cell>
          <cell r="CI97">
            <v>3.5829861454210299</v>
          </cell>
          <cell r="CJ97">
            <v>1.6793385204108517</v>
          </cell>
          <cell r="CK97">
            <v>13.0439594523859</v>
          </cell>
          <cell r="CL97">
            <v>8.1626300772198679</v>
          </cell>
          <cell r="CM97">
            <v>3.8804866480935063</v>
          </cell>
          <cell r="CN97">
            <v>8.0550800642241747</v>
          </cell>
          <cell r="CO97">
            <v>3.7771945251022121</v>
          </cell>
          <cell r="CP97">
            <v>7.9377282337113053</v>
          </cell>
          <cell r="CQ97">
            <v>3.6644886371812069</v>
          </cell>
        </row>
        <row r="98">
          <cell r="A98" t="str">
            <v>1988/89</v>
          </cell>
          <cell r="CD98">
            <v>1.6874478794800973</v>
          </cell>
          <cell r="CE98">
            <v>3.0669831924549973</v>
          </cell>
          <cell r="CF98">
            <v>0.8446451888924571</v>
          </cell>
          <cell r="CG98">
            <v>0.75975725514061399</v>
          </cell>
          <cell r="CH98">
            <v>21.462563068358918</v>
          </cell>
          <cell r="CI98">
            <v>1.1468554393774699</v>
          </cell>
          <cell r="CJ98">
            <v>0.90811498428237769</v>
          </cell>
          <cell r="CK98">
            <v>8.3706731763575135</v>
          </cell>
          <cell r="CL98">
            <v>5.145867104695423</v>
          </cell>
          <cell r="CM98">
            <v>0.41265861670687354</v>
          </cell>
          <cell r="CN98">
            <v>6.5723208087573814</v>
          </cell>
          <cell r="CO98">
            <v>1.7748995945276125</v>
          </cell>
          <cell r="CP98">
            <v>0.44515669515670098</v>
          </cell>
          <cell r="CQ98">
            <v>-4.0764463058767682</v>
          </cell>
        </row>
        <row r="99">
          <cell r="A99" t="str">
            <v>1989/90</v>
          </cell>
          <cell r="CD99">
            <v>6.3064447647930955</v>
          </cell>
          <cell r="CE99">
            <v>5.842908557111115</v>
          </cell>
          <cell r="CF99">
            <v>-0.2751598881367201</v>
          </cell>
          <cell r="CG99">
            <v>2.7342643203381423</v>
          </cell>
          <cell r="CH99">
            <v>29.011269327307673</v>
          </cell>
          <cell r="CI99">
            <v>5.9264067704035917</v>
          </cell>
          <cell r="CJ99">
            <v>0.61285960719590094</v>
          </cell>
          <cell r="CK99">
            <v>7.2165070884221638</v>
          </cell>
          <cell r="CL99">
            <v>1.2977709607912891</v>
          </cell>
          <cell r="CM99">
            <v>-3.5303056760548568</v>
          </cell>
          <cell r="CN99">
            <v>0.85607446062432313</v>
          </cell>
          <cell r="CO99">
            <v>-3.9509499404933535</v>
          </cell>
          <cell r="CP99">
            <v>19.872363056195731</v>
          </cell>
          <cell r="CQ99">
            <v>14.158980125991194</v>
          </cell>
        </row>
        <row r="100">
          <cell r="A100" t="str">
            <v>1990/91</v>
          </cell>
          <cell r="CD100">
            <v>-0.9361619785519637</v>
          </cell>
          <cell r="CE100">
            <v>-1.6661830588998283</v>
          </cell>
          <cell r="CF100">
            <v>-0.46300265129455198</v>
          </cell>
          <cell r="CG100">
            <v>-3.1384196094827344</v>
          </cell>
          <cell r="CH100">
            <v>15.013554286012891</v>
          </cell>
          <cell r="CI100">
            <v>-0.74291696466856072</v>
          </cell>
          <cell r="CJ100">
            <v>-0.33376467063075665</v>
          </cell>
          <cell r="CK100">
            <v>-5.9603007176234346E-2</v>
          </cell>
          <cell r="CL100">
            <v>1.6338021869789721</v>
          </cell>
          <cell r="CM100">
            <v>-3.2470764214653447</v>
          </cell>
          <cell r="CN100">
            <v>0.88484253071834384</v>
          </cell>
          <cell r="CO100">
            <v>-3.9600679147115958</v>
          </cell>
          <cell r="CP100">
            <v>17.42088139603668</v>
          </cell>
          <cell r="CQ100">
            <v>11.781841471738574</v>
          </cell>
        </row>
        <row r="101">
          <cell r="A101" t="str">
            <v>1991/92</v>
          </cell>
          <cell r="CD101">
            <v>3.7295450944531794</v>
          </cell>
          <cell r="CE101">
            <v>6.1682189898190742</v>
          </cell>
          <cell r="CF101">
            <v>1.4662304349499777</v>
          </cell>
          <cell r="CG101">
            <v>3.5757296077366663</v>
          </cell>
          <cell r="CH101">
            <v>25.099658077550203</v>
          </cell>
          <cell r="CI101">
            <v>2.8406625647147132</v>
          </cell>
          <cell r="CJ101">
            <v>1.4788588395203135</v>
          </cell>
          <cell r="CK101">
            <v>3.5059178120038226</v>
          </cell>
          <cell r="CL101">
            <v>-2.5076253545051497</v>
          </cell>
          <cell r="CM101">
            <v>-5.3493051754583076</v>
          </cell>
          <cell r="CN101">
            <v>-0.21558687281016953</v>
          </cell>
          <cell r="CO101">
            <v>-3.124074375143171</v>
          </cell>
          <cell r="CP101">
            <v>-18.778337531486155</v>
          </cell>
          <cell r="CQ101">
            <v>-21.145763292734753</v>
          </cell>
        </row>
        <row r="102">
          <cell r="A102" t="str">
            <v>1992/93</v>
          </cell>
          <cell r="CD102">
            <v>2.9364331257164533</v>
          </cell>
          <cell r="CE102">
            <v>1.6183049650107861</v>
          </cell>
          <cell r="CF102">
            <v>-0.81739420746178837</v>
          </cell>
          <cell r="CG102">
            <v>0.89034182337288659</v>
          </cell>
          <cell r="CH102">
            <v>7.4166049738560105</v>
          </cell>
          <cell r="CI102">
            <v>3.7220978036535568</v>
          </cell>
          <cell r="CJ102">
            <v>-1.3072262520454672</v>
          </cell>
          <cell r="CK102">
            <v>5.6075271041009511</v>
          </cell>
          <cell r="CL102">
            <v>3.9256924630495904</v>
          </cell>
          <cell r="CM102">
            <v>0.84153955924184398</v>
          </cell>
          <cell r="CN102">
            <v>2.5948965757559339</v>
          </cell>
          <cell r="CO102">
            <v>-0.44976293712124527</v>
          </cell>
          <cell r="CP102">
            <v>-3.9696076911148959</v>
          </cell>
          <cell r="CQ102">
            <v>-6.8194555610105017</v>
          </cell>
        </row>
        <row r="103">
          <cell r="A103" t="str">
            <v>1993/94</v>
          </cell>
          <cell r="CD103">
            <v>0.86951381977744546</v>
          </cell>
          <cell r="CE103">
            <v>5.3982450744732624</v>
          </cell>
          <cell r="CF103">
            <v>2.8291924178213819</v>
          </cell>
          <cell r="CG103">
            <v>7.8892574080484001</v>
          </cell>
          <cell r="CH103">
            <v>-23.903713661723714</v>
          </cell>
          <cell r="CI103">
            <v>2.5742199580295111</v>
          </cell>
          <cell r="CJ103">
            <v>-2.8463870160953206</v>
          </cell>
          <cell r="CK103">
            <v>2.88555425381678</v>
          </cell>
          <cell r="CL103">
            <v>-2.3839968292461045</v>
          </cell>
          <cell r="CM103">
            <v>-4.8916449613428785</v>
          </cell>
          <cell r="CN103">
            <v>1.9986617935339623</v>
          </cell>
          <cell r="CO103">
            <v>-0.62157203508851344</v>
          </cell>
          <cell r="CP103">
            <v>-8.8487001453253615</v>
          </cell>
          <cell r="CQ103">
            <v>-11.190277134693948</v>
          </cell>
        </row>
        <row r="104">
          <cell r="A104" t="str">
            <v>1994/95</v>
          </cell>
          <cell r="CD104">
            <v>3.3511988879608934</v>
          </cell>
          <cell r="CE104">
            <v>5.0770289797127832</v>
          </cell>
          <cell r="CF104">
            <v>1.0995167103151715</v>
          </cell>
          <cell r="CG104">
            <v>4.2764688715497323</v>
          </cell>
          <cell r="CH104">
            <v>7.7648042026310122</v>
          </cell>
          <cell r="CI104">
            <v>4.3367643525312971</v>
          </cell>
          <cell r="CJ104">
            <v>-1.5909351043694357</v>
          </cell>
          <cell r="CK104">
            <v>4.5605552477781197</v>
          </cell>
          <cell r="CL104">
            <v>-0.49151916165655063</v>
          </cell>
          <cell r="CM104">
            <v>-3.2026980485942325</v>
          </cell>
          <cell r="CN104">
            <v>1.1701425555094014</v>
          </cell>
          <cell r="CO104">
            <v>-1.5863094792731403</v>
          </cell>
          <cell r="CP104">
            <v>-1.5766164747564204</v>
          </cell>
          <cell r="CQ104">
            <v>-4.2582311185183963</v>
          </cell>
        </row>
        <row r="105">
          <cell r="A105" t="str">
            <v>1995/96</v>
          </cell>
          <cell r="CD105">
            <v>2.6773029148933647</v>
          </cell>
          <cell r="CE105">
            <v>5.9051109778110566</v>
          </cell>
          <cell r="CF105">
            <v>2.1044801394449735</v>
          </cell>
          <cell r="CG105">
            <v>4.6162506256868019</v>
          </cell>
          <cell r="CH105">
            <v>12.555992895981944</v>
          </cell>
          <cell r="CI105">
            <v>2.6282184270447262</v>
          </cell>
          <cell r="CJ105">
            <v>7.9792115735386915E-2</v>
          </cell>
          <cell r="CK105">
            <v>8.3755851659087277</v>
          </cell>
          <cell r="CL105">
            <v>2.3327242333141873</v>
          </cell>
          <cell r="CM105">
            <v>-0.44013420408446358</v>
          </cell>
          <cell r="CN105">
            <v>5.5496999718998463</v>
          </cell>
          <cell r="CO105">
            <v>2.6896727584671876</v>
          </cell>
          <cell r="CP105">
            <v>12.508999280057598</v>
          </cell>
          <cell r="CQ105">
            <v>9.4603994282085768</v>
          </cell>
        </row>
        <row r="106">
          <cell r="A106" t="str">
            <v>1996/97</v>
          </cell>
          <cell r="CD106">
            <v>3.1914678260396734</v>
          </cell>
          <cell r="CE106">
            <v>5.2866522178928177</v>
          </cell>
          <cell r="CF106">
            <v>1.401949949121601</v>
          </cell>
          <cell r="CG106">
            <v>3.8491837349287072</v>
          </cell>
          <cell r="CH106">
            <v>14.280958625601215</v>
          </cell>
          <cell r="CI106">
            <v>3.5126207842247625</v>
          </cell>
          <cell r="CJ106">
            <v>-0.51785573653643269</v>
          </cell>
          <cell r="CK106">
            <v>4.6956185489256619</v>
          </cell>
          <cell r="CL106">
            <v>-0.56135669291108581</v>
          </cell>
          <cell r="CM106">
            <v>-3.1493649863050921</v>
          </cell>
          <cell r="CN106">
            <v>1.4576309016377964</v>
          </cell>
          <cell r="CO106">
            <v>-1.1829239316644147</v>
          </cell>
          <cell r="CP106">
            <v>7.4228123500239995</v>
          </cell>
          <cell r="CQ106">
            <v>4.6270066147928057</v>
          </cell>
        </row>
        <row r="107">
          <cell r="A107" t="str">
            <v>1997/98</v>
          </cell>
          <cell r="CD107">
            <v>1.52565892482317</v>
          </cell>
          <cell r="CE107">
            <v>2.4389651165247495</v>
          </cell>
          <cell r="CF107">
            <v>0.63375903075596796</v>
          </cell>
          <cell r="CG107">
            <v>1.7132241402253001</v>
          </cell>
          <cell r="CH107">
            <v>7.4633974517937531</v>
          </cell>
          <cell r="CI107">
            <v>1.9798623642556912</v>
          </cell>
          <cell r="CJ107">
            <v>-0.74109972461855023</v>
          </cell>
          <cell r="CK107">
            <v>3.7227290076735864</v>
          </cell>
          <cell r="CL107">
            <v>1.2531988093481328</v>
          </cell>
          <cell r="CM107">
            <v>-0.37832499765817484</v>
          </cell>
          <cell r="CN107">
            <v>2.1640539998635022</v>
          </cell>
          <cell r="CO107">
            <v>0.51785330417086772</v>
          </cell>
          <cell r="CP107">
            <v>-18.585256887565158</v>
          </cell>
          <cell r="CQ107">
            <v>-19.897117581263814</v>
          </cell>
        </row>
        <row r="108">
          <cell r="A108" t="str">
            <v>1998/99</v>
          </cell>
          <cell r="CD108">
            <v>4.159534760407313</v>
          </cell>
          <cell r="CE108">
            <v>4.0863606171890554</v>
          </cell>
          <cell r="CF108">
            <v>-4.9938047255778883E-2</v>
          </cell>
          <cell r="CG108">
            <v>2.2600278840717358</v>
          </cell>
          <cell r="CH108">
            <v>18.814561627282501</v>
          </cell>
          <cell r="CI108">
            <v>4.4949015916440738</v>
          </cell>
          <cell r="CJ108">
            <v>-0.53165151556487444</v>
          </cell>
          <cell r="CK108">
            <v>1.5748903202777553</v>
          </cell>
          <cell r="CL108">
            <v>-2.4128716596673483</v>
          </cell>
          <cell r="CM108">
            <v>-4.2505226338051543</v>
          </cell>
          <cell r="CN108">
            <v>-2.4814285567566263</v>
          </cell>
          <cell r="CO108">
            <v>-4.317788544563939</v>
          </cell>
          <cell r="CP108">
            <v>-9.1092006584964409</v>
          </cell>
          <cell r="CQ108">
            <v>-10.820753901128821</v>
          </cell>
        </row>
        <row r="109">
          <cell r="A109" t="str">
            <v>1999/00</v>
          </cell>
          <cell r="CD109">
            <v>4.0242000256861532</v>
          </cell>
          <cell r="CE109">
            <v>6.0755210155150063</v>
          </cell>
          <cell r="CF109">
            <v>1.4007704544066826</v>
          </cell>
          <cell r="CG109">
            <v>4.2215116522416496</v>
          </cell>
          <cell r="CH109">
            <v>19.074913609320674</v>
          </cell>
          <cell r="CI109">
            <v>4.405483935560639</v>
          </cell>
          <cell r="CJ109">
            <v>-0.60301921084715104</v>
          </cell>
          <cell r="CK109">
            <v>10.04908871527206</v>
          </cell>
          <cell r="CL109">
            <v>3.7459799034839092</v>
          </cell>
          <cell r="CM109">
            <v>0.56610409800710304</v>
          </cell>
          <cell r="CN109">
            <v>5.7918144894151702</v>
          </cell>
          <cell r="CO109">
            <v>2.549232640698329</v>
          </cell>
          <cell r="CP109">
            <v>48.057959347957336</v>
          </cell>
          <cell r="CQ109">
            <v>43.519895095474183</v>
          </cell>
        </row>
        <row r="110">
          <cell r="A110" t="str">
            <v>2000/01</v>
          </cell>
          <cell r="CD110">
            <v>1.0181023543093248</v>
          </cell>
          <cell r="CE110">
            <v>-0.74827934745597124</v>
          </cell>
          <cell r="CF110">
            <v>-1.2665836389778065</v>
          </cell>
          <cell r="CG110">
            <v>-2.5801839275376048</v>
          </cell>
          <cell r="CH110">
            <v>20.522079861878638</v>
          </cell>
          <cell r="CI110">
            <v>2.3299068042429205</v>
          </cell>
          <cell r="CJ110">
            <v>-2.1090339720062161</v>
          </cell>
          <cell r="CK110">
            <v>-3.8423298814293405</v>
          </cell>
          <cell r="CL110">
            <v>-3.1173772239222797</v>
          </cell>
          <cell r="CM110">
            <v>-6.1319308620638839</v>
          </cell>
          <cell r="CN110">
            <v>-4.811446782766982</v>
          </cell>
          <cell r="CO110">
            <v>-7.7732885577741389</v>
          </cell>
          <cell r="CP110">
            <v>13.320647002854447</v>
          </cell>
          <cell r="CQ110">
            <v>9.7946156165182874</v>
          </cell>
        </row>
        <row r="111">
          <cell r="A111" t="str">
            <v>2001/02</v>
          </cell>
          <cell r="CD111">
            <v>-9.7982208148571495</v>
          </cell>
          <cell r="CE111">
            <v>-9.7615400845168292</v>
          </cell>
          <cell r="CF111">
            <v>2.8940779974448105E-2</v>
          </cell>
          <cell r="CG111">
            <v>-10.694758578864239</v>
          </cell>
          <cell r="CH111">
            <v>11.61884498524887</v>
          </cell>
          <cell r="CI111">
            <v>-9.7382922385785839</v>
          </cell>
          <cell r="CJ111">
            <v>-0.10783111492304442</v>
          </cell>
          <cell r="CK111">
            <v>-17.976891388963899</v>
          </cell>
          <cell r="CL111">
            <v>-9.1040464477579963</v>
          </cell>
          <cell r="CM111">
            <v>-10.44648109552555</v>
          </cell>
          <cell r="CN111">
            <v>-9.0670834300504044</v>
          </cell>
          <cell r="CO111">
            <v>-10.41006398149924</v>
          </cell>
          <cell r="CP111">
            <v>-18.09928499339194</v>
          </cell>
          <cell r="CQ111">
            <v>-19.308869724120537</v>
          </cell>
        </row>
        <row r="112">
          <cell r="A112" t="str">
            <v>2002/03</v>
          </cell>
          <cell r="CD112">
            <v>-1.7975410759758614</v>
          </cell>
          <cell r="CE112">
            <v>1.2116865917590758</v>
          </cell>
          <cell r="CF112">
            <v>2.1817079580631287</v>
          </cell>
          <cell r="CG112">
            <v>-0.27148381770942809</v>
          </cell>
          <cell r="CH112">
            <v>16.708712646332742</v>
          </cell>
          <cell r="CI112">
            <v>-1.7066960647096452</v>
          </cell>
          <cell r="CJ112">
            <v>-0.15000384421418289</v>
          </cell>
          <cell r="CK112">
            <v>1.4223769629981398</v>
          </cell>
          <cell r="CL112">
            <v>0.20816802716556726</v>
          </cell>
          <cell r="CM112">
            <v>-2.1042229058711559</v>
          </cell>
          <cell r="CN112">
            <v>3.2788568374495952</v>
          </cell>
          <cell r="CO112">
            <v>0.89560708019853497</v>
          </cell>
          <cell r="CP112">
            <v>21.96022052172022</v>
          </cell>
          <cell r="CQ112">
            <v>19.145881993456413</v>
          </cell>
        </row>
        <row r="113">
          <cell r="A113" t="str">
            <v>2003/04</v>
          </cell>
          <cell r="CD113">
            <v>5.6345217367847145</v>
          </cell>
          <cell r="CE113">
            <v>9.2433413049869841</v>
          </cell>
          <cell r="CF113">
            <v>2.5068683668869767</v>
          </cell>
          <cell r="CG113">
            <v>4.9682212313087115</v>
          </cell>
          <cell r="CH113">
            <v>46.437954226980082</v>
          </cell>
          <cell r="CI113">
            <v>4.7994261957442053</v>
          </cell>
          <cell r="CJ113">
            <v>1.2921142863673367</v>
          </cell>
          <cell r="CK113">
            <v>6.5129778889966961</v>
          </cell>
          <cell r="CL113">
            <v>-2.4993408141624096</v>
          </cell>
          <cell r="CM113">
            <v>-4.7112235677252308</v>
          </cell>
          <cell r="CN113">
            <v>0.83159949774833652</v>
          </cell>
          <cell r="CO113">
            <v>-1.4558483800975575</v>
          </cell>
          <cell r="CP113">
            <v>22.566626819901735</v>
          </cell>
          <cell r="CQ113">
            <v>19.786101946643342</v>
          </cell>
        </row>
        <row r="114">
          <cell r="A114" t="str">
            <v>2004/05</v>
          </cell>
          <cell r="CD114">
            <v>3.9806293024259753</v>
          </cell>
          <cell r="CE114">
            <v>6.7279713824999199</v>
          </cell>
          <cell r="CF114">
            <v>2.0050334982145159</v>
          </cell>
          <cell r="CG114">
            <v>4.8690998648338368</v>
          </cell>
          <cell r="CH114">
            <v>21.033985477389024</v>
          </cell>
          <cell r="CI114">
            <v>3.1158776300439506</v>
          </cell>
          <cell r="CJ114">
            <v>1.3706813449306026</v>
          </cell>
          <cell r="CK114">
            <v>6.6275187484875264</v>
          </cell>
          <cell r="CL114">
            <v>-9.4120250494023061E-2</v>
          </cell>
          <cell r="CM114">
            <v>-3.2778914496514155</v>
          </cell>
          <cell r="CN114">
            <v>2.5455601334774869</v>
          </cell>
          <cell r="CO114">
            <v>-0.72233162397479234</v>
          </cell>
          <cell r="CP114">
            <v>48.507087428601572</v>
          </cell>
          <cell r="CQ114">
            <v>43.774507234008283</v>
          </cell>
        </row>
        <row r="115">
          <cell r="A115" t="str">
            <v>2005/06</v>
          </cell>
          <cell r="CD115">
            <v>-0.41387422010255026</v>
          </cell>
          <cell r="CE115">
            <v>1.6428436954999404</v>
          </cell>
          <cell r="CF115">
            <v>1.608655481801037</v>
          </cell>
          <cell r="CG115">
            <v>-0.47654395280044559</v>
          </cell>
          <cell r="CH115">
            <v>25.717893968892895</v>
          </cell>
          <cell r="CI115">
            <v>-0.80392577729579973</v>
          </cell>
          <cell r="CJ115">
            <v>0.64807469499268677</v>
          </cell>
          <cell r="CK115">
            <v>9.9768871526381595</v>
          </cell>
          <cell r="CL115">
            <v>8.1993410988236768</v>
          </cell>
          <cell r="CM115">
            <v>4.3829206338091176</v>
          </cell>
          <cell r="CN115">
            <v>10.433944780326222</v>
          </cell>
          <cell r="CO115">
            <v>6.5387050994580864</v>
          </cell>
          <cell r="CP115">
            <v>30.443538800674542</v>
          </cell>
          <cell r="CQ115">
            <v>25.84251825884769</v>
          </cell>
        </row>
        <row r="116">
          <cell r="A116" t="str">
            <v>2006/07</v>
          </cell>
          <cell r="CD116">
            <v>2.8486494145769425</v>
          </cell>
          <cell r="CE116">
            <v>3.9767449148212286</v>
          </cell>
          <cell r="CF116">
            <v>0.87199178398030597</v>
          </cell>
          <cell r="CG116">
            <v>3.6379103255223644</v>
          </cell>
          <cell r="CH116">
            <v>4.032467723257696</v>
          </cell>
          <cell r="CI116">
            <v>2.3075650202563969</v>
          </cell>
          <cell r="CJ116">
            <v>0.87510294504400576</v>
          </cell>
          <cell r="CK116">
            <v>6.3767021312431504</v>
          </cell>
          <cell r="CL116">
            <v>2.3081672910495232</v>
          </cell>
          <cell r="CM116">
            <v>-4.5477262224979942E-2</v>
          </cell>
          <cell r="CN116">
            <v>3.4303345126534657</v>
          </cell>
          <cell r="CO116">
            <v>1.0508740070564127</v>
          </cell>
          <cell r="CP116">
            <v>-0.36577578222757312</v>
          </cell>
          <cell r="CQ116">
            <v>-2.6579050946682004</v>
          </cell>
        </row>
        <row r="117">
          <cell r="A117" t="str">
            <v>2007/08</v>
          </cell>
          <cell r="CD117">
            <v>0.9267408839118696</v>
          </cell>
          <cell r="CE117">
            <v>0.60138170229022681</v>
          </cell>
          <cell r="CF117">
            <v>-0.25909531562184895</v>
          </cell>
          <cell r="CG117">
            <v>-1.4069764332995338</v>
          </cell>
          <cell r="CH117">
            <v>25.206604873638071</v>
          </cell>
          <cell r="CI117">
            <v>0.41004434766345188</v>
          </cell>
          <cell r="CJ117">
            <v>0.85595537079441897</v>
          </cell>
          <cell r="CK117">
            <v>6.6594108195541679</v>
          </cell>
          <cell r="CL117">
            <v>6.0218150235664458</v>
          </cell>
          <cell r="CM117">
            <v>1.5125286544025451</v>
          </cell>
          <cell r="CN117">
            <v>5.6800307682937534</v>
          </cell>
          <cell r="CO117">
            <v>1.18528105918565</v>
          </cell>
          <cell r="CP117">
            <v>52.116751269035547</v>
          </cell>
          <cell r="CQ117">
            <v>45.646969622055792</v>
          </cell>
        </row>
        <row r="118">
          <cell r="A118" t="str">
            <v>2008/09</v>
          </cell>
        </row>
        <row r="119">
          <cell r="A119" t="str">
            <v>2009/10</v>
          </cell>
        </row>
        <row r="120">
          <cell r="A120" t="str">
            <v>2010/11</v>
          </cell>
        </row>
        <row r="121">
          <cell r="A121" t="str">
            <v>2011/12</v>
          </cell>
        </row>
        <row r="122">
          <cell r="A122" t="str">
            <v>2012/13</v>
          </cell>
        </row>
        <row r="123">
          <cell r="A123" t="str">
            <v>2013/14</v>
          </cell>
        </row>
        <row r="124">
          <cell r="A124" t="str">
            <v>2014/15</v>
          </cell>
        </row>
        <row r="125">
          <cell r="A125" t="str">
            <v>2015/16</v>
          </cell>
        </row>
        <row r="126">
          <cell r="A126" t="str">
            <v>2016/17</v>
          </cell>
        </row>
        <row r="127">
          <cell r="A127" t="str">
            <v>2017/18</v>
          </cell>
        </row>
        <row r="128">
          <cell r="A128" t="str">
            <v>2018/19</v>
          </cell>
        </row>
        <row r="129">
          <cell r="A129" t="str">
            <v>2019/20</v>
          </cell>
        </row>
        <row r="130">
          <cell r="A130" t="str">
            <v>2020/21</v>
          </cell>
        </row>
        <row r="131">
          <cell r="A131" t="str">
            <v>2021/22</v>
          </cell>
        </row>
        <row r="132">
          <cell r="A132" t="str">
            <v>2022/23</v>
          </cell>
        </row>
        <row r="133">
          <cell r="A133" t="str">
            <v>2023/24</v>
          </cell>
        </row>
        <row r="134">
          <cell r="A134" t="str">
            <v>2024/25</v>
          </cell>
        </row>
        <row r="135">
          <cell r="A135" t="str">
            <v>2025/26</v>
          </cell>
        </row>
        <row r="136">
          <cell r="A136" t="str">
            <v>2026/27</v>
          </cell>
        </row>
        <row r="137">
          <cell r="A137" t="str">
            <v>2027/28</v>
          </cell>
        </row>
        <row r="138">
          <cell r="A138" t="str">
            <v>2028/29</v>
          </cell>
        </row>
        <row r="139">
          <cell r="A139" t="str">
            <v>2029/30</v>
          </cell>
        </row>
        <row r="140">
          <cell r="A140" t="str">
            <v>2030/31</v>
          </cell>
        </row>
        <row r="141">
          <cell r="A141">
            <v>0</v>
          </cell>
        </row>
        <row r="142">
          <cell r="A142" t="str">
            <v>(00-10)</v>
          </cell>
        </row>
        <row r="143">
          <cell r="A143" t="str">
            <v>(10-31)</v>
          </cell>
        </row>
        <row r="144">
          <cell r="A144" t="str">
            <v>(11-31)</v>
          </cell>
        </row>
        <row r="145">
          <cell r="A145" t="str">
            <v>(12-31)</v>
          </cell>
        </row>
        <row r="146">
          <cell r="A146" t="str">
            <v>(20-31)</v>
          </cell>
        </row>
        <row r="147">
          <cell r="A147" t="str">
            <v xml:space="preserve"> </v>
          </cell>
        </row>
        <row r="148">
          <cell r="A148">
            <v>0</v>
          </cell>
        </row>
        <row r="149">
          <cell r="A149">
            <v>0</v>
          </cell>
        </row>
        <row r="150">
          <cell r="A150">
            <v>0</v>
          </cell>
        </row>
        <row r="151">
          <cell r="A151">
            <v>0</v>
          </cell>
        </row>
        <row r="152">
          <cell r="A152">
            <v>0</v>
          </cell>
        </row>
        <row r="153">
          <cell r="A153">
            <v>0</v>
          </cell>
        </row>
        <row r="154">
          <cell r="A154">
            <v>0</v>
          </cell>
        </row>
        <row r="155">
          <cell r="A155">
            <v>0</v>
          </cell>
        </row>
        <row r="157">
          <cell r="A157">
            <v>0</v>
          </cell>
        </row>
        <row r="158">
          <cell r="A158">
            <v>0</v>
          </cell>
        </row>
        <row r="159">
          <cell r="A159">
            <v>0</v>
          </cell>
        </row>
        <row r="160">
          <cell r="A160">
            <v>0</v>
          </cell>
        </row>
        <row r="161">
          <cell r="A161">
            <v>0</v>
          </cell>
        </row>
        <row r="162">
          <cell r="A162">
            <v>0</v>
          </cell>
        </row>
        <row r="163">
          <cell r="A163">
            <v>0</v>
          </cell>
        </row>
        <row r="164">
          <cell r="A164">
            <v>0</v>
          </cell>
        </row>
        <row r="165">
          <cell r="A165">
            <v>0</v>
          </cell>
        </row>
        <row r="166">
          <cell r="A166">
            <v>0</v>
          </cell>
        </row>
        <row r="167">
          <cell r="A167">
            <v>0</v>
          </cell>
        </row>
        <row r="168">
          <cell r="A168">
            <v>0</v>
          </cell>
        </row>
        <row r="169">
          <cell r="A169">
            <v>0</v>
          </cell>
        </row>
        <row r="170">
          <cell r="A170">
            <v>0</v>
          </cell>
        </row>
        <row r="171">
          <cell r="A171">
            <v>0</v>
          </cell>
        </row>
        <row r="172">
          <cell r="A172">
            <v>0</v>
          </cell>
        </row>
        <row r="173">
          <cell r="A173">
            <v>0</v>
          </cell>
        </row>
        <row r="174">
          <cell r="A174">
            <v>0</v>
          </cell>
        </row>
        <row r="175">
          <cell r="A175">
            <v>0</v>
          </cell>
        </row>
        <row r="176">
          <cell r="A176">
            <v>0</v>
          </cell>
        </row>
        <row r="177">
          <cell r="A177">
            <v>0</v>
          </cell>
        </row>
        <row r="178">
          <cell r="A178">
            <v>0</v>
          </cell>
        </row>
        <row r="179">
          <cell r="A179">
            <v>0</v>
          </cell>
        </row>
        <row r="180">
          <cell r="A180">
            <v>0</v>
          </cell>
        </row>
        <row r="181">
          <cell r="A181">
            <v>0</v>
          </cell>
        </row>
        <row r="182">
          <cell r="A182">
            <v>0</v>
          </cell>
        </row>
        <row r="183">
          <cell r="A183">
            <v>0</v>
          </cell>
        </row>
        <row r="184">
          <cell r="A184">
            <v>0</v>
          </cell>
        </row>
        <row r="185">
          <cell r="A185">
            <v>0</v>
          </cell>
        </row>
        <row r="186">
          <cell r="A186">
            <v>0</v>
          </cell>
        </row>
        <row r="187">
          <cell r="A187">
            <v>0</v>
          </cell>
        </row>
        <row r="188">
          <cell r="A188">
            <v>0</v>
          </cell>
        </row>
        <row r="189">
          <cell r="A189">
            <v>0</v>
          </cell>
        </row>
        <row r="190">
          <cell r="A190">
            <v>0</v>
          </cell>
        </row>
        <row r="191">
          <cell r="A191">
            <v>0</v>
          </cell>
        </row>
        <row r="192">
          <cell r="A192">
            <v>0</v>
          </cell>
        </row>
        <row r="193">
          <cell r="A193">
            <v>0</v>
          </cell>
        </row>
        <row r="194">
          <cell r="A194">
            <v>0</v>
          </cell>
        </row>
        <row r="195">
          <cell r="A195">
            <v>0</v>
          </cell>
        </row>
        <row r="196">
          <cell r="A196">
            <v>0</v>
          </cell>
        </row>
        <row r="197">
          <cell r="A197">
            <v>0</v>
          </cell>
        </row>
        <row r="198">
          <cell r="A198">
            <v>0</v>
          </cell>
        </row>
        <row r="199">
          <cell r="A199">
            <v>0</v>
          </cell>
        </row>
        <row r="200">
          <cell r="A200">
            <v>0</v>
          </cell>
        </row>
        <row r="201">
          <cell r="A201">
            <v>0</v>
          </cell>
        </row>
        <row r="202">
          <cell r="A202">
            <v>0</v>
          </cell>
        </row>
        <row r="203">
          <cell r="A203">
            <v>0</v>
          </cell>
        </row>
        <row r="204">
          <cell r="A204">
            <v>0</v>
          </cell>
        </row>
        <row r="205">
          <cell r="A205">
            <v>0</v>
          </cell>
        </row>
        <row r="206">
          <cell r="A206">
            <v>0</v>
          </cell>
        </row>
        <row r="207">
          <cell r="A207">
            <v>0</v>
          </cell>
        </row>
        <row r="208">
          <cell r="A208">
            <v>0</v>
          </cell>
        </row>
        <row r="209">
          <cell r="A209">
            <v>0</v>
          </cell>
        </row>
        <row r="210">
          <cell r="A210">
            <v>0</v>
          </cell>
        </row>
        <row r="211">
          <cell r="A211">
            <v>0</v>
          </cell>
        </row>
        <row r="212">
          <cell r="A212">
            <v>0</v>
          </cell>
        </row>
        <row r="213">
          <cell r="A213">
            <v>0</v>
          </cell>
        </row>
        <row r="214">
          <cell r="A214">
            <v>0</v>
          </cell>
        </row>
        <row r="215">
          <cell r="A215">
            <v>0</v>
          </cell>
        </row>
        <row r="216">
          <cell r="A216">
            <v>0</v>
          </cell>
        </row>
        <row r="217">
          <cell r="A217">
            <v>0</v>
          </cell>
        </row>
        <row r="218">
          <cell r="A218">
            <v>0</v>
          </cell>
        </row>
        <row r="219">
          <cell r="A219">
            <v>0</v>
          </cell>
        </row>
        <row r="220">
          <cell r="A220">
            <v>0</v>
          </cell>
        </row>
        <row r="221">
          <cell r="A221">
            <v>0</v>
          </cell>
        </row>
        <row r="222">
          <cell r="A222">
            <v>0</v>
          </cell>
        </row>
        <row r="223">
          <cell r="A223">
            <v>0</v>
          </cell>
        </row>
        <row r="224">
          <cell r="A224">
            <v>0</v>
          </cell>
        </row>
        <row r="225">
          <cell r="A225">
            <v>0</v>
          </cell>
        </row>
        <row r="226">
          <cell r="A226">
            <v>0</v>
          </cell>
        </row>
        <row r="227">
          <cell r="A227">
            <v>0</v>
          </cell>
        </row>
        <row r="228">
          <cell r="A228">
            <v>0</v>
          </cell>
        </row>
        <row r="229">
          <cell r="A229">
            <v>0</v>
          </cell>
        </row>
        <row r="230">
          <cell r="A230">
            <v>0</v>
          </cell>
        </row>
        <row r="231">
          <cell r="A231">
            <v>0</v>
          </cell>
        </row>
        <row r="232">
          <cell r="A232">
            <v>0</v>
          </cell>
        </row>
        <row r="233">
          <cell r="A233">
            <v>0</v>
          </cell>
        </row>
        <row r="234">
          <cell r="A234">
            <v>0</v>
          </cell>
        </row>
        <row r="235">
          <cell r="A235">
            <v>0</v>
          </cell>
        </row>
        <row r="236">
          <cell r="A236">
            <v>0</v>
          </cell>
        </row>
        <row r="237">
          <cell r="A237">
            <v>0</v>
          </cell>
        </row>
        <row r="238">
          <cell r="A238">
            <v>0</v>
          </cell>
        </row>
        <row r="239">
          <cell r="A239">
            <v>0</v>
          </cell>
        </row>
        <row r="240">
          <cell r="A240">
            <v>0</v>
          </cell>
        </row>
        <row r="241">
          <cell r="A241">
            <v>0</v>
          </cell>
        </row>
        <row r="242">
          <cell r="A242">
            <v>0</v>
          </cell>
        </row>
        <row r="243">
          <cell r="A243">
            <v>0</v>
          </cell>
        </row>
        <row r="244">
          <cell r="A244">
            <v>0</v>
          </cell>
        </row>
        <row r="245">
          <cell r="A245">
            <v>0</v>
          </cell>
        </row>
        <row r="246">
          <cell r="A246">
            <v>0</v>
          </cell>
        </row>
        <row r="247">
          <cell r="A247">
            <v>0</v>
          </cell>
        </row>
        <row r="248">
          <cell r="A248">
            <v>0</v>
          </cell>
        </row>
        <row r="249">
          <cell r="A249">
            <v>0</v>
          </cell>
        </row>
        <row r="250">
          <cell r="A250">
            <v>0</v>
          </cell>
        </row>
        <row r="251">
          <cell r="A251">
            <v>0</v>
          </cell>
        </row>
        <row r="252">
          <cell r="A252">
            <v>0</v>
          </cell>
        </row>
        <row r="253">
          <cell r="A253">
            <v>0</v>
          </cell>
        </row>
        <row r="254">
          <cell r="A254">
            <v>0</v>
          </cell>
        </row>
        <row r="255">
          <cell r="A255">
            <v>0</v>
          </cell>
        </row>
        <row r="256">
          <cell r="A256">
            <v>0</v>
          </cell>
        </row>
        <row r="257">
          <cell r="A257">
            <v>0</v>
          </cell>
        </row>
        <row r="258">
          <cell r="A258">
            <v>0</v>
          </cell>
        </row>
        <row r="259">
          <cell r="A259">
            <v>0</v>
          </cell>
        </row>
        <row r="260">
          <cell r="A260">
            <v>0</v>
          </cell>
        </row>
        <row r="261">
          <cell r="A261">
            <v>0</v>
          </cell>
        </row>
        <row r="262">
          <cell r="A262">
            <v>0</v>
          </cell>
        </row>
        <row r="263">
          <cell r="A263">
            <v>0</v>
          </cell>
        </row>
        <row r="264">
          <cell r="A264">
            <v>0</v>
          </cell>
        </row>
        <row r="265">
          <cell r="A265">
            <v>0</v>
          </cell>
        </row>
        <row r="266">
          <cell r="A266">
            <v>0</v>
          </cell>
        </row>
        <row r="267">
          <cell r="A267">
            <v>0</v>
          </cell>
        </row>
        <row r="268">
          <cell r="A268">
            <v>0</v>
          </cell>
        </row>
        <row r="269">
          <cell r="A269">
            <v>0</v>
          </cell>
        </row>
        <row r="270">
          <cell r="A270">
            <v>0</v>
          </cell>
        </row>
        <row r="271">
          <cell r="A271">
            <v>0</v>
          </cell>
        </row>
        <row r="272">
          <cell r="A272">
            <v>0</v>
          </cell>
        </row>
        <row r="273">
          <cell r="A273">
            <v>0</v>
          </cell>
        </row>
        <row r="274">
          <cell r="A274">
            <v>0</v>
          </cell>
        </row>
        <row r="275">
          <cell r="A275">
            <v>0</v>
          </cell>
        </row>
        <row r="276">
          <cell r="A276">
            <v>0</v>
          </cell>
        </row>
        <row r="277">
          <cell r="A277">
            <v>0</v>
          </cell>
        </row>
        <row r="278">
          <cell r="A278">
            <v>0</v>
          </cell>
        </row>
        <row r="279">
          <cell r="A279">
            <v>0</v>
          </cell>
        </row>
        <row r="280">
          <cell r="A280">
            <v>0</v>
          </cell>
        </row>
        <row r="281">
          <cell r="A281">
            <v>0</v>
          </cell>
        </row>
        <row r="282">
          <cell r="A282">
            <v>0</v>
          </cell>
        </row>
        <row r="283">
          <cell r="A283">
            <v>0</v>
          </cell>
        </row>
        <row r="284">
          <cell r="A284">
            <v>0</v>
          </cell>
        </row>
        <row r="285">
          <cell r="A285">
            <v>0</v>
          </cell>
        </row>
        <row r="286">
          <cell r="A286">
            <v>0</v>
          </cell>
        </row>
        <row r="287">
          <cell r="A287">
            <v>0</v>
          </cell>
        </row>
        <row r="288">
          <cell r="A288">
            <v>0</v>
          </cell>
        </row>
        <row r="289">
          <cell r="A289">
            <v>0</v>
          </cell>
        </row>
        <row r="290">
          <cell r="A290">
            <v>0</v>
          </cell>
        </row>
        <row r="291">
          <cell r="A291">
            <v>0</v>
          </cell>
        </row>
        <row r="292">
          <cell r="A292">
            <v>0</v>
          </cell>
        </row>
        <row r="293">
          <cell r="A293">
            <v>0</v>
          </cell>
        </row>
        <row r="294">
          <cell r="A294">
            <v>0</v>
          </cell>
        </row>
        <row r="295">
          <cell r="A295">
            <v>0</v>
          </cell>
        </row>
        <row r="296">
          <cell r="A296">
            <v>0</v>
          </cell>
        </row>
        <row r="297">
          <cell r="A297">
            <v>0</v>
          </cell>
        </row>
        <row r="298">
          <cell r="A298">
            <v>0</v>
          </cell>
        </row>
        <row r="299">
          <cell r="A299">
            <v>0</v>
          </cell>
        </row>
        <row r="300">
          <cell r="A300">
            <v>0</v>
          </cell>
        </row>
        <row r="301">
          <cell r="A301">
            <v>0</v>
          </cell>
        </row>
        <row r="302">
          <cell r="A302">
            <v>0</v>
          </cell>
        </row>
        <row r="303">
          <cell r="A303">
            <v>0</v>
          </cell>
        </row>
        <row r="304">
          <cell r="A304">
            <v>0</v>
          </cell>
        </row>
        <row r="305">
          <cell r="A305">
            <v>0</v>
          </cell>
        </row>
        <row r="306">
          <cell r="A306">
            <v>0</v>
          </cell>
        </row>
        <row r="307">
          <cell r="A307">
            <v>0</v>
          </cell>
        </row>
        <row r="308">
          <cell r="A308">
            <v>0</v>
          </cell>
        </row>
        <row r="309">
          <cell r="A309">
            <v>0</v>
          </cell>
        </row>
        <row r="310">
          <cell r="A310">
            <v>0</v>
          </cell>
        </row>
        <row r="311">
          <cell r="A311">
            <v>0</v>
          </cell>
        </row>
        <row r="312">
          <cell r="A312">
            <v>0</v>
          </cell>
        </row>
        <row r="313">
          <cell r="A313">
            <v>0</v>
          </cell>
        </row>
        <row r="314">
          <cell r="A314">
            <v>0</v>
          </cell>
        </row>
        <row r="315">
          <cell r="A315">
            <v>0</v>
          </cell>
        </row>
        <row r="316">
          <cell r="A316">
            <v>0</v>
          </cell>
        </row>
        <row r="317">
          <cell r="A317">
            <v>0</v>
          </cell>
        </row>
        <row r="318">
          <cell r="A318">
            <v>0</v>
          </cell>
        </row>
        <row r="319">
          <cell r="A319">
            <v>0</v>
          </cell>
        </row>
        <row r="320">
          <cell r="A320">
            <v>0</v>
          </cell>
        </row>
        <row r="321">
          <cell r="A321">
            <v>0</v>
          </cell>
        </row>
        <row r="322">
          <cell r="A322">
            <v>0</v>
          </cell>
        </row>
        <row r="323">
          <cell r="A323">
            <v>0</v>
          </cell>
        </row>
        <row r="324">
          <cell r="A324">
            <v>0</v>
          </cell>
        </row>
        <row r="325">
          <cell r="A325">
            <v>0</v>
          </cell>
        </row>
        <row r="326">
          <cell r="A326">
            <v>0</v>
          </cell>
        </row>
        <row r="327">
          <cell r="A327">
            <v>0</v>
          </cell>
        </row>
        <row r="328">
          <cell r="A328">
            <v>0</v>
          </cell>
        </row>
        <row r="329">
          <cell r="A329">
            <v>0</v>
          </cell>
        </row>
        <row r="330">
          <cell r="A330">
            <v>0</v>
          </cell>
        </row>
        <row r="331">
          <cell r="A331">
            <v>0</v>
          </cell>
        </row>
        <row r="332">
          <cell r="A332">
            <v>0</v>
          </cell>
        </row>
        <row r="333">
          <cell r="A333">
            <v>0</v>
          </cell>
        </row>
        <row r="334">
          <cell r="A334">
            <v>0</v>
          </cell>
        </row>
        <row r="335">
          <cell r="A335">
            <v>0</v>
          </cell>
        </row>
        <row r="336">
          <cell r="A336">
            <v>0</v>
          </cell>
        </row>
        <row r="337">
          <cell r="A337">
            <v>0</v>
          </cell>
        </row>
        <row r="338">
          <cell r="A338">
            <v>0</v>
          </cell>
        </row>
        <row r="339">
          <cell r="A339">
            <v>0</v>
          </cell>
        </row>
        <row r="340">
          <cell r="A340">
            <v>0</v>
          </cell>
        </row>
        <row r="341">
          <cell r="A341">
            <v>0</v>
          </cell>
        </row>
        <row r="342">
          <cell r="A342">
            <v>0</v>
          </cell>
        </row>
        <row r="343">
          <cell r="A343">
            <v>0</v>
          </cell>
        </row>
        <row r="344">
          <cell r="A344">
            <v>0</v>
          </cell>
        </row>
        <row r="345">
          <cell r="A345">
            <v>0</v>
          </cell>
        </row>
        <row r="346">
          <cell r="A346">
            <v>0</v>
          </cell>
        </row>
        <row r="347">
          <cell r="A347">
            <v>0</v>
          </cell>
        </row>
        <row r="348">
          <cell r="A348">
            <v>0</v>
          </cell>
        </row>
        <row r="349">
          <cell r="A349">
            <v>0</v>
          </cell>
        </row>
        <row r="350">
          <cell r="A350">
            <v>0</v>
          </cell>
        </row>
        <row r="351">
          <cell r="A351">
            <v>0</v>
          </cell>
        </row>
        <row r="352">
          <cell r="A352">
            <v>0</v>
          </cell>
        </row>
        <row r="353">
          <cell r="A353">
            <v>0</v>
          </cell>
        </row>
        <row r="354">
          <cell r="A354">
            <v>0</v>
          </cell>
        </row>
        <row r="355">
          <cell r="A355">
            <v>0</v>
          </cell>
        </row>
        <row r="356">
          <cell r="A356">
            <v>0</v>
          </cell>
        </row>
        <row r="357">
          <cell r="A357">
            <v>0</v>
          </cell>
        </row>
        <row r="358">
          <cell r="A358">
            <v>0</v>
          </cell>
        </row>
        <row r="359">
          <cell r="A359">
            <v>0</v>
          </cell>
        </row>
        <row r="360">
          <cell r="A360">
            <v>0</v>
          </cell>
        </row>
        <row r="361">
          <cell r="A361">
            <v>0</v>
          </cell>
        </row>
        <row r="362">
          <cell r="A362">
            <v>0</v>
          </cell>
        </row>
        <row r="363">
          <cell r="A363">
            <v>0</v>
          </cell>
        </row>
        <row r="364">
          <cell r="A364">
            <v>0</v>
          </cell>
        </row>
        <row r="365">
          <cell r="A365">
            <v>0</v>
          </cell>
        </row>
        <row r="366">
          <cell r="A366">
            <v>0</v>
          </cell>
        </row>
        <row r="367">
          <cell r="A367">
            <v>0</v>
          </cell>
        </row>
        <row r="368">
          <cell r="A368">
            <v>0</v>
          </cell>
        </row>
        <row r="369">
          <cell r="A369">
            <v>0</v>
          </cell>
        </row>
        <row r="370">
          <cell r="A370">
            <v>0</v>
          </cell>
        </row>
        <row r="371">
          <cell r="A371">
            <v>0</v>
          </cell>
        </row>
        <row r="372">
          <cell r="A372">
            <v>0</v>
          </cell>
        </row>
        <row r="373">
          <cell r="A373">
            <v>0</v>
          </cell>
        </row>
        <row r="374">
          <cell r="A374">
            <v>0</v>
          </cell>
        </row>
        <row r="375">
          <cell r="A375">
            <v>0</v>
          </cell>
        </row>
        <row r="376">
          <cell r="A376">
            <v>0</v>
          </cell>
        </row>
        <row r="377">
          <cell r="A377">
            <v>0</v>
          </cell>
        </row>
        <row r="378">
          <cell r="A378">
            <v>0</v>
          </cell>
        </row>
        <row r="379">
          <cell r="A379">
            <v>0</v>
          </cell>
        </row>
        <row r="380">
          <cell r="A380">
            <v>0</v>
          </cell>
        </row>
        <row r="381">
          <cell r="A381">
            <v>0</v>
          </cell>
        </row>
        <row r="382">
          <cell r="A382">
            <v>0</v>
          </cell>
        </row>
        <row r="383">
          <cell r="A383">
            <v>0</v>
          </cell>
        </row>
        <row r="384">
          <cell r="A384">
            <v>0</v>
          </cell>
        </row>
        <row r="385">
          <cell r="A385">
            <v>0</v>
          </cell>
        </row>
        <row r="386">
          <cell r="A386">
            <v>0</v>
          </cell>
        </row>
        <row r="387">
          <cell r="A387">
            <v>0</v>
          </cell>
        </row>
        <row r="388">
          <cell r="A388">
            <v>0</v>
          </cell>
        </row>
        <row r="389">
          <cell r="A389">
            <v>0</v>
          </cell>
        </row>
        <row r="390">
          <cell r="A390">
            <v>0</v>
          </cell>
        </row>
        <row r="391">
          <cell r="A391">
            <v>0</v>
          </cell>
        </row>
        <row r="392">
          <cell r="A392">
            <v>0</v>
          </cell>
        </row>
        <row r="393">
          <cell r="A393">
            <v>0</v>
          </cell>
        </row>
        <row r="394">
          <cell r="A394">
            <v>0</v>
          </cell>
        </row>
        <row r="395">
          <cell r="A395">
            <v>0</v>
          </cell>
        </row>
        <row r="396">
          <cell r="A396">
            <v>0</v>
          </cell>
        </row>
        <row r="397">
          <cell r="A397">
            <v>0</v>
          </cell>
        </row>
        <row r="398">
          <cell r="A398">
            <v>0</v>
          </cell>
        </row>
        <row r="399">
          <cell r="A399">
            <v>0</v>
          </cell>
        </row>
        <row r="400">
          <cell r="A400">
            <v>0</v>
          </cell>
        </row>
        <row r="401">
          <cell r="A401">
            <v>0</v>
          </cell>
        </row>
        <row r="402">
          <cell r="A402">
            <v>0</v>
          </cell>
        </row>
        <row r="403">
          <cell r="A403">
            <v>0</v>
          </cell>
        </row>
        <row r="404">
          <cell r="A404">
            <v>0</v>
          </cell>
        </row>
        <row r="405">
          <cell r="A405">
            <v>0</v>
          </cell>
        </row>
        <row r="406">
          <cell r="A406">
            <v>0</v>
          </cell>
        </row>
        <row r="407">
          <cell r="A407">
            <v>0</v>
          </cell>
        </row>
        <row r="408">
          <cell r="A408">
            <v>0</v>
          </cell>
        </row>
        <row r="409">
          <cell r="A409">
            <v>0</v>
          </cell>
        </row>
        <row r="410">
          <cell r="A410">
            <v>0</v>
          </cell>
        </row>
        <row r="411">
          <cell r="A411">
            <v>0</v>
          </cell>
        </row>
        <row r="412">
          <cell r="A412">
            <v>0</v>
          </cell>
        </row>
        <row r="413">
          <cell r="A413">
            <v>0</v>
          </cell>
        </row>
        <row r="414">
          <cell r="A414">
            <v>0</v>
          </cell>
        </row>
        <row r="415">
          <cell r="A415">
            <v>0</v>
          </cell>
        </row>
        <row r="416">
          <cell r="A416">
            <v>0</v>
          </cell>
        </row>
        <row r="417">
          <cell r="A417">
            <v>0</v>
          </cell>
        </row>
        <row r="418">
          <cell r="A418">
            <v>0</v>
          </cell>
        </row>
        <row r="419">
          <cell r="A419">
            <v>0</v>
          </cell>
        </row>
        <row r="420">
          <cell r="A420">
            <v>0</v>
          </cell>
        </row>
        <row r="421">
          <cell r="A421">
            <v>0</v>
          </cell>
        </row>
        <row r="422">
          <cell r="A422">
            <v>0</v>
          </cell>
        </row>
        <row r="423">
          <cell r="A423">
            <v>0</v>
          </cell>
        </row>
        <row r="424">
          <cell r="A424">
            <v>0</v>
          </cell>
        </row>
        <row r="425">
          <cell r="A425">
            <v>0</v>
          </cell>
        </row>
        <row r="426">
          <cell r="A426">
            <v>0</v>
          </cell>
        </row>
        <row r="427">
          <cell r="A427">
            <v>0</v>
          </cell>
        </row>
        <row r="428">
          <cell r="A428">
            <v>0</v>
          </cell>
        </row>
        <row r="429">
          <cell r="A429">
            <v>0</v>
          </cell>
        </row>
        <row r="430">
          <cell r="A430">
            <v>0</v>
          </cell>
        </row>
        <row r="431">
          <cell r="A431">
            <v>0</v>
          </cell>
        </row>
        <row r="432">
          <cell r="A432">
            <v>0</v>
          </cell>
        </row>
        <row r="433">
          <cell r="A433">
            <v>0</v>
          </cell>
        </row>
        <row r="434">
          <cell r="A434">
            <v>0</v>
          </cell>
        </row>
        <row r="435">
          <cell r="A435">
            <v>0</v>
          </cell>
        </row>
        <row r="436">
          <cell r="A436">
            <v>0</v>
          </cell>
        </row>
        <row r="437">
          <cell r="A437">
            <v>0</v>
          </cell>
        </row>
        <row r="438">
          <cell r="A438">
            <v>0</v>
          </cell>
        </row>
        <row r="439">
          <cell r="A439">
            <v>0</v>
          </cell>
        </row>
        <row r="440">
          <cell r="A440">
            <v>0</v>
          </cell>
        </row>
        <row r="441">
          <cell r="A441">
            <v>0</v>
          </cell>
        </row>
        <row r="442">
          <cell r="A442">
            <v>0</v>
          </cell>
        </row>
        <row r="443">
          <cell r="A443">
            <v>0</v>
          </cell>
        </row>
        <row r="444">
          <cell r="A444">
            <v>0</v>
          </cell>
        </row>
        <row r="445">
          <cell r="A445">
            <v>0</v>
          </cell>
        </row>
        <row r="446">
          <cell r="A446">
            <v>0</v>
          </cell>
        </row>
        <row r="447">
          <cell r="A447">
            <v>0</v>
          </cell>
        </row>
        <row r="448">
          <cell r="A448">
            <v>0</v>
          </cell>
        </row>
        <row r="449">
          <cell r="A449">
            <v>0</v>
          </cell>
        </row>
        <row r="450">
          <cell r="A450">
            <v>0</v>
          </cell>
        </row>
        <row r="451">
          <cell r="A451">
            <v>0</v>
          </cell>
        </row>
        <row r="452">
          <cell r="A452">
            <v>0</v>
          </cell>
        </row>
        <row r="453">
          <cell r="A453">
            <v>0</v>
          </cell>
        </row>
        <row r="454">
          <cell r="A454">
            <v>0</v>
          </cell>
        </row>
        <row r="455">
          <cell r="A455">
            <v>0</v>
          </cell>
        </row>
        <row r="456">
          <cell r="A456">
            <v>0</v>
          </cell>
        </row>
        <row r="457">
          <cell r="A457">
            <v>0</v>
          </cell>
        </row>
        <row r="458">
          <cell r="A458">
            <v>0</v>
          </cell>
        </row>
        <row r="459">
          <cell r="A459">
            <v>0</v>
          </cell>
        </row>
        <row r="460">
          <cell r="A460">
            <v>0</v>
          </cell>
        </row>
        <row r="461">
          <cell r="A461">
            <v>0</v>
          </cell>
        </row>
        <row r="462">
          <cell r="A462">
            <v>0</v>
          </cell>
        </row>
        <row r="463">
          <cell r="A463">
            <v>0</v>
          </cell>
        </row>
        <row r="464">
          <cell r="A464">
            <v>0</v>
          </cell>
        </row>
        <row r="465">
          <cell r="A465">
            <v>0</v>
          </cell>
        </row>
        <row r="466">
          <cell r="A466">
            <v>0</v>
          </cell>
        </row>
        <row r="467">
          <cell r="A467">
            <v>0</v>
          </cell>
        </row>
        <row r="468">
          <cell r="A468">
            <v>0</v>
          </cell>
        </row>
        <row r="469">
          <cell r="A469">
            <v>0</v>
          </cell>
        </row>
        <row r="470">
          <cell r="A470">
            <v>0</v>
          </cell>
        </row>
        <row r="471">
          <cell r="A471">
            <v>0</v>
          </cell>
        </row>
        <row r="472">
          <cell r="A472">
            <v>0</v>
          </cell>
        </row>
        <row r="473">
          <cell r="A473">
            <v>0</v>
          </cell>
        </row>
        <row r="474">
          <cell r="A474">
            <v>0</v>
          </cell>
        </row>
        <row r="475">
          <cell r="A475">
            <v>0</v>
          </cell>
        </row>
        <row r="476">
          <cell r="A476">
            <v>0</v>
          </cell>
        </row>
        <row r="477">
          <cell r="A477">
            <v>0</v>
          </cell>
        </row>
        <row r="478">
          <cell r="A478">
            <v>0</v>
          </cell>
        </row>
        <row r="479">
          <cell r="A479">
            <v>0</v>
          </cell>
        </row>
        <row r="480">
          <cell r="A480">
            <v>0</v>
          </cell>
        </row>
        <row r="481">
          <cell r="A481">
            <v>0</v>
          </cell>
        </row>
        <row r="482">
          <cell r="A482">
            <v>0</v>
          </cell>
        </row>
        <row r="483">
          <cell r="A483">
            <v>0</v>
          </cell>
        </row>
        <row r="484">
          <cell r="A484">
            <v>0</v>
          </cell>
        </row>
        <row r="485">
          <cell r="A485">
            <v>0</v>
          </cell>
        </row>
        <row r="486">
          <cell r="A486">
            <v>0</v>
          </cell>
        </row>
        <row r="487">
          <cell r="A487">
            <v>0</v>
          </cell>
        </row>
        <row r="488">
          <cell r="A488">
            <v>0</v>
          </cell>
        </row>
        <row r="489">
          <cell r="A489">
            <v>0</v>
          </cell>
        </row>
        <row r="490">
          <cell r="A490">
            <v>0</v>
          </cell>
        </row>
        <row r="491">
          <cell r="A491">
            <v>0</v>
          </cell>
        </row>
        <row r="492">
          <cell r="A492">
            <v>0</v>
          </cell>
        </row>
        <row r="493">
          <cell r="A493">
            <v>0</v>
          </cell>
        </row>
        <row r="494">
          <cell r="A494">
            <v>0</v>
          </cell>
        </row>
        <row r="495">
          <cell r="A495">
            <v>0</v>
          </cell>
        </row>
        <row r="496">
          <cell r="A496">
            <v>0</v>
          </cell>
        </row>
        <row r="497">
          <cell r="A497">
            <v>0</v>
          </cell>
        </row>
        <row r="498">
          <cell r="A498">
            <v>0</v>
          </cell>
        </row>
        <row r="499">
          <cell r="A499">
            <v>0</v>
          </cell>
        </row>
        <row r="500">
          <cell r="A500">
            <v>0</v>
          </cell>
        </row>
        <row r="501">
          <cell r="A501">
            <v>0</v>
          </cell>
        </row>
        <row r="502">
          <cell r="A502">
            <v>0</v>
          </cell>
        </row>
        <row r="503">
          <cell r="A503">
            <v>0</v>
          </cell>
        </row>
        <row r="504">
          <cell r="A504">
            <v>0</v>
          </cell>
        </row>
        <row r="505">
          <cell r="A505">
            <v>0</v>
          </cell>
        </row>
        <row r="506">
          <cell r="A506">
            <v>0</v>
          </cell>
        </row>
        <row r="507">
          <cell r="A507">
            <v>0</v>
          </cell>
        </row>
        <row r="508">
          <cell r="A508">
            <v>0</v>
          </cell>
        </row>
        <row r="509">
          <cell r="A509">
            <v>0</v>
          </cell>
        </row>
        <row r="510">
          <cell r="A510">
            <v>0</v>
          </cell>
        </row>
        <row r="511">
          <cell r="A511">
            <v>0</v>
          </cell>
        </row>
        <row r="512">
          <cell r="A512">
            <v>0</v>
          </cell>
        </row>
        <row r="513">
          <cell r="A513">
            <v>0</v>
          </cell>
        </row>
        <row r="514">
          <cell r="A514">
            <v>0</v>
          </cell>
        </row>
        <row r="515">
          <cell r="A515">
            <v>0</v>
          </cell>
        </row>
        <row r="516">
          <cell r="A516">
            <v>0</v>
          </cell>
        </row>
        <row r="517">
          <cell r="A517">
            <v>0</v>
          </cell>
        </row>
        <row r="518">
          <cell r="A518">
            <v>0</v>
          </cell>
        </row>
        <row r="519">
          <cell r="A519">
            <v>0</v>
          </cell>
        </row>
        <row r="520">
          <cell r="A520">
            <v>0</v>
          </cell>
        </row>
        <row r="521">
          <cell r="A521">
            <v>0</v>
          </cell>
        </row>
        <row r="522">
          <cell r="A522">
            <v>0</v>
          </cell>
        </row>
        <row r="523">
          <cell r="A523">
            <v>0</v>
          </cell>
        </row>
        <row r="524">
          <cell r="A524">
            <v>0</v>
          </cell>
        </row>
        <row r="525">
          <cell r="A525">
            <v>0</v>
          </cell>
        </row>
        <row r="526">
          <cell r="A526">
            <v>0</v>
          </cell>
        </row>
        <row r="527">
          <cell r="A527">
            <v>0</v>
          </cell>
        </row>
        <row r="528">
          <cell r="A528">
            <v>0</v>
          </cell>
        </row>
        <row r="529">
          <cell r="A529">
            <v>0</v>
          </cell>
        </row>
        <row r="530">
          <cell r="A530">
            <v>0</v>
          </cell>
        </row>
        <row r="531">
          <cell r="A531">
            <v>0</v>
          </cell>
        </row>
        <row r="532">
          <cell r="A532">
            <v>0</v>
          </cell>
        </row>
        <row r="533">
          <cell r="A533">
            <v>0</v>
          </cell>
        </row>
        <row r="534">
          <cell r="A534">
            <v>0</v>
          </cell>
        </row>
        <row r="535">
          <cell r="A535">
            <v>0</v>
          </cell>
        </row>
        <row r="536">
          <cell r="A536">
            <v>0</v>
          </cell>
        </row>
        <row r="537">
          <cell r="A537">
            <v>0</v>
          </cell>
        </row>
        <row r="538">
          <cell r="A538">
            <v>0</v>
          </cell>
        </row>
        <row r="539">
          <cell r="A539">
            <v>0</v>
          </cell>
        </row>
        <row r="540">
          <cell r="A540">
            <v>0</v>
          </cell>
        </row>
        <row r="541">
          <cell r="A541">
            <v>0</v>
          </cell>
        </row>
        <row r="542">
          <cell r="A542">
            <v>0</v>
          </cell>
        </row>
        <row r="543">
          <cell r="A543">
            <v>0</v>
          </cell>
        </row>
        <row r="544">
          <cell r="A544">
            <v>0</v>
          </cell>
        </row>
        <row r="545">
          <cell r="A545">
            <v>0</v>
          </cell>
        </row>
        <row r="546">
          <cell r="A546">
            <v>0</v>
          </cell>
        </row>
        <row r="547">
          <cell r="A547">
            <v>0</v>
          </cell>
        </row>
        <row r="548">
          <cell r="A548">
            <v>0</v>
          </cell>
        </row>
        <row r="549">
          <cell r="A549">
            <v>0</v>
          </cell>
        </row>
        <row r="550">
          <cell r="A550">
            <v>0</v>
          </cell>
        </row>
        <row r="551">
          <cell r="A551">
            <v>0</v>
          </cell>
        </row>
        <row r="552">
          <cell r="A552">
            <v>0</v>
          </cell>
        </row>
        <row r="553">
          <cell r="A553">
            <v>0</v>
          </cell>
        </row>
        <row r="554">
          <cell r="A554">
            <v>0</v>
          </cell>
        </row>
        <row r="555">
          <cell r="A555">
            <v>0</v>
          </cell>
        </row>
        <row r="556">
          <cell r="A556">
            <v>0</v>
          </cell>
        </row>
        <row r="557">
          <cell r="A557">
            <v>0</v>
          </cell>
        </row>
        <row r="558">
          <cell r="A558">
            <v>0</v>
          </cell>
        </row>
        <row r="559">
          <cell r="A559">
            <v>0</v>
          </cell>
        </row>
        <row r="560">
          <cell r="A560">
            <v>0</v>
          </cell>
        </row>
        <row r="561">
          <cell r="A561">
            <v>0</v>
          </cell>
        </row>
        <row r="562">
          <cell r="A562">
            <v>0</v>
          </cell>
        </row>
        <row r="563">
          <cell r="A563">
            <v>0</v>
          </cell>
        </row>
        <row r="564">
          <cell r="A564">
            <v>0</v>
          </cell>
        </row>
        <row r="565">
          <cell r="A565">
            <v>0</v>
          </cell>
        </row>
        <row r="566">
          <cell r="A566">
            <v>0</v>
          </cell>
        </row>
        <row r="567">
          <cell r="A567">
            <v>0</v>
          </cell>
        </row>
        <row r="568">
          <cell r="A568">
            <v>0</v>
          </cell>
        </row>
        <row r="569">
          <cell r="A569">
            <v>0</v>
          </cell>
        </row>
        <row r="570">
          <cell r="A570">
            <v>0</v>
          </cell>
        </row>
        <row r="571">
          <cell r="A571">
            <v>0</v>
          </cell>
        </row>
        <row r="572">
          <cell r="A572">
            <v>0</v>
          </cell>
        </row>
        <row r="573">
          <cell r="A573">
            <v>0</v>
          </cell>
        </row>
        <row r="574">
          <cell r="A574">
            <v>0</v>
          </cell>
        </row>
        <row r="575">
          <cell r="A575">
            <v>0</v>
          </cell>
        </row>
        <row r="576">
          <cell r="A576">
            <v>0</v>
          </cell>
        </row>
        <row r="577">
          <cell r="A577">
            <v>0</v>
          </cell>
        </row>
        <row r="578">
          <cell r="A578">
            <v>0</v>
          </cell>
        </row>
        <row r="579">
          <cell r="A579">
            <v>0</v>
          </cell>
        </row>
        <row r="580">
          <cell r="A580">
            <v>0</v>
          </cell>
        </row>
        <row r="581">
          <cell r="A581">
            <v>0</v>
          </cell>
        </row>
        <row r="582">
          <cell r="A582">
            <v>0</v>
          </cell>
        </row>
        <row r="583">
          <cell r="A583">
            <v>0</v>
          </cell>
        </row>
        <row r="584">
          <cell r="A584">
            <v>0</v>
          </cell>
        </row>
        <row r="585">
          <cell r="A585">
            <v>0</v>
          </cell>
        </row>
        <row r="586">
          <cell r="A586">
            <v>0</v>
          </cell>
        </row>
        <row r="587">
          <cell r="A587">
            <v>0</v>
          </cell>
        </row>
        <row r="588">
          <cell r="A588">
            <v>0</v>
          </cell>
        </row>
        <row r="589">
          <cell r="A589">
            <v>0</v>
          </cell>
        </row>
        <row r="590">
          <cell r="A590">
            <v>0</v>
          </cell>
        </row>
        <row r="591">
          <cell r="A591">
            <v>0</v>
          </cell>
        </row>
        <row r="592">
          <cell r="A592">
            <v>0</v>
          </cell>
        </row>
        <row r="593">
          <cell r="A593">
            <v>0</v>
          </cell>
        </row>
        <row r="594">
          <cell r="A594">
            <v>0</v>
          </cell>
        </row>
        <row r="595">
          <cell r="A595">
            <v>0</v>
          </cell>
        </row>
        <row r="596">
          <cell r="A596">
            <v>0</v>
          </cell>
        </row>
        <row r="597">
          <cell r="A597">
            <v>0</v>
          </cell>
        </row>
        <row r="598">
          <cell r="A598">
            <v>0</v>
          </cell>
        </row>
        <row r="599">
          <cell r="A599">
            <v>0</v>
          </cell>
        </row>
        <row r="600">
          <cell r="A600">
            <v>0</v>
          </cell>
        </row>
        <row r="601">
          <cell r="A601">
            <v>0</v>
          </cell>
        </row>
        <row r="602">
          <cell r="A602">
            <v>0</v>
          </cell>
        </row>
        <row r="603">
          <cell r="A603">
            <v>0</v>
          </cell>
        </row>
        <row r="604">
          <cell r="A604">
            <v>0</v>
          </cell>
        </row>
        <row r="605">
          <cell r="A605">
            <v>0</v>
          </cell>
        </row>
        <row r="606">
          <cell r="A606">
            <v>0</v>
          </cell>
        </row>
        <row r="607">
          <cell r="A607">
            <v>0</v>
          </cell>
        </row>
        <row r="608">
          <cell r="A608">
            <v>0</v>
          </cell>
        </row>
        <row r="609">
          <cell r="A609">
            <v>0</v>
          </cell>
        </row>
        <row r="610">
          <cell r="A610">
            <v>0</v>
          </cell>
        </row>
        <row r="611">
          <cell r="A611">
            <v>0</v>
          </cell>
        </row>
        <row r="612">
          <cell r="A612">
            <v>0</v>
          </cell>
        </row>
        <row r="613">
          <cell r="A613">
            <v>0</v>
          </cell>
        </row>
        <row r="614">
          <cell r="A614">
            <v>0</v>
          </cell>
        </row>
        <row r="615">
          <cell r="A615">
            <v>0</v>
          </cell>
        </row>
        <row r="616">
          <cell r="A616">
            <v>0</v>
          </cell>
        </row>
        <row r="617">
          <cell r="A617">
            <v>0</v>
          </cell>
        </row>
        <row r="618">
          <cell r="A618">
            <v>0</v>
          </cell>
        </row>
        <row r="619">
          <cell r="A619">
            <v>0</v>
          </cell>
        </row>
        <row r="620">
          <cell r="A620">
            <v>0</v>
          </cell>
        </row>
        <row r="621">
          <cell r="A621">
            <v>0</v>
          </cell>
        </row>
        <row r="622">
          <cell r="A622">
            <v>0</v>
          </cell>
        </row>
        <row r="623">
          <cell r="A623">
            <v>0</v>
          </cell>
        </row>
        <row r="624">
          <cell r="A624">
            <v>0</v>
          </cell>
        </row>
        <row r="625">
          <cell r="A625">
            <v>0</v>
          </cell>
        </row>
        <row r="626">
          <cell r="A626">
            <v>0</v>
          </cell>
        </row>
        <row r="627">
          <cell r="A627">
            <v>0</v>
          </cell>
        </row>
        <row r="628">
          <cell r="A628">
            <v>0</v>
          </cell>
        </row>
        <row r="629">
          <cell r="A629">
            <v>0</v>
          </cell>
        </row>
        <row r="630">
          <cell r="A630">
            <v>0</v>
          </cell>
        </row>
        <row r="631">
          <cell r="A631">
            <v>0</v>
          </cell>
        </row>
        <row r="632">
          <cell r="A632">
            <v>0</v>
          </cell>
        </row>
        <row r="633">
          <cell r="A633">
            <v>0</v>
          </cell>
        </row>
        <row r="634">
          <cell r="A634">
            <v>0</v>
          </cell>
        </row>
        <row r="635">
          <cell r="A635">
            <v>0</v>
          </cell>
        </row>
        <row r="636">
          <cell r="A636">
            <v>0</v>
          </cell>
        </row>
        <row r="637">
          <cell r="A637">
            <v>0</v>
          </cell>
        </row>
        <row r="638">
          <cell r="A638">
            <v>0</v>
          </cell>
        </row>
        <row r="639">
          <cell r="A639">
            <v>0</v>
          </cell>
        </row>
        <row r="640">
          <cell r="A640">
            <v>0</v>
          </cell>
        </row>
        <row r="641">
          <cell r="A641">
            <v>0</v>
          </cell>
        </row>
        <row r="642">
          <cell r="A642">
            <v>0</v>
          </cell>
        </row>
        <row r="643">
          <cell r="A643">
            <v>0</v>
          </cell>
        </row>
        <row r="644">
          <cell r="A644">
            <v>0</v>
          </cell>
        </row>
        <row r="645">
          <cell r="A645">
            <v>0</v>
          </cell>
        </row>
        <row r="646">
          <cell r="A646">
            <v>0</v>
          </cell>
        </row>
        <row r="647">
          <cell r="A647">
            <v>0</v>
          </cell>
        </row>
        <row r="648">
          <cell r="A648">
            <v>0</v>
          </cell>
        </row>
        <row r="649">
          <cell r="A649">
            <v>0</v>
          </cell>
        </row>
        <row r="650">
          <cell r="A650">
            <v>0</v>
          </cell>
        </row>
        <row r="651">
          <cell r="A651">
            <v>0</v>
          </cell>
        </row>
        <row r="652">
          <cell r="A652">
            <v>0</v>
          </cell>
        </row>
        <row r="653">
          <cell r="A653">
            <v>0</v>
          </cell>
        </row>
        <row r="654">
          <cell r="A654">
            <v>0</v>
          </cell>
        </row>
      </sheetData>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onstants"/>
      <sheetName val="DC FC Capacity Effect"/>
      <sheetName val="Hydrogen Capacity Effect"/>
      <sheetName val="DC FC Station Revenue"/>
      <sheetName val="Hydrogen Station Revenue"/>
      <sheetName val="CI Effect "/>
      <sheetName val="Delay Rationale"/>
    </sheetNames>
    <sheetDataSet>
      <sheetData sheetId="0"/>
      <sheetData sheetId="1">
        <row r="7">
          <cell r="D7">
            <v>120</v>
          </cell>
        </row>
        <row r="8">
          <cell r="D8">
            <v>2.5</v>
          </cell>
        </row>
        <row r="9">
          <cell r="D9">
            <v>1.9</v>
          </cell>
        </row>
        <row r="12">
          <cell r="D12">
            <v>91</v>
          </cell>
        </row>
        <row r="13">
          <cell r="D13">
            <v>0.98</v>
          </cell>
        </row>
        <row r="14">
          <cell r="D14">
            <v>150</v>
          </cell>
        </row>
        <row r="15">
          <cell r="D15">
            <v>1200</v>
          </cell>
        </row>
        <row r="34">
          <cell r="D34">
            <v>900</v>
          </cell>
        </row>
      </sheetData>
      <sheetData sheetId="2"/>
      <sheetData sheetId="3">
        <row r="8">
          <cell r="E8">
            <v>0.37017023729045995</v>
          </cell>
          <cell r="F8">
            <v>0.43380222256424705</v>
          </cell>
          <cell r="G8">
            <v>0.49161442271716499</v>
          </cell>
          <cell r="H8">
            <v>0.54151179618931256</v>
          </cell>
          <cell r="I8">
            <v>0.57549747859359035</v>
          </cell>
          <cell r="J8">
            <v>0.6036128349964871</v>
          </cell>
          <cell r="K8">
            <v>0.62799042472641409</v>
          </cell>
          <cell r="L8">
            <v>0.65369346255062311</v>
          </cell>
          <cell r="M8">
            <v>0.6820689192943703</v>
          </cell>
          <cell r="N8">
            <v>0.70478468739620237</v>
          </cell>
          <cell r="O8">
            <v>0.73411866642011825</v>
          </cell>
          <cell r="P8">
            <v>0.75702710343024515</v>
          </cell>
        </row>
        <row r="60">
          <cell r="E60">
            <v>55685.840600526375</v>
          </cell>
          <cell r="F60">
            <v>64306.771638641156</v>
          </cell>
          <cell r="G60">
            <v>56886.635319107569</v>
          </cell>
          <cell r="H60">
            <v>49753.818614364187</v>
          </cell>
          <cell r="I60">
            <v>42908.321524410938</v>
          </cell>
          <cell r="J60">
            <v>36350.144049247887</v>
          </cell>
          <cell r="K60">
            <v>30079.286188875012</v>
          </cell>
          <cell r="L60">
            <v>29110.041515249992</v>
          </cell>
          <cell r="M60">
            <v>28144.151412749998</v>
          </cell>
          <cell r="N60">
            <v>27182.519482814983</v>
          </cell>
          <cell r="O60">
            <v>26226.026619064185</v>
          </cell>
          <cell r="P60">
            <v>25275.531554168254</v>
          </cell>
        </row>
      </sheetData>
      <sheetData sheetId="4"/>
      <sheetData sheetId="5"/>
      <sheetData sheetId="6"/>
      <sheetData sheetId="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_rels/sheet8.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drawing" Target="../drawings/drawing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783456-C127-404D-8A67-1F182BF52C04}">
  <sheetPr codeName="Sheet1"/>
  <dimension ref="A1"/>
  <sheetViews>
    <sheetView workbookViewId="0">
      <selection activeCell="B2" sqref="B2"/>
    </sheetView>
  </sheetViews>
  <sheetFormatPr baseColWidth="10" defaultRowHeight="15"/>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18C414A-5108-3A4D-8C31-2B0038714665}">
  <dimension ref="C4:Q55"/>
  <sheetViews>
    <sheetView workbookViewId="0">
      <selection activeCell="H52" sqref="H52:H54"/>
    </sheetView>
  </sheetViews>
  <sheetFormatPr baseColWidth="10" defaultRowHeight="15"/>
  <cols>
    <col min="3" max="3" width="46.33203125" customWidth="1"/>
    <col min="4" max="4" width="12.83203125" bestFit="1" customWidth="1"/>
    <col min="6" max="12" width="11.1640625" bestFit="1" customWidth="1"/>
  </cols>
  <sheetData>
    <row r="4" spans="3:17" ht="19">
      <c r="C4" s="75"/>
      <c r="D4" s="75"/>
      <c r="E4" s="75"/>
      <c r="F4" s="75"/>
      <c r="G4" s="75"/>
      <c r="H4" s="75"/>
      <c r="I4" s="75"/>
      <c r="J4" s="75"/>
      <c r="K4" s="75"/>
      <c r="L4" s="75"/>
      <c r="M4" s="75"/>
      <c r="N4" s="75"/>
      <c r="O4" s="75"/>
      <c r="P4" s="75"/>
      <c r="Q4" s="75"/>
    </row>
    <row r="5" spans="3:17" ht="19">
      <c r="C5" s="76" t="s">
        <v>36</v>
      </c>
      <c r="D5" s="75"/>
      <c r="E5" s="75"/>
      <c r="F5" s="75"/>
      <c r="G5" s="75"/>
      <c r="H5" s="75"/>
      <c r="I5" s="75"/>
      <c r="J5" s="75"/>
      <c r="K5" s="75"/>
      <c r="L5" s="75"/>
      <c r="M5" s="75"/>
      <c r="N5" s="75"/>
      <c r="O5" s="75"/>
      <c r="P5" s="75"/>
      <c r="Q5" s="75"/>
    </row>
    <row r="6" spans="3:17" ht="19">
      <c r="C6" s="75"/>
      <c r="D6" s="75"/>
      <c r="E6" s="75"/>
      <c r="F6" s="75"/>
      <c r="G6" s="75"/>
      <c r="H6" s="75"/>
      <c r="I6" s="75"/>
      <c r="J6" s="75"/>
      <c r="K6" s="75"/>
      <c r="L6" s="75"/>
      <c r="M6" s="75"/>
      <c r="N6" s="75"/>
      <c r="O6" s="75"/>
      <c r="P6" s="75"/>
      <c r="Q6" s="75"/>
    </row>
    <row r="7" spans="3:17" ht="19">
      <c r="C7" s="75" t="s">
        <v>22</v>
      </c>
      <c r="D7" s="79">
        <v>120</v>
      </c>
      <c r="E7" s="75" t="s">
        <v>23</v>
      </c>
      <c r="F7" s="75"/>
      <c r="G7" s="75"/>
      <c r="H7" s="75"/>
      <c r="I7" s="75"/>
      <c r="J7" s="75"/>
      <c r="K7" s="75"/>
      <c r="L7" s="75"/>
      <c r="M7" s="75"/>
      <c r="N7" s="75"/>
      <c r="O7" s="75"/>
      <c r="P7" s="75"/>
      <c r="Q7" s="75"/>
    </row>
    <row r="8" spans="3:17" ht="19">
      <c r="C8" s="75" t="s">
        <v>132</v>
      </c>
      <c r="D8" s="79">
        <v>2.5</v>
      </c>
      <c r="E8" s="75"/>
      <c r="F8" s="75"/>
      <c r="G8" s="75"/>
      <c r="H8" s="75"/>
      <c r="I8" s="75"/>
      <c r="J8" s="75"/>
      <c r="K8" s="75"/>
      <c r="L8" s="75"/>
      <c r="M8" s="75"/>
      <c r="N8" s="75"/>
      <c r="O8" s="75"/>
      <c r="P8" s="75"/>
      <c r="Q8" s="75"/>
    </row>
    <row r="9" spans="3:17" ht="19">
      <c r="C9" s="75" t="s">
        <v>133</v>
      </c>
      <c r="D9" s="79">
        <v>1.9</v>
      </c>
      <c r="E9" s="75"/>
      <c r="F9" s="75"/>
      <c r="G9" s="75"/>
      <c r="H9" s="75"/>
      <c r="I9" s="75"/>
      <c r="J9" s="75"/>
      <c r="K9" s="75"/>
      <c r="L9" s="75"/>
      <c r="M9" s="75"/>
      <c r="N9" s="75"/>
      <c r="O9" s="75"/>
      <c r="P9" s="75"/>
      <c r="Q9" s="75"/>
    </row>
    <row r="10" spans="3:17" ht="19">
      <c r="C10" s="75" t="s">
        <v>134</v>
      </c>
      <c r="D10" s="79">
        <v>3.4</v>
      </c>
      <c r="E10" s="75"/>
      <c r="F10" s="75"/>
      <c r="G10" s="75"/>
      <c r="H10" s="75"/>
      <c r="I10" s="75"/>
      <c r="J10" s="75"/>
      <c r="K10" s="75"/>
      <c r="L10" s="75"/>
      <c r="M10" s="75"/>
      <c r="N10" s="75"/>
      <c r="O10" s="75"/>
      <c r="P10" s="75"/>
      <c r="Q10" s="75"/>
    </row>
    <row r="11" spans="3:17" ht="19">
      <c r="C11" s="75" t="s">
        <v>135</v>
      </c>
      <c r="D11" s="79">
        <v>5</v>
      </c>
      <c r="E11" s="75"/>
      <c r="F11" s="75"/>
      <c r="G11" s="75"/>
      <c r="H11" s="75"/>
      <c r="I11" s="75"/>
      <c r="J11" s="75"/>
      <c r="K11" s="75"/>
      <c r="L11" s="75"/>
      <c r="M11" s="75"/>
      <c r="N11" s="75"/>
      <c r="O11" s="75"/>
      <c r="P11" s="75"/>
      <c r="Q11" s="75"/>
    </row>
    <row r="12" spans="3:17" ht="19">
      <c r="C12" s="75" t="s">
        <v>24</v>
      </c>
      <c r="D12" s="79">
        <v>91</v>
      </c>
      <c r="E12" s="75"/>
      <c r="F12" s="75"/>
      <c r="G12" s="75"/>
      <c r="H12" s="75"/>
      <c r="I12" s="75"/>
      <c r="J12" s="75"/>
      <c r="K12" s="75"/>
      <c r="L12" s="75"/>
      <c r="M12" s="75"/>
      <c r="N12" s="75"/>
      <c r="O12" s="75"/>
      <c r="P12" s="75"/>
      <c r="Q12" s="75"/>
    </row>
    <row r="13" spans="3:17" ht="19">
      <c r="C13" s="75" t="s">
        <v>25</v>
      </c>
      <c r="D13" s="79">
        <v>0.98</v>
      </c>
      <c r="E13" s="75"/>
      <c r="F13" s="75"/>
      <c r="G13" s="75"/>
      <c r="H13" s="75"/>
      <c r="I13" s="75"/>
      <c r="J13" s="75"/>
      <c r="K13" s="75"/>
      <c r="L13" s="75"/>
      <c r="M13" s="75"/>
      <c r="N13" s="75"/>
      <c r="O13" s="75"/>
      <c r="P13" s="75"/>
      <c r="Q13" s="75"/>
    </row>
    <row r="14" spans="3:17" ht="19">
      <c r="C14" s="75" t="s">
        <v>26</v>
      </c>
      <c r="D14" s="80">
        <v>150</v>
      </c>
      <c r="E14" s="75"/>
      <c r="F14" s="75"/>
      <c r="G14" s="75"/>
      <c r="H14" s="75"/>
      <c r="I14" s="75"/>
      <c r="J14" s="75"/>
      <c r="K14" s="75"/>
      <c r="L14" s="75"/>
      <c r="M14" s="75"/>
      <c r="N14" s="75"/>
      <c r="O14" s="75"/>
      <c r="P14" s="75"/>
      <c r="Q14" s="75"/>
    </row>
    <row r="15" spans="3:17" ht="19">
      <c r="C15" s="75" t="s">
        <v>37</v>
      </c>
      <c r="D15" s="79">
        <v>1200</v>
      </c>
      <c r="E15" s="75"/>
      <c r="F15" s="75"/>
      <c r="G15" s="75"/>
      <c r="H15" s="75"/>
      <c r="I15" s="75"/>
      <c r="J15" s="75"/>
      <c r="K15" s="75"/>
      <c r="L15" s="75"/>
      <c r="M15" s="75"/>
      <c r="N15" s="75"/>
      <c r="O15" s="75"/>
      <c r="P15" s="75"/>
      <c r="Q15" s="75"/>
    </row>
    <row r="16" spans="3:17" ht="19">
      <c r="C16" s="75" t="s">
        <v>172</v>
      </c>
      <c r="D16" s="92">
        <v>4500000</v>
      </c>
      <c r="E16" s="75"/>
      <c r="F16" s="75"/>
      <c r="G16" s="75"/>
      <c r="H16" s="75"/>
      <c r="I16" s="75"/>
      <c r="J16" s="75"/>
      <c r="K16" s="75"/>
      <c r="L16" s="75"/>
      <c r="M16" s="75"/>
      <c r="N16" s="75"/>
      <c r="O16" s="75"/>
      <c r="P16" s="75"/>
      <c r="Q16" s="75"/>
    </row>
    <row r="17" spans="3:17" ht="19">
      <c r="C17" s="75" t="s">
        <v>76</v>
      </c>
      <c r="D17" s="81">
        <v>12</v>
      </c>
      <c r="E17" s="75"/>
      <c r="F17" s="75"/>
      <c r="G17" s="75"/>
      <c r="H17" s="75"/>
      <c r="I17" s="75"/>
      <c r="J17" s="75"/>
      <c r="K17" s="75"/>
      <c r="L17" s="75"/>
      <c r="M17" s="75"/>
      <c r="N17" s="75"/>
      <c r="O17" s="75"/>
      <c r="P17" s="75"/>
      <c r="Q17" s="75"/>
    </row>
    <row r="18" spans="3:17" ht="19">
      <c r="C18" s="75" t="s">
        <v>77</v>
      </c>
      <c r="D18" s="81">
        <v>9</v>
      </c>
      <c r="E18" s="75"/>
      <c r="F18" s="75"/>
      <c r="G18" s="75"/>
      <c r="H18" s="75"/>
      <c r="I18" s="75"/>
      <c r="J18" s="75"/>
      <c r="K18" s="75"/>
      <c r="L18" s="75"/>
      <c r="M18" s="75"/>
      <c r="N18" s="75"/>
      <c r="O18" s="75"/>
      <c r="P18" s="75"/>
      <c r="Q18" s="75"/>
    </row>
    <row r="19" spans="3:17" ht="19">
      <c r="C19" s="75" t="s">
        <v>78</v>
      </c>
      <c r="D19" s="82">
        <v>0.75</v>
      </c>
      <c r="E19" s="75"/>
      <c r="F19" s="75"/>
      <c r="G19" s="75"/>
      <c r="H19" s="75"/>
      <c r="I19" s="75"/>
      <c r="J19" s="75"/>
      <c r="K19" s="75"/>
      <c r="L19" s="75"/>
      <c r="M19" s="75"/>
      <c r="N19" s="75"/>
      <c r="O19" s="75"/>
      <c r="P19" s="75"/>
      <c r="Q19" s="75"/>
    </row>
    <row r="20" spans="3:17" ht="19">
      <c r="C20" s="75" t="s">
        <v>79</v>
      </c>
      <c r="D20" s="82">
        <v>0.25</v>
      </c>
      <c r="E20" s="75"/>
      <c r="F20" s="75"/>
      <c r="G20" s="75"/>
      <c r="H20" s="75"/>
      <c r="I20" s="75"/>
      <c r="J20" s="75"/>
      <c r="K20" s="75"/>
      <c r="L20" s="75"/>
      <c r="M20" s="75"/>
      <c r="N20" s="75"/>
      <c r="O20" s="75"/>
      <c r="P20" s="75"/>
      <c r="Q20" s="75"/>
    </row>
    <row r="21" spans="3:17" ht="19">
      <c r="C21" s="75"/>
      <c r="D21" s="82"/>
      <c r="E21" s="75"/>
      <c r="F21" s="75"/>
      <c r="G21" s="75"/>
      <c r="H21" s="75"/>
      <c r="I21" s="75"/>
      <c r="J21" s="75"/>
      <c r="K21" s="75"/>
      <c r="L21" s="75"/>
      <c r="M21" s="75"/>
      <c r="N21" s="75"/>
      <c r="O21" s="75"/>
      <c r="P21" s="75"/>
      <c r="Q21" s="75"/>
    </row>
    <row r="22" spans="3:17" ht="19">
      <c r="C22" s="75" t="s">
        <v>121</v>
      </c>
      <c r="D22" s="83">
        <v>200000</v>
      </c>
      <c r="E22" s="75"/>
      <c r="F22" s="75"/>
      <c r="G22" s="75"/>
      <c r="H22" s="75"/>
      <c r="I22" s="75"/>
      <c r="J22" s="75"/>
      <c r="K22" s="75"/>
      <c r="L22" s="75"/>
      <c r="M22" s="75"/>
      <c r="N22" s="75"/>
      <c r="O22" s="75"/>
      <c r="P22" s="75"/>
      <c r="Q22" s="75"/>
    </row>
    <row r="23" spans="3:17" ht="19">
      <c r="C23" s="75"/>
      <c r="D23" s="79"/>
      <c r="E23" s="75"/>
      <c r="F23" s="75"/>
      <c r="G23" s="75"/>
      <c r="H23" s="75"/>
      <c r="I23" s="75"/>
      <c r="J23" s="75"/>
      <c r="K23" s="75"/>
      <c r="L23" s="75"/>
      <c r="M23" s="75"/>
      <c r="N23" s="75"/>
      <c r="O23" s="75"/>
      <c r="P23" s="75"/>
      <c r="Q23" s="75"/>
    </row>
    <row r="24" spans="3:17" ht="19">
      <c r="C24" s="76" t="s">
        <v>27</v>
      </c>
      <c r="D24" s="79"/>
      <c r="E24" s="75"/>
      <c r="F24" s="75"/>
      <c r="G24" s="75"/>
      <c r="H24" s="75"/>
      <c r="I24" s="75"/>
      <c r="J24" s="75"/>
      <c r="K24" s="75"/>
      <c r="L24" s="75"/>
      <c r="M24" s="75"/>
      <c r="N24" s="75"/>
      <c r="O24" s="75"/>
      <c r="P24" s="75"/>
      <c r="Q24" s="75"/>
    </row>
    <row r="25" spans="3:17" ht="19">
      <c r="C25" s="75"/>
      <c r="D25" s="79"/>
      <c r="E25" s="75"/>
      <c r="F25" s="75"/>
      <c r="G25" s="75"/>
      <c r="H25" s="75"/>
      <c r="I25" s="75"/>
      <c r="J25" s="75"/>
      <c r="K25" s="75"/>
      <c r="L25" s="75"/>
      <c r="M25" s="75"/>
      <c r="N25" s="75"/>
      <c r="O25" s="75"/>
      <c r="P25" s="75"/>
      <c r="Q25" s="75"/>
    </row>
    <row r="26" spans="3:17" ht="19">
      <c r="C26" s="75" t="s">
        <v>28</v>
      </c>
      <c r="D26" s="84">
        <v>50000000</v>
      </c>
      <c r="E26" s="75"/>
      <c r="F26" s="75"/>
      <c r="G26" s="75"/>
      <c r="H26" s="75"/>
      <c r="I26" s="75"/>
      <c r="J26" s="75"/>
      <c r="K26" s="75"/>
      <c r="L26" s="75"/>
      <c r="M26" s="75"/>
      <c r="N26" s="75"/>
      <c r="O26" s="75"/>
      <c r="P26" s="75"/>
      <c r="Q26" s="75"/>
    </row>
    <row r="27" spans="3:17" ht="19">
      <c r="C27" s="75" t="s">
        <v>29</v>
      </c>
      <c r="D27" s="79">
        <v>200</v>
      </c>
      <c r="E27" s="75"/>
      <c r="F27" s="75"/>
      <c r="G27" s="75"/>
      <c r="H27" s="75"/>
      <c r="I27" s="75"/>
      <c r="J27" s="75"/>
      <c r="K27" s="75"/>
      <c r="L27" s="75"/>
      <c r="M27" s="75"/>
      <c r="N27" s="75"/>
      <c r="O27" s="75"/>
      <c r="P27" s="75"/>
      <c r="Q27" s="75"/>
    </row>
    <row r="28" spans="3:17" ht="19">
      <c r="C28" s="75" t="s">
        <v>38</v>
      </c>
      <c r="D28" s="85">
        <f>(D26/D27)/(52*6)</f>
        <v>801.28205128205127</v>
      </c>
      <c r="E28" s="75"/>
      <c r="F28" s="75"/>
      <c r="G28" s="75"/>
      <c r="H28" s="75"/>
      <c r="I28" s="75"/>
      <c r="J28" s="75"/>
      <c r="K28" s="75"/>
      <c r="L28" s="75"/>
      <c r="M28" s="75"/>
      <c r="N28" s="75"/>
      <c r="O28" s="75"/>
      <c r="P28" s="75"/>
      <c r="Q28" s="75"/>
    </row>
    <row r="29" spans="3:17" ht="19">
      <c r="C29" s="75" t="s">
        <v>30</v>
      </c>
      <c r="D29" s="79">
        <v>250</v>
      </c>
      <c r="E29" s="75"/>
      <c r="F29" s="75"/>
      <c r="G29" s="75"/>
      <c r="H29" s="75"/>
      <c r="I29" s="75"/>
      <c r="J29" s="75"/>
      <c r="K29" s="75"/>
      <c r="L29" s="75"/>
      <c r="M29" s="75"/>
      <c r="N29" s="75"/>
      <c r="O29" s="75"/>
      <c r="P29" s="75"/>
      <c r="Q29" s="75"/>
    </row>
    <row r="30" spans="3:17" ht="19">
      <c r="C30" s="75" t="s">
        <v>31</v>
      </c>
      <c r="D30" s="79">
        <v>800</v>
      </c>
      <c r="E30" s="75"/>
      <c r="F30" s="75"/>
      <c r="G30" s="75"/>
      <c r="H30" s="75"/>
      <c r="I30" s="75"/>
      <c r="J30" s="75"/>
      <c r="K30" s="75"/>
      <c r="L30" s="75"/>
      <c r="M30" s="75"/>
      <c r="N30" s="75"/>
      <c r="O30" s="75"/>
      <c r="P30" s="75"/>
      <c r="Q30" s="75"/>
    </row>
    <row r="31" spans="3:17" ht="19">
      <c r="C31" s="75" t="s">
        <v>173</v>
      </c>
      <c r="D31" s="79">
        <v>900</v>
      </c>
      <c r="E31" s="75"/>
      <c r="F31" s="75"/>
      <c r="G31" s="75"/>
      <c r="H31" s="75"/>
      <c r="I31" s="75"/>
      <c r="J31" s="75"/>
      <c r="K31" s="75"/>
      <c r="L31" s="75"/>
      <c r="M31" s="75"/>
      <c r="N31" s="75"/>
      <c r="O31" s="75"/>
      <c r="P31" s="75"/>
      <c r="Q31" s="75"/>
    </row>
    <row r="32" spans="3:17" ht="19">
      <c r="C32" s="76" t="s">
        <v>34</v>
      </c>
      <c r="D32" s="79"/>
      <c r="E32" s="75"/>
      <c r="F32" s="75"/>
      <c r="G32" s="75"/>
      <c r="H32" s="75"/>
      <c r="I32" s="75"/>
      <c r="J32" s="75"/>
      <c r="K32" s="75"/>
      <c r="L32" s="75"/>
      <c r="M32" s="75"/>
      <c r="N32" s="75"/>
      <c r="O32" s="75"/>
      <c r="P32" s="75"/>
      <c r="Q32" s="75"/>
    </row>
    <row r="33" spans="3:17" ht="19">
      <c r="C33" s="75"/>
      <c r="D33" s="79"/>
      <c r="E33" s="75"/>
      <c r="F33" s="75"/>
      <c r="G33" s="75"/>
      <c r="H33" s="75"/>
      <c r="I33" s="75"/>
      <c r="J33" s="75"/>
      <c r="K33" s="75"/>
      <c r="L33" s="75"/>
      <c r="M33" s="75"/>
      <c r="N33" s="75"/>
      <c r="O33" s="75"/>
      <c r="P33" s="75"/>
      <c r="Q33" s="75"/>
    </row>
    <row r="34" spans="3:17" ht="19">
      <c r="C34" s="75" t="s">
        <v>39</v>
      </c>
      <c r="D34" s="79">
        <v>900</v>
      </c>
      <c r="E34" s="75"/>
      <c r="F34" s="75"/>
      <c r="G34" s="75"/>
      <c r="H34" s="75"/>
      <c r="I34" s="75"/>
      <c r="J34" s="75"/>
      <c r="K34" s="75"/>
      <c r="L34" s="75"/>
      <c r="M34" s="75"/>
      <c r="N34" s="75"/>
      <c r="O34" s="75"/>
      <c r="P34" s="75"/>
      <c r="Q34" s="75"/>
    </row>
    <row r="35" spans="3:17" ht="19">
      <c r="C35" s="75" t="s">
        <v>128</v>
      </c>
      <c r="D35" s="79">
        <v>185000</v>
      </c>
      <c r="E35" s="75"/>
      <c r="F35" s="75"/>
      <c r="G35" s="75"/>
      <c r="H35" s="75"/>
      <c r="I35" s="75"/>
      <c r="J35" s="75"/>
      <c r="K35" s="75"/>
      <c r="L35" s="75"/>
      <c r="M35" s="75"/>
      <c r="N35" s="75"/>
      <c r="O35" s="75"/>
      <c r="P35" s="75"/>
      <c r="Q35" s="75"/>
    </row>
    <row r="36" spans="3:17" ht="19">
      <c r="C36" s="75" t="s">
        <v>129</v>
      </c>
      <c r="D36" s="79">
        <v>80000</v>
      </c>
      <c r="E36" s="75"/>
      <c r="F36" s="75"/>
      <c r="G36" s="75"/>
      <c r="H36" s="75"/>
      <c r="I36" s="75"/>
      <c r="J36" s="75"/>
      <c r="K36" s="75"/>
      <c r="L36" s="75"/>
      <c r="M36" s="75"/>
      <c r="N36" s="75"/>
      <c r="O36" s="75"/>
      <c r="P36" s="75"/>
      <c r="Q36" s="75"/>
    </row>
    <row r="37" spans="3:17" ht="19">
      <c r="C37" s="75"/>
      <c r="D37" s="75"/>
      <c r="E37" s="75"/>
      <c r="F37" s="75"/>
      <c r="G37" s="75"/>
      <c r="H37" s="75"/>
      <c r="I37" s="75"/>
      <c r="J37" s="75"/>
      <c r="K37" s="75"/>
      <c r="L37" s="75"/>
      <c r="M37" s="75"/>
      <c r="N37" s="75"/>
      <c r="O37" s="75"/>
      <c r="P37" s="75"/>
      <c r="Q37" s="75"/>
    </row>
    <row r="38" spans="3:17" ht="19">
      <c r="C38" s="75"/>
      <c r="D38" s="75"/>
      <c r="E38" s="75"/>
      <c r="F38" s="75"/>
      <c r="G38" s="75"/>
      <c r="H38" s="75"/>
      <c r="I38" s="75"/>
      <c r="J38" s="75"/>
      <c r="K38" s="75"/>
      <c r="L38" s="75"/>
      <c r="M38" s="75"/>
      <c r="N38" s="75"/>
      <c r="O38" s="75"/>
      <c r="P38" s="75"/>
      <c r="Q38" s="75"/>
    </row>
    <row r="39" spans="3:17" ht="19">
      <c r="C39" s="75"/>
      <c r="D39" s="75"/>
      <c r="E39" s="75"/>
      <c r="F39" s="75"/>
      <c r="G39" s="75"/>
      <c r="H39" s="75"/>
      <c r="I39" s="75"/>
      <c r="J39" s="75"/>
      <c r="K39" s="75"/>
      <c r="L39" s="75"/>
      <c r="M39" s="75"/>
      <c r="N39" s="75"/>
      <c r="O39" s="75"/>
      <c r="P39" s="75"/>
      <c r="Q39" s="75"/>
    </row>
    <row r="40" spans="3:17" ht="19">
      <c r="C40" s="75"/>
      <c r="D40" s="75"/>
      <c r="E40" s="75"/>
      <c r="F40" s="75"/>
      <c r="G40" s="75"/>
      <c r="H40" s="75"/>
      <c r="I40" s="75"/>
      <c r="J40" s="75"/>
      <c r="K40" s="75"/>
      <c r="L40" s="75"/>
      <c r="M40" s="75"/>
      <c r="N40" s="75"/>
      <c r="O40" s="75"/>
      <c r="P40" s="75"/>
      <c r="Q40" s="75"/>
    </row>
    <row r="41" spans="3:17" ht="19">
      <c r="C41" s="75" t="s">
        <v>85</v>
      </c>
      <c r="D41" s="75"/>
      <c r="E41" s="75"/>
      <c r="F41" s="75"/>
      <c r="G41" s="75"/>
      <c r="H41" s="75"/>
      <c r="I41" s="75"/>
      <c r="J41" s="75"/>
      <c r="K41" s="75"/>
      <c r="L41" s="75"/>
      <c r="M41" s="75"/>
      <c r="N41" s="75"/>
      <c r="O41" s="75"/>
      <c r="P41" s="75"/>
      <c r="Q41" s="75"/>
    </row>
    <row r="42" spans="3:17" ht="19">
      <c r="C42" s="75"/>
      <c r="D42" s="75"/>
      <c r="E42" s="75"/>
      <c r="F42" s="75"/>
      <c r="G42" s="75"/>
      <c r="H42" s="75"/>
      <c r="I42" s="75"/>
      <c r="J42" s="75"/>
      <c r="K42" s="75"/>
      <c r="L42" s="75"/>
      <c r="M42" s="75"/>
      <c r="N42" s="75"/>
      <c r="O42" s="75"/>
      <c r="P42" s="75"/>
      <c r="Q42" s="75"/>
    </row>
    <row r="43" spans="3:17" ht="19">
      <c r="C43" s="75" t="s">
        <v>86</v>
      </c>
      <c r="D43" s="75"/>
      <c r="E43" s="75"/>
      <c r="F43" s="78">
        <v>9.9700000000000006</v>
      </c>
      <c r="G43" s="78">
        <v>9.82</v>
      </c>
      <c r="H43" s="78">
        <v>9.69</v>
      </c>
      <c r="I43" s="78">
        <v>9.5399999999999991</v>
      </c>
      <c r="J43" s="78">
        <v>9.39</v>
      </c>
      <c r="K43" s="78">
        <v>9.25</v>
      </c>
      <c r="L43" s="78">
        <v>9.1199999999999992</v>
      </c>
      <c r="M43" s="75"/>
      <c r="N43" s="75"/>
      <c r="O43" s="75"/>
      <c r="P43" s="75"/>
      <c r="Q43" s="75"/>
    </row>
    <row r="44" spans="3:17" ht="19">
      <c r="C44" s="75" t="s">
        <v>87</v>
      </c>
      <c r="D44" s="75"/>
      <c r="E44" s="75"/>
      <c r="F44" s="77">
        <v>8.36</v>
      </c>
      <c r="G44" s="77">
        <v>8.24</v>
      </c>
      <c r="H44" s="77">
        <v>8.1199999999999992</v>
      </c>
      <c r="I44" s="77">
        <v>8</v>
      </c>
      <c r="J44" s="77">
        <v>7.87</v>
      </c>
      <c r="K44" s="77">
        <v>7.75</v>
      </c>
      <c r="L44" s="77">
        <v>7.64</v>
      </c>
      <c r="M44" s="75"/>
      <c r="N44" s="75"/>
      <c r="O44" s="75"/>
      <c r="P44" s="75"/>
      <c r="Q44" s="75"/>
    </row>
    <row r="45" spans="3:17" ht="19">
      <c r="C45" s="75"/>
      <c r="D45" s="75"/>
      <c r="E45" s="75"/>
      <c r="F45" s="75"/>
      <c r="G45" s="75"/>
      <c r="H45" s="75"/>
      <c r="I45" s="75"/>
      <c r="J45" s="75"/>
      <c r="K45" s="75"/>
      <c r="L45" s="75"/>
      <c r="M45" s="75"/>
      <c r="N45" s="75"/>
      <c r="O45" s="75"/>
      <c r="P45" s="75"/>
      <c r="Q45" s="75"/>
    </row>
    <row r="46" spans="3:17" ht="19">
      <c r="C46" s="75"/>
      <c r="D46" s="75"/>
      <c r="E46" s="75"/>
      <c r="F46" s="75"/>
      <c r="G46" s="75"/>
      <c r="H46" s="75"/>
      <c r="I46" s="75"/>
      <c r="J46" s="75"/>
      <c r="K46" s="75"/>
      <c r="L46" s="75"/>
      <c r="M46" s="75"/>
      <c r="N46" s="75"/>
      <c r="O46" s="75"/>
      <c r="P46" s="75"/>
      <c r="Q46" s="75"/>
    </row>
    <row r="47" spans="3:17" ht="19">
      <c r="C47" s="75"/>
      <c r="D47" s="75"/>
      <c r="E47" s="75"/>
      <c r="F47" s="75"/>
      <c r="G47" s="75"/>
      <c r="H47" s="75"/>
      <c r="I47" s="75"/>
      <c r="J47" s="75"/>
      <c r="K47" s="75"/>
      <c r="L47" s="75"/>
      <c r="M47" s="75"/>
      <c r="N47" s="75"/>
      <c r="O47" s="75"/>
      <c r="P47" s="75"/>
      <c r="Q47" s="75"/>
    </row>
    <row r="48" spans="3:17" ht="19">
      <c r="C48" s="76" t="s">
        <v>174</v>
      </c>
      <c r="D48" s="75"/>
      <c r="E48" s="75"/>
      <c r="F48" s="75"/>
      <c r="G48" s="75"/>
      <c r="H48" s="75"/>
      <c r="I48" s="75"/>
      <c r="J48" s="75"/>
      <c r="K48" s="75"/>
      <c r="L48" s="75"/>
      <c r="M48" s="75"/>
      <c r="N48" s="75"/>
      <c r="O48" s="75"/>
      <c r="P48" s="75"/>
      <c r="Q48" s="75"/>
    </row>
    <row r="49" spans="3:17" ht="19">
      <c r="C49" s="75"/>
      <c r="D49" s="75"/>
      <c r="E49" s="75"/>
      <c r="F49" s="75"/>
      <c r="G49" s="75"/>
      <c r="H49" s="75"/>
      <c r="I49" s="75"/>
      <c r="J49" s="75"/>
      <c r="K49" s="75"/>
      <c r="L49" s="75"/>
      <c r="M49" s="75"/>
      <c r="N49" s="75"/>
      <c r="O49" s="75"/>
      <c r="P49" s="75"/>
      <c r="Q49" s="75"/>
    </row>
    <row r="50" spans="3:17">
      <c r="C50" t="s">
        <v>175</v>
      </c>
      <c r="D50" t="s">
        <v>179</v>
      </c>
      <c r="E50" t="s">
        <v>181</v>
      </c>
      <c r="F50" t="s">
        <v>180</v>
      </c>
      <c r="H50" t="s">
        <v>182</v>
      </c>
    </row>
    <row r="52" spans="3:17">
      <c r="C52" t="s">
        <v>176</v>
      </c>
      <c r="D52">
        <v>5.43</v>
      </c>
      <c r="E52" s="27">
        <f>AVERAGE(D52,F52)</f>
        <v>6.415</v>
      </c>
      <c r="F52" s="27">
        <v>7.4</v>
      </c>
      <c r="H52">
        <f>E52/E$52</f>
        <v>1</v>
      </c>
    </row>
    <row r="53" spans="3:17">
      <c r="C53" t="s">
        <v>177</v>
      </c>
      <c r="D53">
        <v>5.68</v>
      </c>
      <c r="E53" s="27">
        <f t="shared" ref="E53:E54" si="0">AVERAGE(D53,F53)</f>
        <v>6.9124999999999996</v>
      </c>
      <c r="F53" s="27">
        <v>8.1449999999999996</v>
      </c>
      <c r="H53">
        <f t="shared" ref="H53:H54" si="1">E53/E$52</f>
        <v>1.0775526110678098</v>
      </c>
    </row>
    <row r="54" spans="3:17">
      <c r="C54" t="s">
        <v>178</v>
      </c>
      <c r="D54">
        <v>8.68</v>
      </c>
      <c r="E54" s="27">
        <f t="shared" si="0"/>
        <v>15.129999999999999</v>
      </c>
      <c r="F54" s="27">
        <v>21.58</v>
      </c>
      <c r="H54">
        <f t="shared" si="1"/>
        <v>2.358534684333593</v>
      </c>
    </row>
    <row r="55" spans="3:17">
      <c r="F55" s="27"/>
    </row>
  </sheetData>
  <pageMargins left="0.7" right="0.7" top="0.75" bottom="0.75" header="0.3" footer="0.3"/>
  <drawing r:id="rId1"/>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A588AA1-4F9E-B54E-8AEB-532066214C61}">
  <sheetPr codeName="Sheet2">
    <pageSetUpPr fitToPage="1"/>
  </sheetPr>
  <dimension ref="A2:R62"/>
  <sheetViews>
    <sheetView topLeftCell="A23" zoomScale="125" zoomScaleNormal="125" workbookViewId="0">
      <selection activeCell="B22" sqref="B22"/>
    </sheetView>
  </sheetViews>
  <sheetFormatPr baseColWidth="10" defaultRowHeight="15"/>
  <cols>
    <col min="1" max="1" width="17.83203125" customWidth="1"/>
    <col min="2" max="2" width="35" customWidth="1"/>
    <col min="3" max="3" width="13.6640625" bestFit="1" customWidth="1"/>
    <col min="5" max="5" width="14.6640625" bestFit="1" customWidth="1"/>
    <col min="6" max="6" width="11.83203125" customWidth="1"/>
    <col min="7" max="7" width="12.83203125" customWidth="1"/>
    <col min="8" max="8" width="13.33203125" customWidth="1"/>
    <col min="9" max="10" width="12.83203125" customWidth="1"/>
    <col min="11" max="11" width="14.6640625" customWidth="1"/>
    <col min="13" max="13" width="15.6640625" bestFit="1" customWidth="1"/>
    <col min="15" max="15" width="16.33203125" bestFit="1" customWidth="1"/>
    <col min="18" max="18" width="13.33203125" customWidth="1"/>
  </cols>
  <sheetData>
    <row r="2" spans="2:18">
      <c r="B2" s="1" t="s">
        <v>0</v>
      </c>
      <c r="C2" s="2" t="s">
        <v>1</v>
      </c>
      <c r="D2" s="3">
        <v>2018</v>
      </c>
      <c r="E2" s="3">
        <v>2019</v>
      </c>
      <c r="F2" s="3">
        <v>2020</v>
      </c>
      <c r="G2" s="3">
        <v>2021</v>
      </c>
      <c r="H2" s="3">
        <v>2022</v>
      </c>
      <c r="I2" s="3">
        <v>2023</v>
      </c>
      <c r="J2" s="3">
        <v>2024</v>
      </c>
      <c r="K2" s="3">
        <v>2025</v>
      </c>
      <c r="L2" s="4">
        <v>2026</v>
      </c>
      <c r="M2" s="4">
        <v>2027</v>
      </c>
      <c r="N2" s="4">
        <v>2028</v>
      </c>
      <c r="O2" s="4">
        <v>2029</v>
      </c>
      <c r="P2" s="4">
        <v>2030</v>
      </c>
    </row>
    <row r="3" spans="2:18">
      <c r="B3" t="s">
        <v>2</v>
      </c>
      <c r="C3" s="5" t="s">
        <v>3</v>
      </c>
      <c r="D3" s="5">
        <v>93.55</v>
      </c>
      <c r="E3" s="5">
        <v>93.721874999999997</v>
      </c>
      <c r="F3" s="5">
        <v>92.472250000000003</v>
      </c>
      <c r="G3" s="5">
        <v>91.222624999999994</v>
      </c>
      <c r="H3" s="5">
        <v>89.972999999999999</v>
      </c>
      <c r="I3" s="5">
        <v>88.72337499999999</v>
      </c>
      <c r="J3" s="5">
        <v>87.473749999999995</v>
      </c>
      <c r="K3" s="5">
        <v>86.224125000000001</v>
      </c>
      <c r="L3" s="5">
        <v>84.974499999999992</v>
      </c>
      <c r="M3" s="5">
        <v>83.724874999999997</v>
      </c>
      <c r="N3" s="5">
        <v>82.475249999999988</v>
      </c>
      <c r="O3" s="5">
        <v>81.225624999999994</v>
      </c>
      <c r="P3" s="5">
        <v>79.975999999999999</v>
      </c>
    </row>
    <row r="4" spans="2:18">
      <c r="B4" t="s">
        <v>4</v>
      </c>
      <c r="C4" s="5" t="s">
        <v>3</v>
      </c>
      <c r="D4" s="5">
        <v>98.44</v>
      </c>
      <c r="E4" s="5">
        <v>94.640625</v>
      </c>
      <c r="F4" s="5">
        <v>93.378750000000011</v>
      </c>
      <c r="G4" s="5">
        <v>92.116875000000007</v>
      </c>
      <c r="H4" s="5">
        <v>90.855000000000004</v>
      </c>
      <c r="I4" s="5">
        <v>89.593125000000001</v>
      </c>
      <c r="J4" s="5">
        <v>88.331249999999997</v>
      </c>
      <c r="K4" s="5">
        <v>87.069375000000008</v>
      </c>
      <c r="L4" s="5">
        <v>85.807500000000005</v>
      </c>
      <c r="M4" s="5">
        <v>84.545625000000001</v>
      </c>
      <c r="N4" s="7">
        <v>83.283749999999998</v>
      </c>
      <c r="O4" s="5">
        <v>82.021875000000009</v>
      </c>
      <c r="P4" s="5">
        <v>80.760000000000005</v>
      </c>
    </row>
    <row r="6" spans="2:18">
      <c r="B6" s="1" t="s">
        <v>5</v>
      </c>
      <c r="C6" s="9" t="s">
        <v>6</v>
      </c>
      <c r="D6" s="10">
        <v>-11.561717866753563</v>
      </c>
      <c r="E6" s="10">
        <v>-14.806809491618397</v>
      </c>
      <c r="F6" s="10">
        <v>-17.352088902569882</v>
      </c>
      <c r="G6" s="10">
        <v>-19.664576908686598</v>
      </c>
      <c r="H6" s="10">
        <v>-21.660471847572502</v>
      </c>
      <c r="I6" s="10">
        <v>-23.019899143743615</v>
      </c>
      <c r="J6" s="10">
        <v>-24.144513399859481</v>
      </c>
      <c r="K6" s="10">
        <v>-25.11961698905656</v>
      </c>
      <c r="L6" s="10">
        <v>-26.147738502024922</v>
      </c>
      <c r="M6" s="10">
        <v>-27.28275677177481</v>
      </c>
      <c r="N6" s="10">
        <v>-28.191387495848094</v>
      </c>
      <c r="O6" s="10">
        <v>-29.364746656804726</v>
      </c>
      <c r="P6" s="10">
        <v>-30.281084137209803</v>
      </c>
    </row>
    <row r="8" spans="2:18">
      <c r="B8" s="12" t="s">
        <v>40</v>
      </c>
      <c r="E8">
        <f t="shared" ref="E8:P8" si="0">-0.025*E6</f>
        <v>0.37017023729045995</v>
      </c>
      <c r="F8">
        <f t="shared" si="0"/>
        <v>0.43380222256424705</v>
      </c>
      <c r="G8">
        <f t="shared" si="0"/>
        <v>0.49161442271716499</v>
      </c>
      <c r="H8">
        <f t="shared" si="0"/>
        <v>0.54151179618931256</v>
      </c>
      <c r="I8">
        <f t="shared" si="0"/>
        <v>0.57549747859359035</v>
      </c>
      <c r="J8">
        <f t="shared" si="0"/>
        <v>0.6036128349964871</v>
      </c>
      <c r="K8">
        <f t="shared" si="0"/>
        <v>0.62799042472641409</v>
      </c>
      <c r="L8">
        <f t="shared" si="0"/>
        <v>0.65369346255062311</v>
      </c>
      <c r="M8">
        <f t="shared" si="0"/>
        <v>0.6820689192943703</v>
      </c>
      <c r="N8">
        <f t="shared" si="0"/>
        <v>0.70478468739620237</v>
      </c>
      <c r="O8">
        <f t="shared" si="0"/>
        <v>0.73411866642011825</v>
      </c>
      <c r="P8">
        <f t="shared" si="0"/>
        <v>0.75702710343024515</v>
      </c>
      <c r="R8">
        <f>SUM(E8:P8)</f>
        <v>7.1758922561692344</v>
      </c>
    </row>
    <row r="10" spans="2:18">
      <c r="B10" s="13" t="s">
        <v>41</v>
      </c>
      <c r="C10" s="31" t="s">
        <v>3</v>
      </c>
      <c r="D10" s="32"/>
      <c r="E10" s="69">
        <v>25</v>
      </c>
      <c r="F10" s="69">
        <v>20</v>
      </c>
      <c r="G10" s="69">
        <v>15</v>
      </c>
      <c r="H10" s="69">
        <v>10</v>
      </c>
      <c r="I10" s="69">
        <v>10</v>
      </c>
      <c r="J10" s="69">
        <v>10</v>
      </c>
      <c r="K10" s="69">
        <v>10</v>
      </c>
      <c r="L10" s="69">
        <v>10</v>
      </c>
      <c r="M10" s="70">
        <v>10</v>
      </c>
      <c r="N10" s="70">
        <v>10</v>
      </c>
      <c r="O10" s="70">
        <v>10</v>
      </c>
      <c r="P10" s="70">
        <v>10</v>
      </c>
    </row>
    <row r="11" spans="2:18">
      <c r="B11" s="13" t="s">
        <v>42</v>
      </c>
      <c r="C11" s="31" t="s">
        <v>3</v>
      </c>
      <c r="D11" s="33">
        <v>38.948148148148142</v>
      </c>
      <c r="E11" s="69">
        <v>31.481481481481481</v>
      </c>
      <c r="F11" s="69">
        <v>25.185185185185183</v>
      </c>
      <c r="G11" s="69">
        <v>18.888888888888889</v>
      </c>
      <c r="H11" s="69">
        <v>12.592592592592592</v>
      </c>
      <c r="I11" s="69">
        <v>12.592592592592592</v>
      </c>
      <c r="J11" s="69">
        <v>12.592592592592592</v>
      </c>
      <c r="K11" s="69">
        <v>12.592592592592592</v>
      </c>
      <c r="L11" s="69">
        <v>12.592592592592592</v>
      </c>
      <c r="M11" s="69">
        <v>12.592592592592592</v>
      </c>
      <c r="N11" s="69">
        <v>12.592592592592592</v>
      </c>
      <c r="O11" s="69">
        <v>12.592592592592592</v>
      </c>
      <c r="P11" s="69">
        <v>12.592592592592592</v>
      </c>
    </row>
    <row r="12" spans="2:18">
      <c r="B12" s="31" t="s">
        <v>43</v>
      </c>
      <c r="C12" s="31" t="s">
        <v>11</v>
      </c>
      <c r="D12" s="34"/>
      <c r="E12" s="35">
        <v>4864.9474542201624</v>
      </c>
      <c r="F12" s="35">
        <v>5625.9077126324928</v>
      </c>
      <c r="G12" s="35">
        <v>6581.6428487111243</v>
      </c>
      <c r="H12" s="35">
        <v>7647.1935337367613</v>
      </c>
      <c r="I12" s="35">
        <v>8800.0762648379932</v>
      </c>
      <c r="J12" s="35">
        <v>10061.519411791955</v>
      </c>
      <c r="K12" s="35">
        <v>11425.923590885835</v>
      </c>
      <c r="L12" s="35">
        <v>12841.518860381815</v>
      </c>
      <c r="M12" s="35">
        <v>14257.114129877797</v>
      </c>
      <c r="N12" s="35">
        <v>15672.70939937378</v>
      </c>
      <c r="O12" s="35">
        <v>17088.304668869761</v>
      </c>
      <c r="P12" s="35">
        <v>18503.899938365739</v>
      </c>
    </row>
    <row r="13" spans="2:18">
      <c r="B13" s="16" t="s">
        <v>44</v>
      </c>
      <c r="C13" s="31" t="s">
        <v>11</v>
      </c>
      <c r="D13" s="36"/>
      <c r="E13" s="35">
        <v>79.17680735477839</v>
      </c>
      <c r="F13" s="35">
        <v>139.76783683262596</v>
      </c>
      <c r="G13" s="35">
        <v>209.33953335541773</v>
      </c>
      <c r="H13" s="35">
        <v>350.30666417877399</v>
      </c>
      <c r="I13" s="35">
        <v>525.91928789564838</v>
      </c>
      <c r="J13" s="35">
        <v>858.60768470723667</v>
      </c>
      <c r="K13" s="35">
        <v>1261.8919987020427</v>
      </c>
      <c r="L13" s="35">
        <v>1739.4727726914043</v>
      </c>
      <c r="M13" s="35">
        <v>2244.5572441514273</v>
      </c>
      <c r="N13" s="35">
        <v>2722.0184630413464</v>
      </c>
      <c r="O13" s="35">
        <v>3200.4320928599441</v>
      </c>
      <c r="P13" s="35">
        <v>3688.0608001886189</v>
      </c>
    </row>
    <row r="14" spans="2:18">
      <c r="B14" s="16" t="s">
        <v>45</v>
      </c>
      <c r="C14" s="31" t="s">
        <v>11</v>
      </c>
      <c r="D14" s="36"/>
      <c r="E14" s="35">
        <v>6236.6886622842703</v>
      </c>
      <c r="F14" s="35">
        <v>7047.5070498501536</v>
      </c>
      <c r="G14" s="35">
        <v>8960.9720345623773</v>
      </c>
      <c r="H14" s="35">
        <v>11865.499260844286</v>
      </c>
      <c r="I14" s="35">
        <v>15633.074195969373</v>
      </c>
      <c r="J14" s="35">
        <v>20352.874690249984</v>
      </c>
      <c r="K14" s="35">
        <v>25800.882282141894</v>
      </c>
      <c r="L14" s="35">
        <v>31805.191522062356</v>
      </c>
      <c r="M14" s="35">
        <v>38566.341850315875</v>
      </c>
      <c r="N14" s="35">
        <v>46086.477940284982</v>
      </c>
      <c r="O14" s="35">
        <v>54166.721335143622</v>
      </c>
      <c r="P14" s="35">
        <v>62605.71328878263</v>
      </c>
    </row>
    <row r="15" spans="2:18">
      <c r="B15" s="16" t="s">
        <v>46</v>
      </c>
      <c r="C15" s="31" t="s">
        <v>11</v>
      </c>
      <c r="D15" s="36"/>
      <c r="E15" s="35">
        <v>25</v>
      </c>
      <c r="F15" s="35">
        <v>36.000008440447893</v>
      </c>
      <c r="G15" s="35">
        <v>90.000021101119728</v>
      </c>
      <c r="H15" s="35">
        <v>180.00004220223946</v>
      </c>
      <c r="I15" s="35">
        <v>306.38497045653105</v>
      </c>
      <c r="J15" s="35">
        <v>924.59339191127071</v>
      </c>
      <c r="K15" s="35">
        <v>1780.7666086629094</v>
      </c>
      <c r="L15" s="35">
        <v>2832.4200385466465</v>
      </c>
      <c r="M15" s="35">
        <v>4063.4257715751919</v>
      </c>
      <c r="N15" s="35">
        <v>5295.3603096355937</v>
      </c>
      <c r="O15" s="35">
        <v>6906.5622452254493</v>
      </c>
      <c r="P15" s="35">
        <v>8764.7390725782625</v>
      </c>
    </row>
    <row r="16" spans="2:18">
      <c r="B16" s="37"/>
      <c r="C16" s="19"/>
      <c r="D16" s="38"/>
      <c r="E16" s="39"/>
      <c r="F16" s="39"/>
      <c r="G16" s="39"/>
      <c r="H16" s="39"/>
      <c r="I16" s="39"/>
      <c r="J16" s="39"/>
      <c r="K16" s="39"/>
      <c r="L16" s="39"/>
      <c r="M16" s="39"/>
      <c r="N16" s="39"/>
      <c r="O16" s="39"/>
      <c r="P16" s="39"/>
    </row>
    <row r="17" spans="1:18">
      <c r="B17" s="40" t="s">
        <v>47</v>
      </c>
      <c r="E17" s="30">
        <f>SUM(E12:E13)</f>
        <v>4944.1242615749406</v>
      </c>
      <c r="F17" s="30">
        <f t="shared" ref="F17:M17" si="1">SUM(F12:F13)</f>
        <v>5765.6755494651188</v>
      </c>
      <c r="G17" s="30">
        <f t="shared" si="1"/>
        <v>6790.9823820665424</v>
      </c>
      <c r="H17" s="30">
        <f t="shared" si="1"/>
        <v>7997.500197915535</v>
      </c>
      <c r="I17" s="30">
        <f t="shared" si="1"/>
        <v>9325.9955527336424</v>
      </c>
      <c r="J17" s="30">
        <f t="shared" si="1"/>
        <v>10920.127096499191</v>
      </c>
      <c r="K17" s="30">
        <f t="shared" si="1"/>
        <v>12687.815589587877</v>
      </c>
      <c r="L17" s="30">
        <f t="shared" si="1"/>
        <v>14580.991633073219</v>
      </c>
      <c r="M17" s="30">
        <f t="shared" si="1"/>
        <v>16501.671374029225</v>
      </c>
      <c r="N17" s="30"/>
      <c r="O17" s="30"/>
      <c r="P17" s="30"/>
    </row>
    <row r="18" spans="1:18">
      <c r="B18" s="40" t="s">
        <v>73</v>
      </c>
      <c r="E18" s="30">
        <f>(E12*E22+E13*$C$62)*0.1</f>
        <v>17.761914656851623</v>
      </c>
      <c r="F18" s="30">
        <f>F12*F22+F13*$C$62-(9*$E$18)</f>
        <v>184.37767309380104</v>
      </c>
      <c r="G18" s="30">
        <f t="shared" ref="G18:M18" si="2">G12*G22+G13*$C$62-(9*$E$18)</f>
        <v>401.04768796205906</v>
      </c>
      <c r="H18" s="30">
        <f t="shared" si="2"/>
        <v>697.18982754766648</v>
      </c>
      <c r="I18" s="30">
        <f t="shared" si="2"/>
        <v>1062.5192537029643</v>
      </c>
      <c r="J18" s="30">
        <f t="shared" si="2"/>
        <v>1554.467861827884</v>
      </c>
      <c r="K18" s="30">
        <f t="shared" si="2"/>
        <v>2144.4825331336715</v>
      </c>
      <c r="L18" s="30">
        <f t="shared" si="2"/>
        <v>2831.3533734581461</v>
      </c>
      <c r="M18" s="30">
        <f t="shared" si="2"/>
        <v>3589.3884917244659</v>
      </c>
      <c r="N18" s="30"/>
      <c r="O18" s="30"/>
      <c r="P18" s="30"/>
    </row>
    <row r="19" spans="1:18">
      <c r="B19" s="41" t="s">
        <v>48</v>
      </c>
      <c r="E19" s="30">
        <f>E14+E15</f>
        <v>6261.6886622842703</v>
      </c>
      <c r="F19" s="30">
        <f t="shared" ref="F19:M19" si="3">F14+F15</f>
        <v>7083.5070582906019</v>
      </c>
      <c r="G19" s="30">
        <f t="shared" si="3"/>
        <v>9050.9720556634966</v>
      </c>
      <c r="H19" s="30">
        <f t="shared" si="3"/>
        <v>12045.499303046527</v>
      </c>
      <c r="I19" s="30">
        <f t="shared" si="3"/>
        <v>15939.459166425904</v>
      </c>
      <c r="J19" s="30">
        <f t="shared" si="3"/>
        <v>21277.468082161256</v>
      </c>
      <c r="K19" s="30">
        <f t="shared" si="3"/>
        <v>27581.648890804805</v>
      </c>
      <c r="L19" s="30">
        <f t="shared" si="3"/>
        <v>34637.611560609002</v>
      </c>
      <c r="M19" s="30">
        <f t="shared" si="3"/>
        <v>42629.767621891064</v>
      </c>
      <c r="N19" s="30"/>
      <c r="O19" s="30"/>
      <c r="P19" s="30"/>
    </row>
    <row r="20" spans="1:18">
      <c r="B20" s="41" t="s">
        <v>74</v>
      </c>
      <c r="E20" s="30">
        <f>(E14*E22+E15*$C$62)*0.1</f>
        <v>19.710065986852811</v>
      </c>
      <c r="F20" s="30">
        <f>F14*F22+F15*$C$62-(9*$E$20)</f>
        <v>198.19414579932422</v>
      </c>
      <c r="G20" s="30">
        <f t="shared" ref="G20:M20" si="4">G14*G22+G15*$C$62-(9*$E$20)</f>
        <v>508.27988706454505</v>
      </c>
      <c r="H20" s="30">
        <f t="shared" si="4"/>
        <v>1006.9999787033724</v>
      </c>
      <c r="I20" s="30">
        <f t="shared" si="4"/>
        <v>1742.9669268374153</v>
      </c>
      <c r="J20" s="30">
        <f t="shared" si="4"/>
        <v>2965.5259394293935</v>
      </c>
      <c r="K20" s="30">
        <f t="shared" si="4"/>
        <v>4598.5550090208371</v>
      </c>
      <c r="L20" s="30">
        <f t="shared" si="4"/>
        <v>6640.7554061056298</v>
      </c>
      <c r="M20" s="30">
        <f t="shared" si="4"/>
        <v>9161.2480848115774</v>
      </c>
      <c r="N20" s="30"/>
      <c r="O20" s="30"/>
      <c r="P20" s="30"/>
    </row>
    <row r="21" spans="1:18">
      <c r="B21" s="41"/>
      <c r="E21" s="30"/>
      <c r="F21" s="30"/>
      <c r="G21" s="30"/>
      <c r="H21" s="30"/>
      <c r="I21" s="30"/>
      <c r="J21" s="30"/>
      <c r="K21" s="30"/>
      <c r="L21" s="30"/>
      <c r="M21" s="30"/>
      <c r="N21" s="30"/>
      <c r="O21" s="30"/>
      <c r="P21" s="30"/>
    </row>
    <row r="22" spans="1:18">
      <c r="B22" s="41" t="s">
        <v>49</v>
      </c>
      <c r="E22" s="71">
        <v>0.03</v>
      </c>
      <c r="F22" s="43">
        <f>($M$22-$E$22)/8+E22</f>
        <v>5.1250000000000004E-2</v>
      </c>
      <c r="G22" s="43">
        <f t="shared" ref="G22:L22" si="5">($M$22-$E$22)/8+F22</f>
        <v>7.2500000000000009E-2</v>
      </c>
      <c r="H22" s="43">
        <f t="shared" si="5"/>
        <v>9.3750000000000014E-2</v>
      </c>
      <c r="I22" s="43">
        <f t="shared" si="5"/>
        <v>0.11500000000000002</v>
      </c>
      <c r="J22" s="43">
        <f t="shared" si="5"/>
        <v>0.13625000000000001</v>
      </c>
      <c r="K22" s="43">
        <f t="shared" si="5"/>
        <v>0.1575</v>
      </c>
      <c r="L22" s="43">
        <f t="shared" si="5"/>
        <v>0.17874999999999999</v>
      </c>
      <c r="M22" s="71">
        <v>0.2</v>
      </c>
    </row>
    <row r="23" spans="1:18">
      <c r="E23" s="20"/>
      <c r="F23" s="20"/>
      <c r="G23" s="20"/>
      <c r="H23" s="20"/>
      <c r="I23" s="20"/>
      <c r="J23" s="20"/>
      <c r="K23" s="20"/>
      <c r="L23" s="20"/>
      <c r="M23" s="20"/>
      <c r="N23" s="20"/>
      <c r="O23" s="20"/>
      <c r="P23" s="20"/>
    </row>
    <row r="24" spans="1:18">
      <c r="A24" s="88" t="s">
        <v>50</v>
      </c>
      <c r="B24" t="s">
        <v>51</v>
      </c>
      <c r="E24" s="30">
        <f t="shared" ref="E24:K24" si="6">(E18-(0.9*$E$18))*10^6/($C$50*365)</f>
        <v>1351.7438856051463</v>
      </c>
      <c r="F24" s="30">
        <f t="shared" si="6"/>
        <v>128152.16887567319</v>
      </c>
      <c r="G24" s="30">
        <f t="shared" si="6"/>
        <v>293045.63528987259</v>
      </c>
      <c r="H24" s="30">
        <f t="shared" si="6"/>
        <v>518420.17074315069</v>
      </c>
      <c r="I24" s="30">
        <f t="shared" si="6"/>
        <v>796448.65335753257</v>
      </c>
      <c r="J24" s="30">
        <f t="shared" si="6"/>
        <v>1170838.7660857821</v>
      </c>
      <c r="K24" s="30">
        <f t="shared" si="6"/>
        <v>1619860.5859532002</v>
      </c>
    </row>
    <row r="25" spans="1:18">
      <c r="A25" s="89"/>
      <c r="B25" t="s">
        <v>52</v>
      </c>
      <c r="E25" s="20">
        <f t="shared" ref="E25:K25" si="7">(E24*$C$56)/(E27)</f>
        <v>615.04346795034155</v>
      </c>
      <c r="F25" s="20">
        <f t="shared" si="7"/>
        <v>7605.5526310997357</v>
      </c>
      <c r="G25" s="20">
        <f t="shared" si="7"/>
        <v>9302.4951667599089</v>
      </c>
      <c r="H25" s="20">
        <f t="shared" si="7"/>
        <v>11232.437032768265</v>
      </c>
      <c r="I25" s="20">
        <f t="shared" si="7"/>
        <v>13098.221829313639</v>
      </c>
      <c r="J25" s="20">
        <f t="shared" si="7"/>
        <v>15516.45549230187</v>
      </c>
      <c r="K25" s="20">
        <f t="shared" si="7"/>
        <v>17976.501624602588</v>
      </c>
    </row>
    <row r="26" spans="1:18">
      <c r="A26" s="89"/>
      <c r="B26" t="s">
        <v>53</v>
      </c>
      <c r="E26" s="20">
        <f t="shared" ref="E26:K26" si="8">E24/E27</f>
        <v>6.7587194280257314</v>
      </c>
      <c r="F26" s="20">
        <f t="shared" si="8"/>
        <v>83.577501440656434</v>
      </c>
      <c r="G26" s="20">
        <f t="shared" si="8"/>
        <v>102.22522161274625</v>
      </c>
      <c r="H26" s="20">
        <f t="shared" si="8"/>
        <v>123.43337398646445</v>
      </c>
      <c r="I26" s="20">
        <f t="shared" si="8"/>
        <v>143.93650361883118</v>
      </c>
      <c r="J26" s="20">
        <f t="shared" si="8"/>
        <v>170.51049991540518</v>
      </c>
      <c r="K26" s="20">
        <f t="shared" si="8"/>
        <v>197.54397389673173</v>
      </c>
    </row>
    <row r="27" spans="1:18">
      <c r="A27" s="89"/>
      <c r="B27" t="s">
        <v>54</v>
      </c>
      <c r="E27" s="72">
        <v>200</v>
      </c>
      <c r="F27" s="20">
        <f>($K$27-$E$27)/6+E27</f>
        <v>1533.3333333333333</v>
      </c>
      <c r="G27" s="20">
        <f>($K$27-$E$27)/6+F27</f>
        <v>2866.6666666666665</v>
      </c>
      <c r="H27" s="20">
        <f>($K$27-$E$27)/6+G27</f>
        <v>4200</v>
      </c>
      <c r="I27" s="20">
        <f>($K$27-$E$27)/6+H27</f>
        <v>5533.333333333333</v>
      </c>
      <c r="J27" s="20">
        <f>($K$27-$E$27)/6+I27</f>
        <v>6866.6666666666661</v>
      </c>
      <c r="K27" s="73">
        <v>8200</v>
      </c>
      <c r="M27" t="s">
        <v>55</v>
      </c>
    </row>
    <row r="28" spans="1:18">
      <c r="A28" s="89"/>
      <c r="B28" t="s">
        <v>107</v>
      </c>
      <c r="E28" s="20">
        <f>43*$C$55^0.45</f>
        <v>409.92982972419662</v>
      </c>
      <c r="F28" s="20">
        <f t="shared" ref="F28:K28" si="9">43*$C$55^0.45</f>
        <v>409.92982972419662</v>
      </c>
      <c r="G28" s="20">
        <f t="shared" si="9"/>
        <v>409.92982972419662</v>
      </c>
      <c r="H28" s="20">
        <f t="shared" si="9"/>
        <v>409.92982972419662</v>
      </c>
      <c r="I28" s="20">
        <f t="shared" si="9"/>
        <v>409.92982972419662</v>
      </c>
      <c r="J28" s="20">
        <f t="shared" si="9"/>
        <v>409.92982972419662</v>
      </c>
      <c r="K28" s="20">
        <f t="shared" si="9"/>
        <v>409.92982972419662</v>
      </c>
    </row>
    <row r="29" spans="1:18">
      <c r="A29" s="89"/>
      <c r="B29" t="s">
        <v>56</v>
      </c>
      <c r="E29" s="5">
        <f>(E3*$C$51-$C$52)*$C$50*(E28*$C$56*$C$57-E25)*10^-6</f>
        <v>29.101050779757735</v>
      </c>
      <c r="F29" s="5">
        <f t="shared" ref="F29:K29" si="10">(F3*$C$51-$C$52)*$C$50*(F28*$C$56*$C$57-F25)*10^-6</f>
        <v>22.998312289387663</v>
      </c>
      <c r="G29" s="5">
        <f t="shared" si="10"/>
        <v>21.233451320631055</v>
      </c>
      <c r="H29" s="5">
        <f t="shared" si="10"/>
        <v>19.342543428832837</v>
      </c>
      <c r="I29" s="5">
        <f t="shared" si="10"/>
        <v>17.558693946734646</v>
      </c>
      <c r="J29" s="5">
        <f t="shared" si="10"/>
        <v>15.426876609791263</v>
      </c>
      <c r="K29" s="5">
        <f t="shared" si="10"/>
        <v>13.339018550517226</v>
      </c>
      <c r="M29" s="5"/>
      <c r="O29">
        <v>21000</v>
      </c>
      <c r="P29" t="s">
        <v>11</v>
      </c>
    </row>
    <row r="30" spans="1:18">
      <c r="A30" s="89"/>
      <c r="B30" s="12" t="s">
        <v>57</v>
      </c>
      <c r="E30" s="22">
        <f t="shared" ref="E30:K30" si="11">E29*$C$60*4</f>
        <v>17460.63046785464</v>
      </c>
      <c r="F30" s="22">
        <f t="shared" si="11"/>
        <v>13798.987373632597</v>
      </c>
      <c r="G30" s="22">
        <f t="shared" si="11"/>
        <v>12740.070792378632</v>
      </c>
      <c r="H30" s="22">
        <f t="shared" si="11"/>
        <v>11605.526057299701</v>
      </c>
      <c r="I30" s="22">
        <f t="shared" si="11"/>
        <v>10535.216368040788</v>
      </c>
      <c r="J30" s="22">
        <f t="shared" si="11"/>
        <v>9256.1259658747585</v>
      </c>
      <c r="K30" s="22">
        <f t="shared" si="11"/>
        <v>8003.4111303103355</v>
      </c>
      <c r="M30" s="22">
        <f>SUM(F30:K30)</f>
        <v>65939.337687536812</v>
      </c>
      <c r="O30">
        <f>O29/3600</f>
        <v>5.833333333333333</v>
      </c>
      <c r="P30" t="s">
        <v>75</v>
      </c>
    </row>
    <row r="31" spans="1:18">
      <c r="A31" s="89"/>
      <c r="B31" t="s">
        <v>58</v>
      </c>
      <c r="E31" s="23">
        <f>E27*E30</f>
        <v>3492126.0935709281</v>
      </c>
      <c r="F31" s="23">
        <f t="shared" ref="F31:K31" si="12">F27*F30</f>
        <v>21158447.306236647</v>
      </c>
      <c r="G31" s="23">
        <f t="shared" si="12"/>
        <v>36521536.271485411</v>
      </c>
      <c r="H31" s="23">
        <f t="shared" si="12"/>
        <v>48743209.440658748</v>
      </c>
      <c r="I31" s="23">
        <f t="shared" si="12"/>
        <v>58294863.90315903</v>
      </c>
      <c r="J31" s="23">
        <f t="shared" si="12"/>
        <v>63558731.632340007</v>
      </c>
      <c r="K31" s="23">
        <f t="shared" si="12"/>
        <v>65627971.268544748</v>
      </c>
      <c r="M31" s="22">
        <f>SUM(F31:K31)</f>
        <v>293904759.82242459</v>
      </c>
      <c r="O31" s="28"/>
      <c r="R31" s="23">
        <f>SUM(E30:K30)</f>
        <v>83399.968155391456</v>
      </c>
    </row>
    <row r="32" spans="1:18">
      <c r="A32" s="89"/>
      <c r="B32" t="s">
        <v>59</v>
      </c>
      <c r="E32" s="24">
        <f>E27*E29*4</f>
        <v>23280.840623806187</v>
      </c>
      <c r="F32" s="24">
        <f t="shared" ref="F32:K32" si="13">F27*F29*4</f>
        <v>141056.31537491098</v>
      </c>
      <c r="G32" s="24">
        <f t="shared" si="13"/>
        <v>243476.90847656943</v>
      </c>
      <c r="H32" s="24">
        <f t="shared" si="13"/>
        <v>324954.72960439167</v>
      </c>
      <c r="I32" s="24">
        <f t="shared" si="13"/>
        <v>388632.42602106015</v>
      </c>
      <c r="J32" s="24">
        <f t="shared" si="13"/>
        <v>423724.87754893332</v>
      </c>
      <c r="K32" s="24">
        <f t="shared" si="13"/>
        <v>437519.80845696502</v>
      </c>
      <c r="R32" s="23">
        <f>SUM(E31:K31)</f>
        <v>297396885.91599554</v>
      </c>
    </row>
    <row r="33" spans="1:18">
      <c r="A33" s="89"/>
      <c r="B33" t="s">
        <v>20</v>
      </c>
      <c r="E33" s="25">
        <f t="shared" ref="E33:K33" si="14">E32/(E6*-1000000)</f>
        <v>1.5723063524917123E-3</v>
      </c>
      <c r="F33" s="25">
        <f t="shared" si="14"/>
        <v>8.1290682733892762E-3</v>
      </c>
      <c r="G33" s="25">
        <f t="shared" si="14"/>
        <v>1.238149743099819E-2</v>
      </c>
      <c r="H33" s="25">
        <f t="shared" si="14"/>
        <v>1.5002199947034372E-2</v>
      </c>
      <c r="I33" s="25">
        <f t="shared" si="14"/>
        <v>1.6882455635201306E-2</v>
      </c>
      <c r="J33" s="25">
        <f t="shared" si="14"/>
        <v>1.7549530633796055E-2</v>
      </c>
      <c r="K33" s="25">
        <f t="shared" si="14"/>
        <v>1.741745539542151E-2</v>
      </c>
      <c r="M33" s="26">
        <f>AVERAGE(F33:K33)</f>
        <v>1.4560367885973452E-2</v>
      </c>
    </row>
    <row r="34" spans="1:18">
      <c r="A34" s="89"/>
      <c r="R34" s="26">
        <f>AVERAGE(E33:K33)</f>
        <v>1.2704930524047489E-2</v>
      </c>
    </row>
    <row r="36" spans="1:18">
      <c r="B36" t="s">
        <v>61</v>
      </c>
      <c r="E36" s="30">
        <f t="shared" ref="E36:K36" si="15">(E20-(0.9*$E$20))*10^6/($C$50*365)</f>
        <v>1500.0050218305037</v>
      </c>
      <c r="F36" s="30">
        <f t="shared" si="15"/>
        <v>137332.63806024101</v>
      </c>
      <c r="G36" s="30">
        <f t="shared" si="15"/>
        <v>373318.74252387939</v>
      </c>
      <c r="H36" s="30">
        <f t="shared" si="15"/>
        <v>752862.19125966879</v>
      </c>
      <c r="I36" s="30">
        <f t="shared" si="15"/>
        <v>1312958.8032338261</v>
      </c>
      <c r="J36" s="30">
        <f t="shared" si="15"/>
        <v>2243369.0106858644</v>
      </c>
      <c r="K36" s="30">
        <f t="shared" si="15"/>
        <v>3486161.3010903117</v>
      </c>
    </row>
    <row r="37" spans="1:18">
      <c r="A37" s="88" t="s">
        <v>60</v>
      </c>
      <c r="B37" t="s">
        <v>52</v>
      </c>
      <c r="E37" s="20">
        <f t="shared" ref="E37:K37" si="16">(E36*$C$56)/(E39)</f>
        <v>682.50228493287909</v>
      </c>
      <c r="F37" s="20">
        <f t="shared" si="16"/>
        <v>8150.3935196621287</v>
      </c>
      <c r="G37" s="20">
        <f t="shared" si="16"/>
        <v>11850.6996173278</v>
      </c>
      <c r="H37" s="20">
        <f t="shared" si="16"/>
        <v>16312.01414395949</v>
      </c>
      <c r="I37" s="20">
        <f t="shared" si="16"/>
        <v>21592.635739929792</v>
      </c>
      <c r="J37" s="20">
        <f t="shared" si="16"/>
        <v>29730.084462001993</v>
      </c>
      <c r="K37" s="20">
        <f t="shared" si="16"/>
        <v>38687.887609660778</v>
      </c>
    </row>
    <row r="38" spans="1:18">
      <c r="A38" s="89"/>
      <c r="B38" t="s">
        <v>53</v>
      </c>
      <c r="E38" s="20">
        <f t="shared" ref="E38:K38" si="17">E36/E39</f>
        <v>7.5000251091525181</v>
      </c>
      <c r="F38" s="20">
        <f t="shared" si="17"/>
        <v>89.564763952331091</v>
      </c>
      <c r="G38" s="20">
        <f t="shared" si="17"/>
        <v>130.22746832228353</v>
      </c>
      <c r="H38" s="20">
        <f t="shared" si="17"/>
        <v>179.25290268087352</v>
      </c>
      <c r="I38" s="20">
        <f t="shared" si="17"/>
        <v>237.28171142779991</v>
      </c>
      <c r="J38" s="20">
        <f t="shared" si="17"/>
        <v>326.70422485716472</v>
      </c>
      <c r="K38" s="20">
        <f t="shared" si="17"/>
        <v>425.14162208418435</v>
      </c>
    </row>
    <row r="39" spans="1:18">
      <c r="A39" s="89"/>
      <c r="B39" t="s">
        <v>54</v>
      </c>
      <c r="E39" s="72">
        <v>200</v>
      </c>
      <c r="F39" s="20">
        <f>($K$39-$E$39)/6+E39</f>
        <v>1533.3333333333333</v>
      </c>
      <c r="G39" s="20">
        <f>($K$39-$E$39)/6+F39</f>
        <v>2866.6666666666665</v>
      </c>
      <c r="H39" s="20">
        <f>($K$39-$E$39)/6+G39</f>
        <v>4200</v>
      </c>
      <c r="I39" s="20">
        <f>($K$39-$E$39)/6+H39</f>
        <v>5533.333333333333</v>
      </c>
      <c r="J39" s="20">
        <f>($K$39-$E$39)/6+I39</f>
        <v>6866.6666666666661</v>
      </c>
      <c r="K39" s="73">
        <v>8200</v>
      </c>
      <c r="M39" t="s">
        <v>55</v>
      </c>
    </row>
    <row r="40" spans="1:18">
      <c r="A40" s="89"/>
      <c r="B40" t="s">
        <v>107</v>
      </c>
      <c r="E40" s="20">
        <f>43*$C$55^0.45</f>
        <v>409.92982972419662</v>
      </c>
      <c r="F40" s="20">
        <f t="shared" ref="F40:K40" si="18">43*$C$55^0.45</f>
        <v>409.92982972419662</v>
      </c>
      <c r="G40" s="20">
        <f t="shared" si="18"/>
        <v>409.92982972419662</v>
      </c>
      <c r="H40" s="20">
        <f t="shared" si="18"/>
        <v>409.92982972419662</v>
      </c>
      <c r="I40" s="20">
        <f t="shared" si="18"/>
        <v>409.92982972419662</v>
      </c>
      <c r="J40" s="20">
        <f t="shared" si="18"/>
        <v>409.92982972419662</v>
      </c>
      <c r="K40" s="20">
        <f t="shared" si="18"/>
        <v>409.92982972419662</v>
      </c>
    </row>
    <row r="41" spans="1:18">
      <c r="A41" s="89"/>
      <c r="B41" t="s">
        <v>56</v>
      </c>
      <c r="E41" s="5">
        <f>(E3*$C$51-$C$52)*$C$50*(E40*$C$56*$C$57-E37)*10^-6</f>
        <v>29.046432360699626</v>
      </c>
      <c r="F41" s="5">
        <f t="shared" ref="F41:K41" si="19">(F3*$C$51-$C$52)*$C$50*(F40*$C$56*$C$57-F37)*10^-6</f>
        <v>22.565512295903339</v>
      </c>
      <c r="G41" s="5">
        <f t="shared" si="19"/>
        <v>19.248234598723695</v>
      </c>
      <c r="H41" s="5">
        <f t="shared" si="19"/>
        <v>15.462917256815327</v>
      </c>
      <c r="I41" s="5">
        <f t="shared" si="19"/>
        <v>11.200845055014602</v>
      </c>
      <c r="J41" s="5">
        <f t="shared" si="19"/>
        <v>5.0057465995041905</v>
      </c>
      <c r="K41" s="5">
        <f t="shared" si="19"/>
        <v>-1.529339360896236</v>
      </c>
      <c r="M41" s="5"/>
      <c r="O41">
        <f>6/250</f>
        <v>2.4E-2</v>
      </c>
    </row>
    <row r="42" spans="1:18">
      <c r="A42" s="89"/>
      <c r="B42" s="12" t="s">
        <v>57</v>
      </c>
      <c r="E42" s="22">
        <f t="shared" ref="E42:K42" si="20">E41*$C$60*4</f>
        <v>17427.859416419775</v>
      </c>
      <c r="F42" s="22">
        <f t="shared" si="20"/>
        <v>13539.307377542003</v>
      </c>
      <c r="G42" s="22">
        <f t="shared" si="20"/>
        <v>11548.940759234218</v>
      </c>
      <c r="H42" s="22">
        <f t="shared" si="20"/>
        <v>9277.7503540891958</v>
      </c>
      <c r="I42" s="22">
        <f t="shared" si="20"/>
        <v>6720.507033008761</v>
      </c>
      <c r="J42" s="22">
        <f t="shared" si="20"/>
        <v>3003.4479597025143</v>
      </c>
      <c r="K42" s="22">
        <f t="shared" si="20"/>
        <v>-917.60361653774157</v>
      </c>
      <c r="M42" s="22">
        <f>SUM(F42:K42)</f>
        <v>43172.349867038945</v>
      </c>
    </row>
    <row r="43" spans="1:18">
      <c r="A43" s="89"/>
      <c r="B43" t="s">
        <v>58</v>
      </c>
      <c r="E43" s="23">
        <f>E39*E42</f>
        <v>3485571.883283955</v>
      </c>
      <c r="F43" s="23">
        <f t="shared" ref="F43:K43" si="21">F39*F42</f>
        <v>20760271.312231071</v>
      </c>
      <c r="G43" s="23">
        <f t="shared" si="21"/>
        <v>33106963.509804755</v>
      </c>
      <c r="H43" s="23">
        <f t="shared" si="21"/>
        <v>38966551.487174623</v>
      </c>
      <c r="I43" s="23">
        <f t="shared" si="21"/>
        <v>37186805.582648478</v>
      </c>
      <c r="J43" s="23">
        <f t="shared" si="21"/>
        <v>20623675.989957262</v>
      </c>
      <c r="K43" s="23">
        <f t="shared" si="21"/>
        <v>-7524349.655609481</v>
      </c>
      <c r="M43" s="22">
        <f>SUM(F43:K43)</f>
        <v>143119918.22620672</v>
      </c>
    </row>
    <row r="44" spans="1:18">
      <c r="A44" s="89"/>
      <c r="B44" t="s">
        <v>59</v>
      </c>
      <c r="E44" s="24">
        <f>E39*E41*4</f>
        <v>23237.145888559702</v>
      </c>
      <c r="F44" s="24">
        <f t="shared" ref="F44:K44" si="22">F39*F41*4</f>
        <v>138401.80874820714</v>
      </c>
      <c r="G44" s="24">
        <f t="shared" si="22"/>
        <v>220713.09006536502</v>
      </c>
      <c r="H44" s="24">
        <f t="shared" si="22"/>
        <v>259777.0099144975</v>
      </c>
      <c r="I44" s="24">
        <f t="shared" si="22"/>
        <v>247912.0372176565</v>
      </c>
      <c r="J44" s="24">
        <f t="shared" si="22"/>
        <v>137491.17326638175</v>
      </c>
      <c r="K44" s="24">
        <f t="shared" si="22"/>
        <v>-50162.331037396543</v>
      </c>
    </row>
    <row r="45" spans="1:18">
      <c r="A45" s="89"/>
      <c r="B45" t="s">
        <v>20</v>
      </c>
      <c r="E45" s="25">
        <f t="shared" ref="E45:K45" si="23">E44/(E6*-1000000)</f>
        <v>1.5693553632680568E-3</v>
      </c>
      <c r="F45" s="25">
        <f t="shared" si="23"/>
        <v>7.9760891916424853E-3</v>
      </c>
      <c r="G45" s="25">
        <f t="shared" si="23"/>
        <v>1.1223892133060213E-2</v>
      </c>
      <c r="H45" s="25">
        <f t="shared" si="23"/>
        <v>1.1993137164443203E-2</v>
      </c>
      <c r="I45" s="25">
        <f t="shared" si="23"/>
        <v>1.0769466697904037E-2</v>
      </c>
      <c r="J45" s="25">
        <f t="shared" si="23"/>
        <v>5.6945100110065558E-3</v>
      </c>
      <c r="K45" s="25">
        <f t="shared" si="23"/>
        <v>-1.9969385305217799E-3</v>
      </c>
      <c r="M45" s="26">
        <f>AVERAGE(F45:K45)</f>
        <v>7.6100261112557856E-3</v>
      </c>
    </row>
    <row r="46" spans="1:18">
      <c r="A46" s="89"/>
      <c r="B46" s="12"/>
    </row>
    <row r="47" spans="1:18">
      <c r="A47" s="89"/>
      <c r="C47" s="24"/>
    </row>
    <row r="49" spans="2:7">
      <c r="B49" s="12" t="s">
        <v>62</v>
      </c>
      <c r="F49" s="30"/>
    </row>
    <row r="50" spans="2:7">
      <c r="B50" t="s">
        <v>63</v>
      </c>
      <c r="C50" s="72">
        <v>3.6</v>
      </c>
      <c r="D50" t="s">
        <v>64</v>
      </c>
    </row>
    <row r="51" spans="2:7">
      <c r="B51" t="s">
        <v>65</v>
      </c>
      <c r="C51" s="72">
        <v>3.4</v>
      </c>
    </row>
    <row r="52" spans="2:7">
      <c r="B52" t="s">
        <v>66</v>
      </c>
      <c r="C52" s="72">
        <v>93.75</v>
      </c>
    </row>
    <row r="53" spans="2:7">
      <c r="C53" s="72"/>
    </row>
    <row r="54" spans="2:7">
      <c r="B54" s="12" t="s">
        <v>67</v>
      </c>
      <c r="C54" s="72"/>
    </row>
    <row r="55" spans="2:7">
      <c r="B55" t="s">
        <v>68</v>
      </c>
      <c r="C55" s="72">
        <v>150</v>
      </c>
    </row>
    <row r="56" spans="2:7">
      <c r="B56" t="s">
        <v>24</v>
      </c>
      <c r="C56" s="72">
        <v>91</v>
      </c>
    </row>
    <row r="57" spans="2:7">
      <c r="B57" t="s">
        <v>25</v>
      </c>
      <c r="C57" s="72">
        <v>0.98</v>
      </c>
    </row>
    <row r="58" spans="2:7">
      <c r="B58" t="s">
        <v>69</v>
      </c>
      <c r="C58" s="72">
        <v>180</v>
      </c>
    </row>
    <row r="59" spans="2:7">
      <c r="B59" t="s">
        <v>70</v>
      </c>
      <c r="C59" s="72">
        <f>C56*C58</f>
        <v>16380</v>
      </c>
      <c r="G59" s="24"/>
    </row>
    <row r="60" spans="2:7">
      <c r="B60" t="s">
        <v>26</v>
      </c>
      <c r="C60" s="72">
        <v>150</v>
      </c>
      <c r="G60" s="24"/>
    </row>
    <row r="61" spans="2:7">
      <c r="B61" t="s">
        <v>71</v>
      </c>
      <c r="C61" s="72">
        <v>0.04</v>
      </c>
    </row>
    <row r="62" spans="2:7">
      <c r="B62" t="s">
        <v>72</v>
      </c>
      <c r="C62" s="72">
        <v>0.4</v>
      </c>
    </row>
  </sheetData>
  <mergeCells count="2">
    <mergeCell ref="A24:A34"/>
    <mergeCell ref="A37:A47"/>
  </mergeCells>
  <pageMargins left="0.7" right="0.7" top="0.75" bottom="0.75" header="0.3" footer="0.3"/>
  <pageSetup scale="58" orientation="landscape" horizontalDpi="0" verticalDpi="0" copies="3"/>
  <drawing r:id="rId1"/>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C19E41-0078-DB44-8916-5778DE056E06}">
  <sheetPr codeName="Sheet3">
    <pageSetUpPr fitToPage="1"/>
  </sheetPr>
  <dimension ref="A2:AQ65"/>
  <sheetViews>
    <sheetView topLeftCell="A20" zoomScale="125" zoomScaleNormal="125" workbookViewId="0">
      <selection activeCell="E57" sqref="E57"/>
    </sheetView>
  </sheetViews>
  <sheetFormatPr baseColWidth="10" defaultRowHeight="15"/>
  <cols>
    <col min="1" max="1" width="16.5" customWidth="1"/>
    <col min="2" max="2" width="35" customWidth="1"/>
    <col min="3" max="3" width="13.6640625" bestFit="1" customWidth="1"/>
    <col min="5" max="5" width="18.5" bestFit="1" customWidth="1"/>
    <col min="6" max="6" width="11.83203125" customWidth="1"/>
    <col min="7" max="7" width="12.83203125" customWidth="1"/>
    <col min="8" max="9" width="14" customWidth="1"/>
    <col min="10" max="10" width="14.33203125" customWidth="1"/>
    <col min="11" max="11" width="13" customWidth="1"/>
    <col min="12" max="12" width="13.6640625" bestFit="1" customWidth="1"/>
    <col min="13" max="13" width="14" customWidth="1"/>
    <col min="14" max="14" width="17.1640625" customWidth="1"/>
    <col min="15" max="16" width="13.6640625" bestFit="1" customWidth="1"/>
    <col min="18" max="18" width="13.33203125" customWidth="1"/>
    <col min="20" max="20" width="13.83203125" customWidth="1"/>
  </cols>
  <sheetData>
    <row r="2" spans="2:43">
      <c r="B2" s="1" t="s">
        <v>0</v>
      </c>
      <c r="C2" s="2" t="s">
        <v>1</v>
      </c>
      <c r="D2" s="3">
        <v>2018</v>
      </c>
      <c r="E2" s="3">
        <v>2019</v>
      </c>
      <c r="F2" s="3">
        <v>2020</v>
      </c>
      <c r="G2" s="3">
        <v>2021</v>
      </c>
      <c r="H2" s="3">
        <v>2022</v>
      </c>
      <c r="I2" s="3">
        <v>2023</v>
      </c>
      <c r="J2" s="3">
        <v>2024</v>
      </c>
      <c r="K2" s="3">
        <v>2025</v>
      </c>
      <c r="L2" s="4">
        <v>2026</v>
      </c>
      <c r="M2" s="4">
        <v>2027</v>
      </c>
      <c r="N2" s="4">
        <v>2028</v>
      </c>
      <c r="O2" s="4">
        <v>2029</v>
      </c>
      <c r="P2" s="4">
        <v>2030</v>
      </c>
    </row>
    <row r="3" spans="2:43">
      <c r="B3" t="s">
        <v>2</v>
      </c>
      <c r="C3" s="5" t="s">
        <v>3</v>
      </c>
      <c r="D3" s="5">
        <v>93.55</v>
      </c>
      <c r="E3" s="5">
        <v>93.721874999999997</v>
      </c>
      <c r="F3" s="5">
        <v>92.472250000000003</v>
      </c>
      <c r="G3" s="5">
        <v>91.222624999999994</v>
      </c>
      <c r="H3" s="5">
        <v>89.972999999999999</v>
      </c>
      <c r="I3" s="5">
        <v>88.72337499999999</v>
      </c>
      <c r="J3" s="5">
        <v>87.473749999999995</v>
      </c>
      <c r="K3" s="5">
        <v>86.224125000000001</v>
      </c>
      <c r="L3" s="5">
        <v>84.974499999999992</v>
      </c>
      <c r="M3" s="5">
        <v>83.724874999999997</v>
      </c>
      <c r="N3" s="5">
        <v>82.475249999999988</v>
      </c>
      <c r="O3" s="5">
        <v>81.225624999999994</v>
      </c>
      <c r="P3" s="5">
        <v>79.975999999999999</v>
      </c>
      <c r="S3" s="6"/>
    </row>
    <row r="4" spans="2:43">
      <c r="B4" t="s">
        <v>4</v>
      </c>
      <c r="C4" s="5" t="s">
        <v>3</v>
      </c>
      <c r="D4" s="5">
        <v>98.44</v>
      </c>
      <c r="E4" s="5">
        <v>94.640625</v>
      </c>
      <c r="F4" s="5">
        <v>93.378750000000011</v>
      </c>
      <c r="G4" s="5">
        <v>92.116875000000007</v>
      </c>
      <c r="H4" s="5">
        <v>90.855000000000004</v>
      </c>
      <c r="I4" s="5">
        <v>89.593125000000001</v>
      </c>
      <c r="J4" s="5">
        <v>88.331249999999997</v>
      </c>
      <c r="K4" s="5">
        <v>87.069375000000008</v>
      </c>
      <c r="L4" s="5">
        <v>85.807500000000005</v>
      </c>
      <c r="M4" s="5">
        <v>84.545625000000001</v>
      </c>
      <c r="N4" s="7">
        <v>83.283749999999998</v>
      </c>
      <c r="O4" s="5">
        <v>82.021875000000009</v>
      </c>
      <c r="P4" s="5">
        <v>80.760000000000005</v>
      </c>
      <c r="S4" s="6"/>
    </row>
    <row r="5" spans="2:43">
      <c r="S5" s="8"/>
    </row>
    <row r="6" spans="2:43">
      <c r="B6" s="1" t="s">
        <v>5</v>
      </c>
      <c r="C6" s="9" t="s">
        <v>6</v>
      </c>
      <c r="D6" s="10">
        <v>-11.561717866753563</v>
      </c>
      <c r="E6" s="10">
        <v>-14.806809491618397</v>
      </c>
      <c r="F6" s="10">
        <v>-17.352088902569882</v>
      </c>
      <c r="G6" s="10">
        <v>-19.664576908686598</v>
      </c>
      <c r="H6" s="10">
        <v>-21.660471847572502</v>
      </c>
      <c r="I6" s="10">
        <v>-23.019899143743615</v>
      </c>
      <c r="J6" s="10">
        <v>-24.144513399859481</v>
      </c>
      <c r="K6" s="10">
        <v>-25.11961698905656</v>
      </c>
      <c r="L6" s="10">
        <v>-26.147738502024922</v>
      </c>
      <c r="M6" s="10">
        <v>-27.28275677177481</v>
      </c>
      <c r="N6" s="10">
        <v>-28.191387495848094</v>
      </c>
      <c r="O6" s="10">
        <v>-29.364746656804726</v>
      </c>
      <c r="P6" s="10">
        <v>-30.281084137209803</v>
      </c>
      <c r="S6" s="11"/>
    </row>
    <row r="8" spans="2:43">
      <c r="B8" s="12" t="s">
        <v>7</v>
      </c>
      <c r="E8" s="27">
        <f t="shared" ref="E8:P8" si="0">-0.025*E6</f>
        <v>0.37017023729045995</v>
      </c>
      <c r="F8" s="27">
        <f t="shared" si="0"/>
        <v>0.43380222256424705</v>
      </c>
      <c r="G8" s="27">
        <f t="shared" si="0"/>
        <v>0.49161442271716499</v>
      </c>
      <c r="H8" s="27">
        <f t="shared" si="0"/>
        <v>0.54151179618931256</v>
      </c>
      <c r="I8" s="27">
        <f t="shared" si="0"/>
        <v>0.57549747859359035</v>
      </c>
      <c r="J8" s="27">
        <f t="shared" si="0"/>
        <v>0.6036128349964871</v>
      </c>
      <c r="K8" s="27">
        <f t="shared" si="0"/>
        <v>0.62799042472641409</v>
      </c>
      <c r="L8" s="27">
        <f t="shared" si="0"/>
        <v>0.65369346255062311</v>
      </c>
      <c r="M8" s="27">
        <f t="shared" si="0"/>
        <v>0.6820689192943703</v>
      </c>
      <c r="N8" s="27">
        <f t="shared" si="0"/>
        <v>0.70478468739620237</v>
      </c>
      <c r="O8" s="27">
        <f t="shared" si="0"/>
        <v>0.73411866642011825</v>
      </c>
      <c r="P8" s="27">
        <f t="shared" si="0"/>
        <v>0.75702710343024515</v>
      </c>
    </row>
    <row r="10" spans="2:43">
      <c r="B10" s="13" t="s">
        <v>8</v>
      </c>
      <c r="C10" s="14" t="s">
        <v>3</v>
      </c>
      <c r="D10" s="15">
        <v>40.311999999999998</v>
      </c>
      <c r="E10" s="15">
        <f t="shared" ref="E10:P10" si="1">E15/LDH2EER</f>
        <v>40</v>
      </c>
      <c r="F10" s="15">
        <f t="shared" si="1"/>
        <v>40</v>
      </c>
      <c r="G10" s="15">
        <f t="shared" si="1"/>
        <v>40</v>
      </c>
      <c r="H10" s="15">
        <f t="shared" si="1"/>
        <v>40</v>
      </c>
      <c r="I10" s="15">
        <f t="shared" si="1"/>
        <v>40</v>
      </c>
      <c r="J10" s="15">
        <f t="shared" si="1"/>
        <v>40</v>
      </c>
      <c r="K10" s="15">
        <f t="shared" si="1"/>
        <v>40</v>
      </c>
      <c r="L10" s="15">
        <f t="shared" si="1"/>
        <v>39.200000000000003</v>
      </c>
      <c r="M10" s="15">
        <f t="shared" si="1"/>
        <v>38.415999999999997</v>
      </c>
      <c r="N10" s="15">
        <f t="shared" si="1"/>
        <v>37.647679999999994</v>
      </c>
      <c r="O10" s="15">
        <f t="shared" si="1"/>
        <v>36.894726399999996</v>
      </c>
      <c r="P10" s="15">
        <f t="shared" si="1"/>
        <v>36.156831871999998</v>
      </c>
    </row>
    <row r="11" spans="2:43">
      <c r="B11" s="16" t="s">
        <v>9</v>
      </c>
      <c r="C11" s="16" t="s">
        <v>3</v>
      </c>
      <c r="D11" s="17">
        <v>53.0421052631579</v>
      </c>
      <c r="E11" s="17">
        <f t="shared" ref="E11:P11" si="2">E15/HDH2EER</f>
        <v>52.631578947368425</v>
      </c>
      <c r="F11" s="17">
        <f t="shared" si="2"/>
        <v>52.631578947368425</v>
      </c>
      <c r="G11" s="17">
        <f t="shared" si="2"/>
        <v>52.631578947368425</v>
      </c>
      <c r="H11" s="17">
        <f t="shared" si="2"/>
        <v>52.631578947368425</v>
      </c>
      <c r="I11" s="17">
        <f t="shared" si="2"/>
        <v>52.631578947368425</v>
      </c>
      <c r="J11" s="17">
        <f t="shared" si="2"/>
        <v>52.631578947368425</v>
      </c>
      <c r="K11" s="17">
        <f t="shared" si="2"/>
        <v>52.631578947368425</v>
      </c>
      <c r="L11" s="17">
        <f t="shared" si="2"/>
        <v>51.578947368421055</v>
      </c>
      <c r="M11" s="17">
        <f t="shared" si="2"/>
        <v>50.547368421052632</v>
      </c>
      <c r="N11" s="17">
        <f t="shared" si="2"/>
        <v>49.536421052631574</v>
      </c>
      <c r="O11" s="17">
        <f t="shared" si="2"/>
        <v>48.545692631578945</v>
      </c>
      <c r="P11" s="17">
        <f t="shared" si="2"/>
        <v>47.574778778947369</v>
      </c>
      <c r="S11" s="5"/>
      <c r="T11" s="5"/>
      <c r="U11" s="5"/>
      <c r="V11" s="5"/>
      <c r="W11" s="5"/>
      <c r="X11" s="5"/>
      <c r="Y11" s="5"/>
      <c r="Z11" s="5"/>
      <c r="AA11" s="5"/>
      <c r="AB11" s="5"/>
      <c r="AC11" s="5"/>
      <c r="AD11" s="5"/>
      <c r="AE11" s="5"/>
      <c r="AF11" s="5"/>
      <c r="AG11" s="5">
        <f t="shared" ref="AG11:AQ11" si="3">SUM(T12:T13)</f>
        <v>0</v>
      </c>
      <c r="AH11" s="5">
        <f t="shared" si="3"/>
        <v>0</v>
      </c>
      <c r="AI11" s="5">
        <f t="shared" si="3"/>
        <v>0</v>
      </c>
      <c r="AJ11" s="5">
        <f t="shared" si="3"/>
        <v>0</v>
      </c>
      <c r="AK11" s="5">
        <f t="shared" si="3"/>
        <v>0</v>
      </c>
      <c r="AL11" s="5">
        <f t="shared" si="3"/>
        <v>0</v>
      </c>
      <c r="AM11" s="5">
        <f t="shared" si="3"/>
        <v>0</v>
      </c>
      <c r="AN11" s="5">
        <f t="shared" si="3"/>
        <v>0</v>
      </c>
      <c r="AO11" s="5">
        <f t="shared" si="3"/>
        <v>0</v>
      </c>
      <c r="AP11" s="5">
        <f t="shared" si="3"/>
        <v>0</v>
      </c>
      <c r="AQ11" s="5">
        <f t="shared" si="3"/>
        <v>0</v>
      </c>
    </row>
    <row r="12" spans="2:43">
      <c r="B12" s="16" t="s">
        <v>10</v>
      </c>
      <c r="C12" s="16" t="s">
        <v>11</v>
      </c>
      <c r="D12" s="18">
        <v>86.292000000000002</v>
      </c>
      <c r="E12" s="18">
        <v>160.512</v>
      </c>
      <c r="F12" s="18">
        <v>285.81600000000003</v>
      </c>
      <c r="G12" s="18">
        <v>463.06800000000004</v>
      </c>
      <c r="H12" s="18">
        <v>734.38800000000003</v>
      </c>
      <c r="I12" s="18">
        <v>1106.76</v>
      </c>
      <c r="J12" s="18">
        <v>1545.5639999999999</v>
      </c>
      <c r="K12" s="18">
        <v>2051.8200000000002</v>
      </c>
      <c r="L12" s="18">
        <v>2592.42</v>
      </c>
      <c r="M12" s="18">
        <v>3133.02</v>
      </c>
      <c r="N12" s="18">
        <v>3673.62</v>
      </c>
      <c r="O12" s="18">
        <v>4214.2199999999993</v>
      </c>
      <c r="P12" s="18">
        <v>4754.82</v>
      </c>
    </row>
    <row r="13" spans="2:43">
      <c r="B13" s="16" t="s">
        <v>12</v>
      </c>
      <c r="C13" s="16" t="s">
        <v>11</v>
      </c>
      <c r="D13" s="18">
        <v>5.7234630739286354</v>
      </c>
      <c r="E13" s="18">
        <v>10.652928121525175</v>
      </c>
      <c r="F13" s="18">
        <v>16.276896567875241</v>
      </c>
      <c r="G13" s="18">
        <v>24.420568063299566</v>
      </c>
      <c r="H13" s="18">
        <v>37.32459875518915</v>
      </c>
      <c r="I13" s="18">
        <v>50.873755630234925</v>
      </c>
      <c r="J13" s="18">
        <v>76.434906319096569</v>
      </c>
      <c r="K13" s="18">
        <v>108.31109994067391</v>
      </c>
      <c r="L13" s="18">
        <v>150.70441338848033</v>
      </c>
      <c r="M13" s="18">
        <v>205.65468608853371</v>
      </c>
      <c r="N13" s="18">
        <v>272.91898743491959</v>
      </c>
      <c r="O13" s="18">
        <v>360.26080208115457</v>
      </c>
      <c r="P13" s="18">
        <v>474.09743216818134</v>
      </c>
    </row>
    <row r="15" spans="2:43">
      <c r="B15" s="37" t="s">
        <v>88</v>
      </c>
      <c r="C15" s="37"/>
      <c r="D15" s="74">
        <v>100</v>
      </c>
      <c r="E15" s="74">
        <v>100</v>
      </c>
      <c r="F15" s="74">
        <v>100</v>
      </c>
      <c r="G15" s="74">
        <v>100</v>
      </c>
      <c r="H15" s="74">
        <v>100</v>
      </c>
      <c r="I15" s="74">
        <v>100</v>
      </c>
      <c r="J15" s="74">
        <v>100</v>
      </c>
      <c r="K15" s="74">
        <v>100</v>
      </c>
      <c r="L15" s="53">
        <f>0.98*K15</f>
        <v>98</v>
      </c>
      <c r="M15" s="53">
        <f t="shared" ref="M15:P15" si="4">0.98*L15</f>
        <v>96.039999999999992</v>
      </c>
      <c r="N15" s="53">
        <f t="shared" si="4"/>
        <v>94.119199999999992</v>
      </c>
      <c r="O15" s="53">
        <f t="shared" si="4"/>
        <v>92.23681599999999</v>
      </c>
      <c r="P15" s="53">
        <f t="shared" si="4"/>
        <v>90.392079679999995</v>
      </c>
    </row>
    <row r="17" spans="1:13" ht="15" customHeight="1">
      <c r="E17" s="3">
        <v>2019</v>
      </c>
      <c r="F17" s="3">
        <v>2020</v>
      </c>
      <c r="G17" s="3">
        <v>2021</v>
      </c>
      <c r="H17" s="3">
        <v>2022</v>
      </c>
      <c r="I17" s="3">
        <v>2023</v>
      </c>
      <c r="J17" s="3">
        <v>2024</v>
      </c>
      <c r="K17" s="3">
        <v>2025</v>
      </c>
    </row>
    <row r="18" spans="1:13" ht="15" customHeight="1">
      <c r="A18" s="21"/>
    </row>
    <row r="19" spans="1:13" ht="15" customHeight="1">
      <c r="A19" s="21"/>
      <c r="B19" t="s">
        <v>21</v>
      </c>
      <c r="E19" s="5">
        <f>E21*E22*4*10^-6+E43</f>
        <v>1.0563710933417907</v>
      </c>
      <c r="F19" s="5">
        <f t="shared" ref="F19:K19" si="5">F21*F22*4*10^-6+F43</f>
        <v>3.6492297150065287</v>
      </c>
      <c r="G19" s="5">
        <f t="shared" si="5"/>
        <v>8.9059858620802181</v>
      </c>
      <c r="H19" s="5">
        <f t="shared" si="5"/>
        <v>16.41631166912445</v>
      </c>
      <c r="I19" s="5">
        <f t="shared" si="5"/>
        <v>26.204113527694982</v>
      </c>
      <c r="J19" s="5">
        <f t="shared" si="5"/>
        <v>38.075615334713987</v>
      </c>
      <c r="K19" s="5">
        <f t="shared" si="5"/>
        <v>51.991842499505616</v>
      </c>
    </row>
    <row r="20" spans="1:13" ht="15" customHeight="1">
      <c r="A20" s="90" t="s">
        <v>140</v>
      </c>
      <c r="B20" t="s">
        <v>13</v>
      </c>
      <c r="E20">
        <f>Constants!D29</f>
        <v>250</v>
      </c>
      <c r="F20" s="20">
        <f>($K$20-$E$20)/6+E20</f>
        <v>341.66666666666669</v>
      </c>
      <c r="G20" s="20">
        <f>($K$20-$E$20)/6+F20</f>
        <v>433.33333333333337</v>
      </c>
      <c r="H20" s="20">
        <f>($K$20-$E$20)/6+G20</f>
        <v>525</v>
      </c>
      <c r="I20" s="20">
        <f>($K$20-$E$20)/6+H20</f>
        <v>616.66666666666663</v>
      </c>
      <c r="J20" s="20">
        <f>($K$20-$E$20)/6+I20</f>
        <v>708.33333333333326</v>
      </c>
      <c r="K20">
        <f>Constants!D30</f>
        <v>800</v>
      </c>
      <c r="M20" s="12" t="s">
        <v>35</v>
      </c>
    </row>
    <row r="21" spans="1:13" ht="15" customHeight="1">
      <c r="A21" s="90"/>
      <c r="B21" t="s">
        <v>33</v>
      </c>
      <c r="E21">
        <f t="shared" ref="E21:K21" si="6">E20*6*(DAYSPERQTR/7)</f>
        <v>19500</v>
      </c>
      <c r="F21">
        <f t="shared" si="6"/>
        <v>26650</v>
      </c>
      <c r="G21">
        <f t="shared" si="6"/>
        <v>33800</v>
      </c>
      <c r="H21">
        <f t="shared" si="6"/>
        <v>40950</v>
      </c>
      <c r="I21">
        <f t="shared" si="6"/>
        <v>48100</v>
      </c>
      <c r="J21">
        <f t="shared" si="6"/>
        <v>55250</v>
      </c>
      <c r="K21">
        <f t="shared" si="6"/>
        <v>62400</v>
      </c>
    </row>
    <row r="22" spans="1:13" ht="15" customHeight="1">
      <c r="A22" s="90"/>
      <c r="B22" t="s">
        <v>14</v>
      </c>
      <c r="E22" s="72">
        <v>10</v>
      </c>
      <c r="F22" s="72">
        <v>25</v>
      </c>
      <c r="G22" s="72">
        <v>50</v>
      </c>
      <c r="H22" s="72">
        <v>75</v>
      </c>
      <c r="I22" s="72">
        <v>100</v>
      </c>
      <c r="J22" s="72">
        <v>125</v>
      </c>
      <c r="K22" s="72">
        <v>150</v>
      </c>
    </row>
    <row r="23" spans="1:13" ht="15" customHeight="1">
      <c r="A23" s="90"/>
      <c r="B23" t="s">
        <v>15</v>
      </c>
      <c r="E23" s="20">
        <f t="shared" ref="E23:K23" si="7">(E$3*LDH2EER-E15)*H2ED*(H2CAPBIG*DAYSPERQTR*UPTIME-E21)*10^-6</f>
        <v>1410.45708375</v>
      </c>
      <c r="F23" s="20">
        <f t="shared" si="7"/>
        <v>1265.0954530500001</v>
      </c>
      <c r="G23" s="20">
        <f t="shared" si="7"/>
        <v>1125.0947135999997</v>
      </c>
      <c r="H23" s="20">
        <f t="shared" si="7"/>
        <v>990.45486540000002</v>
      </c>
      <c r="I23" s="20">
        <f t="shared" si="7"/>
        <v>861.17590844999972</v>
      </c>
      <c r="J23" s="20">
        <f t="shared" si="7"/>
        <v>737.2578427499999</v>
      </c>
      <c r="K23" s="20">
        <f t="shared" si="7"/>
        <v>618.70066830000007</v>
      </c>
      <c r="M23" s="24">
        <f>SUM(F23:K23)*4</f>
        <v>22391.1178062</v>
      </c>
    </row>
    <row r="24" spans="1:13" ht="15" customHeight="1">
      <c r="A24" s="90"/>
      <c r="B24" s="12" t="s">
        <v>16</v>
      </c>
      <c r="E24" s="22">
        <f t="shared" ref="E24:K24" si="8">E23*LCFSPRICE*4</f>
        <v>846274.25025000004</v>
      </c>
      <c r="F24" s="22">
        <f t="shared" si="8"/>
        <v>759057.27182999998</v>
      </c>
      <c r="G24" s="22">
        <f t="shared" si="8"/>
        <v>675056.8281599998</v>
      </c>
      <c r="H24" s="22">
        <f t="shared" si="8"/>
        <v>594272.91923999996</v>
      </c>
      <c r="I24" s="22">
        <f t="shared" si="8"/>
        <v>516705.54506999982</v>
      </c>
      <c r="J24" s="22">
        <f t="shared" si="8"/>
        <v>442354.70564999996</v>
      </c>
      <c r="K24" s="22">
        <f t="shared" si="8"/>
        <v>371220.40098000003</v>
      </c>
      <c r="M24" s="23">
        <f>SUM(F24:K24)</f>
        <v>3358667.6709299996</v>
      </c>
    </row>
    <row r="25" spans="1:13" ht="15" customHeight="1">
      <c r="A25" s="90"/>
      <c r="B25" t="s">
        <v>145</v>
      </c>
      <c r="E25" s="23">
        <f t="shared" ref="E25:K25" si="9">E22*E24</f>
        <v>8462742.5025000013</v>
      </c>
      <c r="F25" s="23">
        <f t="shared" si="9"/>
        <v>18976431.79575</v>
      </c>
      <c r="G25" s="23">
        <f t="shared" si="9"/>
        <v>33752841.407999992</v>
      </c>
      <c r="H25" s="23">
        <f t="shared" si="9"/>
        <v>44570468.942999996</v>
      </c>
      <c r="I25" s="23">
        <f t="shared" si="9"/>
        <v>51670554.506999984</v>
      </c>
      <c r="J25" s="23">
        <f t="shared" si="9"/>
        <v>55294338.206249997</v>
      </c>
      <c r="K25" s="23">
        <f t="shared" si="9"/>
        <v>55683060.147000007</v>
      </c>
      <c r="M25" s="23">
        <f>SUM(F25:K25)</f>
        <v>259947695.00699997</v>
      </c>
    </row>
    <row r="26" spans="1:13" ht="15" customHeight="1">
      <c r="A26" s="90"/>
      <c r="B26" t="s">
        <v>143</v>
      </c>
      <c r="E26" s="24">
        <f t="shared" ref="E26:K26" si="10">E22*E23*4</f>
        <v>56418.283349999998</v>
      </c>
      <c r="F26" s="24">
        <f t="shared" si="10"/>
        <v>126509.54530500001</v>
      </c>
      <c r="G26" s="24">
        <f t="shared" si="10"/>
        <v>225018.94271999996</v>
      </c>
      <c r="H26" s="24">
        <f t="shared" si="10"/>
        <v>297136.45961999998</v>
      </c>
      <c r="I26" s="24">
        <f t="shared" si="10"/>
        <v>344470.36337999988</v>
      </c>
      <c r="J26" s="24">
        <f t="shared" si="10"/>
        <v>368628.92137499998</v>
      </c>
      <c r="K26" s="24">
        <f t="shared" si="10"/>
        <v>371220.40098000003</v>
      </c>
    </row>
    <row r="27" spans="1:13" ht="15" customHeight="1">
      <c r="A27" s="90"/>
      <c r="B27" t="s">
        <v>144</v>
      </c>
      <c r="E27" s="24">
        <f>E$60</f>
        <v>55685.840600526375</v>
      </c>
      <c r="F27" s="24">
        <f t="shared" ref="F27:K27" si="11">F$60</f>
        <v>64306.771638641156</v>
      </c>
      <c r="G27" s="24">
        <f t="shared" si="11"/>
        <v>56886.635319107569</v>
      </c>
      <c r="H27" s="24">
        <f t="shared" si="11"/>
        <v>49753.818614364187</v>
      </c>
      <c r="I27" s="24">
        <f t="shared" si="11"/>
        <v>42908.321524410938</v>
      </c>
      <c r="J27" s="24">
        <f t="shared" si="11"/>
        <v>36350.144049247887</v>
      </c>
      <c r="K27" s="24">
        <f t="shared" si="11"/>
        <v>30079.286188875012</v>
      </c>
    </row>
    <row r="28" spans="1:13" ht="15" customHeight="1">
      <c r="A28" s="90"/>
      <c r="B28" t="s">
        <v>142</v>
      </c>
      <c r="E28" s="22">
        <f t="shared" ref="E28:K28" si="12">(E26+E27)*LCFSPRICE</f>
        <v>16815618.592578959</v>
      </c>
      <c r="F28" s="22">
        <f t="shared" si="12"/>
        <v>28622447.541546177</v>
      </c>
      <c r="G28" s="22">
        <f t="shared" si="12"/>
        <v>42285836.705866136</v>
      </c>
      <c r="H28" s="22">
        <f t="shared" si="12"/>
        <v>52033541.735154629</v>
      </c>
      <c r="I28" s="22">
        <f t="shared" si="12"/>
        <v>58106802.735661618</v>
      </c>
      <c r="J28" s="22">
        <f t="shared" si="12"/>
        <v>60746859.813637182</v>
      </c>
      <c r="K28" s="22">
        <f t="shared" si="12"/>
        <v>60194953.075331263</v>
      </c>
    </row>
    <row r="29" spans="1:13" ht="15" customHeight="1">
      <c r="A29" s="90"/>
      <c r="B29" t="s">
        <v>20</v>
      </c>
      <c r="E29" s="25">
        <f>(E26+E27)/(E6*-1000000)</f>
        <v>7.5711194916085398E-3</v>
      </c>
      <c r="F29" s="25">
        <f t="shared" ref="F29:K29" si="13">(F26+F27)/(F6*-1000000)</f>
        <v>1.0996734630340722E-2</v>
      </c>
      <c r="G29" s="25">
        <f t="shared" si="13"/>
        <v>1.4335705230178589E-2</v>
      </c>
      <c r="H29" s="25">
        <f t="shared" si="13"/>
        <v>1.6014899429498825E-2</v>
      </c>
      <c r="I29" s="25">
        <f t="shared" si="13"/>
        <v>1.6827992272489743E-2</v>
      </c>
      <c r="J29" s="25">
        <f t="shared" si="13"/>
        <v>1.6773130140059267E-2</v>
      </c>
      <c r="K29" s="25">
        <f t="shared" si="13"/>
        <v>1.5975549601082793E-2</v>
      </c>
      <c r="M29" s="26"/>
    </row>
    <row r="30" spans="1:13" ht="15" customHeight="1">
      <c r="A30" s="54"/>
      <c r="E30" s="25"/>
      <c r="F30" s="25"/>
      <c r="G30" s="25"/>
      <c r="H30" s="25"/>
      <c r="I30" s="25"/>
      <c r="J30" s="25"/>
      <c r="K30" s="25"/>
      <c r="M30" s="26"/>
    </row>
    <row r="32" spans="1:13">
      <c r="B32" t="s">
        <v>21</v>
      </c>
      <c r="E32" s="27">
        <f t="shared" ref="E32:K32" si="14">(E$12+E$13)/H2ED-E$54</f>
        <v>0.27637109334179089</v>
      </c>
      <c r="F32" s="27">
        <f t="shared" si="14"/>
        <v>0.98422971500652867</v>
      </c>
      <c r="G32" s="27">
        <f t="shared" si="14"/>
        <v>2.1459858620802175</v>
      </c>
      <c r="H32" s="27">
        <f t="shared" si="14"/>
        <v>4.1313116691244502</v>
      </c>
      <c r="I32" s="27">
        <f t="shared" si="14"/>
        <v>6.9641135276949848</v>
      </c>
      <c r="J32" s="27">
        <f t="shared" si="14"/>
        <v>10.450615334713984</v>
      </c>
      <c r="K32" s="27">
        <f t="shared" si="14"/>
        <v>14.551842499505618</v>
      </c>
    </row>
    <row r="33" spans="1:13">
      <c r="A33" s="90" t="s">
        <v>141</v>
      </c>
      <c r="B33" t="s">
        <v>33</v>
      </c>
      <c r="E33" s="20">
        <f>E32*10^6/(4*E34)</f>
        <v>6909.2773335447728</v>
      </c>
      <c r="F33" s="20">
        <f t="shared" ref="F33:J33" si="15">F32*10^6/(4*F34)</f>
        <v>9842.2971500652857</v>
      </c>
      <c r="G33" s="20">
        <f t="shared" si="15"/>
        <v>10729.929310401087</v>
      </c>
      <c r="H33" s="20">
        <f t="shared" si="15"/>
        <v>13771.0388970815</v>
      </c>
      <c r="I33" s="20">
        <f t="shared" si="15"/>
        <v>17410.283819237462</v>
      </c>
      <c r="J33" s="20">
        <f t="shared" si="15"/>
        <v>20901.230669427969</v>
      </c>
      <c r="K33" s="20">
        <f>(K32*10^6)/(4*K34)</f>
        <v>24253.070832509366</v>
      </c>
      <c r="M33" s="27"/>
    </row>
    <row r="34" spans="1:13">
      <c r="A34" s="90"/>
      <c r="B34" t="s">
        <v>14</v>
      </c>
      <c r="E34" s="72">
        <v>10</v>
      </c>
      <c r="F34" s="72">
        <v>25</v>
      </c>
      <c r="G34" s="72">
        <v>50</v>
      </c>
      <c r="H34" s="72">
        <v>75</v>
      </c>
      <c r="I34" s="72">
        <v>100</v>
      </c>
      <c r="J34" s="72">
        <v>125</v>
      </c>
      <c r="K34" s="72">
        <v>150</v>
      </c>
    </row>
    <row r="35" spans="1:13">
      <c r="A35" s="90"/>
      <c r="B35" t="s">
        <v>15</v>
      </c>
      <c r="E35" s="20">
        <f t="shared" ref="E35:K35" si="16">(E$3*LDH2EER-E$15)*H2ED*(H2CAPBIG*DAYSPERQTR*UPTIME-E33)*10^-6</f>
        <v>1613.3762525240923</v>
      </c>
      <c r="F35" s="20">
        <f t="shared" si="16"/>
        <v>1529.6768488102464</v>
      </c>
      <c r="G35" s="20">
        <f t="shared" si="16"/>
        <v>1479.6075874970447</v>
      </c>
      <c r="H35" s="20">
        <f t="shared" si="16"/>
        <v>1397.9191323588441</v>
      </c>
      <c r="I35" s="20">
        <f t="shared" si="16"/>
        <v>1309.7678734856579</v>
      </c>
      <c r="J35" s="20">
        <f t="shared" si="16"/>
        <v>1226.4573091521729</v>
      </c>
      <c r="K35" s="20">
        <f t="shared" si="16"/>
        <v>1147.6931949612699</v>
      </c>
      <c r="M35" s="12" t="s">
        <v>35</v>
      </c>
    </row>
    <row r="36" spans="1:13">
      <c r="A36" s="90"/>
      <c r="B36" s="12" t="s">
        <v>16</v>
      </c>
      <c r="E36" s="22">
        <f t="shared" ref="E36:K36" si="17">E35*LCFSPRICE*4</f>
        <v>968025.7515144553</v>
      </c>
      <c r="F36" s="22">
        <f t="shared" si="17"/>
        <v>917806.10928614787</v>
      </c>
      <c r="G36" s="22">
        <f t="shared" si="17"/>
        <v>887764.55249822687</v>
      </c>
      <c r="H36" s="22">
        <f t="shared" si="17"/>
        <v>838751.47941530647</v>
      </c>
      <c r="I36" s="22">
        <f t="shared" si="17"/>
        <v>785860.72409139469</v>
      </c>
      <c r="J36" s="22">
        <f t="shared" si="17"/>
        <v>735874.38549130375</v>
      </c>
      <c r="K36" s="22">
        <f t="shared" si="17"/>
        <v>688615.916976762</v>
      </c>
      <c r="M36" s="24">
        <f>SUM(F36:K36)*4</f>
        <v>19418692.671036564</v>
      </c>
    </row>
    <row r="37" spans="1:13">
      <c r="A37" s="90"/>
      <c r="B37" t="s">
        <v>145</v>
      </c>
      <c r="E37" s="23">
        <f t="shared" ref="E37:K37" si="18">E34*E36</f>
        <v>9680257.515144553</v>
      </c>
      <c r="F37" s="23">
        <f t="shared" si="18"/>
        <v>22945152.732153695</v>
      </c>
      <c r="G37" s="23">
        <f t="shared" si="18"/>
        <v>44388227.624911346</v>
      </c>
      <c r="H37" s="23">
        <f t="shared" si="18"/>
        <v>62906360.956147984</v>
      </c>
      <c r="I37" s="23">
        <f t="shared" si="18"/>
        <v>78586072.409139469</v>
      </c>
      <c r="J37" s="23">
        <f t="shared" si="18"/>
        <v>91984298.186412975</v>
      </c>
      <c r="K37" s="23">
        <f t="shared" si="18"/>
        <v>103292387.5465143</v>
      </c>
      <c r="M37" s="23">
        <f>SUM(F37:K37)</f>
        <v>404102499.45527983</v>
      </c>
    </row>
    <row r="38" spans="1:13">
      <c r="A38" s="90"/>
      <c r="B38" t="s">
        <v>143</v>
      </c>
      <c r="E38" s="24">
        <f t="shared" ref="E38:K38" si="19">E34*E35*4</f>
        <v>64535.050100963694</v>
      </c>
      <c r="F38" s="24">
        <f t="shared" si="19"/>
        <v>152967.68488102464</v>
      </c>
      <c r="G38" s="24">
        <f t="shared" si="19"/>
        <v>295921.51749940892</v>
      </c>
      <c r="H38" s="24">
        <f t="shared" si="19"/>
        <v>419375.73970765324</v>
      </c>
      <c r="I38" s="24">
        <f t="shared" si="19"/>
        <v>523907.14939426316</v>
      </c>
      <c r="J38" s="24">
        <f t="shared" si="19"/>
        <v>613228.65457608644</v>
      </c>
      <c r="K38" s="24">
        <f t="shared" si="19"/>
        <v>688615.916976762</v>
      </c>
      <c r="M38" s="23">
        <f>SUM(F38:K38)</f>
        <v>2694016.6630351986</v>
      </c>
    </row>
    <row r="39" spans="1:13">
      <c r="A39" s="90"/>
      <c r="B39" t="s">
        <v>144</v>
      </c>
      <c r="E39" s="24">
        <f>E$60</f>
        <v>55685.840600526375</v>
      </c>
      <c r="F39" s="24">
        <f t="shared" ref="F39:K39" si="20">F$60</f>
        <v>64306.771638641156</v>
      </c>
      <c r="G39" s="24">
        <f t="shared" si="20"/>
        <v>56886.635319107569</v>
      </c>
      <c r="H39" s="24">
        <f t="shared" si="20"/>
        <v>49753.818614364187</v>
      </c>
      <c r="I39" s="24">
        <f t="shared" si="20"/>
        <v>42908.321524410938</v>
      </c>
      <c r="J39" s="24">
        <f t="shared" si="20"/>
        <v>36350.144049247887</v>
      </c>
      <c r="K39" s="24">
        <f t="shared" si="20"/>
        <v>30079.286188875012</v>
      </c>
    </row>
    <row r="40" spans="1:13">
      <c r="A40" s="90"/>
      <c r="B40" t="s">
        <v>142</v>
      </c>
      <c r="E40" s="22">
        <f t="shared" ref="E40:K40" si="21">(E38+E39)*LCFSPRICE</f>
        <v>18033133.60522351</v>
      </c>
      <c r="F40" s="22">
        <f t="shared" si="21"/>
        <v>32591168.477949873</v>
      </c>
      <c r="G40" s="22">
        <f t="shared" si="21"/>
        <v>52921222.922777474</v>
      </c>
      <c r="H40" s="22">
        <f t="shared" si="21"/>
        <v>70369433.748302609</v>
      </c>
      <c r="I40" s="22">
        <f t="shared" si="21"/>
        <v>85022320.637801126</v>
      </c>
      <c r="J40" s="22">
        <f t="shared" si="21"/>
        <v>97436819.793800145</v>
      </c>
      <c r="K40" s="22">
        <f t="shared" si="21"/>
        <v>107804280.47484554</v>
      </c>
      <c r="M40" s="26"/>
    </row>
    <row r="41" spans="1:13" ht="21">
      <c r="A41" s="29"/>
      <c r="B41" t="s">
        <v>20</v>
      </c>
      <c r="E41" s="25">
        <f>(E38+E39)/(E$6*-1000000)</f>
        <v>8.1192974603707044E-3</v>
      </c>
      <c r="F41" s="25">
        <f t="shared" ref="F41:K41" si="22">(F38+F39)/(F$6*-1000000)</f>
        <v>1.2521515867031258E-2</v>
      </c>
      <c r="G41" s="25">
        <f t="shared" si="22"/>
        <v>1.7941304023818973E-2</v>
      </c>
      <c r="H41" s="25">
        <f t="shared" si="22"/>
        <v>2.1658325895361E-2</v>
      </c>
      <c r="I41" s="25">
        <f t="shared" si="22"/>
        <v>2.4622847710117971E-2</v>
      </c>
      <c r="J41" s="25">
        <f t="shared" si="22"/>
        <v>2.6903785049116575E-2</v>
      </c>
      <c r="K41" s="25">
        <f t="shared" si="22"/>
        <v>2.8610914070813211E-2</v>
      </c>
    </row>
    <row r="43" spans="1:13">
      <c r="A43" s="88" t="s">
        <v>148</v>
      </c>
      <c r="B43" t="s">
        <v>21</v>
      </c>
      <c r="E43" s="5">
        <f t="shared" ref="E43:K43" si="23">(E$12+E$13)/H2ED-E$54</f>
        <v>0.27637109334179089</v>
      </c>
      <c r="F43" s="5">
        <f t="shared" si="23"/>
        <v>0.98422971500652867</v>
      </c>
      <c r="G43" s="5">
        <f t="shared" si="23"/>
        <v>2.1459858620802175</v>
      </c>
      <c r="H43" s="5">
        <f t="shared" si="23"/>
        <v>4.1313116691244502</v>
      </c>
      <c r="I43" s="5">
        <f t="shared" si="23"/>
        <v>6.9641135276949848</v>
      </c>
      <c r="J43" s="5">
        <f t="shared" si="23"/>
        <v>10.450615334713984</v>
      </c>
      <c r="K43" s="5">
        <f t="shared" si="23"/>
        <v>14.551842499505618</v>
      </c>
    </row>
    <row r="44" spans="1:13">
      <c r="A44" s="89"/>
      <c r="B44" t="s">
        <v>33</v>
      </c>
      <c r="E44" s="20">
        <f>E43*10^6/(4*E45)</f>
        <v>6909.2773335447728</v>
      </c>
      <c r="F44" s="20">
        <f t="shared" ref="F44" si="24">F43*10^6/(4*F45)</f>
        <v>9842.2971500652857</v>
      </c>
      <c r="G44" s="20">
        <f t="shared" ref="G44" si="25">G43*10^6/(4*G45)</f>
        <v>10729.929310401087</v>
      </c>
      <c r="H44" s="20">
        <f t="shared" ref="H44" si="26">H43*10^6/(4*H45)</f>
        <v>13771.0388970815</v>
      </c>
      <c r="I44" s="20">
        <f t="shared" ref="I44" si="27">I43*10^6/(4*I45)</f>
        <v>17410.283819237462</v>
      </c>
      <c r="J44" s="20">
        <f t="shared" ref="J44" si="28">J43*10^6/(4*J45)</f>
        <v>20901.230669427969</v>
      </c>
      <c r="K44" s="20">
        <f t="shared" ref="K44" si="29">K43*10^6/(4*K45)</f>
        <v>24253.070832509366</v>
      </c>
    </row>
    <row r="45" spans="1:13">
      <c r="A45" s="89"/>
      <c r="B45" t="s">
        <v>14</v>
      </c>
      <c r="E45" s="72">
        <v>10</v>
      </c>
      <c r="F45" s="72">
        <v>25</v>
      </c>
      <c r="G45" s="72">
        <v>50</v>
      </c>
      <c r="H45" s="72">
        <v>75</v>
      </c>
      <c r="I45" s="72">
        <v>100</v>
      </c>
      <c r="J45" s="72">
        <v>125</v>
      </c>
      <c r="K45" s="72">
        <v>150</v>
      </c>
      <c r="M45" s="12" t="s">
        <v>35</v>
      </c>
    </row>
    <row r="46" spans="1:13">
      <c r="A46" s="89"/>
      <c r="B46" t="s">
        <v>15</v>
      </c>
      <c r="E46" s="20">
        <f t="shared" ref="E46:K46" si="30">(E$3*LDH2EER-E$15)*H2ED*(H2CAPSM*DAYSPERQTR*UPTIME-E44)*10^-6</f>
        <v>1182.1937393990925</v>
      </c>
      <c r="F46" s="20">
        <f t="shared" si="30"/>
        <v>1108.5240758602463</v>
      </c>
      <c r="G46" s="20">
        <f t="shared" si="30"/>
        <v>1068.4845547220448</v>
      </c>
      <c r="H46" s="20">
        <f t="shared" si="30"/>
        <v>996.82583975884393</v>
      </c>
      <c r="I46" s="20">
        <f t="shared" si="30"/>
        <v>918.704321060658</v>
      </c>
      <c r="J46" s="20">
        <f t="shared" si="30"/>
        <v>845.42349690217304</v>
      </c>
      <c r="K46" s="20">
        <f t="shared" si="30"/>
        <v>776.68912288626984</v>
      </c>
    </row>
    <row r="47" spans="1:13">
      <c r="A47" s="89"/>
      <c r="B47" s="12" t="s">
        <v>16</v>
      </c>
      <c r="E47" s="22">
        <f t="shared" ref="E47:K47" si="31">E46*LCFSPRICE*4</f>
        <v>709316.24363945553</v>
      </c>
      <c r="F47" s="22">
        <f t="shared" si="31"/>
        <v>665114.44551614777</v>
      </c>
      <c r="G47" s="22">
        <f t="shared" si="31"/>
        <v>641090.73283322691</v>
      </c>
      <c r="H47" s="22">
        <f t="shared" si="31"/>
        <v>598095.50385530631</v>
      </c>
      <c r="I47" s="22">
        <f t="shared" si="31"/>
        <v>551222.59263639478</v>
      </c>
      <c r="J47" s="22">
        <f t="shared" si="31"/>
        <v>507254.09814130381</v>
      </c>
      <c r="K47" s="22">
        <f t="shared" si="31"/>
        <v>466013.47373176191</v>
      </c>
      <c r="M47" s="23">
        <f>SUM(F47:K47)</f>
        <v>3428790.8467141413</v>
      </c>
    </row>
    <row r="48" spans="1:13">
      <c r="A48" s="89"/>
      <c r="B48" t="s">
        <v>145</v>
      </c>
      <c r="E48" s="23">
        <f t="shared" ref="E48:K48" si="32">E45*E47</f>
        <v>7093162.4363945555</v>
      </c>
      <c r="F48" s="23">
        <f t="shared" si="32"/>
        <v>16627861.137903694</v>
      </c>
      <c r="G48" s="23">
        <f t="shared" si="32"/>
        <v>32054536.641661346</v>
      </c>
      <c r="H48" s="23">
        <f t="shared" si="32"/>
        <v>44857162.789147973</v>
      </c>
      <c r="I48" s="23">
        <f t="shared" si="32"/>
        <v>55122259.26363948</v>
      </c>
      <c r="J48" s="23">
        <f t="shared" si="32"/>
        <v>63406762.26766298</v>
      </c>
      <c r="K48" s="23">
        <f t="shared" si="32"/>
        <v>69902021.059764281</v>
      </c>
      <c r="M48" s="23">
        <f>SUM(F48:K48)</f>
        <v>281970603.15977973</v>
      </c>
    </row>
    <row r="49" spans="1:20">
      <c r="A49" s="89"/>
      <c r="B49" t="s">
        <v>143</v>
      </c>
      <c r="E49" s="24">
        <f t="shared" ref="E49:K49" si="33">E45*E46*4</f>
        <v>47287.749575963695</v>
      </c>
      <c r="F49" s="24">
        <f t="shared" si="33"/>
        <v>110852.40758602462</v>
      </c>
      <c r="G49" s="24">
        <f t="shared" si="33"/>
        <v>213696.91094440897</v>
      </c>
      <c r="H49" s="24">
        <f t="shared" si="33"/>
        <v>299047.75192765315</v>
      </c>
      <c r="I49" s="24">
        <f t="shared" si="33"/>
        <v>367481.72842426319</v>
      </c>
      <c r="J49" s="24">
        <f t="shared" si="33"/>
        <v>422711.74845108652</v>
      </c>
      <c r="K49" s="24">
        <f t="shared" si="33"/>
        <v>466013.47373176191</v>
      </c>
      <c r="M49" t="s">
        <v>19</v>
      </c>
    </row>
    <row r="50" spans="1:20">
      <c r="A50" s="89"/>
      <c r="B50" t="s">
        <v>144</v>
      </c>
      <c r="E50" s="24">
        <f>E$60</f>
        <v>55685.840600526375</v>
      </c>
      <c r="F50" s="24">
        <f t="shared" ref="F50:K50" si="34">F$60</f>
        <v>64306.771638641156</v>
      </c>
      <c r="G50" s="24">
        <f t="shared" si="34"/>
        <v>56886.635319107569</v>
      </c>
      <c r="H50" s="24">
        <f t="shared" si="34"/>
        <v>49753.818614364187</v>
      </c>
      <c r="I50" s="24">
        <f t="shared" si="34"/>
        <v>42908.321524410938</v>
      </c>
      <c r="J50" s="24">
        <f t="shared" si="34"/>
        <v>36350.144049247887</v>
      </c>
      <c r="K50" s="24">
        <f t="shared" si="34"/>
        <v>30079.286188875012</v>
      </c>
      <c r="M50" s="26">
        <f>AVERAGE(F50:K50)</f>
        <v>46714.1628891078</v>
      </c>
    </row>
    <row r="51" spans="1:20">
      <c r="B51" t="s">
        <v>142</v>
      </c>
      <c r="E51" s="22">
        <f t="shared" ref="E51:K51" si="35">(E49+E50)*LCFSPRICE</f>
        <v>15446038.526473511</v>
      </c>
      <c r="F51" s="22">
        <f t="shared" si="35"/>
        <v>26273876.883699864</v>
      </c>
      <c r="G51" s="22">
        <f t="shared" si="35"/>
        <v>40587531.939527482</v>
      </c>
      <c r="H51" s="22">
        <f t="shared" si="35"/>
        <v>52320235.581302606</v>
      </c>
      <c r="I51" s="22">
        <f t="shared" si="35"/>
        <v>61558507.492301114</v>
      </c>
      <c r="J51" s="22">
        <f t="shared" si="35"/>
        <v>68859283.875050157</v>
      </c>
      <c r="K51" s="22">
        <f t="shared" si="35"/>
        <v>74413913.988095537</v>
      </c>
    </row>
    <row r="52" spans="1:20">
      <c r="B52" t="s">
        <v>20</v>
      </c>
      <c r="E52" s="25">
        <f>(E49+E50)/(E$6*-1000000)</f>
        <v>6.9544752524019256E-3</v>
      </c>
      <c r="F52" s="25">
        <f t="shared" ref="F52:K52" si="36">(F49+F50)/(F$6*-1000000)</f>
        <v>1.0094414580755422E-2</v>
      </c>
      <c r="G52" s="25">
        <f t="shared" si="36"/>
        <v>1.3759947519846685E-2</v>
      </c>
      <c r="H52" s="25">
        <f t="shared" si="36"/>
        <v>1.6103138149370817E-2</v>
      </c>
      <c r="I52" s="25">
        <f t="shared" si="36"/>
        <v>1.7827621545431948E-2</v>
      </c>
      <c r="J52" s="25">
        <f t="shared" si="36"/>
        <v>1.9013093571105314E-2</v>
      </c>
      <c r="K52" s="25">
        <f t="shared" si="36"/>
        <v>1.9749216723199296E-2</v>
      </c>
    </row>
    <row r="53" spans="1:20">
      <c r="B53" s="12"/>
    </row>
    <row r="54" spans="1:20">
      <c r="A54" s="90" t="s">
        <v>136</v>
      </c>
      <c r="B54" t="s">
        <v>21</v>
      </c>
      <c r="D54" s="5">
        <f>(D$12+D$13)/H2ED</f>
        <v>0.766795525616072</v>
      </c>
      <c r="E54" s="5">
        <f>($K54-$D54)/7+D54</f>
        <v>1.1500033076709189</v>
      </c>
      <c r="F54" s="5">
        <f t="shared" ref="F54:J54" si="37">($K54-$D54)/7+E54</f>
        <v>1.5332110897257656</v>
      </c>
      <c r="G54" s="5">
        <f t="shared" si="37"/>
        <v>1.9164188717806123</v>
      </c>
      <c r="H54" s="5">
        <f t="shared" si="37"/>
        <v>2.2996266538354591</v>
      </c>
      <c r="I54" s="5">
        <f t="shared" si="37"/>
        <v>2.6828344358903058</v>
      </c>
      <c r="J54" s="5">
        <f t="shared" si="37"/>
        <v>3.0660422179451525</v>
      </c>
      <c r="K54" s="5">
        <f>K56*0.7*L65*365*(6/7)*10^-6</f>
        <v>3.4492499999999997</v>
      </c>
      <c r="L54" s="5">
        <f t="shared" ref="L54:N54" si="38">($P54-$K54)/5+K54</f>
        <v>3.4985249999999999</v>
      </c>
      <c r="M54" s="5">
        <f t="shared" si="38"/>
        <v>3.5478000000000001</v>
      </c>
      <c r="N54" s="5">
        <f t="shared" si="38"/>
        <v>3.5970750000000002</v>
      </c>
      <c r="O54" s="5">
        <f>($P54-$K54)/5+N54</f>
        <v>3.6463500000000004</v>
      </c>
      <c r="P54" s="5">
        <f>K56*0.75*L65*365*(6/7)*10^-6</f>
        <v>3.6956249999999997</v>
      </c>
    </row>
    <row r="55" spans="1:20">
      <c r="A55" s="90"/>
      <c r="B55" t="s">
        <v>33</v>
      </c>
      <c r="D55" s="20">
        <f>D54*10^6/(4*D56)</f>
        <v>3142.6046131806229</v>
      </c>
      <c r="E55" s="20">
        <f>E54*10^6/(4*E56)</f>
        <v>5750.0165383545936</v>
      </c>
      <c r="F55" s="20">
        <f t="shared" ref="F55" si="39">F54*10^6/(4*F56)</f>
        <v>6283.6520070728102</v>
      </c>
      <c r="G55" s="20">
        <f t="shared" ref="G55" si="40">G54*10^6/(4*G56)</f>
        <v>7854.1757040189032</v>
      </c>
      <c r="H55" s="20">
        <f t="shared" ref="H55" si="41">H54*10^6/(4*H56)</f>
        <v>9424.699400964997</v>
      </c>
      <c r="I55" s="20">
        <f t="shared" ref="I55" si="42">I54*10^6/(4*I56)</f>
        <v>10995.22309791109</v>
      </c>
      <c r="J55" s="20">
        <f t="shared" ref="J55" si="43">J54*10^6/(4*J56)</f>
        <v>12565.746794857183</v>
      </c>
      <c r="K55" s="20">
        <f t="shared" ref="K55" si="44">K54*10^6/(4*K56)</f>
        <v>14136.270491803276</v>
      </c>
      <c r="L55" s="20">
        <f t="shared" ref="L55" si="45">L54*10^6/(4*L56)</f>
        <v>14338.217213114754</v>
      </c>
      <c r="M55" s="20">
        <f t="shared" ref="M55" si="46">M54*10^6/(4*M56)</f>
        <v>14540.163934426229</v>
      </c>
      <c r="N55" s="20">
        <f t="shared" ref="N55" si="47">N54*10^6/(4*N56)</f>
        <v>14742.110655737706</v>
      </c>
      <c r="O55" s="20">
        <f t="shared" ref="O55" si="48">O54*10^6/(4*O56)</f>
        <v>14944.057377049183</v>
      </c>
      <c r="P55" s="20">
        <f t="shared" ref="P55" si="49">P54*10^6/(4*P56)</f>
        <v>15146.004098360654</v>
      </c>
    </row>
    <row r="56" spans="1:20">
      <c r="A56" s="90"/>
      <c r="B56" t="s">
        <v>14</v>
      </c>
      <c r="D56">
        <v>61</v>
      </c>
      <c r="E56">
        <v>50</v>
      </c>
      <c r="F56">
        <v>61</v>
      </c>
      <c r="G56">
        <v>61</v>
      </c>
      <c r="H56">
        <v>61</v>
      </c>
      <c r="I56">
        <v>61</v>
      </c>
      <c r="J56">
        <v>61</v>
      </c>
      <c r="K56">
        <v>61</v>
      </c>
      <c r="L56">
        <v>61</v>
      </c>
      <c r="M56">
        <v>61</v>
      </c>
      <c r="N56">
        <v>61</v>
      </c>
      <c r="O56">
        <v>61</v>
      </c>
      <c r="P56">
        <v>61</v>
      </c>
    </row>
    <row r="57" spans="1:20">
      <c r="A57" s="90"/>
      <c r="B57" t="s">
        <v>15</v>
      </c>
      <c r="D57" s="20"/>
      <c r="E57" s="20">
        <f t="shared" ref="E57:P57" si="50">(E$3*LDH2EER-E$15)*H2ED*($L$65*DAYSPERQTR*UPTIME-E55)*10^-6</f>
        <v>278.42920300263188</v>
      </c>
      <c r="F57" s="20">
        <f t="shared" si="50"/>
        <v>263.55234278131621</v>
      </c>
      <c r="G57" s="20">
        <f t="shared" si="50"/>
        <v>233.14194802912937</v>
      </c>
      <c r="H57" s="20">
        <f t="shared" si="50"/>
        <v>203.90909268182043</v>
      </c>
      <c r="I57" s="20">
        <f t="shared" si="50"/>
        <v>175.85377673938908</v>
      </c>
      <c r="J57" s="20">
        <f t="shared" si="50"/>
        <v>148.9760002018356</v>
      </c>
      <c r="K57" s="20">
        <f t="shared" si="50"/>
        <v>123.27576306915988</v>
      </c>
      <c r="L57" s="20">
        <f t="shared" si="50"/>
        <v>119.30344883299176</v>
      </c>
      <c r="M57" s="20">
        <f t="shared" si="50"/>
        <v>115.34488283913933</v>
      </c>
      <c r="N57" s="20">
        <f t="shared" si="50"/>
        <v>111.40376837219256</v>
      </c>
      <c r="O57" s="20">
        <f t="shared" si="50"/>
        <v>107.4837156519024</v>
      </c>
      <c r="P57" s="20">
        <f t="shared" si="50"/>
        <v>103.58824407446006</v>
      </c>
    </row>
    <row r="58" spans="1:20">
      <c r="A58" s="90"/>
      <c r="B58" s="12" t="s">
        <v>16</v>
      </c>
      <c r="E58" s="22">
        <f t="shared" ref="E58:P58" si="51">E57*LCFSPRICE*4</f>
        <v>167057.52180157913</v>
      </c>
      <c r="F58" s="22">
        <f t="shared" si="51"/>
        <v>158131.40566878972</v>
      </c>
      <c r="G58" s="22">
        <f t="shared" si="51"/>
        <v>139885.16881747762</v>
      </c>
      <c r="H58" s="22">
        <f t="shared" si="51"/>
        <v>122345.45560909226</v>
      </c>
      <c r="I58" s="22">
        <f t="shared" si="51"/>
        <v>105512.26604363344</v>
      </c>
      <c r="J58" s="22">
        <f t="shared" si="51"/>
        <v>89385.600121101364</v>
      </c>
      <c r="K58" s="22">
        <f t="shared" si="51"/>
        <v>73965.457841495925</v>
      </c>
      <c r="L58" s="22">
        <f t="shared" si="51"/>
        <v>71582.069299795054</v>
      </c>
      <c r="M58" s="22">
        <f t="shared" si="51"/>
        <v>69206.929703483605</v>
      </c>
      <c r="N58" s="22">
        <f t="shared" si="51"/>
        <v>66842.261023315528</v>
      </c>
      <c r="O58" s="22">
        <f t="shared" si="51"/>
        <v>64490.229391141438</v>
      </c>
      <c r="P58" s="22">
        <f t="shared" si="51"/>
        <v>62152.946444676039</v>
      </c>
    </row>
    <row r="59" spans="1:20">
      <c r="A59" s="90"/>
      <c r="B59" t="s">
        <v>17</v>
      </c>
      <c r="E59" s="23">
        <f t="shared" ref="E59:K59" si="52">E56*E58</f>
        <v>8352876.0900789564</v>
      </c>
      <c r="F59" s="23">
        <f t="shared" si="52"/>
        <v>9646015.7457961738</v>
      </c>
      <c r="G59" s="23">
        <f t="shared" si="52"/>
        <v>8532995.297866134</v>
      </c>
      <c r="H59" s="23">
        <f t="shared" si="52"/>
        <v>7463072.7921546279</v>
      </c>
      <c r="I59" s="23">
        <f t="shared" si="52"/>
        <v>6436248.2286616396</v>
      </c>
      <c r="J59" s="23">
        <f t="shared" si="52"/>
        <v>5452521.6073871832</v>
      </c>
      <c r="K59" s="23">
        <f t="shared" si="52"/>
        <v>4511892.9283312513</v>
      </c>
      <c r="L59" s="23">
        <f t="shared" ref="L59:P59" si="53">L56*L58</f>
        <v>4366506.2272874983</v>
      </c>
      <c r="M59" s="23">
        <f t="shared" si="53"/>
        <v>4221622.7119124997</v>
      </c>
      <c r="N59" s="23">
        <f t="shared" si="53"/>
        <v>4077377.922422247</v>
      </c>
      <c r="O59" s="23">
        <f t="shared" si="53"/>
        <v>3933903.9928596276</v>
      </c>
      <c r="P59" s="23">
        <f t="shared" si="53"/>
        <v>3791329.7331252382</v>
      </c>
      <c r="T59" s="23">
        <f>SUM(E59:P59)</f>
        <v>70786363.277883068</v>
      </c>
    </row>
    <row r="60" spans="1:20">
      <c r="A60" s="90"/>
      <c r="B60" t="s">
        <v>18</v>
      </c>
      <c r="E60" s="24">
        <f t="shared" ref="E60:K60" si="54">E56*E57*4</f>
        <v>55685.840600526375</v>
      </c>
      <c r="F60" s="24">
        <f t="shared" si="54"/>
        <v>64306.771638641156</v>
      </c>
      <c r="G60" s="24">
        <f t="shared" si="54"/>
        <v>56886.635319107569</v>
      </c>
      <c r="H60" s="24">
        <f t="shared" si="54"/>
        <v>49753.818614364187</v>
      </c>
      <c r="I60" s="24">
        <f t="shared" si="54"/>
        <v>42908.321524410938</v>
      </c>
      <c r="J60" s="24">
        <f t="shared" si="54"/>
        <v>36350.144049247887</v>
      </c>
      <c r="K60" s="24">
        <f t="shared" si="54"/>
        <v>30079.286188875012</v>
      </c>
      <c r="L60" s="24">
        <f t="shared" ref="L60:P60" si="55">L56*L57*4</f>
        <v>29110.041515249992</v>
      </c>
      <c r="M60" s="24">
        <f t="shared" si="55"/>
        <v>28144.151412749998</v>
      </c>
      <c r="N60" s="24">
        <f t="shared" si="55"/>
        <v>27182.519482814983</v>
      </c>
      <c r="O60" s="24">
        <f t="shared" si="55"/>
        <v>26226.026619064185</v>
      </c>
      <c r="P60" s="24">
        <f t="shared" si="55"/>
        <v>25275.531554168254</v>
      </c>
    </row>
    <row r="61" spans="1:20">
      <c r="A61" s="90"/>
      <c r="B61" t="s">
        <v>20</v>
      </c>
      <c r="E61" s="25">
        <f>E60/(E$6*-1000000)</f>
        <v>3.7608264381363272E-3</v>
      </c>
      <c r="F61" s="25">
        <f t="shared" ref="F61" si="56">F60/(F$6*-1000000)</f>
        <v>3.7059959754538359E-3</v>
      </c>
      <c r="G61" s="25">
        <f t="shared" ref="G61" si="57">G60/(G$6*-1000000)</f>
        <v>2.8928481697451909E-3</v>
      </c>
      <c r="H61" s="25">
        <f t="shared" ref="H61" si="58">H60/(H$6*-1000000)</f>
        <v>2.2969868322577709E-3</v>
      </c>
      <c r="I61" s="25">
        <f t="shared" ref="I61" si="59">I60/(I$6*-1000000)</f>
        <v>1.8639665298478352E-3</v>
      </c>
      <c r="J61" s="25">
        <f t="shared" ref="J61" si="60">J60/(J$6*-1000000)</f>
        <v>1.5055239858120081E-3</v>
      </c>
      <c r="K61" s="25">
        <f t="shared" ref="K61" si="61">K60/(K$6*-1000000)</f>
        <v>1.1974420709511273E-3</v>
      </c>
      <c r="L61" s="25">
        <f t="shared" ref="L61" si="62">L60/(L$6*-1000000)</f>
        <v>1.11329098357763E-3</v>
      </c>
      <c r="M61" s="25">
        <f t="shared" ref="M61" si="63">M60/(M$6*-1000000)</f>
        <v>1.0315728593038053E-3</v>
      </c>
      <c r="N61" s="25">
        <f t="shared" ref="N61" si="64">N60/(N$6*-1000000)</f>
        <v>9.6421360909668987E-4</v>
      </c>
      <c r="O61" s="25">
        <f t="shared" ref="O61" si="65">O60/(O$6*-1000000)</f>
        <v>8.9311264713352455E-4</v>
      </c>
      <c r="P61" s="25">
        <f t="shared" ref="P61" si="66">P60/(P$6*-1000000)</f>
        <v>8.3469704848213608E-4</v>
      </c>
    </row>
    <row r="62" spans="1:20">
      <c r="A62" s="90"/>
      <c r="E62" s="25"/>
      <c r="F62" s="25"/>
      <c r="G62" s="25"/>
      <c r="H62" s="25"/>
      <c r="I62" s="25"/>
      <c r="J62" s="25"/>
      <c r="K62" s="25"/>
      <c r="L62" s="25"/>
      <c r="M62" s="25"/>
      <c r="N62" s="25"/>
      <c r="O62" s="25"/>
      <c r="P62" s="25"/>
    </row>
    <row r="63" spans="1:20">
      <c r="A63" s="90"/>
      <c r="B63" t="s">
        <v>137</v>
      </c>
    </row>
    <row r="64" spans="1:20">
      <c r="B64" t="s">
        <v>138</v>
      </c>
      <c r="C64">
        <v>60</v>
      </c>
      <c r="D64">
        <v>100</v>
      </c>
      <c r="E64">
        <v>140</v>
      </c>
      <c r="F64">
        <v>180</v>
      </c>
      <c r="G64">
        <v>200</v>
      </c>
      <c r="H64">
        <v>350</v>
      </c>
      <c r="I64">
        <v>360</v>
      </c>
      <c r="J64">
        <v>500</v>
      </c>
      <c r="L64" t="s">
        <v>151</v>
      </c>
    </row>
    <row r="65" spans="2:12">
      <c r="B65" t="s">
        <v>139</v>
      </c>
      <c r="C65">
        <v>1</v>
      </c>
      <c r="D65">
        <v>5</v>
      </c>
      <c r="E65">
        <v>1</v>
      </c>
      <c r="F65">
        <v>31</v>
      </c>
      <c r="G65">
        <v>1</v>
      </c>
      <c r="H65">
        <v>5</v>
      </c>
      <c r="I65">
        <v>7</v>
      </c>
      <c r="J65">
        <v>10</v>
      </c>
      <c r="L65" s="20">
        <f>SUMPRODUCT(C64:J64,C65:J65)/SUM(C65:J65)</f>
        <v>258.19672131147541</v>
      </c>
    </row>
  </sheetData>
  <mergeCells count="4">
    <mergeCell ref="A20:A29"/>
    <mergeCell ref="A33:A40"/>
    <mergeCell ref="A43:A50"/>
    <mergeCell ref="A54:A63"/>
  </mergeCells>
  <pageMargins left="0.7" right="0.7" top="0.75" bottom="0.75" header="0.3" footer="0.3"/>
  <pageSetup scale="56" orientation="landscape" horizontalDpi="0" verticalDpi="0" copies="3"/>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AFBCAF-930B-F849-8244-4BCD4518236D}">
  <sheetPr>
    <pageSetUpPr fitToPage="1"/>
  </sheetPr>
  <dimension ref="A2:R67"/>
  <sheetViews>
    <sheetView zoomScale="125" zoomScaleNormal="125" workbookViewId="0">
      <selection activeCell="N17" sqref="N17"/>
    </sheetView>
  </sheetViews>
  <sheetFormatPr baseColWidth="10" defaultRowHeight="15"/>
  <cols>
    <col min="1" max="1" width="17.83203125" customWidth="1"/>
    <col min="2" max="2" width="35" customWidth="1"/>
    <col min="3" max="3" width="13.6640625" bestFit="1" customWidth="1"/>
    <col min="5" max="5" width="14.6640625" bestFit="1" customWidth="1"/>
    <col min="6" max="6" width="11.83203125" customWidth="1"/>
    <col min="7" max="7" width="12.83203125" customWidth="1"/>
    <col min="8" max="8" width="13.33203125" customWidth="1"/>
    <col min="9" max="10" width="12.83203125" customWidth="1"/>
    <col min="11" max="11" width="14.6640625" customWidth="1"/>
    <col min="13" max="13" width="15.6640625" bestFit="1" customWidth="1"/>
    <col min="15" max="15" width="16.33203125" bestFit="1" customWidth="1"/>
    <col min="18" max="18" width="13.33203125" customWidth="1"/>
  </cols>
  <sheetData>
    <row r="2" spans="2:18">
      <c r="B2" s="1" t="s">
        <v>0</v>
      </c>
      <c r="C2" s="2" t="s">
        <v>1</v>
      </c>
      <c r="D2" s="3">
        <v>2018</v>
      </c>
      <c r="E2" s="3">
        <v>2019</v>
      </c>
      <c r="F2" s="3">
        <v>2020</v>
      </c>
      <c r="G2" s="3">
        <v>2021</v>
      </c>
      <c r="H2" s="3">
        <v>2022</v>
      </c>
      <c r="I2" s="3">
        <v>2023</v>
      </c>
      <c r="J2" s="3">
        <v>2024</v>
      </c>
      <c r="K2" s="3">
        <v>2025</v>
      </c>
      <c r="L2" s="4">
        <v>2026</v>
      </c>
      <c r="M2" s="4">
        <v>2027</v>
      </c>
      <c r="N2" s="4">
        <v>2028</v>
      </c>
      <c r="O2" s="4">
        <v>2029</v>
      </c>
      <c r="P2" s="4">
        <v>2030</v>
      </c>
    </row>
    <row r="3" spans="2:18">
      <c r="B3" t="s">
        <v>2</v>
      </c>
      <c r="C3" s="5" t="s">
        <v>3</v>
      </c>
      <c r="D3" s="5">
        <v>93.55</v>
      </c>
      <c r="E3" s="5">
        <v>93.721874999999997</v>
      </c>
      <c r="F3" s="5">
        <v>92.472250000000003</v>
      </c>
      <c r="G3" s="5">
        <v>91.222624999999994</v>
      </c>
      <c r="H3" s="5">
        <v>89.972999999999999</v>
      </c>
      <c r="I3" s="5">
        <v>88.72337499999999</v>
      </c>
      <c r="J3" s="5">
        <v>87.473749999999995</v>
      </c>
      <c r="K3" s="5">
        <v>86.224125000000001</v>
      </c>
      <c r="L3" s="5">
        <v>84.974499999999992</v>
      </c>
      <c r="M3" s="5">
        <v>83.724874999999997</v>
      </c>
      <c r="N3" s="5">
        <v>82.475249999999988</v>
      </c>
      <c r="O3" s="5">
        <v>81.225624999999994</v>
      </c>
      <c r="P3" s="5">
        <v>79.975999999999999</v>
      </c>
    </row>
    <row r="4" spans="2:18">
      <c r="B4" t="s">
        <v>4</v>
      </c>
      <c r="C4" s="5" t="s">
        <v>3</v>
      </c>
      <c r="D4" s="5">
        <v>98.44</v>
      </c>
      <c r="E4" s="5">
        <v>94.640625</v>
      </c>
      <c r="F4" s="5">
        <v>93.378750000000011</v>
      </c>
      <c r="G4" s="5">
        <v>92.116875000000007</v>
      </c>
      <c r="H4" s="5">
        <v>90.855000000000004</v>
      </c>
      <c r="I4" s="5">
        <v>89.593125000000001</v>
      </c>
      <c r="J4" s="5">
        <v>88.331249999999997</v>
      </c>
      <c r="K4" s="5">
        <v>87.069375000000008</v>
      </c>
      <c r="L4" s="5">
        <v>85.807500000000005</v>
      </c>
      <c r="M4" s="5">
        <v>84.545625000000001</v>
      </c>
      <c r="N4" s="7">
        <v>83.283749999999998</v>
      </c>
      <c r="O4" s="5">
        <v>82.021875000000009</v>
      </c>
      <c r="P4" s="5">
        <v>80.760000000000005</v>
      </c>
    </row>
    <row r="6" spans="2:18">
      <c r="B6" s="1" t="s">
        <v>5</v>
      </c>
      <c r="C6" s="9" t="s">
        <v>6</v>
      </c>
      <c r="D6" s="10">
        <v>-11.561717866753563</v>
      </c>
      <c r="E6" s="10">
        <v>-14.806809491618397</v>
      </c>
      <c r="F6" s="10">
        <v>-17.352088902569882</v>
      </c>
      <c r="G6" s="10">
        <v>-19.664576908686598</v>
      </c>
      <c r="H6" s="10">
        <v>-21.660471847572502</v>
      </c>
      <c r="I6" s="10">
        <v>-23.019899143743615</v>
      </c>
      <c r="J6" s="10">
        <v>-24.144513399859481</v>
      </c>
      <c r="K6" s="10">
        <v>-25.11961698905656</v>
      </c>
      <c r="L6" s="10">
        <v>-26.147738502024922</v>
      </c>
      <c r="M6" s="10">
        <v>-27.28275677177481</v>
      </c>
      <c r="N6" s="10">
        <v>-28.191387495848094</v>
      </c>
      <c r="O6" s="10">
        <v>-29.364746656804726</v>
      </c>
      <c r="P6" s="10">
        <v>-30.281084137209803</v>
      </c>
    </row>
    <row r="8" spans="2:18">
      <c r="B8" s="12" t="s">
        <v>40</v>
      </c>
      <c r="E8">
        <f t="shared" ref="E8:P8" si="0">-0.025*E6</f>
        <v>0.37017023729045995</v>
      </c>
      <c r="F8">
        <f t="shared" si="0"/>
        <v>0.43380222256424705</v>
      </c>
      <c r="G8">
        <f t="shared" si="0"/>
        <v>0.49161442271716499</v>
      </c>
      <c r="H8">
        <f t="shared" si="0"/>
        <v>0.54151179618931256</v>
      </c>
      <c r="I8">
        <f t="shared" si="0"/>
        <v>0.57549747859359035</v>
      </c>
      <c r="J8">
        <f t="shared" si="0"/>
        <v>0.6036128349964871</v>
      </c>
      <c r="K8">
        <f t="shared" si="0"/>
        <v>0.62799042472641409</v>
      </c>
      <c r="L8">
        <f t="shared" si="0"/>
        <v>0.65369346255062311</v>
      </c>
      <c r="M8">
        <f t="shared" si="0"/>
        <v>0.6820689192943703</v>
      </c>
      <c r="N8">
        <f t="shared" si="0"/>
        <v>0.70478468739620237</v>
      </c>
      <c r="O8">
        <f t="shared" si="0"/>
        <v>0.73411866642011825</v>
      </c>
      <c r="P8">
        <f t="shared" si="0"/>
        <v>0.75702710343024515</v>
      </c>
      <c r="R8">
        <f>SUM(E8:P8)</f>
        <v>7.1758922561692344</v>
      </c>
    </row>
    <row r="10" spans="2:18">
      <c r="B10" s="13" t="s">
        <v>41</v>
      </c>
      <c r="C10" s="31" t="s">
        <v>3</v>
      </c>
      <c r="D10" s="32"/>
      <c r="E10" s="33">
        <v>25</v>
      </c>
      <c r="F10" s="33">
        <v>20</v>
      </c>
      <c r="G10" s="33">
        <v>15</v>
      </c>
      <c r="H10" s="33">
        <v>10</v>
      </c>
      <c r="I10" s="33">
        <v>10</v>
      </c>
      <c r="J10" s="33">
        <v>10</v>
      </c>
      <c r="K10" s="33">
        <v>10</v>
      </c>
      <c r="L10" s="33">
        <v>10</v>
      </c>
      <c r="M10" s="32">
        <v>10</v>
      </c>
      <c r="N10" s="32">
        <v>10</v>
      </c>
      <c r="O10" s="32">
        <v>10</v>
      </c>
      <c r="P10" s="32">
        <v>10</v>
      </c>
    </row>
    <row r="11" spans="2:18">
      <c r="B11" s="13" t="s">
        <v>42</v>
      </c>
      <c r="C11" s="31" t="s">
        <v>3</v>
      </c>
      <c r="D11" s="33">
        <v>38.948148148148142</v>
      </c>
      <c r="E11" s="33">
        <v>31.481481481481481</v>
      </c>
      <c r="F11" s="33">
        <v>25.185185185185183</v>
      </c>
      <c r="G11" s="33">
        <v>18.888888888888889</v>
      </c>
      <c r="H11" s="33">
        <v>12.592592592592592</v>
      </c>
      <c r="I11" s="33">
        <v>12.592592592592592</v>
      </c>
      <c r="J11" s="33">
        <v>12.592592592592592</v>
      </c>
      <c r="K11" s="33">
        <v>12.592592592592592</v>
      </c>
      <c r="L11" s="33">
        <v>12.592592592592592</v>
      </c>
      <c r="M11" s="33">
        <v>12.592592592592592</v>
      </c>
      <c r="N11" s="33">
        <v>12.592592592592592</v>
      </c>
      <c r="O11" s="33">
        <v>12.592592592592592</v>
      </c>
      <c r="P11" s="33">
        <v>12.592592592592592</v>
      </c>
    </row>
    <row r="12" spans="2:18">
      <c r="B12" s="31" t="s">
        <v>43</v>
      </c>
      <c r="C12" s="31" t="s">
        <v>11</v>
      </c>
      <c r="D12" s="34"/>
      <c r="E12" s="35">
        <v>4864.9474542201624</v>
      </c>
      <c r="F12" s="35">
        <v>5625.9077126324928</v>
      </c>
      <c r="G12" s="35">
        <v>6581.6428487111243</v>
      </c>
      <c r="H12" s="35">
        <v>7647.1935337367613</v>
      </c>
      <c r="I12" s="35">
        <v>8800.0762648379932</v>
      </c>
      <c r="J12" s="35">
        <v>10061.519411791955</v>
      </c>
      <c r="K12" s="35">
        <v>11425.923590885835</v>
      </c>
      <c r="L12" s="35">
        <v>12841.518860381815</v>
      </c>
      <c r="M12" s="35">
        <v>14257.114129877797</v>
      </c>
      <c r="N12" s="35">
        <v>15672.70939937378</v>
      </c>
      <c r="O12" s="35">
        <v>17088.304668869761</v>
      </c>
      <c r="P12" s="35">
        <v>18503.899938365739</v>
      </c>
    </row>
    <row r="13" spans="2:18">
      <c r="B13" s="16" t="s">
        <v>44</v>
      </c>
      <c r="C13" s="31" t="s">
        <v>11</v>
      </c>
      <c r="D13" s="36"/>
      <c r="E13" s="35">
        <v>79.17680735477839</v>
      </c>
      <c r="F13" s="35">
        <v>139.76783683262596</v>
      </c>
      <c r="G13" s="35">
        <v>209.33953335541773</v>
      </c>
      <c r="H13" s="35">
        <v>350.30666417877399</v>
      </c>
      <c r="I13" s="35">
        <v>525.91928789564838</v>
      </c>
      <c r="J13" s="35">
        <v>858.60768470723667</v>
      </c>
      <c r="K13" s="35">
        <v>1261.8919987020427</v>
      </c>
      <c r="L13" s="35">
        <v>1739.4727726914043</v>
      </c>
      <c r="M13" s="35">
        <v>2244.5572441514273</v>
      </c>
      <c r="N13" s="35">
        <v>2722.0184630413464</v>
      </c>
      <c r="O13" s="35">
        <v>3200.4320928599441</v>
      </c>
      <c r="P13" s="35">
        <v>3688.0608001886189</v>
      </c>
    </row>
    <row r="14" spans="2:18">
      <c r="B14" s="16" t="s">
        <v>45</v>
      </c>
      <c r="C14" s="31" t="s">
        <v>11</v>
      </c>
      <c r="D14" s="36"/>
      <c r="E14" s="35">
        <v>6236.6886622842703</v>
      </c>
      <c r="F14" s="35">
        <v>7047.5070498501536</v>
      </c>
      <c r="G14" s="35">
        <v>8960.9720345623773</v>
      </c>
      <c r="H14" s="35">
        <v>11865.499260844286</v>
      </c>
      <c r="I14" s="35">
        <v>15633.074195969373</v>
      </c>
      <c r="J14" s="35">
        <v>20352.874690249984</v>
      </c>
      <c r="K14" s="35">
        <v>25800.882282141894</v>
      </c>
      <c r="L14" s="35">
        <v>31805.191522062356</v>
      </c>
      <c r="M14" s="35">
        <v>38566.341850315875</v>
      </c>
      <c r="N14" s="35">
        <v>46086.477940284982</v>
      </c>
      <c r="O14" s="35">
        <v>54166.721335143622</v>
      </c>
      <c r="P14" s="35">
        <v>62605.71328878263</v>
      </c>
    </row>
    <row r="15" spans="2:18">
      <c r="B15" s="16" t="s">
        <v>46</v>
      </c>
      <c r="C15" s="31" t="s">
        <v>11</v>
      </c>
      <c r="D15" s="36"/>
      <c r="E15" s="35">
        <v>25</v>
      </c>
      <c r="F15" s="35">
        <v>36.000008440447893</v>
      </c>
      <c r="G15" s="35">
        <v>90.000021101119728</v>
      </c>
      <c r="H15" s="35">
        <v>180.00004220223946</v>
      </c>
      <c r="I15" s="35">
        <v>306.38497045653105</v>
      </c>
      <c r="J15" s="35">
        <v>924.59339191127071</v>
      </c>
      <c r="K15" s="35">
        <v>1780.7666086629094</v>
      </c>
      <c r="L15" s="35">
        <v>2832.4200385466465</v>
      </c>
      <c r="M15" s="35">
        <v>4063.4257715751919</v>
      </c>
      <c r="N15" s="35">
        <v>5295.3603096355937</v>
      </c>
      <c r="O15" s="35">
        <v>6906.5622452254493</v>
      </c>
      <c r="P15" s="35">
        <v>8764.7390725782625</v>
      </c>
    </row>
    <row r="16" spans="2:18">
      <c r="B16" s="37"/>
      <c r="C16" s="19"/>
      <c r="D16" s="38"/>
      <c r="E16" s="39"/>
      <c r="F16" s="39"/>
      <c r="G16" s="39"/>
      <c r="H16" s="39"/>
      <c r="I16" s="39"/>
      <c r="J16" s="39"/>
      <c r="K16" s="39"/>
      <c r="L16" s="39"/>
      <c r="M16" s="39"/>
      <c r="N16" s="39"/>
      <c r="O16" s="39"/>
      <c r="P16" s="39"/>
    </row>
    <row r="17" spans="1:16">
      <c r="B17" s="62" t="s">
        <v>116</v>
      </c>
      <c r="C17" s="19"/>
      <c r="D17" s="38"/>
      <c r="E17" s="86">
        <v>150</v>
      </c>
      <c r="F17" s="86">
        <v>150</v>
      </c>
      <c r="G17" s="86">
        <v>150</v>
      </c>
      <c r="H17" s="86">
        <v>150</v>
      </c>
      <c r="I17" s="86">
        <v>150</v>
      </c>
      <c r="J17" s="86">
        <v>150</v>
      </c>
      <c r="K17" s="86">
        <v>150</v>
      </c>
      <c r="L17" s="86">
        <v>150</v>
      </c>
      <c r="M17" s="39"/>
      <c r="N17" s="39"/>
      <c r="O17" s="39"/>
      <c r="P17" s="39"/>
    </row>
    <row r="18" spans="1:16">
      <c r="B18" s="62" t="s">
        <v>114</v>
      </c>
      <c r="C18" s="19"/>
      <c r="D18" s="38"/>
      <c r="E18" s="87">
        <f>(1-$C$67)*93.75</f>
        <v>91.875</v>
      </c>
      <c r="F18" s="87">
        <f>(1-$C$67)*E18</f>
        <v>90.037499999999994</v>
      </c>
      <c r="G18" s="87">
        <f t="shared" ref="G18:L18" si="1">(1-$C$67)*F18</f>
        <v>88.236749999999986</v>
      </c>
      <c r="H18" s="87">
        <f t="shared" si="1"/>
        <v>86.472014999999985</v>
      </c>
      <c r="I18" s="87">
        <f t="shared" si="1"/>
        <v>84.742574699999977</v>
      </c>
      <c r="J18" s="87">
        <f t="shared" si="1"/>
        <v>83.047723205999972</v>
      </c>
      <c r="K18" s="87">
        <f t="shared" si="1"/>
        <v>81.386768741879976</v>
      </c>
      <c r="L18" s="87">
        <f t="shared" si="1"/>
        <v>79.759033367042377</v>
      </c>
      <c r="M18" s="61"/>
      <c r="N18" s="39"/>
      <c r="O18" s="39"/>
      <c r="P18" s="39"/>
    </row>
    <row r="19" spans="1:16">
      <c r="B19" s="40" t="s">
        <v>47</v>
      </c>
      <c r="E19" s="30">
        <f t="shared" ref="E19:M19" si="2">SUM(E12:E13)</f>
        <v>4944.1242615749406</v>
      </c>
      <c r="F19" s="30">
        <f t="shared" si="2"/>
        <v>5765.6755494651188</v>
      </c>
      <c r="G19" s="30">
        <f t="shared" si="2"/>
        <v>6790.9823820665424</v>
      </c>
      <c r="H19" s="30">
        <f t="shared" si="2"/>
        <v>7997.500197915535</v>
      </c>
      <c r="I19" s="30">
        <f t="shared" si="2"/>
        <v>9325.9955527336424</v>
      </c>
      <c r="J19" s="30">
        <f t="shared" si="2"/>
        <v>10920.127096499191</v>
      </c>
      <c r="K19" s="30">
        <f t="shared" si="2"/>
        <v>12687.815589587877</v>
      </c>
      <c r="L19" s="30">
        <f t="shared" si="2"/>
        <v>14580.991633073219</v>
      </c>
      <c r="M19" s="30">
        <f t="shared" si="2"/>
        <v>16501.671374029225</v>
      </c>
      <c r="N19" s="30"/>
      <c r="O19" s="30"/>
      <c r="P19" s="30"/>
    </row>
    <row r="20" spans="1:16">
      <c r="B20" s="40" t="s">
        <v>73</v>
      </c>
      <c r="E20" s="30">
        <f>E12*E24+E13*$C$62-0.9*$C$64</f>
        <v>22.512523098138303</v>
      </c>
      <c r="F20" s="30">
        <f t="shared" ref="F20:M20" si="3">F12*F24+F13*$C$62-($D$64+$D$65)</f>
        <v>112.70389408714976</v>
      </c>
      <c r="G20" s="30">
        <f t="shared" si="3"/>
        <v>308.50239999857024</v>
      </c>
      <c r="H20" s="30">
        <f t="shared" si="3"/>
        <v>562.35440033717077</v>
      </c>
      <c r="I20" s="30">
        <f t="shared" si="3"/>
        <v>875.00003937740621</v>
      </c>
      <c r="J20" s="30">
        <f t="shared" si="3"/>
        <v>1267.1421284588496</v>
      </c>
      <c r="K20" s="30">
        <f t="shared" si="3"/>
        <v>1736.1715055661953</v>
      </c>
      <c r="L20" s="30">
        <f t="shared" si="3"/>
        <v>2279.7681136938618</v>
      </c>
      <c r="M20" s="30">
        <f t="shared" si="3"/>
        <v>2886.2778905221744</v>
      </c>
      <c r="N20" s="30"/>
      <c r="O20" s="30"/>
      <c r="P20" s="30"/>
    </row>
    <row r="21" spans="1:16">
      <c r="B21" s="41" t="s">
        <v>48</v>
      </c>
      <c r="E21" s="30">
        <f t="shared" ref="E21:M21" si="4">E14+E15</f>
        <v>6261.6886622842703</v>
      </c>
      <c r="F21" s="30">
        <f t="shared" si="4"/>
        <v>7083.5070582906019</v>
      </c>
      <c r="G21" s="30">
        <f t="shared" si="4"/>
        <v>9050.9720556634966</v>
      </c>
      <c r="H21" s="30">
        <f t="shared" si="4"/>
        <v>12045.499303046527</v>
      </c>
      <c r="I21" s="30">
        <f t="shared" si="4"/>
        <v>15939.459166425904</v>
      </c>
      <c r="J21" s="30">
        <f t="shared" si="4"/>
        <v>21277.468082161256</v>
      </c>
      <c r="K21" s="30">
        <f t="shared" si="4"/>
        <v>27581.648890804805</v>
      </c>
      <c r="L21" s="30">
        <f t="shared" si="4"/>
        <v>34637.611560609002</v>
      </c>
      <c r="M21" s="30">
        <f t="shared" si="4"/>
        <v>42629.767621891064</v>
      </c>
      <c r="N21" s="30"/>
      <c r="O21" s="30"/>
      <c r="P21" s="30"/>
    </row>
    <row r="22" spans="1:16">
      <c r="B22" s="41" t="s">
        <v>74</v>
      </c>
      <c r="E22" s="30">
        <f>E14*E24+E15*$C$62-0.9*$C$64</f>
        <v>58.24707860458372</v>
      </c>
      <c r="F22" s="30">
        <f t="shared" ref="F22:L22" si="5">F14*F24+F15*$C$62-0.9*$C$64</f>
        <v>233.4311558849208</v>
      </c>
      <c r="G22" s="30">
        <f t="shared" si="5"/>
        <v>527.31689335193994</v>
      </c>
      <c r="H22" s="30">
        <f t="shared" si="5"/>
        <v>999.03697866043137</v>
      </c>
      <c r="I22" s="30">
        <f t="shared" si="5"/>
        <v>1697.0884483181871</v>
      </c>
      <c r="J22" s="30">
        <f t="shared" si="5"/>
        <v>2734.1849344737434</v>
      </c>
      <c r="K22" s="30">
        <f t="shared" si="5"/>
        <v>4110.3620390396945</v>
      </c>
      <c r="L22" s="30">
        <f t="shared" si="5"/>
        <v>5837.0664071593656</v>
      </c>
      <c r="M22" s="30">
        <f>M14*M24+M15*$C$62-(9*$E$22)</f>
        <v>7595.3872397794412</v>
      </c>
      <c r="N22" s="30"/>
      <c r="O22" s="30"/>
      <c r="P22" s="30"/>
    </row>
    <row r="23" spans="1:16">
      <c r="B23" s="41"/>
      <c r="E23" s="30"/>
      <c r="F23" s="30"/>
      <c r="G23" s="30"/>
      <c r="H23" s="30"/>
      <c r="I23" s="30"/>
      <c r="J23" s="30"/>
      <c r="K23" s="30"/>
      <c r="L23" s="30"/>
      <c r="M23" s="30"/>
      <c r="N23" s="30"/>
      <c r="O23" s="30"/>
      <c r="P23" s="30"/>
    </row>
    <row r="24" spans="1:16">
      <c r="B24" s="41" t="s">
        <v>49</v>
      </c>
      <c r="E24" s="71">
        <v>0.03</v>
      </c>
      <c r="F24" s="43">
        <f t="shared" ref="F24:L24" si="6">($M$24-$E$24)/8+E24</f>
        <v>5.1250000000000004E-2</v>
      </c>
      <c r="G24" s="43">
        <f t="shared" si="6"/>
        <v>7.2500000000000009E-2</v>
      </c>
      <c r="H24" s="43">
        <f t="shared" si="6"/>
        <v>9.3750000000000014E-2</v>
      </c>
      <c r="I24" s="43">
        <f t="shared" si="6"/>
        <v>0.11500000000000002</v>
      </c>
      <c r="J24" s="43">
        <f t="shared" si="6"/>
        <v>0.13625000000000001</v>
      </c>
      <c r="K24" s="43">
        <f t="shared" si="6"/>
        <v>0.1575</v>
      </c>
      <c r="L24" s="43">
        <f t="shared" si="6"/>
        <v>0.17874999999999999</v>
      </c>
      <c r="M24" s="71">
        <v>0.2</v>
      </c>
    </row>
    <row r="25" spans="1:16">
      <c r="E25" s="20"/>
      <c r="F25" s="20"/>
      <c r="G25" s="20"/>
      <c r="H25" s="20"/>
      <c r="I25" s="20"/>
      <c r="J25" s="20"/>
      <c r="K25" s="20"/>
      <c r="L25" s="20"/>
      <c r="M25" s="20"/>
      <c r="N25" s="20"/>
      <c r="O25" s="20"/>
      <c r="P25" s="20"/>
    </row>
    <row r="26" spans="1:16">
      <c r="A26" s="88" t="s">
        <v>50</v>
      </c>
      <c r="B26" t="s">
        <v>108</v>
      </c>
      <c r="E26" s="30">
        <f>E20*1000000000/(365*(E29)*3600)</f>
        <v>85.664090936599322</v>
      </c>
      <c r="F26" s="30">
        <f t="shared" ref="F26:K26" si="7">F20*1000000000/(365*(F29)*3600)</f>
        <v>55.938005800650082</v>
      </c>
      <c r="G26" s="30">
        <f t="shared" si="7"/>
        <v>81.90039290606623</v>
      </c>
      <c r="H26" s="30">
        <f t="shared" si="7"/>
        <v>101.89794889055062</v>
      </c>
      <c r="I26" s="30">
        <f t="shared" si="7"/>
        <v>120.34439667951345</v>
      </c>
      <c r="J26" s="30">
        <f t="shared" si="7"/>
        <v>140.43779408374894</v>
      </c>
      <c r="K26" s="30">
        <f t="shared" si="7"/>
        <v>161.13259694529785</v>
      </c>
      <c r="N26" s="51"/>
    </row>
    <row r="27" spans="1:16">
      <c r="A27" s="89"/>
      <c r="B27" t="s">
        <v>52</v>
      </c>
      <c r="E27" s="20">
        <f t="shared" ref="E27:K27" si="8">E26*(6/7)*$C$57</f>
        <v>6681.7990930547467</v>
      </c>
      <c r="F27" s="20">
        <f t="shared" si="8"/>
        <v>4363.1644524507055</v>
      </c>
      <c r="G27" s="20">
        <f t="shared" si="8"/>
        <v>6388.2306466731652</v>
      </c>
      <c r="H27" s="20">
        <f t="shared" si="8"/>
        <v>7948.040013462949</v>
      </c>
      <c r="I27" s="20">
        <f t="shared" si="8"/>
        <v>9386.8629410020476</v>
      </c>
      <c r="J27" s="20">
        <f t="shared" si="8"/>
        <v>10954.147938532416</v>
      </c>
      <c r="K27" s="20">
        <f t="shared" si="8"/>
        <v>12568.342561733232</v>
      </c>
    </row>
    <row r="28" spans="1:16">
      <c r="A28" s="89"/>
      <c r="B28" t="s">
        <v>118</v>
      </c>
      <c r="E28" s="5">
        <f t="shared" ref="E28:K28" si="9">E27*$C$51*(E3*$C$52-E18)/10^6</f>
        <v>5.4550591999146798</v>
      </c>
      <c r="F28" s="5">
        <f t="shared" si="9"/>
        <v>3.5242384908316597</v>
      </c>
      <c r="G28" s="5">
        <f t="shared" si="9"/>
        <v>5.1036381469802583</v>
      </c>
      <c r="H28" s="5">
        <f t="shared" si="9"/>
        <v>6.2787152836139688</v>
      </c>
      <c r="I28" s="5">
        <f t="shared" si="9"/>
        <v>7.3302091657311825</v>
      </c>
      <c r="J28" s="5">
        <f t="shared" si="9"/>
        <v>8.4533915089910305</v>
      </c>
      <c r="K28" s="5">
        <f t="shared" si="9"/>
        <v>9.5819902803032111</v>
      </c>
    </row>
    <row r="29" spans="1:16">
      <c r="A29" s="89"/>
      <c r="B29" t="s">
        <v>54</v>
      </c>
      <c r="E29" s="72">
        <v>200</v>
      </c>
      <c r="F29" s="20">
        <f>($K$29-$E$29)/6+E29</f>
        <v>1533.3333333333333</v>
      </c>
      <c r="G29" s="20">
        <f>($K$29-$E$29)/6+F29</f>
        <v>2866.6666666666665</v>
      </c>
      <c r="H29" s="20">
        <f>($K$29-$E$29)/6+G29</f>
        <v>4200</v>
      </c>
      <c r="I29" s="20">
        <f>($K$29-$E$29)/6+H29</f>
        <v>5533.333333333333</v>
      </c>
      <c r="J29" s="20">
        <f>($K$29-$E$29)/6+I29</f>
        <v>6866.6666666666661</v>
      </c>
      <c r="K29" s="73">
        <v>8200</v>
      </c>
      <c r="M29" t="s">
        <v>55</v>
      </c>
    </row>
    <row r="30" spans="1:16">
      <c r="A30" s="89"/>
      <c r="B30" t="s">
        <v>107</v>
      </c>
      <c r="E30" s="20">
        <f>43*$C$56^0.45</f>
        <v>600.2042627584899</v>
      </c>
      <c r="F30" s="20">
        <f t="shared" ref="F30:K30" si="10">43*$C$56^0.45</f>
        <v>600.2042627584899</v>
      </c>
      <c r="G30" s="20">
        <f t="shared" si="10"/>
        <v>600.2042627584899</v>
      </c>
      <c r="H30" s="20">
        <f t="shared" si="10"/>
        <v>600.2042627584899</v>
      </c>
      <c r="I30" s="20">
        <f t="shared" si="10"/>
        <v>600.2042627584899</v>
      </c>
      <c r="J30" s="20">
        <f t="shared" si="10"/>
        <v>600.2042627584899</v>
      </c>
      <c r="K30" s="20">
        <f t="shared" si="10"/>
        <v>600.2042627584899</v>
      </c>
    </row>
    <row r="31" spans="1:16">
      <c r="A31" s="89"/>
      <c r="B31" t="s">
        <v>115</v>
      </c>
      <c r="E31" s="5">
        <f t="shared" ref="E31:K31" si="11">(E3*$C$52-$C$53)*$C$51*(E30*$C$57*$C$58-E27)*10^-6</f>
        <v>37.927851627822555</v>
      </c>
      <c r="F31" s="5">
        <f t="shared" si="11"/>
        <v>39.05317846412872</v>
      </c>
      <c r="G31" s="5">
        <f t="shared" si="11"/>
        <v>36.723551378673356</v>
      </c>
      <c r="H31" s="5">
        <f t="shared" si="11"/>
        <v>34.811221712418529</v>
      </c>
      <c r="I31" s="5">
        <f t="shared" si="11"/>
        <v>33.037163111177698</v>
      </c>
      <c r="J31" s="5">
        <f t="shared" si="11"/>
        <v>31.212933629649573</v>
      </c>
      <c r="K31" s="5">
        <f t="shared" si="11"/>
        <v>29.402973044960643</v>
      </c>
      <c r="M31" s="5"/>
    </row>
    <row r="32" spans="1:16">
      <c r="A32" s="89"/>
      <c r="B32" t="s">
        <v>117</v>
      </c>
      <c r="E32" s="22">
        <f>E28*E17*4</f>
        <v>3273.0355199488081</v>
      </c>
      <c r="F32" s="22">
        <f t="shared" ref="F32:K32" si="12">F28*F17*4</f>
        <v>2114.5430944989957</v>
      </c>
      <c r="G32" s="22">
        <f t="shared" si="12"/>
        <v>3062.1828881881552</v>
      </c>
      <c r="H32" s="22">
        <f t="shared" si="12"/>
        <v>3767.2291701683812</v>
      </c>
      <c r="I32" s="22">
        <f t="shared" si="12"/>
        <v>4398.1254994387091</v>
      </c>
      <c r="J32" s="22">
        <f t="shared" si="12"/>
        <v>5072.0349053946184</v>
      </c>
      <c r="K32" s="22">
        <f t="shared" si="12"/>
        <v>5749.1941681819262</v>
      </c>
      <c r="M32" s="22">
        <f>SUM(F32:K32)</f>
        <v>24163.309725870786</v>
      </c>
    </row>
    <row r="33" spans="1:18">
      <c r="A33" s="89"/>
      <c r="B33" s="12" t="s">
        <v>57</v>
      </c>
      <c r="E33" s="22">
        <f>E31*E17*4</f>
        <v>22756.710976693532</v>
      </c>
      <c r="F33" s="22">
        <f t="shared" ref="F33:K33" si="13">F31*F17*4</f>
        <v>23431.907078477234</v>
      </c>
      <c r="G33" s="22">
        <f t="shared" si="13"/>
        <v>22034.130827204015</v>
      </c>
      <c r="H33" s="22">
        <f t="shared" si="13"/>
        <v>20886.733027451119</v>
      </c>
      <c r="I33" s="22">
        <f t="shared" si="13"/>
        <v>19822.29786670662</v>
      </c>
      <c r="J33" s="22">
        <f t="shared" si="13"/>
        <v>18727.760177789743</v>
      </c>
      <c r="K33" s="22">
        <f t="shared" si="13"/>
        <v>17641.783826976385</v>
      </c>
      <c r="M33" s="22">
        <f>SUM(F33:K33)</f>
        <v>122544.61280460512</v>
      </c>
    </row>
    <row r="34" spans="1:18" s="12" customFormat="1">
      <c r="A34" s="89"/>
      <c r="B34" s="12" t="s">
        <v>119</v>
      </c>
      <c r="E34" s="50">
        <f>SUM(E32:E33)</f>
        <v>26029.746496642339</v>
      </c>
      <c r="F34" s="50">
        <f t="shared" ref="F34:K34" si="14">SUM(F32:F33)</f>
        <v>25546.450172976231</v>
      </c>
      <c r="G34" s="50">
        <f t="shared" si="14"/>
        <v>25096.313715392171</v>
      </c>
      <c r="H34" s="50">
        <f t="shared" si="14"/>
        <v>24653.962197619501</v>
      </c>
      <c r="I34" s="50">
        <f t="shared" si="14"/>
        <v>24220.423366145329</v>
      </c>
      <c r="J34" s="50">
        <f t="shared" si="14"/>
        <v>23799.795083184363</v>
      </c>
      <c r="K34" s="50">
        <f t="shared" si="14"/>
        <v>23390.977995158311</v>
      </c>
      <c r="M34" s="48">
        <f>SUM(F34:K34)</f>
        <v>146707.92253047592</v>
      </c>
      <c r="O34" s="63"/>
      <c r="R34" s="50"/>
    </row>
    <row r="35" spans="1:18">
      <c r="A35" s="89"/>
      <c r="R35" s="26"/>
    </row>
    <row r="37" spans="1:18">
      <c r="B37" t="s">
        <v>108</v>
      </c>
      <c r="E37" s="30">
        <f>E22*1000000000/(365*(E40)*3600)</f>
        <v>221.64032954560014</v>
      </c>
      <c r="F37" s="30">
        <f t="shared" ref="F37:K37" si="15">F22*1000000000/(365*(F40)*3600)</f>
        <v>115.85822706220014</v>
      </c>
      <c r="G37" s="30">
        <f t="shared" si="15"/>
        <v>139.99067998086971</v>
      </c>
      <c r="H37" s="30">
        <f t="shared" si="15"/>
        <v>181.0243130137768</v>
      </c>
      <c r="I37" s="30">
        <f t="shared" si="15"/>
        <v>233.41151569541006</v>
      </c>
      <c r="J37" s="30">
        <f t="shared" si="15"/>
        <v>303.03064840999951</v>
      </c>
      <c r="K37" s="30">
        <f t="shared" si="15"/>
        <v>381.47919581242292</v>
      </c>
    </row>
    <row r="38" spans="1:18">
      <c r="A38" s="88" t="s">
        <v>60</v>
      </c>
      <c r="B38" t="s">
        <v>52</v>
      </c>
      <c r="E38" s="20">
        <f t="shared" ref="E38:K38" si="16">E37*(6/7)*$C$57</f>
        <v>17287.945704556809</v>
      </c>
      <c r="F38" s="20">
        <f t="shared" si="16"/>
        <v>9036.94171085161</v>
      </c>
      <c r="G38" s="20">
        <f t="shared" si="16"/>
        <v>10919.273038507838</v>
      </c>
      <c r="H38" s="20">
        <f t="shared" si="16"/>
        <v>14119.896415074591</v>
      </c>
      <c r="I38" s="20">
        <f t="shared" si="16"/>
        <v>18206.098224241981</v>
      </c>
      <c r="J38" s="20">
        <f t="shared" si="16"/>
        <v>23636.39057597996</v>
      </c>
      <c r="K38" s="20">
        <f t="shared" si="16"/>
        <v>29755.377273368988</v>
      </c>
    </row>
    <row r="39" spans="1:18">
      <c r="A39" s="89"/>
      <c r="B39" t="s">
        <v>118</v>
      </c>
      <c r="E39" s="5">
        <f>E38*$C$51*(E3*$C$52-E18)/10^6</f>
        <v>14.113978278887977</v>
      </c>
      <c r="F39" s="5">
        <f t="shared" ref="F39:K39" si="17">F38*$C$51*(F3*$C$52-F18)/10^6</f>
        <v>7.2993668159577982</v>
      </c>
      <c r="G39" s="5">
        <f t="shared" si="17"/>
        <v>8.7235451408823881</v>
      </c>
      <c r="H39" s="5">
        <f t="shared" si="17"/>
        <v>11.15429832690892</v>
      </c>
      <c r="I39" s="5">
        <f t="shared" si="17"/>
        <v>14.21715741609566</v>
      </c>
      <c r="J39" s="5">
        <f t="shared" si="17"/>
        <v>18.240365614868068</v>
      </c>
      <c r="K39" s="5">
        <f t="shared" si="17"/>
        <v>22.685229529649128</v>
      </c>
    </row>
    <row r="40" spans="1:18">
      <c r="A40" s="89"/>
      <c r="B40" t="s">
        <v>54</v>
      </c>
      <c r="E40" s="72">
        <v>200</v>
      </c>
      <c r="F40" s="20">
        <f>($K$29-$E$29)/6+E40</f>
        <v>1533.3333333333333</v>
      </c>
      <c r="G40" s="20">
        <f>($K$29-$E$29)/6+F40</f>
        <v>2866.6666666666665</v>
      </c>
      <c r="H40" s="20">
        <f>($K$29-$E$29)/6+G40</f>
        <v>4200</v>
      </c>
      <c r="I40" s="20">
        <f>($K$29-$E$29)/6+H40</f>
        <v>5533.333333333333</v>
      </c>
      <c r="J40" s="20">
        <f>($K$29-$E$29)/6+I40</f>
        <v>6866.6666666666661</v>
      </c>
      <c r="K40" s="73">
        <v>8200</v>
      </c>
      <c r="M40" t="s">
        <v>55</v>
      </c>
    </row>
    <row r="41" spans="1:18">
      <c r="A41" s="89"/>
      <c r="B41" t="s">
        <v>107</v>
      </c>
      <c r="E41" s="20">
        <f>43*$C$56^0.45</f>
        <v>600.2042627584899</v>
      </c>
      <c r="F41" s="20">
        <f t="shared" ref="F41:K41" si="18">43*$C$56^0.45</f>
        <v>600.2042627584899</v>
      </c>
      <c r="G41" s="20">
        <f t="shared" si="18"/>
        <v>600.2042627584899</v>
      </c>
      <c r="H41" s="20">
        <f t="shared" si="18"/>
        <v>600.2042627584899</v>
      </c>
      <c r="I41" s="20">
        <f t="shared" si="18"/>
        <v>600.2042627584899</v>
      </c>
      <c r="J41" s="20">
        <f t="shared" si="18"/>
        <v>600.2042627584899</v>
      </c>
      <c r="K41" s="20">
        <f t="shared" si="18"/>
        <v>600.2042627584899</v>
      </c>
    </row>
    <row r="42" spans="1:18">
      <c r="A42" s="89"/>
      <c r="B42" t="s">
        <v>115</v>
      </c>
      <c r="E42" s="5">
        <f>(E3*$C$52-$C$53)*$C$51*(E41*$C$57*$C$58-E38)*10^-6</f>
        <v>29.34052403847689</v>
      </c>
      <c r="F42" s="5">
        <f t="shared" ref="F42:K42" si="19">(F3*$C$52-$C$53)*$C$51*(F41*$C$57*$C$58-F38)*10^-6</f>
        <v>35.340515172061124</v>
      </c>
      <c r="G42" s="5">
        <f t="shared" si="19"/>
        <v>33.193575154851651</v>
      </c>
      <c r="H42" s="5">
        <f t="shared" si="19"/>
        <v>30.097345911050684</v>
      </c>
      <c r="I42" s="5">
        <f t="shared" si="19"/>
        <v>26.436193831674093</v>
      </c>
      <c r="J42" s="5">
        <f t="shared" si="19"/>
        <v>21.914583459641218</v>
      </c>
      <c r="K42" s="5">
        <f t="shared" si="19"/>
        <v>17.064688020827372</v>
      </c>
      <c r="M42" s="5"/>
    </row>
    <row r="43" spans="1:18">
      <c r="A43" s="89"/>
      <c r="B43" t="s">
        <v>117</v>
      </c>
      <c r="E43" s="22">
        <f>E39*E17*4</f>
        <v>8468.3869673327863</v>
      </c>
      <c r="F43" s="22">
        <f t="shared" ref="F43:K43" si="20">F39*F17*4</f>
        <v>4379.6200895746788</v>
      </c>
      <c r="G43" s="22">
        <f t="shared" si="20"/>
        <v>5234.127084529433</v>
      </c>
      <c r="H43" s="22">
        <f t="shared" si="20"/>
        <v>6692.578996145352</v>
      </c>
      <c r="I43" s="22">
        <f t="shared" si="20"/>
        <v>8530.2944496573964</v>
      </c>
      <c r="J43" s="22">
        <f t="shared" si="20"/>
        <v>10944.219368920842</v>
      </c>
      <c r="K43" s="22">
        <f t="shared" si="20"/>
        <v>13611.137717789477</v>
      </c>
      <c r="M43" s="22">
        <f>SUM(F43:K43)</f>
        <v>49391.977706617181</v>
      </c>
    </row>
    <row r="44" spans="1:18">
      <c r="A44" s="89"/>
      <c r="B44" s="12" t="s">
        <v>57</v>
      </c>
      <c r="E44" s="22">
        <f>E42*E17*4</f>
        <v>17604.314423086133</v>
      </c>
      <c r="F44" s="22">
        <f t="shared" ref="F44:K44" si="21">F42*F17*4</f>
        <v>21204.309103236676</v>
      </c>
      <c r="G44" s="22">
        <f t="shared" si="21"/>
        <v>19916.145092910989</v>
      </c>
      <c r="H44" s="22">
        <f t="shared" si="21"/>
        <v>18058.407546630409</v>
      </c>
      <c r="I44" s="22">
        <f t="shared" si="21"/>
        <v>15861.716299004456</v>
      </c>
      <c r="J44" s="22">
        <f t="shared" si="21"/>
        <v>13148.75007578473</v>
      </c>
      <c r="K44" s="22">
        <f t="shared" si="21"/>
        <v>10238.812812496424</v>
      </c>
      <c r="M44" s="22">
        <f>SUM(F44:K44)</f>
        <v>98428.140930063688</v>
      </c>
    </row>
    <row r="45" spans="1:18">
      <c r="A45" s="89"/>
      <c r="B45" s="12" t="s">
        <v>119</v>
      </c>
      <c r="C45" s="12"/>
      <c r="D45" s="12"/>
      <c r="E45" s="50">
        <f>SUM(E43:E44)</f>
        <v>26072.701390418919</v>
      </c>
      <c r="F45" s="50">
        <f t="shared" ref="F45" si="22">SUM(F43:F44)</f>
        <v>25583.929192811353</v>
      </c>
      <c r="G45" s="50">
        <f t="shared" ref="G45" si="23">SUM(G43:G44)</f>
        <v>25150.27217744042</v>
      </c>
      <c r="H45" s="50">
        <f t="shared" ref="H45" si="24">SUM(H43:H44)</f>
        <v>24750.986542775761</v>
      </c>
      <c r="I45" s="50">
        <f t="shared" ref="I45" si="25">SUM(I43:I44)</f>
        <v>24392.010748661851</v>
      </c>
      <c r="J45" s="50">
        <f t="shared" ref="J45" si="26">SUM(J43:J44)</f>
        <v>24092.969444705574</v>
      </c>
      <c r="K45" s="50">
        <f t="shared" ref="K45" si="27">SUM(K43:K44)</f>
        <v>23849.950530285903</v>
      </c>
      <c r="M45" s="22">
        <f>SUM(F45:K45)</f>
        <v>147820.11863668088</v>
      </c>
    </row>
    <row r="46" spans="1:18">
      <c r="A46" s="89"/>
      <c r="E46" s="25"/>
      <c r="F46" s="25"/>
      <c r="G46" s="25"/>
      <c r="H46" s="25"/>
      <c r="I46" s="25"/>
      <c r="J46" s="25"/>
      <c r="K46" s="25"/>
      <c r="M46" s="26"/>
    </row>
    <row r="47" spans="1:18">
      <c r="A47" s="89"/>
      <c r="B47" s="12"/>
    </row>
    <row r="48" spans="1:18">
      <c r="A48" s="89"/>
      <c r="C48" s="24"/>
    </row>
    <row r="50" spans="2:7">
      <c r="B50" s="12" t="s">
        <v>62</v>
      </c>
      <c r="F50" s="30"/>
    </row>
    <row r="51" spans="2:7">
      <c r="B51" t="s">
        <v>63</v>
      </c>
      <c r="C51">
        <v>3.6</v>
      </c>
      <c r="D51" t="s">
        <v>64</v>
      </c>
    </row>
    <row r="52" spans="2:7">
      <c r="B52" t="s">
        <v>65</v>
      </c>
      <c r="C52">
        <v>3.4</v>
      </c>
    </row>
    <row r="53" spans="2:7">
      <c r="B53" t="s">
        <v>66</v>
      </c>
      <c r="C53">
        <v>93.75</v>
      </c>
    </row>
    <row r="55" spans="2:7">
      <c r="B55" s="12" t="s">
        <v>67</v>
      </c>
    </row>
    <row r="56" spans="2:7">
      <c r="B56" t="s">
        <v>68</v>
      </c>
      <c r="C56">
        <v>350</v>
      </c>
    </row>
    <row r="57" spans="2:7">
      <c r="B57" t="s">
        <v>24</v>
      </c>
      <c r="C57">
        <v>91</v>
      </c>
    </row>
    <row r="58" spans="2:7">
      <c r="B58" t="s">
        <v>25</v>
      </c>
      <c r="C58">
        <v>0.98</v>
      </c>
    </row>
    <row r="59" spans="2:7">
      <c r="B59" t="s">
        <v>69</v>
      </c>
      <c r="C59">
        <v>180</v>
      </c>
    </row>
    <row r="60" spans="2:7">
      <c r="B60" t="s">
        <v>70</v>
      </c>
      <c r="C60">
        <f>C57*C59</f>
        <v>16380</v>
      </c>
      <c r="G60" s="24"/>
    </row>
    <row r="61" spans="2:7">
      <c r="B61" t="s">
        <v>26</v>
      </c>
      <c r="C61">
        <v>150</v>
      </c>
      <c r="G61" s="24"/>
    </row>
    <row r="62" spans="2:7">
      <c r="B62" t="s">
        <v>109</v>
      </c>
      <c r="C62">
        <v>0.1</v>
      </c>
    </row>
    <row r="63" spans="2:7">
      <c r="C63" t="s">
        <v>112</v>
      </c>
      <c r="D63" t="s">
        <v>113</v>
      </c>
    </row>
    <row r="64" spans="2:7">
      <c r="B64" t="s">
        <v>110</v>
      </c>
      <c r="C64" s="51">
        <f>E12*E24</f>
        <v>145.94842362660486</v>
      </c>
      <c r="D64" s="51">
        <f>E14*E24</f>
        <v>187.10065986852811</v>
      </c>
    </row>
    <row r="65" spans="2:4">
      <c r="B65" t="s">
        <v>111</v>
      </c>
      <c r="C65" s="51">
        <f>E13*C62</f>
        <v>7.9176807354778393</v>
      </c>
      <c r="D65" s="51">
        <f>E15*C62</f>
        <v>2.5</v>
      </c>
    </row>
    <row r="67" spans="2:4">
      <c r="B67" t="s">
        <v>120</v>
      </c>
      <c r="C67" s="49">
        <v>0.02</v>
      </c>
    </row>
  </sheetData>
  <mergeCells count="2">
    <mergeCell ref="A26:A35"/>
    <mergeCell ref="A38:A48"/>
  </mergeCells>
  <pageMargins left="0.7" right="0.7" top="0.75" bottom="0.75" header="0.3" footer="0.3"/>
  <pageSetup scale="58" orientation="landscape" horizontalDpi="0" verticalDpi="0" copies="3"/>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95E035-752B-634E-8FF2-15D8DCB0E05C}">
  <sheetPr codeName="Sheet4">
    <pageSetUpPr fitToPage="1"/>
  </sheetPr>
  <dimension ref="A2:S105"/>
  <sheetViews>
    <sheetView topLeftCell="A17" zoomScale="125" zoomScaleNormal="125" workbookViewId="0">
      <selection activeCell="B22" sqref="A22:XFD56"/>
    </sheetView>
  </sheetViews>
  <sheetFormatPr baseColWidth="10" defaultRowHeight="15"/>
  <cols>
    <col min="1" max="1" width="16.5" customWidth="1"/>
    <col min="2" max="2" width="35" customWidth="1"/>
    <col min="3" max="3" width="13.6640625" bestFit="1" customWidth="1"/>
    <col min="5" max="5" width="18.5" customWidth="1"/>
    <col min="6" max="6" width="11.83203125" customWidth="1"/>
    <col min="7" max="7" width="12.83203125" customWidth="1"/>
    <col min="8" max="9" width="14" customWidth="1"/>
    <col min="10" max="10" width="11.6640625" bestFit="1" customWidth="1"/>
    <col min="11" max="11" width="13" customWidth="1"/>
    <col min="12" max="12" width="13.6640625" bestFit="1" customWidth="1"/>
    <col min="13" max="13" width="14" customWidth="1"/>
    <col min="14" max="14" width="17.1640625" customWidth="1"/>
    <col min="15" max="16" width="13.6640625" bestFit="1" customWidth="1"/>
    <col min="17" max="17" width="14.5" customWidth="1"/>
    <col min="18" max="18" width="13.33203125" customWidth="1"/>
    <col min="19" max="19" width="12.33203125" customWidth="1"/>
  </cols>
  <sheetData>
    <row r="2" spans="2:19">
      <c r="B2" s="1" t="s">
        <v>0</v>
      </c>
      <c r="C2" s="2" t="s">
        <v>1</v>
      </c>
      <c r="D2" s="3">
        <v>2018</v>
      </c>
      <c r="E2" s="3">
        <v>2019</v>
      </c>
      <c r="F2" s="3">
        <v>2020</v>
      </c>
      <c r="G2" s="3">
        <v>2021</v>
      </c>
      <c r="H2" s="3">
        <v>2022</v>
      </c>
      <c r="I2" s="3">
        <v>2023</v>
      </c>
      <c r="J2" s="3">
        <v>2024</v>
      </c>
      <c r="K2" s="3">
        <v>2025</v>
      </c>
      <c r="L2" s="4">
        <v>2026</v>
      </c>
      <c r="M2" s="4">
        <v>2027</v>
      </c>
      <c r="N2" s="4">
        <v>2028</v>
      </c>
      <c r="O2" s="4">
        <v>2029</v>
      </c>
      <c r="P2" s="4">
        <v>2030</v>
      </c>
    </row>
    <row r="3" spans="2:19">
      <c r="B3" t="s">
        <v>2</v>
      </c>
      <c r="C3" s="5" t="s">
        <v>3</v>
      </c>
      <c r="D3" s="5">
        <v>93.55</v>
      </c>
      <c r="E3" s="5">
        <v>93.721874999999997</v>
      </c>
      <c r="F3" s="5">
        <v>92.472250000000003</v>
      </c>
      <c r="G3" s="5">
        <v>91.222624999999994</v>
      </c>
      <c r="H3" s="5">
        <v>89.972999999999999</v>
      </c>
      <c r="I3" s="5">
        <v>88.72337499999999</v>
      </c>
      <c r="J3" s="5">
        <v>87.473749999999995</v>
      </c>
      <c r="K3" s="5">
        <v>86.224125000000001</v>
      </c>
      <c r="L3" s="5">
        <v>84.974499999999992</v>
      </c>
      <c r="M3" s="5">
        <v>83.724874999999997</v>
      </c>
      <c r="N3" s="5">
        <v>82.475249999999988</v>
      </c>
      <c r="O3" s="5">
        <v>81.225624999999994</v>
      </c>
      <c r="P3" s="5">
        <v>79.975999999999999</v>
      </c>
      <c r="S3" s="6"/>
    </row>
    <row r="4" spans="2:19">
      <c r="B4" t="s">
        <v>4</v>
      </c>
      <c r="C4" s="5" t="s">
        <v>3</v>
      </c>
      <c r="D4" s="5">
        <v>98.44</v>
      </c>
      <c r="E4" s="5">
        <v>94.640625</v>
      </c>
      <c r="F4" s="5">
        <v>93.378750000000011</v>
      </c>
      <c r="G4" s="5">
        <v>92.116875000000007</v>
      </c>
      <c r="H4" s="5">
        <v>90.855000000000004</v>
      </c>
      <c r="I4" s="5">
        <v>89.593125000000001</v>
      </c>
      <c r="J4" s="5">
        <v>88.331249999999997</v>
      </c>
      <c r="K4" s="5">
        <v>87.069375000000008</v>
      </c>
      <c r="L4" s="5">
        <v>85.807500000000005</v>
      </c>
      <c r="M4" s="5">
        <v>84.545625000000001</v>
      </c>
      <c r="N4" s="7">
        <v>83.283749999999998</v>
      </c>
      <c r="O4" s="5">
        <v>82.021875000000009</v>
      </c>
      <c r="P4" s="5">
        <v>80.760000000000005</v>
      </c>
      <c r="S4" s="6"/>
    </row>
    <row r="5" spans="2:19">
      <c r="S5" s="8"/>
    </row>
    <row r="6" spans="2:19">
      <c r="B6" s="1" t="s">
        <v>5</v>
      </c>
      <c r="C6" s="9" t="s">
        <v>6</v>
      </c>
      <c r="D6" s="10">
        <v>-11.561717866753563</v>
      </c>
      <c r="E6" s="10">
        <v>-14.806809491618397</v>
      </c>
      <c r="F6" s="10">
        <v>-17.352088902569882</v>
      </c>
      <c r="G6" s="10">
        <v>-19.664576908686598</v>
      </c>
      <c r="H6" s="10">
        <v>-21.660471847572502</v>
      </c>
      <c r="I6" s="10">
        <v>-23.019899143743615</v>
      </c>
      <c r="J6" s="10">
        <v>-24.144513399859481</v>
      </c>
      <c r="K6" s="10">
        <v>-25.11961698905656</v>
      </c>
      <c r="L6" s="10">
        <v>-26.147738502024922</v>
      </c>
      <c r="M6" s="10">
        <v>-27.28275677177481</v>
      </c>
      <c r="N6" s="10">
        <v>-28.191387495848094</v>
      </c>
      <c r="O6" s="10">
        <v>-29.364746656804726</v>
      </c>
      <c r="P6" s="10">
        <v>-30.281084137209803</v>
      </c>
      <c r="S6" s="11"/>
    </row>
    <row r="8" spans="2:19">
      <c r="B8" s="12" t="s">
        <v>7</v>
      </c>
      <c r="E8" s="27">
        <f t="shared" ref="E8:P8" si="0">-0.025*E6</f>
        <v>0.37017023729045995</v>
      </c>
      <c r="F8" s="27">
        <f t="shared" si="0"/>
        <v>0.43380222256424705</v>
      </c>
      <c r="G8" s="27">
        <f t="shared" si="0"/>
        <v>0.49161442271716499</v>
      </c>
      <c r="H8" s="27">
        <f t="shared" si="0"/>
        <v>0.54151179618931256</v>
      </c>
      <c r="I8" s="27">
        <f t="shared" si="0"/>
        <v>0.57549747859359035</v>
      </c>
      <c r="J8" s="27">
        <f t="shared" si="0"/>
        <v>0.6036128349964871</v>
      </c>
      <c r="K8" s="27">
        <f t="shared" si="0"/>
        <v>0.62799042472641409</v>
      </c>
      <c r="L8" s="27">
        <f t="shared" si="0"/>
        <v>0.65369346255062311</v>
      </c>
      <c r="M8" s="27">
        <f t="shared" si="0"/>
        <v>0.6820689192943703</v>
      </c>
      <c r="N8" s="27">
        <f t="shared" si="0"/>
        <v>0.70478468739620237</v>
      </c>
      <c r="O8" s="27">
        <f t="shared" si="0"/>
        <v>0.73411866642011825</v>
      </c>
      <c r="P8" s="27">
        <f t="shared" si="0"/>
        <v>0.75702710343024515</v>
      </c>
    </row>
    <row r="10" spans="2:19">
      <c r="B10" s="13" t="s">
        <v>8</v>
      </c>
      <c r="C10" s="14" t="s">
        <v>3</v>
      </c>
      <c r="D10" s="15">
        <v>40.311999999999998</v>
      </c>
      <c r="E10" s="15">
        <f t="shared" ref="E10:K10" si="1">E16/LDH2EER</f>
        <v>40</v>
      </c>
      <c r="F10" s="15">
        <f t="shared" si="1"/>
        <v>40</v>
      </c>
      <c r="G10" s="15">
        <f t="shared" si="1"/>
        <v>40</v>
      </c>
      <c r="H10" s="15">
        <f t="shared" si="1"/>
        <v>40</v>
      </c>
      <c r="I10" s="15">
        <f t="shared" si="1"/>
        <v>40</v>
      </c>
      <c r="J10" s="15">
        <f t="shared" si="1"/>
        <v>40</v>
      </c>
      <c r="K10" s="15">
        <f t="shared" si="1"/>
        <v>40</v>
      </c>
      <c r="L10" s="15">
        <v>40.311999999999998</v>
      </c>
      <c r="M10" s="15">
        <v>40.311999999999998</v>
      </c>
      <c r="N10" s="15">
        <v>40.311999999999998</v>
      </c>
      <c r="O10" s="15">
        <v>40.311999999999998</v>
      </c>
      <c r="P10" s="15">
        <v>40.311999999999998</v>
      </c>
    </row>
    <row r="11" spans="2:19">
      <c r="B11" s="16" t="s">
        <v>9</v>
      </c>
      <c r="C11" s="16" t="s">
        <v>3</v>
      </c>
      <c r="D11" s="17">
        <v>53.0421052631579</v>
      </c>
      <c r="E11" s="17">
        <f t="shared" ref="E11:K11" si="2">E16/HDH2EER</f>
        <v>52.631578947368425</v>
      </c>
      <c r="F11" s="17">
        <f t="shared" si="2"/>
        <v>52.631578947368425</v>
      </c>
      <c r="G11" s="17">
        <f t="shared" si="2"/>
        <v>52.631578947368425</v>
      </c>
      <c r="H11" s="17">
        <f t="shared" si="2"/>
        <v>52.631578947368425</v>
      </c>
      <c r="I11" s="17">
        <f t="shared" si="2"/>
        <v>52.631578947368425</v>
      </c>
      <c r="J11" s="17">
        <f t="shared" si="2"/>
        <v>52.631578947368425</v>
      </c>
      <c r="K11" s="17">
        <f t="shared" si="2"/>
        <v>52.631578947368425</v>
      </c>
      <c r="L11" s="17">
        <v>53.0421052631579</v>
      </c>
      <c r="M11" s="17">
        <v>53.0421052631579</v>
      </c>
      <c r="N11" s="17">
        <v>53.0421052631579</v>
      </c>
      <c r="O11" s="17">
        <v>53.0421052631579</v>
      </c>
      <c r="P11" s="17">
        <v>53.0421052631579</v>
      </c>
    </row>
    <row r="12" spans="2:19">
      <c r="B12" s="16" t="s">
        <v>10</v>
      </c>
      <c r="C12" s="16" t="s">
        <v>11</v>
      </c>
      <c r="D12" s="18">
        <v>86.292000000000002</v>
      </c>
      <c r="E12" s="18">
        <v>160.512</v>
      </c>
      <c r="F12" s="18">
        <v>285.81600000000003</v>
      </c>
      <c r="G12" s="18">
        <v>463.06800000000004</v>
      </c>
      <c r="H12" s="18">
        <v>734.38800000000003</v>
      </c>
      <c r="I12" s="18">
        <v>1106.76</v>
      </c>
      <c r="J12" s="18">
        <v>1545.5639999999999</v>
      </c>
      <c r="K12" s="18">
        <v>2051.8200000000002</v>
      </c>
      <c r="L12" s="18">
        <v>2592.42</v>
      </c>
      <c r="M12" s="18">
        <v>3133.02</v>
      </c>
      <c r="N12" s="18">
        <v>3673.62</v>
      </c>
      <c r="O12" s="18">
        <v>4214.2199999999993</v>
      </c>
      <c r="P12" s="18">
        <v>4754.82</v>
      </c>
    </row>
    <row r="13" spans="2:19">
      <c r="B13" s="16" t="s">
        <v>12</v>
      </c>
      <c r="C13" s="16" t="s">
        <v>11</v>
      </c>
      <c r="D13" s="18">
        <v>5.7234630739286354</v>
      </c>
      <c r="E13" s="18">
        <v>10.652928121525175</v>
      </c>
      <c r="F13" s="18">
        <v>16.276896567875241</v>
      </c>
      <c r="G13" s="18">
        <v>24.420568063299566</v>
      </c>
      <c r="H13" s="18">
        <v>37.32459875518915</v>
      </c>
      <c r="I13" s="18">
        <v>50.873755630234925</v>
      </c>
      <c r="J13" s="18">
        <v>76.434906319096569</v>
      </c>
      <c r="K13" s="18">
        <v>108.31109994067391</v>
      </c>
      <c r="L13" s="18">
        <v>150.70441338848033</v>
      </c>
      <c r="M13" s="18">
        <v>205.65468608853371</v>
      </c>
      <c r="N13" s="18">
        <v>272.91898743491959</v>
      </c>
      <c r="O13" s="18">
        <v>360.26080208115457</v>
      </c>
      <c r="P13" s="18">
        <v>474.09743216818134</v>
      </c>
    </row>
    <row r="15" spans="2:19">
      <c r="B15" s="19" t="s">
        <v>125</v>
      </c>
      <c r="D15" s="20"/>
      <c r="E15" s="73">
        <v>150</v>
      </c>
      <c r="F15" s="73">
        <v>150</v>
      </c>
      <c r="G15" s="73">
        <v>150</v>
      </c>
      <c r="H15" s="73">
        <v>150</v>
      </c>
      <c r="I15" s="73">
        <v>150</v>
      </c>
      <c r="J15" s="73">
        <v>150</v>
      </c>
      <c r="K15" s="73">
        <v>150</v>
      </c>
      <c r="L15" s="73">
        <v>150</v>
      </c>
      <c r="M15" s="73">
        <v>150</v>
      </c>
      <c r="N15" s="73">
        <v>150</v>
      </c>
      <c r="O15" s="73">
        <v>150</v>
      </c>
      <c r="P15" s="73">
        <v>150</v>
      </c>
    </row>
    <row r="16" spans="2:19">
      <c r="B16" s="66" t="s">
        <v>147</v>
      </c>
      <c r="E16" s="93">
        <v>100</v>
      </c>
      <c r="F16" s="93">
        <v>100</v>
      </c>
      <c r="G16" s="93">
        <v>100</v>
      </c>
      <c r="H16" s="93">
        <v>100</v>
      </c>
      <c r="I16" s="93">
        <v>100</v>
      </c>
      <c r="J16" s="93">
        <v>100</v>
      </c>
      <c r="K16" s="93">
        <v>100</v>
      </c>
      <c r="L16" s="93">
        <v>100</v>
      </c>
      <c r="M16" s="93">
        <v>100</v>
      </c>
      <c r="N16" s="93">
        <v>100</v>
      </c>
      <c r="O16" s="93">
        <v>100</v>
      </c>
      <c r="P16" s="93">
        <v>100</v>
      </c>
    </row>
    <row r="17" spans="1:19">
      <c r="B17" s="66" t="s">
        <v>150</v>
      </c>
      <c r="E17" s="94">
        <f>Constants!$D$17</f>
        <v>12</v>
      </c>
      <c r="F17" s="94">
        <f>E17-($E$17-$K$17)/6</f>
        <v>11.5</v>
      </c>
      <c r="G17" s="94">
        <f t="shared" ref="G17:J17" si="3">F17-($E$17-$K$17)/6</f>
        <v>11</v>
      </c>
      <c r="H17" s="94">
        <f t="shared" si="3"/>
        <v>10.5</v>
      </c>
      <c r="I17" s="94">
        <f t="shared" si="3"/>
        <v>10</v>
      </c>
      <c r="J17" s="94">
        <f t="shared" si="3"/>
        <v>9.5</v>
      </c>
      <c r="K17" s="94">
        <v>9</v>
      </c>
      <c r="L17" s="94">
        <v>8.75</v>
      </c>
      <c r="M17" s="94">
        <v>8.5</v>
      </c>
      <c r="N17" s="94">
        <v>8.25</v>
      </c>
      <c r="O17" s="94">
        <v>8</v>
      </c>
      <c r="P17" s="94">
        <v>9</v>
      </c>
    </row>
    <row r="18" spans="1:19">
      <c r="B18" t="s">
        <v>149</v>
      </c>
      <c r="E18" s="95">
        <v>8.36</v>
      </c>
      <c r="F18" s="95">
        <v>8.24</v>
      </c>
      <c r="G18" s="95">
        <v>8.1199999999999992</v>
      </c>
      <c r="H18" s="95">
        <v>8</v>
      </c>
      <c r="I18" s="95">
        <v>7.87</v>
      </c>
      <c r="J18" s="95">
        <v>7.75</v>
      </c>
      <c r="K18" s="95">
        <v>7.64</v>
      </c>
      <c r="L18" s="95">
        <f>K18*0.985</f>
        <v>7.5253999999999994</v>
      </c>
      <c r="M18" s="95">
        <f t="shared" ref="M18:N18" si="4">L18*0.985</f>
        <v>7.4125189999999996</v>
      </c>
      <c r="N18" s="95">
        <f t="shared" si="4"/>
        <v>7.3013312149999994</v>
      </c>
      <c r="O18" s="95">
        <v>7.64</v>
      </c>
      <c r="P18" s="95">
        <v>7.64</v>
      </c>
    </row>
    <row r="20" spans="1:19" ht="15" customHeight="1">
      <c r="E20" s="3">
        <v>2019</v>
      </c>
      <c r="F20" s="3">
        <v>2020</v>
      </c>
      <c r="G20" s="3">
        <v>2021</v>
      </c>
      <c r="H20" s="3">
        <v>2022</v>
      </c>
      <c r="I20" s="3">
        <v>2023</v>
      </c>
      <c r="J20" s="3">
        <v>2024</v>
      </c>
      <c r="K20" s="3">
        <v>2025</v>
      </c>
      <c r="L20" s="3">
        <v>2026</v>
      </c>
      <c r="M20" s="3">
        <v>2027</v>
      </c>
      <c r="N20" s="3">
        <v>2028</v>
      </c>
      <c r="O20" s="3">
        <v>2029</v>
      </c>
      <c r="P20" s="3">
        <v>2029</v>
      </c>
    </row>
    <row r="21" spans="1:19" ht="15" customHeight="1">
      <c r="A21" s="21"/>
    </row>
    <row r="22" spans="1:19" ht="15" customHeight="1">
      <c r="A22" s="90" t="s">
        <v>140</v>
      </c>
      <c r="B22" t="s">
        <v>131</v>
      </c>
      <c r="E22">
        <f>Constants!D29</f>
        <v>250</v>
      </c>
      <c r="F22" s="20">
        <f>($K$22-$E$22)/6+E22</f>
        <v>341.66666666666669</v>
      </c>
      <c r="G22" s="20">
        <f>($K$22-$E$22)/6+F22</f>
        <v>433.33333333333337</v>
      </c>
      <c r="H22" s="20">
        <f>($K$22-$E$22)/6+G22</f>
        <v>525</v>
      </c>
      <c r="I22" s="20">
        <f>($K$22-$E$22)/6+H22</f>
        <v>616.66666666666663</v>
      </c>
      <c r="J22" s="20">
        <f>($K$22-$E$22)/6+I22</f>
        <v>708.33333333333326</v>
      </c>
      <c r="K22">
        <f>Constants!D30</f>
        <v>800</v>
      </c>
      <c r="L22">
        <f>($P$22-$K$22)/5+K22</f>
        <v>820</v>
      </c>
      <c r="M22">
        <f t="shared" ref="M22:O22" si="5">($P$22-$K$22)/5+L22</f>
        <v>840</v>
      </c>
      <c r="N22">
        <f t="shared" si="5"/>
        <v>860</v>
      </c>
      <c r="O22">
        <f t="shared" si="5"/>
        <v>880</v>
      </c>
      <c r="P22">
        <f>Constants!D31</f>
        <v>900</v>
      </c>
      <c r="R22" s="12" t="s">
        <v>35</v>
      </c>
      <c r="S22" s="12" t="s">
        <v>90</v>
      </c>
    </row>
    <row r="23" spans="1:19" ht="15" customHeight="1">
      <c r="A23" s="90"/>
      <c r="B23" t="s">
        <v>124</v>
      </c>
      <c r="E23">
        <f t="shared" ref="E23:K23" si="6">E22*(6/7)*DAYSPERQTR</f>
        <v>19500</v>
      </c>
      <c r="F23">
        <f t="shared" si="6"/>
        <v>26649.999999999996</v>
      </c>
      <c r="G23">
        <f t="shared" si="6"/>
        <v>33800</v>
      </c>
      <c r="H23">
        <f t="shared" si="6"/>
        <v>40950</v>
      </c>
      <c r="I23">
        <f t="shared" si="6"/>
        <v>48100</v>
      </c>
      <c r="J23">
        <f t="shared" si="6"/>
        <v>55249.999999999985</v>
      </c>
      <c r="K23">
        <f t="shared" si="6"/>
        <v>62399.999999999993</v>
      </c>
      <c r="L23">
        <f t="shared" ref="L23" si="7">L22*(6/7)*DAYSPERQTR</f>
        <v>63959.999999999993</v>
      </c>
      <c r="M23">
        <f t="shared" ref="M23" si="8">M22*(6/7)*DAYSPERQTR</f>
        <v>65520</v>
      </c>
      <c r="N23">
        <f t="shared" ref="N23:P23" si="9">N22*(6/7)*DAYSPERQTR</f>
        <v>67080</v>
      </c>
      <c r="O23">
        <f t="shared" si="9"/>
        <v>68640</v>
      </c>
      <c r="P23">
        <f t="shared" si="9"/>
        <v>70199.999999999985</v>
      </c>
      <c r="R23" s="12"/>
      <c r="S23" s="12"/>
    </row>
    <row r="24" spans="1:19" ht="15" customHeight="1">
      <c r="A24" s="90"/>
      <c r="B24" t="s">
        <v>146</v>
      </c>
      <c r="E24" s="20">
        <f>(E23*H2ED*(Constants!$D$19*E3+Constants!$D$20*E4)-E23*H2ED*(Constants!$D$19*E10+Constants!$D$20*E11))/10^6</f>
        <v>118.85718256578946</v>
      </c>
      <c r="F24" s="20">
        <f>(F23*H2ED*(Constants!$D$19*F3+Constants!$D$20*F4)-F23*H2ED*(Constants!$D$19*F10+Constants!$D$20*F11))/10^6</f>
        <v>158.43205488157889</v>
      </c>
      <c r="G24" s="20">
        <f>(G23*H2ED*(Constants!$D$19*G3+Constants!$D$20*G4)-G23*H2ED*(Constants!$D$19*G10+Constants!$D$20*G11))/10^6</f>
        <v>195.85731544736842</v>
      </c>
      <c r="H24" s="20">
        <f>(H23*H2ED*(Constants!$D$19*H3+Constants!$D$20*H4)-H23*H2ED*(Constants!$D$19*H10+Constants!$D$20*H11))/10^6</f>
        <v>231.13296426315787</v>
      </c>
      <c r="I24" s="20">
        <f>(I23*H2ED*(Constants!$D$19*I3+Constants!$D$20*I4)-I23*H2ED*(Constants!$D$19*I10+Constants!$D$20*I11))/10^6</f>
        <v>264.25900132894725</v>
      </c>
      <c r="J24" s="20">
        <f>(J23*H2ED*(Constants!$D$19*J3+Constants!$D$20*J4)-J23*H2ED*(Constants!$D$19*J10+Constants!$D$20*J11))/10^6</f>
        <v>295.23542664473678</v>
      </c>
      <c r="K24" s="20">
        <f>(K23*H2ED*(Constants!$D$19*K3+Constants!$D$20*K4)-K23*H2ED*(Constants!$D$19*K10+Constants!$D$20*K11))/10^6</f>
        <v>324.06224021052634</v>
      </c>
      <c r="L24" s="20">
        <f>(L23*H2ED*(Constants!$D$19*L3+Constants!$D$20*L4)-L23*H2ED*(Constants!$D$19*L10+Constants!$D$20*L11))/10^6</f>
        <v>319.96545442105264</v>
      </c>
      <c r="M24" s="20">
        <f>(M23*H2ED*(Constants!$D$19*M3+Constants!$D$20*M4)-M23*H2ED*(Constants!$D$19*M10+Constants!$D$20*M11))/10^6</f>
        <v>317.92035969473682</v>
      </c>
      <c r="N24" s="20">
        <f>(N23*H2ED*(Constants!$D$19*N3+Constants!$D$20*N4)-N23*H2ED*(Constants!$D$19*N10+Constants!$D$20*N11))/10^6</f>
        <v>315.40625876842086</v>
      </c>
      <c r="O24" s="20">
        <f>(O23*H2ED*(Constants!$D$19*O3+Constants!$D$20*O4)-O23*H2ED*(Constants!$D$19*O10+Constants!$D$20*O11))/10^6</f>
        <v>312.42315164210527</v>
      </c>
      <c r="P24" s="20">
        <f>(P23*H2ED*(Constants!$D$19*P3+Constants!$D$20*P4)-P23*H2ED*(Constants!$D$19*P10+Constants!$D$20*P11))/10^6</f>
        <v>308.97103831578949</v>
      </c>
    </row>
    <row r="25" spans="1:19" ht="15" customHeight="1">
      <c r="A25" s="90"/>
      <c r="B25" t="s">
        <v>80</v>
      </c>
      <c r="E25" s="22">
        <f t="shared" ref="E25:K25" si="10">(E23*E$17)</f>
        <v>234000</v>
      </c>
      <c r="F25" s="22">
        <f t="shared" si="10"/>
        <v>306474.99999999994</v>
      </c>
      <c r="G25" s="22">
        <f t="shared" si="10"/>
        <v>371800</v>
      </c>
      <c r="H25" s="22">
        <f t="shared" si="10"/>
        <v>429975</v>
      </c>
      <c r="I25" s="22">
        <f t="shared" si="10"/>
        <v>481000</v>
      </c>
      <c r="J25" s="22">
        <f t="shared" si="10"/>
        <v>524874.99999999988</v>
      </c>
      <c r="K25" s="22">
        <f t="shared" si="10"/>
        <v>561599.99999999988</v>
      </c>
      <c r="L25" s="22">
        <f t="shared" ref="L25:N25" si="11">(L23*L$17)</f>
        <v>559649.99999999988</v>
      </c>
      <c r="M25" s="22">
        <f t="shared" si="11"/>
        <v>556920</v>
      </c>
      <c r="N25" s="22">
        <f t="shared" si="11"/>
        <v>553410</v>
      </c>
      <c r="O25" s="22">
        <f t="shared" ref="O25:P25" si="12">(O23*O$17)</f>
        <v>549120</v>
      </c>
      <c r="P25" s="22">
        <f t="shared" si="12"/>
        <v>631799.99999999988</v>
      </c>
      <c r="R25" s="23">
        <f>4*SUM(F25:K25)</f>
        <v>10702900</v>
      </c>
      <c r="S25" s="23">
        <f>4*SUM(F25:P25)</f>
        <v>22106500</v>
      </c>
    </row>
    <row r="26" spans="1:19" ht="15" customHeight="1">
      <c r="A26" s="90"/>
      <c r="B26" t="s">
        <v>81</v>
      </c>
      <c r="E26" s="22">
        <f t="shared" ref="E26:K26" si="13">(E24*E15)</f>
        <v>17828.577384868418</v>
      </c>
      <c r="F26" s="22">
        <f t="shared" si="13"/>
        <v>23764.808232236835</v>
      </c>
      <c r="G26" s="22">
        <f t="shared" si="13"/>
        <v>29378.597317105265</v>
      </c>
      <c r="H26" s="22">
        <f t="shared" si="13"/>
        <v>34669.944639473681</v>
      </c>
      <c r="I26" s="22">
        <f t="shared" si="13"/>
        <v>39638.850199342087</v>
      </c>
      <c r="J26" s="22">
        <f t="shared" si="13"/>
        <v>44285.313996710516</v>
      </c>
      <c r="K26" s="22">
        <f t="shared" si="13"/>
        <v>48609.336031578954</v>
      </c>
      <c r="L26" s="22">
        <f t="shared" ref="L26:N26" si="14">(L24*L15)</f>
        <v>47994.818163157899</v>
      </c>
      <c r="M26" s="22">
        <f t="shared" si="14"/>
        <v>47688.053954210525</v>
      </c>
      <c r="N26" s="22">
        <f t="shared" si="14"/>
        <v>47310.938815263129</v>
      </c>
      <c r="O26" s="22">
        <f t="shared" ref="O26:P26" si="15">(O24*O15)</f>
        <v>46863.472746315791</v>
      </c>
      <c r="P26" s="22">
        <f t="shared" si="15"/>
        <v>46345.655747368422</v>
      </c>
      <c r="R26" s="23">
        <f>4*SUM(F26:K26)</f>
        <v>881387.40166578942</v>
      </c>
      <c r="S26" s="23">
        <f>4*SUM(F26:P26)</f>
        <v>1826199.1593710522</v>
      </c>
    </row>
    <row r="27" spans="1:19" ht="15" customHeight="1">
      <c r="A27" s="90"/>
      <c r="B27" t="s">
        <v>84</v>
      </c>
      <c r="E27" s="23">
        <f>4*(E25+E26)</f>
        <v>1007314.3095394736</v>
      </c>
      <c r="F27" s="23">
        <f t="shared" ref="F27:K27" si="16">4*(F25+F26)</f>
        <v>1320959.2329289471</v>
      </c>
      <c r="G27" s="23">
        <f t="shared" si="16"/>
        <v>1604714.3892684211</v>
      </c>
      <c r="H27" s="23">
        <f t="shared" si="16"/>
        <v>1858579.7785578948</v>
      </c>
      <c r="I27" s="23">
        <f t="shared" si="16"/>
        <v>2082555.4007973683</v>
      </c>
      <c r="J27" s="23">
        <f t="shared" si="16"/>
        <v>2276641.2559868414</v>
      </c>
      <c r="K27" s="23">
        <f t="shared" si="16"/>
        <v>2440837.3441263153</v>
      </c>
      <c r="L27" s="23">
        <f t="shared" ref="L27:N27" si="17">4*(L25+L26)</f>
        <v>2430579.2726526312</v>
      </c>
      <c r="M27" s="23">
        <f t="shared" si="17"/>
        <v>2418432.2158168419</v>
      </c>
      <c r="N27" s="23">
        <f t="shared" si="17"/>
        <v>2402883.7552610524</v>
      </c>
      <c r="O27" s="23">
        <f t="shared" ref="O27:P27" si="18">4*(O25+O26)</f>
        <v>2383933.890985263</v>
      </c>
      <c r="P27" s="23">
        <f t="shared" si="18"/>
        <v>2712582.6229894734</v>
      </c>
      <c r="R27" s="22">
        <f>SUM(F27:K27)</f>
        <v>11584287.401665788</v>
      </c>
      <c r="S27" s="22">
        <f>SUM(F27:P27)</f>
        <v>23932699.159371048</v>
      </c>
    </row>
    <row r="28" spans="1:19" ht="15" customHeight="1">
      <c r="A28" s="90"/>
      <c r="B28" t="s">
        <v>83</v>
      </c>
      <c r="E28" s="23">
        <f t="shared" ref="E28:K28" si="19">E27-4*(E23*E$18)</f>
        <v>355234.30953947362</v>
      </c>
      <c r="F28" s="23">
        <f t="shared" si="19"/>
        <v>442575.2329289472</v>
      </c>
      <c r="G28" s="23">
        <f t="shared" si="19"/>
        <v>506890.3892684211</v>
      </c>
      <c r="H28" s="23">
        <f t="shared" si="19"/>
        <v>548179.77855789475</v>
      </c>
      <c r="I28" s="23">
        <f t="shared" si="19"/>
        <v>568367.40079736826</v>
      </c>
      <c r="J28" s="23">
        <f t="shared" si="19"/>
        <v>563891.25598684186</v>
      </c>
      <c r="K28" s="23">
        <f t="shared" si="19"/>
        <v>533893.34412631555</v>
      </c>
      <c r="L28" s="23">
        <f t="shared" ref="L28" si="20">L27-4*(L23*L$18)</f>
        <v>505280.9366526315</v>
      </c>
      <c r="M28" s="23">
        <f t="shared" ref="M28" si="21">M27-4*(M23*M$18)</f>
        <v>475759.23629684211</v>
      </c>
      <c r="N28" s="23">
        <f t="shared" ref="N28:P28" si="22">N27-4*(N23*N$18)</f>
        <v>443790.56365225255</v>
      </c>
      <c r="O28" s="23">
        <f t="shared" si="22"/>
        <v>286295.49098526314</v>
      </c>
      <c r="P28" s="23">
        <f t="shared" si="22"/>
        <v>567270.62298947386</v>
      </c>
      <c r="R28" s="22">
        <f>SUM(F28:K28)</f>
        <v>3163797.4016657891</v>
      </c>
      <c r="S28" s="22">
        <f>SUM(F28:P28)</f>
        <v>5442194.2522422522</v>
      </c>
    </row>
    <row r="29" spans="1:19" ht="15" customHeight="1">
      <c r="A29" s="90"/>
      <c r="B29" t="s">
        <v>122</v>
      </c>
      <c r="E29" s="23">
        <f>Constants!$D$22</f>
        <v>200000</v>
      </c>
      <c r="F29" s="23">
        <f>Constants!$D$22</f>
        <v>200000</v>
      </c>
      <c r="G29" s="23">
        <f>Constants!$D$22</f>
        <v>200000</v>
      </c>
      <c r="H29" s="23">
        <f>Constants!$D$22</f>
        <v>200000</v>
      </c>
      <c r="I29" s="23">
        <f>Constants!$D$22</f>
        <v>200000</v>
      </c>
      <c r="J29" s="23">
        <f>Constants!$D$22</f>
        <v>200000</v>
      </c>
      <c r="K29" s="23">
        <f>Constants!$D$22</f>
        <v>200000</v>
      </c>
      <c r="L29" s="23">
        <f>Constants!$D$22</f>
        <v>200000</v>
      </c>
      <c r="M29" s="23">
        <f>Constants!$D$22</f>
        <v>200000</v>
      </c>
      <c r="N29" s="23">
        <f>Constants!$D$22</f>
        <v>200000</v>
      </c>
      <c r="O29" s="23">
        <f>Constants!$D$22</f>
        <v>200000</v>
      </c>
      <c r="P29" s="23">
        <f>Constants!$D$22</f>
        <v>200000</v>
      </c>
      <c r="R29" s="22"/>
      <c r="S29" s="22"/>
    </row>
    <row r="30" spans="1:19" ht="15" customHeight="1">
      <c r="A30" s="90"/>
      <c r="B30" t="s">
        <v>82</v>
      </c>
      <c r="E30" s="20">
        <f>(E3*LDH2EER-E16)*Constants!$D$7*(Constants!$D$15*Constants!$D$12*Constants!$D$13-E23)*10^-6</f>
        <v>1410.45708375</v>
      </c>
      <c r="F30" s="20">
        <f>(F3*LDH2EER-F16)*Constants!$D$7*(Constants!$D$15*Constants!$D$12*Constants!$D$13-F23)*10^-6</f>
        <v>1265.0954530500001</v>
      </c>
      <c r="G30" s="20">
        <f>(G3*LDH2EER-G16)*Constants!$D$7*(Constants!$D$15*Constants!$D$12*Constants!$D$13-G23)*10^-6</f>
        <v>1125.0947135999997</v>
      </c>
      <c r="H30" s="20">
        <f>(H3*LDH2EER-H16)*Constants!$D$7*(Constants!$D$15*Constants!$D$12*Constants!$D$13-H23)*10^-6</f>
        <v>990.45486540000002</v>
      </c>
      <c r="I30" s="20">
        <f>(I3*LDH2EER-I16)*Constants!$D$7*(Constants!$D$15*Constants!$D$12*Constants!$D$13-I23)*10^-6</f>
        <v>861.17590844999972</v>
      </c>
      <c r="J30" s="20">
        <f>(J3*LDH2EER-J16)*Constants!$D$7*(Constants!$D$15*Constants!$D$12*Constants!$D$13-J23)*10^-6</f>
        <v>737.25784275000012</v>
      </c>
      <c r="K30" s="20">
        <f>(K3*LDH2EER-K16)*Constants!$D$7*(Constants!$D$15*Constants!$D$12*Constants!$D$13-K23)*10^-6</f>
        <v>618.70066830000019</v>
      </c>
      <c r="L30" s="20">
        <f>(L3*LDH2EER-L16)*Constants!$D$7*(Constants!$D$15*Constants!$D$12*Constants!$D$13-L23)*10^-6</f>
        <v>580.92662159999986</v>
      </c>
      <c r="M30" s="20">
        <f>(M3*LDH2EER-M16)*Constants!$D$7*(Constants!$D$15*Constants!$D$12*Constants!$D$13-M23)*10^-6</f>
        <v>544.32222389999993</v>
      </c>
      <c r="N30" s="20">
        <f>(N3*LDH2EER-N16)*Constants!$D$7*(Constants!$D$15*Constants!$D$12*Constants!$D$13-N23)*10^-6</f>
        <v>508.88747519999981</v>
      </c>
      <c r="O30" s="20">
        <f>(O3*LDH2EER-O16)*Constants!$D$7*(Constants!$D$15*Constants!$D$12*Constants!$D$13-O23)*10^-6</f>
        <v>474.62237549999986</v>
      </c>
      <c r="P30" s="20">
        <f>(P3*LDH2EER-P16)*Constants!$D$7*(Constants!$D$15*Constants!$D$12*Constants!$D$13-P23)*10^-6</f>
        <v>441.52692480000013</v>
      </c>
      <c r="R30" s="22"/>
      <c r="S30" s="22"/>
    </row>
    <row r="31" spans="1:19" ht="15" customHeight="1">
      <c r="A31" s="90"/>
      <c r="B31" s="47" t="s">
        <v>16</v>
      </c>
      <c r="E31" s="22">
        <f>E30*Constants!$D$14*4</f>
        <v>846274.25025000004</v>
      </c>
      <c r="F31" s="22">
        <f>F30*Constants!$D$14*4</f>
        <v>759057.27182999998</v>
      </c>
      <c r="G31" s="22">
        <f>G30*Constants!$D$14*4</f>
        <v>675056.8281599998</v>
      </c>
      <c r="H31" s="22">
        <f>H30*Constants!$D$14*4</f>
        <v>594272.91923999996</v>
      </c>
      <c r="I31" s="22">
        <f>I30*Constants!$D$14*4</f>
        <v>516705.54506999982</v>
      </c>
      <c r="J31" s="22">
        <f>J30*Constants!$D$14*4</f>
        <v>442354.70565000008</v>
      </c>
      <c r="K31" s="22">
        <f>K30*Constants!$D$14*4</f>
        <v>371220.40098000009</v>
      </c>
      <c r="L31" s="22">
        <f>L30*Constants!$D$14*4</f>
        <v>348555.97295999993</v>
      </c>
      <c r="M31" s="22">
        <f>M30*Constants!$D$14*4</f>
        <v>326593.33433999994</v>
      </c>
      <c r="N31" s="22">
        <f>N30*Constants!$D$14*4</f>
        <v>305332.48511999991</v>
      </c>
      <c r="O31" s="22">
        <f>O30*Constants!$D$14*4</f>
        <v>284773.42529999994</v>
      </c>
      <c r="P31" s="22">
        <f>P30*Constants!$D$14*4</f>
        <v>264916.1548800001</v>
      </c>
      <c r="R31" s="22">
        <f>SUM(F31:K31)</f>
        <v>3358667.6709299996</v>
      </c>
      <c r="S31" s="22">
        <f t="shared" ref="S31:S33" si="23">SUM(F31:P31)</f>
        <v>4888839.0435300004</v>
      </c>
    </row>
    <row r="32" spans="1:19" ht="15" customHeight="1">
      <c r="A32" s="90"/>
      <c r="B32" s="47" t="s">
        <v>89</v>
      </c>
      <c r="E32" s="22">
        <f t="shared" ref="E32:K32" si="24">E31+E27</f>
        <v>1853588.5597894737</v>
      </c>
      <c r="F32" s="22">
        <f t="shared" si="24"/>
        <v>2080016.5047589471</v>
      </c>
      <c r="G32" s="22">
        <f t="shared" si="24"/>
        <v>2279771.2174284207</v>
      </c>
      <c r="H32" s="22">
        <f t="shared" si="24"/>
        <v>2452852.6977978945</v>
      </c>
      <c r="I32" s="22">
        <f t="shared" si="24"/>
        <v>2599260.945867368</v>
      </c>
      <c r="J32" s="22">
        <f t="shared" si="24"/>
        <v>2718995.9616368413</v>
      </c>
      <c r="K32" s="22">
        <f t="shared" si="24"/>
        <v>2812057.7451063152</v>
      </c>
      <c r="L32" s="22">
        <f t="shared" ref="L32" si="25">L31+L27</f>
        <v>2779135.2456126311</v>
      </c>
      <c r="M32" s="22">
        <f t="shared" ref="M32" si="26">M31+M27</f>
        <v>2745025.550156842</v>
      </c>
      <c r="N32" s="22">
        <f t="shared" ref="N32:P32" si="27">N31+N27</f>
        <v>2708216.2403810523</v>
      </c>
      <c r="O32" s="22">
        <f t="shared" si="27"/>
        <v>2668707.3162852628</v>
      </c>
      <c r="P32" s="22">
        <f t="shared" si="27"/>
        <v>2977498.7778694737</v>
      </c>
      <c r="R32" s="22">
        <f>SUM(F32:K32)</f>
        <v>14942955.072595788</v>
      </c>
      <c r="S32" s="22">
        <f t="shared" si="23"/>
        <v>28821538.20290105</v>
      </c>
    </row>
    <row r="33" spans="1:19" s="12" customFormat="1" ht="15" customHeight="1">
      <c r="A33" s="90"/>
      <c r="B33" s="12" t="s">
        <v>170</v>
      </c>
      <c r="E33" s="48">
        <f>E28+E31-E29</f>
        <v>1001508.5597894737</v>
      </c>
      <c r="F33" s="48">
        <f t="shared" ref="F33:K33" si="28">F28+F31-F29</f>
        <v>1001632.5047589471</v>
      </c>
      <c r="G33" s="48">
        <f t="shared" si="28"/>
        <v>981947.2174284209</v>
      </c>
      <c r="H33" s="48">
        <f t="shared" si="28"/>
        <v>942452.69779789471</v>
      </c>
      <c r="I33" s="48">
        <f t="shared" si="28"/>
        <v>885072.94586736802</v>
      </c>
      <c r="J33" s="48">
        <f t="shared" si="28"/>
        <v>806245.961636842</v>
      </c>
      <c r="K33" s="48">
        <f t="shared" si="28"/>
        <v>705113.74510631571</v>
      </c>
      <c r="L33" s="48">
        <f t="shared" ref="L33:N33" si="29">L28+L31-L29</f>
        <v>653836.90961263143</v>
      </c>
      <c r="M33" s="48">
        <f t="shared" si="29"/>
        <v>602352.57063684205</v>
      </c>
      <c r="N33" s="48">
        <f t="shared" si="29"/>
        <v>549123.0487722524</v>
      </c>
      <c r="O33" s="48">
        <f t="shared" ref="O33:P33" si="30">O28+O31-O29</f>
        <v>371068.91628526314</v>
      </c>
      <c r="P33" s="48">
        <f t="shared" si="30"/>
        <v>632186.77786947391</v>
      </c>
      <c r="R33" s="48">
        <f>SUM(F33:K33)</f>
        <v>5322465.0725957882</v>
      </c>
      <c r="S33" s="22">
        <f t="shared" si="23"/>
        <v>8131033.2957722517</v>
      </c>
    </row>
    <row r="34" spans="1:19" s="12" customFormat="1" ht="15" customHeight="1">
      <c r="A34" s="90"/>
      <c r="B34" s="12" t="s">
        <v>168</v>
      </c>
      <c r="C34" s="47" t="s">
        <v>169</v>
      </c>
      <c r="E34" s="48"/>
      <c r="F34" s="50">
        <f>E36</f>
        <v>-4500000</v>
      </c>
      <c r="G34" s="50">
        <f t="shared" ref="G34:M34" si="31">F36</f>
        <v>-3898285.8700031056</v>
      </c>
      <c r="H34" s="50">
        <f t="shared" si="31"/>
        <v>-3257069.8787035742</v>
      </c>
      <c r="I34" s="50">
        <f t="shared" si="31"/>
        <v>-2593201.5338861421</v>
      </c>
      <c r="J34" s="50">
        <f t="shared" si="31"/>
        <v>-1923195.09411402</v>
      </c>
      <c r="K34" s="50">
        <f t="shared" si="31"/>
        <v>-1268956.3438067378</v>
      </c>
      <c r="L34" s="50">
        <f t="shared" si="31"/>
        <v>-655482.54582578014</v>
      </c>
      <c r="M34" s="50">
        <f t="shared" si="31"/>
        <v>-34502.045315095158</v>
      </c>
      <c r="N34" s="50">
        <f>M36</f>
        <v>567850.52532174694</v>
      </c>
      <c r="O34" s="50">
        <f t="shared" ref="O34:P34" si="32">N36</f>
        <v>1116973.5740939993</v>
      </c>
      <c r="P34" s="50">
        <f t="shared" si="32"/>
        <v>1488042.4903792625</v>
      </c>
      <c r="R34" s="48"/>
      <c r="S34" s="48"/>
    </row>
    <row r="35" spans="1:19" s="12" customFormat="1" ht="15" customHeight="1">
      <c r="A35" s="90"/>
      <c r="B35" s="12" t="s">
        <v>167</v>
      </c>
      <c r="C35" s="91">
        <v>0.1</v>
      </c>
      <c r="E35" s="48"/>
      <c r="F35" s="48">
        <f>$C$35*(F34+(F34+F33))/2</f>
        <v>-399918.37476205267</v>
      </c>
      <c r="G35" s="48">
        <f t="shared" ref="G35:L35" si="33">MIN($C$35*(G34+(G34+G33))/2,0)</f>
        <v>-340731.22612888954</v>
      </c>
      <c r="H35" s="48">
        <f t="shared" si="33"/>
        <v>-278584.35298046266</v>
      </c>
      <c r="I35" s="48">
        <f t="shared" si="33"/>
        <v>-215066.50609524583</v>
      </c>
      <c r="J35" s="48">
        <f t="shared" si="33"/>
        <v>-152007.21132955988</v>
      </c>
      <c r="K35" s="48">
        <f t="shared" si="33"/>
        <v>-91639.947125357998</v>
      </c>
      <c r="L35" s="48">
        <f t="shared" si="33"/>
        <v>-32856.409101946447</v>
      </c>
      <c r="M35" s="48">
        <f>MIN($C$35*(M34+(M34+M33))/2,0)</f>
        <v>0</v>
      </c>
      <c r="N35" s="48">
        <f t="shared" ref="N35:P35" si="34">MIN($C$35*(N34+(N34+N33))/2,0)</f>
        <v>0</v>
      </c>
      <c r="O35" s="48">
        <f t="shared" si="34"/>
        <v>0</v>
      </c>
      <c r="P35" s="48">
        <f t="shared" si="34"/>
        <v>0</v>
      </c>
      <c r="R35" s="48"/>
      <c r="S35" s="48"/>
    </row>
    <row r="36" spans="1:19" s="12" customFormat="1" ht="15" customHeight="1">
      <c r="A36" s="90"/>
      <c r="B36" s="12" t="s">
        <v>171</v>
      </c>
      <c r="E36" s="48">
        <f>-Constants!D16</f>
        <v>-4500000</v>
      </c>
      <c r="F36" s="50">
        <f>F33+F34+F35</f>
        <v>-3898285.8700031056</v>
      </c>
      <c r="G36" s="50">
        <f t="shared" ref="G36:M36" si="35">G33+G34+G35</f>
        <v>-3257069.8787035742</v>
      </c>
      <c r="H36" s="50">
        <f t="shared" si="35"/>
        <v>-2593201.5338861421</v>
      </c>
      <c r="I36" s="50">
        <f t="shared" si="35"/>
        <v>-1923195.09411402</v>
      </c>
      <c r="J36" s="50">
        <f t="shared" si="35"/>
        <v>-1268956.3438067378</v>
      </c>
      <c r="K36" s="50">
        <f t="shared" si="35"/>
        <v>-655482.54582578014</v>
      </c>
      <c r="L36" s="50">
        <f t="shared" si="35"/>
        <v>-34502.045315095158</v>
      </c>
      <c r="M36" s="50">
        <f t="shared" si="35"/>
        <v>567850.52532174694</v>
      </c>
      <c r="N36" s="50">
        <f>N33+N34+N35</f>
        <v>1116973.5740939993</v>
      </c>
      <c r="O36" s="50">
        <f t="shared" ref="O36:P36" si="36">O33+O34+O35</f>
        <v>1488042.4903792625</v>
      </c>
      <c r="P36" s="50">
        <f t="shared" si="36"/>
        <v>2120229.2682487364</v>
      </c>
      <c r="R36" s="48"/>
      <c r="S36" s="48"/>
    </row>
    <row r="37" spans="1:19" ht="15" customHeight="1">
      <c r="A37" s="90"/>
      <c r="B37" s="47" t="s">
        <v>126</v>
      </c>
      <c r="E37" s="42">
        <f>E31/E33</f>
        <v>0.84499951795508832</v>
      </c>
      <c r="F37" s="42">
        <f t="shared" ref="F37:K37" si="37">F31/F33</f>
        <v>0.75782012686646461</v>
      </c>
      <c r="G37" s="42">
        <f t="shared" si="37"/>
        <v>0.68746753000418592</v>
      </c>
      <c r="H37" s="42">
        <f t="shared" si="37"/>
        <v>0.6305599428263714</v>
      </c>
      <c r="I37" s="42">
        <f t="shared" si="37"/>
        <v>0.58379995398416618</v>
      </c>
      <c r="J37" s="42">
        <f t="shared" si="37"/>
        <v>0.54865974739511347</v>
      </c>
      <c r="K37" s="42">
        <f t="shared" si="37"/>
        <v>0.52646881947256352</v>
      </c>
      <c r="L37" s="42">
        <f t="shared" ref="L37:N37" si="38">L31/L33</f>
        <v>0.53309314270205921</v>
      </c>
      <c r="M37" s="42">
        <f t="shared" si="38"/>
        <v>0.54219629874693909</v>
      </c>
      <c r="N37" s="42">
        <f t="shared" si="38"/>
        <v>0.55603654918997203</v>
      </c>
      <c r="O37" s="42">
        <f t="shared" ref="O37:P37" si="39">O31/O33</f>
        <v>0.76744079819684319</v>
      </c>
      <c r="P37" s="42">
        <f t="shared" si="39"/>
        <v>0.419047288165044</v>
      </c>
      <c r="R37" s="42">
        <f>AVERAGE(F37:K37)</f>
        <v>0.6224626867581442</v>
      </c>
      <c r="S37" s="42">
        <f>AVERAGE(F37:P37)</f>
        <v>0.59569001795906573</v>
      </c>
    </row>
    <row r="38" spans="1:19" ht="15" customHeight="1">
      <c r="A38" s="90"/>
      <c r="B38" s="47" t="s">
        <v>127</v>
      </c>
      <c r="E38" s="42">
        <f>(E28-E29)/E33</f>
        <v>0.15500048204491162</v>
      </c>
      <c r="F38" s="42">
        <f t="shared" ref="F38:K38" si="40">(F28-F29)/F33</f>
        <v>0.24217987313353551</v>
      </c>
      <c r="G38" s="42">
        <f t="shared" si="40"/>
        <v>0.31253246999581408</v>
      </c>
      <c r="H38" s="42">
        <f t="shared" si="40"/>
        <v>0.3694400571736286</v>
      </c>
      <c r="I38" s="42">
        <f t="shared" si="40"/>
        <v>0.41620004601583394</v>
      </c>
      <c r="J38" s="42">
        <f t="shared" si="40"/>
        <v>0.45134025260488647</v>
      </c>
      <c r="K38" s="42">
        <f t="shared" si="40"/>
        <v>0.47353118052743642</v>
      </c>
      <c r="L38" s="42">
        <f t="shared" ref="L38:N38" si="41">(L28-L29)/L33</f>
        <v>0.46690685729794079</v>
      </c>
      <c r="M38" s="42">
        <f t="shared" si="41"/>
        <v>0.45780370125306091</v>
      </c>
      <c r="N38" s="42">
        <f t="shared" si="41"/>
        <v>0.44396345081002814</v>
      </c>
      <c r="O38" s="42">
        <f t="shared" ref="O38:P38" si="42">(O28-O29)/O33</f>
        <v>0.23255920180315662</v>
      </c>
      <c r="P38" s="42">
        <f t="shared" si="42"/>
        <v>0.58095271183495611</v>
      </c>
      <c r="R38" s="42">
        <f>AVERAGE(F38:K38)</f>
        <v>0.3775373132418558</v>
      </c>
      <c r="S38" s="42">
        <f>AVERAGE(F38:P38)</f>
        <v>0.40430998204093432</v>
      </c>
    </row>
    <row r="40" spans="1:19">
      <c r="A40" s="90" t="s">
        <v>141</v>
      </c>
      <c r="B40" t="s">
        <v>131</v>
      </c>
      <c r="E40" s="30">
        <f>E41/Constants!$D$12</f>
        <v>65.310183196552643</v>
      </c>
      <c r="F40" s="30">
        <f>F41/Constants!$D$12</f>
        <v>80.419141474964675</v>
      </c>
      <c r="G40" s="30">
        <f>G41/Constants!$D$12</f>
        <v>100.54461770767325</v>
      </c>
      <c r="H40" s="30">
        <f>H41/Constants!$D$12</f>
        <v>129.90744834679845</v>
      </c>
      <c r="I40" s="30">
        <f>I41/Constants!$D$12</f>
        <v>164.61244904077012</v>
      </c>
      <c r="J40" s="30">
        <f>J41/Constants!$D$12</f>
        <v>199.64341180224415</v>
      </c>
      <c r="K40" s="30">
        <f>K41/Constants!$D$12</f>
        <v>234.37701811761912</v>
      </c>
      <c r="L40" s="30">
        <f>L41/Constants!$D$12</f>
        <v>297.63254663260597</v>
      </c>
      <c r="M40" s="30">
        <f>M41/Constants!$D$12</f>
        <v>362.25052146682185</v>
      </c>
      <c r="N40" s="30">
        <f>N41/Constants!$D$12</f>
        <v>428.20458433533406</v>
      </c>
      <c r="O40" s="30">
        <f>O41/Constants!$D$12</f>
        <v>496.33708336383887</v>
      </c>
      <c r="P40" s="30">
        <f>P41/Constants!$D$12</f>
        <v>567.34430413435291</v>
      </c>
    </row>
    <row r="41" spans="1:19" ht="15" customHeight="1">
      <c r="A41" s="90"/>
      <c r="B41" t="s">
        <v>124</v>
      </c>
      <c r="E41" s="24">
        <f>(E$12+E$13)*10^6/(H2ED*4*('Hydrogen Capacity Effect'!E34+'Hydrogen Capacity Effect'!E56))</f>
        <v>5943.2266708862908</v>
      </c>
      <c r="F41" s="24">
        <f>(F$12+F$13)*10^6/(H2ED*4*('Hydrogen Capacity Effect'!F34+'Hydrogen Capacity Effect'!F56))</f>
        <v>7318.1418742217857</v>
      </c>
      <c r="G41" s="24">
        <f>(G$12+G$13)*10^6/(H2ED*4*('Hydrogen Capacity Effect'!G34+'Hydrogen Capacity Effect'!G56))</f>
        <v>9149.5602113982659</v>
      </c>
      <c r="H41" s="24">
        <f>(H$12+H$13)*10^6/(H2ED*4*('Hydrogen Capacity Effect'!H34+'Hydrogen Capacity Effect'!H56))</f>
        <v>11821.577799558658</v>
      </c>
      <c r="I41" s="24">
        <f>(I$12+I$13)*10^6/(H2ED*4*('Hydrogen Capacity Effect'!I34+'Hydrogen Capacity Effect'!I56))</f>
        <v>14979.73286271008</v>
      </c>
      <c r="J41" s="24">
        <f>(J$12+J$13)*10^6/(H2ED*4*('Hydrogen Capacity Effect'!J34+'Hydrogen Capacity Effect'!J56))</f>
        <v>18167.550474004216</v>
      </c>
      <c r="K41" s="24">
        <f>(K$12+K$13)*10^6/(H2ED*4*('Hydrogen Capacity Effect'!K34+'Hydrogen Capacity Effect'!K56))</f>
        <v>21328.30864870334</v>
      </c>
      <c r="L41" s="24">
        <f>(L$12+L$13)*10^6/(H2ED*4*('Hydrogen Capacity Effect'!$K34+'Hydrogen Capacity Effect'!$K56))</f>
        <v>27084.561743567141</v>
      </c>
      <c r="M41" s="24">
        <f>(M$12+M$13)*10^6/(H2ED*4*('Hydrogen Capacity Effect'!$K34+'Hydrogen Capacity Effect'!$K56))</f>
        <v>32964.797453480787</v>
      </c>
      <c r="N41" s="24">
        <f>(N$12+N$13)*10^6/(H2ED*4*('Hydrogen Capacity Effect'!$K34+'Hydrogen Capacity Effect'!$K56))</f>
        <v>38966.617174515399</v>
      </c>
      <c r="O41" s="24">
        <f>(O$12+O$13)*10^6/(H2ED*4*('Hydrogen Capacity Effect'!$K34+'Hydrogen Capacity Effect'!$K56))</f>
        <v>45166.674586109337</v>
      </c>
      <c r="P41" s="24">
        <f>(P$12+P$13)*10^6/(H2ED*4*('Hydrogen Capacity Effect'!$K34+'Hydrogen Capacity Effect'!$K56))</f>
        <v>51628.331676226117</v>
      </c>
      <c r="R41" s="27"/>
      <c r="S41" s="27"/>
    </row>
    <row r="42" spans="1:19" ht="15" customHeight="1">
      <c r="A42" s="90"/>
      <c r="B42" t="s">
        <v>146</v>
      </c>
      <c r="E42" s="20">
        <f>(E41*Constants!$D$7*(Constants!$D$19*E$3+Constants!$D$20*E$4)-E41*Constants!$D$7*(Constants!$D$19*E$10+Constants!$D$20*E$11))/10^6</f>
        <v>36.225393715456455</v>
      </c>
      <c r="F42" s="20">
        <f>(F41*Constants!$D$7*(Constants!$D$19*F$3+Constants!$D$20*F$4)-F41*Constants!$D$7*(Constants!$D$19*F$10+Constants!$D$20*F$11))/10^6</f>
        <v>43.505750658457302</v>
      </c>
      <c r="G42" s="20">
        <f>(G41*Constants!$D$7*(Constants!$D$19*G$3+Constants!$D$20*G$4)-G41*Constants!$D$7*(Constants!$D$19*G$10+Constants!$D$20*G$11))/10^6</f>
        <v>53.017997057056832</v>
      </c>
      <c r="H42" s="20">
        <f>(H41*Constants!$D$7*(Constants!$D$19*H$3+Constants!$D$20*H$4)-H41*Constants!$D$7*(Constants!$D$19*H$10+Constants!$D$20*H$11))/10^6</f>
        <v>66.724208036130193</v>
      </c>
      <c r="I42" s="20">
        <f>(I41*Constants!$D$7*(Constants!$D$19*I$3+Constants!$D$20*I$4)-I41*Constants!$D$7*(Constants!$D$19*I$10+Constants!$D$20*I$11))/10^6</f>
        <v>82.297905332103525</v>
      </c>
      <c r="J42" s="20">
        <f>(J41*Constants!$D$7*(Constants!$D$19*J$3+Constants!$D$20*J$4)-J41*Constants!$D$7*(Constants!$D$19*J$10+Constants!$D$20*J$11))/10^6</f>
        <v>97.080624710994115</v>
      </c>
      <c r="K42" s="20">
        <f>(K41*Constants!$D$7*(Constants!$D$19*K$3+Constants!$D$20*K$4)-K41*Constants!$D$7*(Constants!$D$19*K$10+Constants!$D$20*K$11))/10^6</f>
        <v>110.76441475321073</v>
      </c>
      <c r="L42" s="20">
        <f>(L41*Constants!$D$7*(Constants!$D$19*L$3+Constants!$D$20*L$4)-L41*Constants!$D$7*(Constants!$D$19*L$10+Constants!$D$20*L$11))/10^6</f>
        <v>135.49287220255658</v>
      </c>
      <c r="M42" s="20">
        <f>(M41*Constants!$D$7*(Constants!$D$19*M$3+Constants!$D$20*M$4)-M41*Constants!$D$7*(Constants!$D$19*M$10+Constants!$D$20*M$11))/10^6</f>
        <v>159.95391122824716</v>
      </c>
      <c r="N42" s="20">
        <f>(N41*Constants!$D$7*(Constants!$D$19*N$3+Constants!$D$20*N$4)-N41*Constants!$D$7*(Constants!$D$19*N$10+Constants!$D$20*N$11))/10^6</f>
        <v>183.21876773815146</v>
      </c>
      <c r="O42" s="20">
        <f>(O41*Constants!$D$7*(Constants!$D$19*O$3+Constants!$D$20*O$4)-O41*Constants!$D$7*(Constants!$D$19*O$10+Constants!$D$20*O$11))/10^6</f>
        <v>205.58150966470953</v>
      </c>
      <c r="P42" s="20">
        <f>(P41*Constants!$D$7*(Constants!$D$19*P$3+Constants!$D$20*P$4)-P41*Constants!$D$7*(Constants!$D$19*P$10+Constants!$D$20*P$11))/10^6</f>
        <v>227.23161316973716</v>
      </c>
      <c r="R42" s="12"/>
      <c r="S42" s="12"/>
    </row>
    <row r="43" spans="1:19" ht="15" customHeight="1">
      <c r="A43" s="90"/>
      <c r="B43" t="s">
        <v>80</v>
      </c>
      <c r="E43" s="22">
        <f t="shared" ref="E43:K43" si="43">(E41*E$17)</f>
        <v>71318.720050635486</v>
      </c>
      <c r="F43" s="22">
        <f t="shared" si="43"/>
        <v>84158.631553550542</v>
      </c>
      <c r="G43" s="22">
        <f t="shared" si="43"/>
        <v>100645.16232538092</v>
      </c>
      <c r="H43" s="22">
        <f t="shared" si="43"/>
        <v>124126.5668953659</v>
      </c>
      <c r="I43" s="22">
        <f t="shared" si="43"/>
        <v>149797.3286271008</v>
      </c>
      <c r="J43" s="22">
        <f t="shared" si="43"/>
        <v>172591.72950304006</v>
      </c>
      <c r="K43" s="22">
        <f t="shared" si="43"/>
        <v>191954.77783833005</v>
      </c>
      <c r="L43" s="22">
        <f t="shared" ref="L43:O43" si="44">(L41*L$17)</f>
        <v>236989.91525621249</v>
      </c>
      <c r="M43" s="22">
        <f t="shared" si="44"/>
        <v>280200.77835458668</v>
      </c>
      <c r="N43" s="22">
        <f t="shared" si="44"/>
        <v>321474.59168975207</v>
      </c>
      <c r="O43" s="22">
        <f t="shared" si="44"/>
        <v>361333.39668887469</v>
      </c>
      <c r="P43" s="22">
        <f t="shared" ref="P43" si="45">(P41*P$17)</f>
        <v>464654.98508603504</v>
      </c>
      <c r="R43" s="23">
        <f>4*SUM(F43:K43)</f>
        <v>3293096.7869710731</v>
      </c>
      <c r="S43" s="23">
        <f>4*SUM(F43:P43)</f>
        <v>9951711.4552729167</v>
      </c>
    </row>
    <row r="44" spans="1:19" ht="15" customHeight="1">
      <c r="A44" s="90"/>
      <c r="B44" t="s">
        <v>81</v>
      </c>
      <c r="E44" s="22">
        <f>E42*E$15</f>
        <v>5433.8090573184681</v>
      </c>
      <c r="F44" s="22">
        <f t="shared" ref="F44:K44" si="46">F42*F$15</f>
        <v>6525.8625987685955</v>
      </c>
      <c r="G44" s="22">
        <f t="shared" si="46"/>
        <v>7952.6995585585246</v>
      </c>
      <c r="H44" s="22">
        <f t="shared" si="46"/>
        <v>10008.63120541953</v>
      </c>
      <c r="I44" s="22">
        <f t="shared" si="46"/>
        <v>12344.685799815528</v>
      </c>
      <c r="J44" s="22">
        <f t="shared" si="46"/>
        <v>14562.093706649117</v>
      </c>
      <c r="K44" s="22">
        <f t="shared" si="46"/>
        <v>16614.66221298161</v>
      </c>
      <c r="L44" s="22">
        <f t="shared" ref="L44:O44" si="47">L42*L$15</f>
        <v>20323.930830383488</v>
      </c>
      <c r="M44" s="22">
        <f t="shared" si="47"/>
        <v>23993.086684237074</v>
      </c>
      <c r="N44" s="22">
        <f t="shared" si="47"/>
        <v>27482.815160722719</v>
      </c>
      <c r="O44" s="22">
        <f t="shared" si="47"/>
        <v>30837.226449706428</v>
      </c>
      <c r="P44" s="22">
        <f t="shared" ref="P44" si="48">P42*P$15</f>
        <v>34084.741975460573</v>
      </c>
      <c r="R44" s="23">
        <f>4*SUM(F44:K44)</f>
        <v>272034.54032877163</v>
      </c>
      <c r="S44" s="23">
        <f>4*SUM(F44:P44)</f>
        <v>818921.74473081273</v>
      </c>
    </row>
    <row r="45" spans="1:19" ht="15" customHeight="1">
      <c r="A45" s="90"/>
      <c r="B45" t="s">
        <v>84</v>
      </c>
      <c r="E45" s="23">
        <f>4*(E43+E44)</f>
        <v>307010.11643181584</v>
      </c>
      <c r="F45" s="23">
        <f t="shared" ref="F45:K45" si="49">4*(F43+F44)</f>
        <v>362737.97660927655</v>
      </c>
      <c r="G45" s="23">
        <f t="shared" si="49"/>
        <v>434391.44753575779</v>
      </c>
      <c r="H45" s="23">
        <f t="shared" si="49"/>
        <v>536540.79240314174</v>
      </c>
      <c r="I45" s="23">
        <f t="shared" si="49"/>
        <v>648568.05770766526</v>
      </c>
      <c r="J45" s="23">
        <f t="shared" si="49"/>
        <v>748615.29283875669</v>
      </c>
      <c r="K45" s="23">
        <f t="shared" si="49"/>
        <v>834277.76020524662</v>
      </c>
      <c r="L45" s="23">
        <f t="shared" ref="L45:O45" si="50">4*(L43+L44)</f>
        <v>1029255.384346384</v>
      </c>
      <c r="M45" s="23">
        <f t="shared" si="50"/>
        <v>1216775.460155295</v>
      </c>
      <c r="N45" s="23">
        <f t="shared" si="50"/>
        <v>1395829.6274018991</v>
      </c>
      <c r="O45" s="23">
        <f t="shared" si="50"/>
        <v>1568682.4925543244</v>
      </c>
      <c r="P45" s="23">
        <f t="shared" ref="P45" si="51">4*(P43+P44)</f>
        <v>1994958.9082459824</v>
      </c>
      <c r="R45" s="23">
        <f>SUM(F45:K45)</f>
        <v>3565131.3272998445</v>
      </c>
      <c r="S45" s="23">
        <f>SUM(F45:P45)</f>
        <v>10770633.200003728</v>
      </c>
    </row>
    <row r="46" spans="1:19" ht="15" customHeight="1">
      <c r="A46" s="90"/>
      <c r="B46" t="s">
        <v>83</v>
      </c>
      <c r="E46" s="23">
        <f t="shared" ref="E46:K46" si="52">E45-4*(E41*E$18)</f>
        <v>108268.61655737829</v>
      </c>
      <c r="F46" s="23">
        <f t="shared" si="52"/>
        <v>121532.0204349265</v>
      </c>
      <c r="G46" s="23">
        <f t="shared" si="52"/>
        <v>137213.73186954216</v>
      </c>
      <c r="H46" s="23">
        <f t="shared" si="52"/>
        <v>158250.30281726469</v>
      </c>
      <c r="I46" s="23">
        <f t="shared" si="52"/>
        <v>177006.06718955195</v>
      </c>
      <c r="J46" s="23">
        <f t="shared" si="52"/>
        <v>185421.22814462602</v>
      </c>
      <c r="K46" s="23">
        <f t="shared" si="52"/>
        <v>182484.64790087263</v>
      </c>
      <c r="L46" s="23">
        <f t="shared" ref="L46" si="53">L45-4*(L41*L$18)</f>
        <v>213966.74056622339</v>
      </c>
      <c r="M46" s="23">
        <f t="shared" ref="M46" si="54">M45-4*(M41*M$18)</f>
        <v>239366.71033498319</v>
      </c>
      <c r="N46" s="23">
        <f t="shared" ref="N46:P46" si="55">N45-4*(N41*N$18)</f>
        <v>257796.91412492166</v>
      </c>
      <c r="O46" s="23">
        <f t="shared" si="55"/>
        <v>188388.9172028231</v>
      </c>
      <c r="P46" s="23">
        <f t="shared" si="55"/>
        <v>417197.09222051222</v>
      </c>
      <c r="R46" s="23">
        <f>SUM(F46:K46)</f>
        <v>961907.99835678388</v>
      </c>
      <c r="S46" s="23">
        <f>SUM(F46:P46)</f>
        <v>2278624.3728062473</v>
      </c>
    </row>
    <row r="47" spans="1:19" ht="15" customHeight="1">
      <c r="A47" s="90"/>
      <c r="B47" t="s">
        <v>122</v>
      </c>
      <c r="E47" s="23">
        <f>Constants!$D$22</f>
        <v>200000</v>
      </c>
      <c r="F47" s="23">
        <f>Constants!$D$22</f>
        <v>200000</v>
      </c>
      <c r="G47" s="23">
        <f>Constants!$D$22</f>
        <v>200000</v>
      </c>
      <c r="H47" s="23">
        <f>Constants!$D$22</f>
        <v>200000</v>
      </c>
      <c r="I47" s="23">
        <f>Constants!$D$22</f>
        <v>200000</v>
      </c>
      <c r="J47" s="23">
        <f>Constants!$D$22</f>
        <v>200000</v>
      </c>
      <c r="K47" s="23">
        <f>Constants!$D$22</f>
        <v>200000</v>
      </c>
      <c r="L47" s="23">
        <f>Constants!$D$22</f>
        <v>200000</v>
      </c>
      <c r="M47" s="23">
        <f>Constants!$D$22</f>
        <v>200000</v>
      </c>
      <c r="N47" s="23">
        <f>Constants!$D$22</f>
        <v>200000</v>
      </c>
      <c r="O47" s="23">
        <f>Constants!$D$22</f>
        <v>200000</v>
      </c>
      <c r="P47" s="23">
        <f>Constants!$D$22</f>
        <v>200000</v>
      </c>
      <c r="R47" s="23"/>
      <c r="S47" s="23"/>
    </row>
    <row r="48" spans="1:19" ht="15" customHeight="1">
      <c r="A48" s="90"/>
      <c r="B48" t="s">
        <v>82</v>
      </c>
      <c r="E48" s="20">
        <f>(E$3*LDH2EER-E$16)*Constants!$D$7*(Constants!$D$15*Constants!$D$12*Constants!$D$13-E41)*10^-6</f>
        <v>1628.9456684069939</v>
      </c>
      <c r="F48" s="20">
        <f>(F$3*LDH2EER-F$16)*Constants!$D$7*(Constants!$D$15*Constants!$D$12*Constants!$D$13-F41)*10^-6</f>
        <v>1569.4112808121101</v>
      </c>
      <c r="G48" s="20">
        <f>(G$3*LDH2EER-G$16)*Constants!$D$7*(Constants!$D$15*Constants!$D$12*Constants!$D$13-G41)*10^-6</f>
        <v>1503.8927836129876</v>
      </c>
      <c r="H48" s="20">
        <f>(H$3*LDH2EER-H$16)*Constants!$D$7*(Constants!$D$15*Constants!$D$12*Constants!$D$13-H41)*10^-6</f>
        <v>1427.1452581867966</v>
      </c>
      <c r="I48" s="20">
        <f>(I$3*LDH2EER-I$16)*Constants!$D$7*(Constants!$D$15*Constants!$D$12*Constants!$D$13-I41)*10^-6</f>
        <v>1345.2952671991056</v>
      </c>
      <c r="J48" s="20">
        <f>(J$3*LDH2EER-J$16)*Constants!$D$7*(Constants!$D$15*Constants!$D$12*Constants!$D$13-J41)*10^-6</f>
        <v>1265.3907242054227</v>
      </c>
      <c r="K48" s="20">
        <f>(K$3*LDH2EER-K$16)*Constants!$D$7*(Constants!$D$15*Constants!$D$12*Constants!$D$13-K41)*10^-6</f>
        <v>1188.2515667951266</v>
      </c>
      <c r="L48" s="20">
        <f>(L$3*LDH2EER-L$16)*Constants!$D$7*(Constants!$D$15*Constants!$D$12*Constants!$D$13-L41)*10^-6</f>
        <v>1078.4629409591814</v>
      </c>
      <c r="M48" s="20">
        <f>(M$3*LDH2EER-M$16)*Constants!$D$7*(Constants!$D$15*Constants!$D$12*Constants!$D$13-M41)*10^-6</f>
        <v>971.36387248387018</v>
      </c>
      <c r="N48" s="20">
        <f>(N$3*LDH2EER-N$16)*Constants!$D$7*(Constants!$D$15*Constants!$D$12*Constants!$D$13-N41)*10^-6</f>
        <v>867.12436435744917</v>
      </c>
      <c r="O48" s="20">
        <f>(O$3*LDH2EER-O$16)*Constants!$D$7*(Constants!$D$15*Constants!$D$12*Constants!$D$13-O41)*10^-6</f>
        <v>764.93312880480767</v>
      </c>
      <c r="P48" s="20">
        <f>(P$3*LDH2EER-P$16)*Constants!$D$7*(Constants!$D$15*Constants!$D$12*Constants!$D$13-P41)*10^-6</f>
        <v>664.25322867335535</v>
      </c>
      <c r="R48" s="23"/>
      <c r="S48" s="23"/>
    </row>
    <row r="49" spans="1:19" ht="15" customHeight="1">
      <c r="A49" s="90"/>
      <c r="B49" s="47" t="s">
        <v>16</v>
      </c>
      <c r="E49" s="22">
        <f>E48*Constants!$D$14*4</f>
        <v>977367.40104419633</v>
      </c>
      <c r="F49" s="22">
        <f>F48*Constants!$D$14*4</f>
        <v>941646.76848726603</v>
      </c>
      <c r="G49" s="22">
        <f>G48*Constants!$D$14*4</f>
        <v>902335.67016779259</v>
      </c>
      <c r="H49" s="22">
        <f>H48*Constants!$D$14*4</f>
        <v>856287.15491207794</v>
      </c>
      <c r="I49" s="22">
        <f>I48*Constants!$D$14*4</f>
        <v>807177.16031946335</v>
      </c>
      <c r="J49" s="22">
        <f>J48*Constants!$D$14*4</f>
        <v>759234.43452325359</v>
      </c>
      <c r="K49" s="22">
        <f>K48*Constants!$D$14*4</f>
        <v>712950.94007707597</v>
      </c>
      <c r="L49" s="22">
        <f>L48*Constants!$D$14*4</f>
        <v>647077.76457550889</v>
      </c>
      <c r="M49" s="22">
        <f>M48*Constants!$D$14*4</f>
        <v>582818.3234903221</v>
      </c>
      <c r="N49" s="22">
        <f>N48*Constants!$D$14*4</f>
        <v>520274.61861446948</v>
      </c>
      <c r="O49" s="22">
        <f>O48*Constants!$D$14*4</f>
        <v>458959.87728288461</v>
      </c>
      <c r="P49" s="22">
        <f>P48*Constants!$D$14*4</f>
        <v>398551.93720401323</v>
      </c>
      <c r="R49" s="23">
        <f>SUM(F49:K49)</f>
        <v>4979632.1284869295</v>
      </c>
      <c r="S49" s="23">
        <f>SUM(F49:P49)</f>
        <v>7587314.6496541286</v>
      </c>
    </row>
    <row r="50" spans="1:19" s="12" customFormat="1" ht="17" customHeight="1">
      <c r="A50" s="44"/>
      <c r="B50" s="47" t="s">
        <v>89</v>
      </c>
      <c r="C50"/>
      <c r="D50"/>
      <c r="E50" s="22">
        <f t="shared" ref="E50:K50" si="56">E49+E45</f>
        <v>1284377.5174760122</v>
      </c>
      <c r="F50" s="22">
        <f t="shared" si="56"/>
        <v>1304384.7450965426</v>
      </c>
      <c r="G50" s="22">
        <f t="shared" si="56"/>
        <v>1336727.1177035505</v>
      </c>
      <c r="H50" s="22">
        <f t="shared" si="56"/>
        <v>1392827.9473152198</v>
      </c>
      <c r="I50" s="22">
        <f t="shared" si="56"/>
        <v>1455745.2180271286</v>
      </c>
      <c r="J50" s="22">
        <f t="shared" si="56"/>
        <v>1507849.7273620102</v>
      </c>
      <c r="K50" s="22">
        <f t="shared" si="56"/>
        <v>1547228.7002823227</v>
      </c>
      <c r="L50" s="22">
        <f t="shared" ref="L50" si="57">L49+L45</f>
        <v>1676333.148921893</v>
      </c>
      <c r="M50" s="22">
        <f t="shared" ref="M50" si="58">M49+M45</f>
        <v>1799593.7836456171</v>
      </c>
      <c r="N50" s="22">
        <f t="shared" ref="N50:P50" si="59">N49+N45</f>
        <v>1916104.2460163685</v>
      </c>
      <c r="O50" s="22">
        <f t="shared" si="59"/>
        <v>2027642.3698372091</v>
      </c>
      <c r="P50" s="22">
        <f t="shared" si="59"/>
        <v>2393510.8454499957</v>
      </c>
      <c r="R50" s="52">
        <f>SUM(F50:K50)</f>
        <v>8544763.4557867739</v>
      </c>
      <c r="S50" s="23">
        <f t="shared" ref="S50:S51" si="60">SUM(F50:P50)</f>
        <v>18357947.84965786</v>
      </c>
    </row>
    <row r="51" spans="1:19">
      <c r="B51" s="12" t="s">
        <v>123</v>
      </c>
      <c r="D51" s="12"/>
      <c r="E51" s="48">
        <f>E46+E49-E47</f>
        <v>885636.01760157454</v>
      </c>
      <c r="F51" s="48">
        <f t="shared" ref="F51:K51" si="61">F46+F49-F47</f>
        <v>863178.78892219253</v>
      </c>
      <c r="G51" s="48">
        <f t="shared" si="61"/>
        <v>839549.40203733474</v>
      </c>
      <c r="H51" s="48">
        <f t="shared" si="61"/>
        <v>814537.45772934263</v>
      </c>
      <c r="I51" s="48">
        <f t="shared" si="61"/>
        <v>784183.22750901524</v>
      </c>
      <c r="J51" s="48">
        <f t="shared" si="61"/>
        <v>744655.6626678796</v>
      </c>
      <c r="K51" s="48">
        <f t="shared" si="61"/>
        <v>695435.5879779486</v>
      </c>
      <c r="L51" s="48">
        <f t="shared" ref="L51:O51" si="62">L46+L49-L47</f>
        <v>661044.50514173228</v>
      </c>
      <c r="M51" s="48">
        <f t="shared" si="62"/>
        <v>622185.03382530529</v>
      </c>
      <c r="N51" s="48">
        <f t="shared" si="62"/>
        <v>578071.53273939108</v>
      </c>
      <c r="O51" s="48">
        <f t="shared" si="62"/>
        <v>447348.79448570777</v>
      </c>
      <c r="P51" s="48">
        <f t="shared" ref="P51" si="63">P46+P49-P47</f>
        <v>615749.02942452545</v>
      </c>
      <c r="R51" s="50">
        <f>SUM(F51:K51)</f>
        <v>4741540.1268437132</v>
      </c>
      <c r="S51" s="23">
        <f t="shared" si="60"/>
        <v>7665939.0224603759</v>
      </c>
    </row>
    <row r="52" spans="1:19">
      <c r="B52" s="12" t="s">
        <v>168</v>
      </c>
      <c r="C52" s="47" t="s">
        <v>169</v>
      </c>
      <c r="D52" s="12"/>
      <c r="E52" s="48"/>
      <c r="F52" s="50">
        <f>E54</f>
        <v>-4500000</v>
      </c>
      <c r="G52" s="50">
        <f t="shared" ref="G52:M52" si="64">F54</f>
        <v>-4043662.2716316981</v>
      </c>
      <c r="H52" s="50">
        <f t="shared" si="64"/>
        <v>-3566501.6266556666</v>
      </c>
      <c r="I52" s="50">
        <f t="shared" si="64"/>
        <v>-3067887.4587054234</v>
      </c>
      <c r="J52" s="50">
        <f t="shared" si="64"/>
        <v>-2551283.8156915</v>
      </c>
      <c r="K52" s="50">
        <f t="shared" si="64"/>
        <v>-2024523.7514593764</v>
      </c>
      <c r="L52" s="50">
        <f t="shared" si="64"/>
        <v>-1496768.7592284679</v>
      </c>
      <c r="M52" s="50">
        <f t="shared" si="64"/>
        <v>-952348.90475249582</v>
      </c>
      <c r="N52" s="50">
        <f>M54</f>
        <v>-394289.50971117488</v>
      </c>
      <c r="O52" s="50">
        <f t="shared" ref="O52:P52" si="65">N54</f>
        <v>173256.64869406828</v>
      </c>
      <c r="P52" s="50">
        <f t="shared" si="65"/>
        <v>620605.44317977608</v>
      </c>
      <c r="R52" s="50"/>
      <c r="S52" s="23"/>
    </row>
    <row r="53" spans="1:19">
      <c r="B53" s="12" t="s">
        <v>167</v>
      </c>
      <c r="C53" s="91">
        <v>0.1</v>
      </c>
      <c r="D53" s="12"/>
      <c r="E53" s="48"/>
      <c r="F53" s="48">
        <f>$C$35*(F52+(F52+F51))/2</f>
        <v>-406841.06055389042</v>
      </c>
      <c r="G53" s="48">
        <f t="shared" ref="G53" si="66">MIN($C$35*(G52+(G52+G51))/2,0)</f>
        <v>-362388.75706130313</v>
      </c>
      <c r="H53" s="48">
        <f t="shared" ref="H53" si="67">MIN($C$35*(H52+(H52+H51))/2,0)</f>
        <v>-315923.28977909958</v>
      </c>
      <c r="I53" s="48">
        <f t="shared" ref="I53" si="68">MIN($C$35*(I52+(I52+I51))/2,0)</f>
        <v>-267579.58449509158</v>
      </c>
      <c r="J53" s="48">
        <f t="shared" ref="J53" si="69">MIN($C$35*(J52+(J52+J51))/2,0)</f>
        <v>-217895.59843575602</v>
      </c>
      <c r="K53" s="48">
        <f t="shared" ref="K53" si="70">MIN($C$35*(K52+(K52+K51))/2,0)</f>
        <v>-167680.59574704024</v>
      </c>
      <c r="L53" s="48">
        <f t="shared" ref="L53" si="71">MIN($C$35*(L52+(L52+L51))/2,0)</f>
        <v>-116624.65066576019</v>
      </c>
      <c r="M53" s="48">
        <f>MIN($C$35*(M52+(M52+M51))/2,0)</f>
        <v>-64125.638783984323</v>
      </c>
      <c r="N53" s="48">
        <f t="shared" ref="N53" si="72">MIN($C$35*(N52+(N52+N51))/2,0)</f>
        <v>-10525.374334147935</v>
      </c>
      <c r="O53" s="48">
        <f t="shared" ref="O53" si="73">MIN($C$35*(O52+(O52+O51))/2,0)</f>
        <v>0</v>
      </c>
      <c r="P53" s="48">
        <f t="shared" ref="P53" si="74">MIN($C$35*(P52+(P52+P51))/2,0)</f>
        <v>0</v>
      </c>
      <c r="R53" s="50"/>
      <c r="S53" s="23"/>
    </row>
    <row r="54" spans="1:19">
      <c r="B54" s="12" t="s">
        <v>171</v>
      </c>
      <c r="C54" s="12"/>
      <c r="D54" s="12"/>
      <c r="E54" s="48">
        <f>-Constants!D16</f>
        <v>-4500000</v>
      </c>
      <c r="F54" s="50">
        <f>F51+F52+F53</f>
        <v>-4043662.2716316981</v>
      </c>
      <c r="G54" s="50">
        <f t="shared" ref="G54" si="75">G51+G52+G53</f>
        <v>-3566501.6266556666</v>
      </c>
      <c r="H54" s="50">
        <f t="shared" ref="H54" si="76">H51+H52+H53</f>
        <v>-3067887.4587054234</v>
      </c>
      <c r="I54" s="50">
        <f t="shared" ref="I54" si="77">I51+I52+I53</f>
        <v>-2551283.8156915</v>
      </c>
      <c r="J54" s="50">
        <f t="shared" ref="J54" si="78">J51+J52+J53</f>
        <v>-2024523.7514593764</v>
      </c>
      <c r="K54" s="50">
        <f t="shared" ref="K54" si="79">K51+K52+K53</f>
        <v>-1496768.7592284679</v>
      </c>
      <c r="L54" s="50">
        <f t="shared" ref="L54" si="80">L51+L52+L53</f>
        <v>-952348.90475249582</v>
      </c>
      <c r="M54" s="50">
        <f t="shared" ref="M54" si="81">M51+M52+M53</f>
        <v>-394289.50971117488</v>
      </c>
      <c r="N54" s="50">
        <f>N51+N52+N53</f>
        <v>173256.64869406828</v>
      </c>
      <c r="O54" s="50">
        <f t="shared" ref="O54" si="82">O51+O52+O53</f>
        <v>620605.44317977608</v>
      </c>
      <c r="P54" s="50">
        <f t="shared" ref="P54" si="83">P51+P52+P53</f>
        <v>1236354.4726043015</v>
      </c>
      <c r="R54" s="50"/>
      <c r="S54" s="50"/>
    </row>
    <row r="55" spans="1:19" ht="17" customHeight="1">
      <c r="A55" s="44"/>
      <c r="B55" s="47" t="s">
        <v>126</v>
      </c>
      <c r="E55" s="42">
        <f>E49/E51</f>
        <v>1.1035768437817639</v>
      </c>
      <c r="F55" s="42">
        <f t="shared" ref="F55:K55" si="84">F49/F51</f>
        <v>1.0909058245778402</v>
      </c>
      <c r="G55" s="42">
        <f t="shared" si="84"/>
        <v>1.0747856742892012</v>
      </c>
      <c r="H55" s="42">
        <f t="shared" si="84"/>
        <v>1.0512557117988404</v>
      </c>
      <c r="I55" s="42">
        <f t="shared" si="84"/>
        <v>1.0293221430959307</v>
      </c>
      <c r="J55" s="42">
        <f t="shared" si="84"/>
        <v>1.019577870130125</v>
      </c>
      <c r="K55" s="42">
        <f t="shared" si="84"/>
        <v>1.0251861601590668</v>
      </c>
      <c r="L55" s="42">
        <f t="shared" ref="L55:O55" si="85">L49/L51</f>
        <v>0.97887170915484911</v>
      </c>
      <c r="M55" s="42">
        <f t="shared" si="85"/>
        <v>0.93672829111148881</v>
      </c>
      <c r="N55" s="42">
        <f t="shared" si="85"/>
        <v>0.90001771259859309</v>
      </c>
      <c r="O55" s="42">
        <f t="shared" si="85"/>
        <v>1.025955323765934</v>
      </c>
      <c r="P55" s="42">
        <f t="shared" ref="P55" si="86">P49/P51</f>
        <v>0.64726360604497735</v>
      </c>
      <c r="R55" s="43">
        <f>AVERAGE(F55:K55)</f>
        <v>1.0485055640085008</v>
      </c>
      <c r="S55" s="43">
        <f>AVERAGE(G55:L55)</f>
        <v>1.0298332114380022</v>
      </c>
    </row>
    <row r="56" spans="1:19" ht="17" customHeight="1">
      <c r="A56" s="44"/>
      <c r="B56" s="47" t="s">
        <v>127</v>
      </c>
      <c r="E56" s="42">
        <f>(E46-E47)/E51</f>
        <v>-0.10357684378176381</v>
      </c>
      <c r="F56" s="42">
        <f t="shared" ref="F56:K56" si="87">(F46-F47)/F51</f>
        <v>-9.0905824577840327E-2</v>
      </c>
      <c r="G56" s="42">
        <f t="shared" si="87"/>
        <v>-7.4785674289201312E-2</v>
      </c>
      <c r="H56" s="42">
        <f t="shared" si="87"/>
        <v>-5.1255711798840378E-2</v>
      </c>
      <c r="I56" s="42">
        <f t="shared" si="87"/>
        <v>-2.9322143095930606E-2</v>
      </c>
      <c r="J56" s="42">
        <f t="shared" si="87"/>
        <v>-1.9577870130125088E-2</v>
      </c>
      <c r="K56" s="42">
        <f t="shared" si="87"/>
        <v>-2.5186160159066752E-2</v>
      </c>
      <c r="L56" s="42">
        <f t="shared" ref="L56:O56" si="88">(L46-L47)/L51</f>
        <v>2.1128290845150936E-2</v>
      </c>
      <c r="M56" s="42">
        <f t="shared" si="88"/>
        <v>6.3271708888511163E-2</v>
      </c>
      <c r="N56" s="42">
        <f t="shared" si="88"/>
        <v>9.9982287401407008E-2</v>
      </c>
      <c r="O56" s="42">
        <f t="shared" si="88"/>
        <v>-2.5955323765934197E-2</v>
      </c>
      <c r="P56" s="42">
        <f t="shared" ref="P56" si="89">(P46-P47)/P51</f>
        <v>0.3527363939550226</v>
      </c>
      <c r="R56" s="43">
        <f>AVERAGE(F56:K56)</f>
        <v>-4.850556400850075E-2</v>
      </c>
      <c r="S56" s="43">
        <f>AVERAGE(G56:L56)</f>
        <v>-2.9833211438002192E-2</v>
      </c>
    </row>
    <row r="57" spans="1:19" ht="21">
      <c r="A57" s="44"/>
      <c r="E57" s="25"/>
      <c r="F57" s="25"/>
      <c r="G57" s="25"/>
      <c r="H57" s="25"/>
      <c r="I57" s="25"/>
      <c r="J57" s="25"/>
      <c r="K57" s="25"/>
      <c r="P57" s="26"/>
    </row>
    <row r="58" spans="1:19">
      <c r="A58" s="88" t="s">
        <v>32</v>
      </c>
      <c r="B58" t="s">
        <v>130</v>
      </c>
      <c r="E58" s="5">
        <f>E59/(Constants!$D$12*(6/7))</f>
        <v>91.435897435897431</v>
      </c>
      <c r="F58" s="5">
        <f>F59/(Constants!$D$12*(6/7))</f>
        <v>118.93162393162392</v>
      </c>
      <c r="G58" s="5">
        <f>G59/(Constants!$D$12*(6/7))</f>
        <v>146.4273504273504</v>
      </c>
      <c r="H58" s="5">
        <f>H59/(Constants!$D$12*(6/7))</f>
        <v>173.92307692307691</v>
      </c>
      <c r="I58" s="5">
        <f>I59/(Constants!$D$12*(6/7))</f>
        <v>201.41880341880338</v>
      </c>
      <c r="J58" s="5">
        <f>J59/(Constants!$D$12*(6/7))</f>
        <v>228.91452991452991</v>
      </c>
      <c r="K58" s="5">
        <f>K59/(Constants!$D$12*(6/7))</f>
        <v>256.41025641025641</v>
      </c>
    </row>
    <row r="59" spans="1:19">
      <c r="A59" s="89"/>
      <c r="B59" t="s">
        <v>33</v>
      </c>
      <c r="E59" s="20">
        <v>7132</v>
      </c>
      <c r="F59" s="20">
        <f>($K$59-$E$59)/6+E59</f>
        <v>9276.6666666666661</v>
      </c>
      <c r="G59" s="20">
        <f t="shared" ref="G59:J59" si="90">($K$59-$E$59)/6+F59</f>
        <v>11421.333333333332</v>
      </c>
      <c r="H59" s="20">
        <f t="shared" si="90"/>
        <v>13565.999999999998</v>
      </c>
      <c r="I59" s="20">
        <f t="shared" si="90"/>
        <v>15710.666666666664</v>
      </c>
      <c r="J59" s="20">
        <f t="shared" si="90"/>
        <v>17855.333333333332</v>
      </c>
      <c r="K59" s="20">
        <f>Constants!$D$36/4</f>
        <v>20000</v>
      </c>
    </row>
    <row r="60" spans="1:19">
      <c r="A60" s="89"/>
      <c r="B60" t="s">
        <v>146</v>
      </c>
      <c r="E60" s="20">
        <f>(E59*Constants!$D$7*(Constants!$D$19*E$3+Constants!$D$20*E$4)-E59*Constants!$D$7*(Constants!$D$19*E$10+Constants!$D$20*E$11))/10^6</f>
        <v>43.471252618421047</v>
      </c>
      <c r="F60" s="20">
        <f>(F59*Constants!$D$7*(Constants!$D$19*F$3+Constants!$D$20*F$4)-F59*Constants!$D$7*(Constants!$D$19*F$10+Constants!$D$20*F$11))/10^6</f>
        <v>55.149019228947374</v>
      </c>
      <c r="G60" s="20">
        <f>(G59*Constants!$D$7*(Constants!$D$19*G$3+Constants!$D$20*G$4)-G59*Constants!$D$7*(Constants!$D$19*G$10+Constants!$D$20*G$11))/10^6</f>
        <v>66.18200252947365</v>
      </c>
      <c r="H60" s="20">
        <f>(H59*Constants!$D$7*(Constants!$D$19*H$3+Constants!$D$20*H$4)-H59*Constants!$D$7*(Constants!$D$19*H$10+Constants!$D$20*H$11))/10^6</f>
        <v>76.570202519999981</v>
      </c>
      <c r="I60" s="20">
        <f>(I59*Constants!$D$7*(Constants!$D$19*I$3+Constants!$D$20*I$4)-I59*Constants!$D$7*(Constants!$D$19*I$10+Constants!$D$20*I$11))/10^6</f>
        <v>86.313619200526304</v>
      </c>
      <c r="J60" s="20">
        <f>(J59*Constants!$D$7*(Constants!$D$19*J$3+Constants!$D$20*J$4)-J59*Constants!$D$7*(Constants!$D$19*J$10+Constants!$D$20*J$11))/10^6</f>
        <v>95.412252571052619</v>
      </c>
      <c r="K60" s="20">
        <f>(K59*Constants!$D$7*(Constants!$D$19*K$3+Constants!$D$20*K$4)-K59*Constants!$D$7*(Constants!$D$19*K$10+Constants!$D$20*K$11))/10^6</f>
        <v>103.86610263157894</v>
      </c>
      <c r="P60" s="12" t="s">
        <v>35</v>
      </c>
    </row>
    <row r="61" spans="1:19">
      <c r="A61" s="89"/>
      <c r="B61" t="s">
        <v>80</v>
      </c>
      <c r="E61" s="22">
        <f t="shared" ref="E61:K61" si="91">(E59*E$17)</f>
        <v>85584</v>
      </c>
      <c r="F61" s="22">
        <f t="shared" si="91"/>
        <v>106681.66666666666</v>
      </c>
      <c r="G61" s="22">
        <f t="shared" si="91"/>
        <v>125634.66666666666</v>
      </c>
      <c r="H61" s="22">
        <f t="shared" si="91"/>
        <v>142442.99999999997</v>
      </c>
      <c r="I61" s="22">
        <f t="shared" si="91"/>
        <v>157106.66666666663</v>
      </c>
      <c r="J61" s="22">
        <f t="shared" si="91"/>
        <v>169625.66666666666</v>
      </c>
      <c r="K61" s="22">
        <f t="shared" si="91"/>
        <v>180000</v>
      </c>
      <c r="P61" s="12"/>
    </row>
    <row r="62" spans="1:19">
      <c r="A62" s="89"/>
      <c r="B62" t="s">
        <v>81</v>
      </c>
      <c r="E62" s="22">
        <f>E60*E$15</f>
        <v>6520.6878927631569</v>
      </c>
      <c r="F62" s="22">
        <f t="shared" ref="F62:K62" si="92">F60*F$15</f>
        <v>8272.3528843421063</v>
      </c>
      <c r="G62" s="22">
        <f t="shared" si="92"/>
        <v>9927.3003794210472</v>
      </c>
      <c r="H62" s="22">
        <f t="shared" si="92"/>
        <v>11485.530377999998</v>
      </c>
      <c r="I62" s="22">
        <f t="shared" si="92"/>
        <v>12947.042880078945</v>
      </c>
      <c r="J62" s="22">
        <f t="shared" si="92"/>
        <v>14311.837885657893</v>
      </c>
      <c r="K62" s="22">
        <f t="shared" si="92"/>
        <v>15579.915394736841</v>
      </c>
      <c r="P62" s="23">
        <f>4*SUM(F62:K62)</f>
        <v>290095.91920894734</v>
      </c>
    </row>
    <row r="63" spans="1:19">
      <c r="A63" s="89"/>
      <c r="B63" t="s">
        <v>84</v>
      </c>
      <c r="E63" s="23">
        <f>4*(E61+E62)</f>
        <v>368418.75157105265</v>
      </c>
      <c r="F63" s="23">
        <f t="shared" ref="F63" si="93">4*(F61+F62)</f>
        <v>459816.07820403506</v>
      </c>
      <c r="G63" s="23">
        <f t="shared" ref="G63" si="94">4*(G61+G62)</f>
        <v>542247.86818435078</v>
      </c>
      <c r="H63" s="23">
        <f t="shared" ref="H63" si="95">4*(H61+H62)</f>
        <v>615714.12151199987</v>
      </c>
      <c r="I63" s="23">
        <f t="shared" ref="I63" si="96">4*(I61+I62)</f>
        <v>680214.83818698232</v>
      </c>
      <c r="J63" s="23">
        <f t="shared" ref="J63" si="97">4*(J61+J62)</f>
        <v>735750.01820929814</v>
      </c>
      <c r="K63" s="23">
        <f t="shared" ref="K63" si="98">4*(K61+K62)</f>
        <v>782319.66157894733</v>
      </c>
      <c r="P63" s="23">
        <f>4*SUM(F63:K63)</f>
        <v>15264250.343502453</v>
      </c>
    </row>
    <row r="64" spans="1:19">
      <c r="A64" s="89"/>
      <c r="B64" t="s">
        <v>83</v>
      </c>
      <c r="E64" s="23">
        <f t="shared" ref="E64:K64" si="99">E63-4*(E59*E$18)</f>
        <v>129924.67157105266</v>
      </c>
      <c r="F64" s="23">
        <f t="shared" si="99"/>
        <v>154057.14487070171</v>
      </c>
      <c r="G64" s="23">
        <f t="shared" si="99"/>
        <v>171282.96151768416</v>
      </c>
      <c r="H64" s="23">
        <f t="shared" si="99"/>
        <v>181602.12151199993</v>
      </c>
      <c r="I64" s="23">
        <f t="shared" si="99"/>
        <v>185643.0515203157</v>
      </c>
      <c r="J64" s="23">
        <f t="shared" si="99"/>
        <v>182234.68487596489</v>
      </c>
      <c r="K64" s="23">
        <f t="shared" si="99"/>
        <v>171119.66157894733</v>
      </c>
      <c r="P64" s="23"/>
    </row>
    <row r="65" spans="1:16">
      <c r="A65" s="89"/>
      <c r="B65" t="s">
        <v>122</v>
      </c>
      <c r="E65" s="23">
        <f>Constants!$D$35</f>
        <v>185000</v>
      </c>
      <c r="F65" s="23">
        <f>Constants!$D$35</f>
        <v>185000</v>
      </c>
      <c r="G65" s="23">
        <f>Constants!$D$35</f>
        <v>185000</v>
      </c>
      <c r="H65" s="23">
        <f>Constants!$D$35</f>
        <v>185000</v>
      </c>
      <c r="I65" s="23">
        <f>Constants!$D$35</f>
        <v>185000</v>
      </c>
      <c r="J65" s="23">
        <f>Constants!$D$35</f>
        <v>185000</v>
      </c>
      <c r="K65" s="23">
        <f>Constants!$D$35</f>
        <v>185000</v>
      </c>
      <c r="P65" s="23">
        <f>SUM(F65:K65)</f>
        <v>1110000</v>
      </c>
    </row>
    <row r="66" spans="1:16">
      <c r="A66" s="89"/>
      <c r="B66" t="s">
        <v>82</v>
      </c>
      <c r="E66" s="20">
        <f>(E$3*LDH2EER-E$16)*Constants!$D$7*(Constants!$D$34*Constants!$D$12*Constants!$D$13-E59)*10^-6</f>
        <v>1178.6042156250001</v>
      </c>
      <c r="F66" s="20">
        <f>(F$3*LDH2EER-F$16)*Constants!$D$7*(Constants!$D$34*Constants!$D$12*Constants!$D$13-F59)*10^-6</f>
        <v>1117.4280471000002</v>
      </c>
      <c r="G66" s="20">
        <f>(G$3*LDH2EER-G$16)*Constants!$D$7*(Constants!$D$34*Constants!$D$12*Constants!$D$13-G59)*10^-6</f>
        <v>1057.8598960249999</v>
      </c>
      <c r="H66" s="20">
        <f>(H$3*LDH2EER-H$16)*Constants!$D$7*(Constants!$D$34*Constants!$D$12*Constants!$D$13-H59)*10^-6</f>
        <v>999.8997624000001</v>
      </c>
      <c r="I66" s="20">
        <f>(I$3*LDH2EER-I$16)*Constants!$D$7*(Constants!$D$34*Constants!$D$12*Constants!$D$13-I59)*10^-6</f>
        <v>943.54764622499988</v>
      </c>
      <c r="J66" s="20">
        <f>(J$3*LDH2EER-J$16)*Constants!$D$7*(Constants!$D$34*Constants!$D$12*Constants!$D$13-J59)*10^-6</f>
        <v>888.80354749999992</v>
      </c>
      <c r="K66" s="20">
        <f>(K$3*LDH2EER-K$16)*Constants!$D$7*(Constants!$D$34*Constants!$D$12*Constants!$D$13-K59)*10^-6</f>
        <v>835.667466225</v>
      </c>
      <c r="P66" s="23"/>
    </row>
    <row r="67" spans="1:16">
      <c r="A67" s="89"/>
      <c r="B67" s="47" t="s">
        <v>16</v>
      </c>
      <c r="E67" s="22">
        <f>E66*Constants!$D$14*4</f>
        <v>707162.52937500004</v>
      </c>
      <c r="F67" s="22">
        <f>F66*Constants!$D$14*4</f>
        <v>670456.8282600001</v>
      </c>
      <c r="G67" s="22">
        <f>G66*Constants!$D$14*4</f>
        <v>634715.93761499994</v>
      </c>
      <c r="H67" s="22">
        <f>H66*Constants!$D$14*4</f>
        <v>599939.85744000005</v>
      </c>
      <c r="I67" s="22">
        <f>I66*Constants!$D$14*4</f>
        <v>566128.58773499995</v>
      </c>
      <c r="J67" s="22">
        <f>J66*Constants!$D$14*4</f>
        <v>533282.12849999999</v>
      </c>
      <c r="K67" s="22">
        <f>K66*Constants!$D$14*4</f>
        <v>501400.479735</v>
      </c>
      <c r="P67" s="23">
        <f>SUM(F67:K67)</f>
        <v>3505923.8192850002</v>
      </c>
    </row>
    <row r="68" spans="1:16" s="47" customFormat="1">
      <c r="A68" s="89"/>
      <c r="B68" s="47" t="s">
        <v>89</v>
      </c>
      <c r="C68"/>
      <c r="D68"/>
      <c r="E68" s="22">
        <f t="shared" ref="E68:K68" si="100">E67+E63</f>
        <v>1075581.2809460526</v>
      </c>
      <c r="F68" s="22">
        <f t="shared" si="100"/>
        <v>1130272.9064640352</v>
      </c>
      <c r="G68" s="22">
        <f t="shared" si="100"/>
        <v>1176963.8057993506</v>
      </c>
      <c r="H68" s="22">
        <f t="shared" si="100"/>
        <v>1215653.9789519999</v>
      </c>
      <c r="I68" s="22">
        <f t="shared" si="100"/>
        <v>1246343.4259219822</v>
      </c>
      <c r="J68" s="22">
        <f t="shared" si="100"/>
        <v>1269032.1467092982</v>
      </c>
      <c r="K68" s="22">
        <f t="shared" si="100"/>
        <v>1283720.1413139473</v>
      </c>
      <c r="P68" s="52">
        <f>SUM(F68:K68)</f>
        <v>7321986.4051606134</v>
      </c>
    </row>
    <row r="69" spans="1:16" s="12" customFormat="1">
      <c r="A69" s="89"/>
      <c r="B69" s="12" t="s">
        <v>123</v>
      </c>
      <c r="E69" s="48">
        <f>E64+E67-E65</f>
        <v>652087.20094605268</v>
      </c>
      <c r="F69" s="48">
        <f t="shared" ref="F69:K69" si="101">F64+F67-F65</f>
        <v>639513.97313070181</v>
      </c>
      <c r="G69" s="48">
        <f t="shared" si="101"/>
        <v>620998.89913268411</v>
      </c>
      <c r="H69" s="48">
        <f t="shared" si="101"/>
        <v>596541.97895199992</v>
      </c>
      <c r="I69" s="48">
        <f t="shared" si="101"/>
        <v>566771.63925531565</v>
      </c>
      <c r="J69" s="48">
        <f t="shared" si="101"/>
        <v>530516.81337596488</v>
      </c>
      <c r="K69" s="48">
        <f t="shared" si="101"/>
        <v>487520.14131394727</v>
      </c>
      <c r="P69" s="50">
        <f>SUM(F69:K69)</f>
        <v>3441863.4451606134</v>
      </c>
    </row>
    <row r="70" spans="1:16">
      <c r="A70" s="89"/>
      <c r="B70" s="47" t="s">
        <v>126</v>
      </c>
      <c r="E70" s="42">
        <f>E67/E69</f>
        <v>1.0844600666123239</v>
      </c>
      <c r="F70" s="42">
        <f t="shared" ref="F70:K70" si="102">F67/F69</f>
        <v>1.0483849554964677</v>
      </c>
      <c r="G70" s="42">
        <f t="shared" si="102"/>
        <v>1.0220886679533148</v>
      </c>
      <c r="H70" s="42">
        <f t="shared" si="102"/>
        <v>1.0056959587219152</v>
      </c>
      <c r="I70" s="42">
        <f t="shared" si="102"/>
        <v>0.9988654133767868</v>
      </c>
      <c r="J70" s="42">
        <f t="shared" si="102"/>
        <v>1.0052124929018516</v>
      </c>
      <c r="K70" s="42">
        <f t="shared" si="102"/>
        <v>1.0284713127618541</v>
      </c>
      <c r="P70" s="49">
        <f>AVERAGE(F70:K70)</f>
        <v>1.0181198002020317</v>
      </c>
    </row>
    <row r="71" spans="1:16">
      <c r="A71" s="89"/>
      <c r="B71" s="47" t="s">
        <v>127</v>
      </c>
      <c r="E71" s="42">
        <f>(E64-E65)/E69</f>
        <v>-8.4460066612323734E-2</v>
      </c>
      <c r="F71" s="42">
        <f t="shared" ref="F71:K71" si="103">(F64-F65)/F69</f>
        <v>-4.8384955496467763E-2</v>
      </c>
      <c r="G71" s="42">
        <f t="shared" si="103"/>
        <v>-2.2088667953314718E-2</v>
      </c>
      <c r="H71" s="42">
        <f t="shared" si="103"/>
        <v>-5.695958721914994E-3</v>
      </c>
      <c r="I71" s="42">
        <f t="shared" si="103"/>
        <v>1.134586623213198E-3</v>
      </c>
      <c r="J71" s="42">
        <f t="shared" si="103"/>
        <v>-5.2124929018515388E-3</v>
      </c>
      <c r="K71" s="42">
        <f t="shared" si="103"/>
        <v>-2.8471312761854037E-2</v>
      </c>
      <c r="P71" s="49">
        <f>AVERAGE(F71:K71)</f>
        <v>-1.8119800202031643E-2</v>
      </c>
    </row>
    <row r="73" spans="1:16">
      <c r="B73" s="12"/>
    </row>
    <row r="80" spans="1:16">
      <c r="C80" s="22"/>
    </row>
    <row r="83" spans="2:3">
      <c r="C83" s="45"/>
    </row>
    <row r="84" spans="2:3">
      <c r="C84" s="45"/>
    </row>
    <row r="85" spans="2:3">
      <c r="C85" s="42"/>
    </row>
    <row r="86" spans="2:3">
      <c r="C86" s="42"/>
    </row>
    <row r="87" spans="2:3">
      <c r="C87" s="42"/>
    </row>
    <row r="88" spans="2:3">
      <c r="C88" s="64"/>
    </row>
    <row r="90" spans="2:3">
      <c r="B90" s="12"/>
    </row>
    <row r="92" spans="2:3">
      <c r="C92" s="24"/>
    </row>
    <row r="94" spans="2:3">
      <c r="C94" s="30"/>
    </row>
    <row r="98" spans="2:11">
      <c r="B98" s="12"/>
    </row>
    <row r="104" spans="2:11">
      <c r="E104" s="46"/>
      <c r="F104" s="46"/>
      <c r="G104" s="46"/>
      <c r="H104" s="46"/>
      <c r="I104" s="46"/>
      <c r="J104" s="46"/>
      <c r="K104" s="46"/>
    </row>
    <row r="105" spans="2:11">
      <c r="E105" s="45"/>
      <c r="F105" s="45"/>
      <c r="G105" s="45"/>
      <c r="H105" s="45"/>
      <c r="I105" s="45"/>
      <c r="J105" s="45"/>
      <c r="K105" s="45"/>
    </row>
  </sheetData>
  <mergeCells count="3">
    <mergeCell ref="A22:A38"/>
    <mergeCell ref="A58:A71"/>
    <mergeCell ref="A40:A49"/>
  </mergeCells>
  <pageMargins left="0.7" right="0.7" top="0.75" bottom="0.75" header="0.3" footer="0.3"/>
  <pageSetup scale="56" orientation="landscape" horizontalDpi="0" verticalDpi="0" copies="3"/>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33C1C1-D013-6E4C-A663-8E50588E3B74}">
  <sheetPr>
    <pageSetUpPr fitToPage="1"/>
  </sheetPr>
  <dimension ref="A2:S87"/>
  <sheetViews>
    <sheetView tabSelected="1" topLeftCell="A3" zoomScale="125" zoomScaleNormal="125" workbookViewId="0">
      <selection activeCell="C22" sqref="C22"/>
    </sheetView>
  </sheetViews>
  <sheetFormatPr baseColWidth="10" defaultRowHeight="15"/>
  <cols>
    <col min="1" max="1" width="16.5" customWidth="1"/>
    <col min="2" max="2" width="35" customWidth="1"/>
    <col min="3" max="3" width="13.6640625" bestFit="1" customWidth="1"/>
    <col min="5" max="5" width="18.5" customWidth="1"/>
    <col min="6" max="6" width="11.83203125" customWidth="1"/>
    <col min="7" max="7" width="12.83203125" customWidth="1"/>
    <col min="8" max="9" width="14" customWidth="1"/>
    <col min="10" max="10" width="14.33203125" customWidth="1"/>
    <col min="11" max="11" width="13" customWidth="1"/>
    <col min="12" max="12" width="13.6640625" bestFit="1" customWidth="1"/>
    <col min="13" max="13" width="14" customWidth="1"/>
    <col min="14" max="14" width="17.1640625" customWidth="1"/>
    <col min="15" max="16" width="13.6640625" bestFit="1" customWidth="1"/>
    <col min="18" max="18" width="13.33203125" customWidth="1"/>
    <col min="19" max="19" width="16.33203125" bestFit="1" customWidth="1"/>
  </cols>
  <sheetData>
    <row r="2" spans="2:19">
      <c r="B2" s="1" t="s">
        <v>0</v>
      </c>
      <c r="C2" s="2" t="s">
        <v>1</v>
      </c>
      <c r="D2" s="3">
        <v>2018</v>
      </c>
      <c r="E2" s="3">
        <v>2019</v>
      </c>
      <c r="F2" s="3">
        <v>2020</v>
      </c>
      <c r="G2" s="3">
        <v>2021</v>
      </c>
      <c r="H2" s="3">
        <v>2022</v>
      </c>
      <c r="I2" s="3">
        <v>2023</v>
      </c>
      <c r="J2" s="3">
        <v>2024</v>
      </c>
      <c r="K2" s="3">
        <v>2025</v>
      </c>
      <c r="L2" s="4">
        <v>2026</v>
      </c>
      <c r="M2" s="4">
        <v>2027</v>
      </c>
      <c r="N2" s="4">
        <v>2028</v>
      </c>
      <c r="O2" s="4">
        <v>2029</v>
      </c>
      <c r="P2" s="4">
        <v>2030</v>
      </c>
      <c r="Q2" s="4">
        <v>2031</v>
      </c>
      <c r="R2" s="4">
        <v>2032</v>
      </c>
      <c r="S2" s="4">
        <v>2033</v>
      </c>
    </row>
    <row r="3" spans="2:19">
      <c r="B3" t="s">
        <v>2</v>
      </c>
      <c r="C3" s="5" t="s">
        <v>3</v>
      </c>
      <c r="D3" s="5">
        <v>93.55</v>
      </c>
      <c r="E3" s="5">
        <v>93.721874999999997</v>
      </c>
      <c r="F3" s="5">
        <v>92.472250000000003</v>
      </c>
      <c r="G3" s="5">
        <v>91.222624999999994</v>
      </c>
      <c r="H3" s="5">
        <v>89.972999999999999</v>
      </c>
      <c r="I3" s="5">
        <v>88.72337499999999</v>
      </c>
      <c r="J3" s="5">
        <v>87.473749999999995</v>
      </c>
      <c r="K3" s="5">
        <v>86.224125000000001</v>
      </c>
      <c r="L3" s="5">
        <v>84.974499999999992</v>
      </c>
      <c r="M3" s="5">
        <v>83.724874999999997</v>
      </c>
      <c r="N3" s="5">
        <v>82.475249999999988</v>
      </c>
      <c r="O3" s="5">
        <v>81.225624999999994</v>
      </c>
      <c r="P3" s="5">
        <v>79.975999999999999</v>
      </c>
      <c r="Q3" s="65">
        <v>78.8</v>
      </c>
      <c r="R3" s="65">
        <v>77.599999999999994</v>
      </c>
      <c r="S3" s="67">
        <v>76.400000000000006</v>
      </c>
    </row>
    <row r="4" spans="2:19">
      <c r="B4" t="s">
        <v>4</v>
      </c>
      <c r="C4" s="5" t="s">
        <v>3</v>
      </c>
      <c r="D4" s="5">
        <v>98.44</v>
      </c>
      <c r="E4" s="5">
        <v>94.640625</v>
      </c>
      <c r="F4" s="5">
        <v>93.378750000000011</v>
      </c>
      <c r="G4" s="5">
        <v>92.116875000000007</v>
      </c>
      <c r="H4" s="5">
        <v>90.855000000000004</v>
      </c>
      <c r="I4" s="5">
        <v>89.593125000000001</v>
      </c>
      <c r="J4" s="5">
        <v>88.331249999999997</v>
      </c>
      <c r="K4" s="5">
        <v>87.069375000000008</v>
      </c>
      <c r="L4" s="5">
        <v>85.807500000000005</v>
      </c>
      <c r="M4" s="5">
        <v>84.545625000000001</v>
      </c>
      <c r="N4" s="7">
        <v>83.283749999999998</v>
      </c>
      <c r="O4" s="5">
        <v>82.021875000000009</v>
      </c>
      <c r="P4" s="5">
        <v>80.760000000000005</v>
      </c>
      <c r="Q4" s="65">
        <v>79.599999999999994</v>
      </c>
      <c r="R4" s="65">
        <v>78.400000000000006</v>
      </c>
      <c r="S4" s="67">
        <v>77.2</v>
      </c>
    </row>
    <row r="5" spans="2:19">
      <c r="S5" s="8"/>
    </row>
    <row r="6" spans="2:19">
      <c r="B6" s="1" t="s">
        <v>5</v>
      </c>
      <c r="C6" s="9" t="s">
        <v>6</v>
      </c>
      <c r="D6" s="10">
        <v>-11.561717866753563</v>
      </c>
      <c r="E6" s="10">
        <v>-14.806809491618397</v>
      </c>
      <c r="F6" s="10">
        <v>-17.352088902569882</v>
      </c>
      <c r="G6" s="10">
        <v>-19.664576908686598</v>
      </c>
      <c r="H6" s="10">
        <v>-21.660471847572502</v>
      </c>
      <c r="I6" s="10">
        <v>-23.019899143743615</v>
      </c>
      <c r="J6" s="10">
        <v>-24.144513399859481</v>
      </c>
      <c r="K6" s="10">
        <v>-25.11961698905656</v>
      </c>
      <c r="L6" s="10">
        <v>-26.147738502024922</v>
      </c>
      <c r="M6" s="10">
        <v>-27.28275677177481</v>
      </c>
      <c r="N6" s="10">
        <v>-28.191387495848094</v>
      </c>
      <c r="O6" s="10">
        <v>-29.364746656804726</v>
      </c>
      <c r="P6" s="10">
        <v>-30.281084137209803</v>
      </c>
      <c r="S6" s="11"/>
    </row>
    <row r="8" spans="2:19">
      <c r="B8" s="12" t="s">
        <v>7</v>
      </c>
      <c r="E8" s="27">
        <f t="shared" ref="E8:P8" si="0">-0.025*E6</f>
        <v>0.37017023729045995</v>
      </c>
      <c r="F8" s="27">
        <f t="shared" si="0"/>
        <v>0.43380222256424705</v>
      </c>
      <c r="G8" s="27">
        <f t="shared" si="0"/>
        <v>0.49161442271716499</v>
      </c>
      <c r="H8" s="27">
        <f t="shared" si="0"/>
        <v>0.54151179618931256</v>
      </c>
      <c r="I8" s="27">
        <f t="shared" si="0"/>
        <v>0.57549747859359035</v>
      </c>
      <c r="J8" s="27">
        <f t="shared" si="0"/>
        <v>0.6036128349964871</v>
      </c>
      <c r="K8" s="27">
        <f t="shared" si="0"/>
        <v>0.62799042472641409</v>
      </c>
      <c r="L8" s="27">
        <f t="shared" si="0"/>
        <v>0.65369346255062311</v>
      </c>
      <c r="M8" s="27">
        <f t="shared" si="0"/>
        <v>0.6820689192943703</v>
      </c>
      <c r="N8" s="27">
        <f t="shared" si="0"/>
        <v>0.70478468739620237</v>
      </c>
      <c r="O8" s="27">
        <f t="shared" si="0"/>
        <v>0.73411866642011825</v>
      </c>
      <c r="P8" s="27">
        <f t="shared" si="0"/>
        <v>0.75702710343024515</v>
      </c>
    </row>
    <row r="10" spans="2:19">
      <c r="B10" s="13" t="s">
        <v>8</v>
      </c>
      <c r="C10" s="14" t="s">
        <v>3</v>
      </c>
      <c r="D10" s="15">
        <v>40.311999999999998</v>
      </c>
      <c r="E10" s="15">
        <f t="shared" ref="E10:P10" si="1">E16/LDH2EER</f>
        <v>40</v>
      </c>
      <c r="F10" s="15">
        <f t="shared" si="1"/>
        <v>40</v>
      </c>
      <c r="G10" s="15">
        <f t="shared" si="1"/>
        <v>40</v>
      </c>
      <c r="H10" s="15">
        <f t="shared" si="1"/>
        <v>40</v>
      </c>
      <c r="I10" s="15">
        <f t="shared" si="1"/>
        <v>40</v>
      </c>
      <c r="J10" s="15">
        <f t="shared" si="1"/>
        <v>40</v>
      </c>
      <c r="K10" s="15">
        <f t="shared" si="1"/>
        <v>40</v>
      </c>
      <c r="L10" s="15">
        <f t="shared" si="1"/>
        <v>40</v>
      </c>
      <c r="M10" s="15">
        <f t="shared" si="1"/>
        <v>40</v>
      </c>
      <c r="N10" s="15">
        <f t="shared" si="1"/>
        <v>40</v>
      </c>
      <c r="O10" s="15">
        <f t="shared" si="1"/>
        <v>40</v>
      </c>
      <c r="P10" s="15">
        <f t="shared" si="1"/>
        <v>40</v>
      </c>
    </row>
    <row r="11" spans="2:19">
      <c r="B11" s="16" t="s">
        <v>9</v>
      </c>
      <c r="C11" s="16" t="s">
        <v>3</v>
      </c>
      <c r="D11" s="17">
        <v>53.0421052631579</v>
      </c>
      <c r="E11" s="17">
        <f t="shared" ref="E11:P11" si="2">E16/HDH2EER</f>
        <v>52.631578947368425</v>
      </c>
      <c r="F11" s="17">
        <f t="shared" si="2"/>
        <v>52.631578947368425</v>
      </c>
      <c r="G11" s="17">
        <f t="shared" si="2"/>
        <v>52.631578947368425</v>
      </c>
      <c r="H11" s="17">
        <f t="shared" si="2"/>
        <v>52.631578947368425</v>
      </c>
      <c r="I11" s="17">
        <f t="shared" si="2"/>
        <v>52.631578947368425</v>
      </c>
      <c r="J11" s="17">
        <f t="shared" si="2"/>
        <v>52.631578947368425</v>
      </c>
      <c r="K11" s="17">
        <f t="shared" si="2"/>
        <v>52.631578947368425</v>
      </c>
      <c r="L11" s="17">
        <f t="shared" si="2"/>
        <v>52.631578947368425</v>
      </c>
      <c r="M11" s="17">
        <f t="shared" si="2"/>
        <v>52.631578947368425</v>
      </c>
      <c r="N11" s="17">
        <f t="shared" si="2"/>
        <v>52.631578947368425</v>
      </c>
      <c r="O11" s="17">
        <f t="shared" si="2"/>
        <v>52.631578947368425</v>
      </c>
      <c r="P11" s="17">
        <f t="shared" si="2"/>
        <v>52.631578947368425</v>
      </c>
    </row>
    <row r="12" spans="2:19">
      <c r="B12" s="16" t="s">
        <v>10</v>
      </c>
      <c r="C12" s="16" t="s">
        <v>11</v>
      </c>
      <c r="D12" s="18">
        <v>86.292000000000002</v>
      </c>
      <c r="E12" s="18">
        <v>160.512</v>
      </c>
      <c r="F12" s="18">
        <v>285.81600000000003</v>
      </c>
      <c r="G12" s="18">
        <v>463.06800000000004</v>
      </c>
      <c r="H12" s="18">
        <v>734.38800000000003</v>
      </c>
      <c r="I12" s="18">
        <v>1106.76</v>
      </c>
      <c r="J12" s="18">
        <v>1545.5639999999999</v>
      </c>
      <c r="K12" s="18">
        <v>2051.8200000000002</v>
      </c>
      <c r="L12" s="18">
        <v>2592.42</v>
      </c>
      <c r="M12" s="18">
        <v>3133.02</v>
      </c>
      <c r="N12" s="18">
        <v>3673.62</v>
      </c>
      <c r="O12" s="18">
        <v>4214.2199999999993</v>
      </c>
      <c r="P12" s="18">
        <v>4754.82</v>
      </c>
      <c r="R12" s="28"/>
      <c r="S12" s="28"/>
    </row>
    <row r="13" spans="2:19">
      <c r="B13" s="16" t="s">
        <v>12</v>
      </c>
      <c r="C13" s="16" t="s">
        <v>11</v>
      </c>
      <c r="D13" s="18">
        <v>5.7234630739286354</v>
      </c>
      <c r="E13" s="18">
        <v>10.652928121525175</v>
      </c>
      <c r="F13" s="18">
        <v>16.276896567875241</v>
      </c>
      <c r="G13" s="18">
        <v>24.420568063299566</v>
      </c>
      <c r="H13" s="18">
        <v>37.32459875518915</v>
      </c>
      <c r="I13" s="18">
        <v>50.873755630234925</v>
      </c>
      <c r="J13" s="18">
        <v>76.434906319096569</v>
      </c>
      <c r="K13" s="18">
        <v>108.31109994067391</v>
      </c>
      <c r="L13" s="18">
        <v>150.70441338848033</v>
      </c>
      <c r="M13" s="18">
        <v>205.65468608853371</v>
      </c>
      <c r="N13" s="18">
        <v>272.91898743491959</v>
      </c>
      <c r="O13" s="18">
        <v>360.26080208115457</v>
      </c>
      <c r="P13" s="18">
        <v>474.09743216818134</v>
      </c>
      <c r="R13" s="68"/>
    </row>
    <row r="15" spans="2:19">
      <c r="B15" s="19" t="s">
        <v>125</v>
      </c>
      <c r="D15" s="20"/>
      <c r="E15" s="20">
        <v>150</v>
      </c>
      <c r="F15" s="20">
        <v>150</v>
      </c>
      <c r="G15" s="20">
        <v>150</v>
      </c>
      <c r="H15" s="20">
        <v>150</v>
      </c>
      <c r="I15" s="20">
        <v>150</v>
      </c>
      <c r="J15" s="20">
        <v>150</v>
      </c>
      <c r="K15" s="20">
        <v>150</v>
      </c>
      <c r="L15" s="20">
        <v>150</v>
      </c>
      <c r="M15" s="20">
        <v>150</v>
      </c>
      <c r="N15" s="20">
        <v>150</v>
      </c>
      <c r="O15" s="20">
        <v>150</v>
      </c>
      <c r="P15" s="20">
        <v>150</v>
      </c>
    </row>
    <row r="16" spans="2:19">
      <c r="B16" s="66" t="s">
        <v>147</v>
      </c>
      <c r="E16" s="24">
        <v>100</v>
      </c>
      <c r="F16" s="24">
        <v>100</v>
      </c>
      <c r="G16" s="24">
        <v>100</v>
      </c>
      <c r="H16" s="24">
        <v>100</v>
      </c>
      <c r="I16" s="24">
        <v>100</v>
      </c>
      <c r="J16" s="24">
        <v>100</v>
      </c>
      <c r="K16" s="24">
        <v>100</v>
      </c>
      <c r="L16" s="24">
        <v>100</v>
      </c>
      <c r="M16" s="24">
        <v>100</v>
      </c>
      <c r="N16" s="24">
        <v>100</v>
      </c>
      <c r="O16" s="24">
        <v>100</v>
      </c>
      <c r="P16" s="24">
        <v>100</v>
      </c>
    </row>
    <row r="17" spans="1:19">
      <c r="B17" s="66" t="s">
        <v>150</v>
      </c>
      <c r="E17" s="46">
        <f>Constants!$D$17</f>
        <v>12</v>
      </c>
      <c r="F17" s="46">
        <f>E17-($E$17-$K$17)/6</f>
        <v>11.5</v>
      </c>
      <c r="G17" s="46">
        <f t="shared" ref="G17:J17" si="3">F17-($E$17-$K$17)/6</f>
        <v>11</v>
      </c>
      <c r="H17" s="46">
        <f t="shared" si="3"/>
        <v>10.5</v>
      </c>
      <c r="I17" s="46">
        <f t="shared" si="3"/>
        <v>10</v>
      </c>
      <c r="J17" s="46">
        <f t="shared" si="3"/>
        <v>9.5</v>
      </c>
      <c r="K17" s="46">
        <v>9</v>
      </c>
      <c r="L17" s="46">
        <v>8.75</v>
      </c>
      <c r="M17" s="46">
        <v>8.5</v>
      </c>
      <c r="N17" s="46">
        <v>8.25</v>
      </c>
      <c r="O17" s="46">
        <v>8</v>
      </c>
      <c r="P17" s="46">
        <v>8</v>
      </c>
    </row>
    <row r="18" spans="1:19">
      <c r="B18" t="s">
        <v>149</v>
      </c>
      <c r="E18" s="45">
        <f>E19*$C21</f>
        <v>8.36</v>
      </c>
      <c r="F18" s="45">
        <f t="shared" ref="F18:P18" si="4">F19*$C21</f>
        <v>8.24</v>
      </c>
      <c r="G18" s="45">
        <f t="shared" si="4"/>
        <v>8.1199999999999992</v>
      </c>
      <c r="H18" s="45">
        <f t="shared" si="4"/>
        <v>8</v>
      </c>
      <c r="I18" s="45">
        <f t="shared" si="4"/>
        <v>7.87</v>
      </c>
      <c r="J18" s="45">
        <f t="shared" si="4"/>
        <v>7.75</v>
      </c>
      <c r="K18" s="45">
        <f t="shared" si="4"/>
        <v>7.64</v>
      </c>
      <c r="L18" s="45">
        <f t="shared" si="4"/>
        <v>7.5253999999999994</v>
      </c>
      <c r="M18" s="45">
        <f t="shared" si="4"/>
        <v>7.4125189999999996</v>
      </c>
      <c r="N18" s="45">
        <f t="shared" si="4"/>
        <v>7.3013312149999994</v>
      </c>
      <c r="O18" s="45">
        <f t="shared" si="4"/>
        <v>7.1918112467749991</v>
      </c>
      <c r="P18" s="45">
        <f t="shared" si="4"/>
        <v>7.0839340780733737</v>
      </c>
    </row>
    <row r="19" spans="1:19">
      <c r="B19" t="s">
        <v>184</v>
      </c>
      <c r="E19" s="45">
        <v>8.36</v>
      </c>
      <c r="F19" s="45">
        <v>8.24</v>
      </c>
      <c r="G19" s="45">
        <v>8.1199999999999992</v>
      </c>
      <c r="H19" s="45">
        <v>8</v>
      </c>
      <c r="I19" s="45">
        <v>7.87</v>
      </c>
      <c r="J19" s="45">
        <v>7.75</v>
      </c>
      <c r="K19" s="45">
        <v>7.64</v>
      </c>
      <c r="L19" s="45">
        <f>0.985*K19</f>
        <v>7.5253999999999994</v>
      </c>
      <c r="M19" s="45">
        <f t="shared" ref="M19" si="5">0.985*L19</f>
        <v>7.4125189999999996</v>
      </c>
      <c r="N19" s="45">
        <f t="shared" ref="N19" si="6">0.985*M19</f>
        <v>7.3013312149999994</v>
      </c>
      <c r="O19" s="45">
        <f t="shared" ref="O19" si="7">0.985*N19</f>
        <v>7.1918112467749991</v>
      </c>
      <c r="P19" s="45">
        <f t="shared" ref="P19" si="8">0.985*O19</f>
        <v>7.0839340780733737</v>
      </c>
    </row>
    <row r="21" spans="1:19" ht="15" customHeight="1">
      <c r="B21" t="s">
        <v>183</v>
      </c>
      <c r="C21">
        <v>1</v>
      </c>
      <c r="E21" s="3" t="s">
        <v>152</v>
      </c>
      <c r="F21" s="3" t="s">
        <v>153</v>
      </c>
      <c r="G21" s="3" t="s">
        <v>154</v>
      </c>
      <c r="H21" s="3" t="s">
        <v>155</v>
      </c>
      <c r="I21" s="3" t="s">
        <v>156</v>
      </c>
      <c r="J21" s="3" t="s">
        <v>157</v>
      </c>
      <c r="K21" s="3" t="s">
        <v>158</v>
      </c>
      <c r="L21" s="3" t="s">
        <v>159</v>
      </c>
      <c r="M21" s="3" t="s">
        <v>160</v>
      </c>
      <c r="N21" s="3" t="s">
        <v>161</v>
      </c>
      <c r="O21" s="3" t="s">
        <v>162</v>
      </c>
      <c r="P21" s="3" t="s">
        <v>163</v>
      </c>
    </row>
    <row r="22" spans="1:19" ht="15" customHeight="1">
      <c r="A22" s="21"/>
    </row>
    <row r="23" spans="1:19" ht="15" customHeight="1">
      <c r="A23" s="90" t="s">
        <v>140</v>
      </c>
      <c r="F23" s="20"/>
      <c r="G23" s="20"/>
      <c r="H23" s="20"/>
      <c r="I23" s="20"/>
      <c r="J23" s="20"/>
      <c r="R23" s="12" t="s">
        <v>35</v>
      </c>
      <c r="S23" s="12" t="s">
        <v>90</v>
      </c>
    </row>
    <row r="24" spans="1:19" ht="15" customHeight="1">
      <c r="A24" s="90"/>
      <c r="B24" t="s">
        <v>124</v>
      </c>
      <c r="E24" s="20">
        <f>'Hydrogen Station Revenue'!E41</f>
        <v>5943.2266708862908</v>
      </c>
      <c r="F24" s="20">
        <f>AVERAGE('Hydrogen Station Revenue'!F23,'Hydrogen Station Revenue'!F41)</f>
        <v>16984.07093711089</v>
      </c>
      <c r="G24" s="20">
        <f>AVERAGE('Hydrogen Station Revenue'!G23,'Hydrogen Station Revenue'!G41)</f>
        <v>21474.780105699134</v>
      </c>
      <c r="H24" s="20">
        <f>AVERAGE('Hydrogen Station Revenue'!H23,'Hydrogen Station Revenue'!H41)</f>
        <v>26385.788899779327</v>
      </c>
      <c r="I24" s="20">
        <f>AVERAGE('Hydrogen Station Revenue'!I23,'Hydrogen Station Revenue'!I41)</f>
        <v>31539.86643135504</v>
      </c>
      <c r="J24" s="20">
        <f>AVERAGE('Hydrogen Station Revenue'!J23,'Hydrogen Station Revenue'!J41)</f>
        <v>36708.775237002104</v>
      </c>
      <c r="K24" s="20">
        <f>AVERAGE('Hydrogen Station Revenue'!K23,'Hydrogen Station Revenue'!K41)</f>
        <v>41864.154324351664</v>
      </c>
      <c r="L24" s="20">
        <f>AVERAGE('Hydrogen Station Revenue'!L23,'Hydrogen Station Revenue'!L41)</f>
        <v>45522.280871783565</v>
      </c>
      <c r="M24" s="20">
        <f>AVERAGE('Hydrogen Station Revenue'!M23,'Hydrogen Station Revenue'!M41)</f>
        <v>49242.398726740394</v>
      </c>
      <c r="N24" s="20">
        <f>AVERAGE('Hydrogen Station Revenue'!N23,'Hydrogen Station Revenue'!N41)</f>
        <v>53023.308587257699</v>
      </c>
      <c r="O24" s="20">
        <f>AVERAGE('Hydrogen Station Revenue'!O23,'Hydrogen Station Revenue'!O41)</f>
        <v>56903.337293054668</v>
      </c>
      <c r="P24" s="20">
        <f>AVERAGE('Hydrogen Station Revenue'!P23,'Hydrogen Station Revenue'!P41)</f>
        <v>60914.165838113055</v>
      </c>
      <c r="R24" s="12"/>
      <c r="S24" s="12"/>
    </row>
    <row r="25" spans="1:19" ht="15" customHeight="1">
      <c r="A25" s="90"/>
      <c r="B25" t="s">
        <v>146</v>
      </c>
      <c r="E25" s="20">
        <f>(E24*H2ED*(Constants!$D$19*E3+Constants!$D$20*E4)-E24*H2ED*(Constants!$D$19*E10+Constants!$D$20*E11))/10^6</f>
        <v>36.225393715456455</v>
      </c>
      <c r="F25" s="20">
        <f>(F24*H2ED*(Constants!$D$19*F3+Constants!$D$20*F4)-F24*H2ED*(Constants!$D$19*F10+Constants!$D$20*F11))/10^6</f>
        <v>100.9689027700181</v>
      </c>
      <c r="G25" s="20">
        <f>(G24*H2ED*(Constants!$D$19*G3+Constants!$D$20*G4)-G24*H2ED*(Constants!$D$19*G10+Constants!$D$20*G11))/10^6</f>
        <v>124.43765625221261</v>
      </c>
      <c r="H25" s="20">
        <f>(H24*H2ED*(Constants!$D$19*H3+Constants!$D$20*H4)-H24*H2ED*(Constants!$D$19*H10+Constants!$D$20*H11))/10^6</f>
        <v>148.92858614964405</v>
      </c>
      <c r="I25" s="20">
        <f>(I24*H2ED*(Constants!$D$19*I3+Constants!$D$20*I4)-I24*H2ED*(Constants!$D$19*I10+Constants!$D$20*I11))/10^6</f>
        <v>173.27845333052539</v>
      </c>
      <c r="J25" s="20">
        <f>(J24*H2ED*(Constants!$D$19*J3+Constants!$D$20*J4)-J24*H2ED*(Constants!$D$19*J10+Constants!$D$20*J11))/10^6</f>
        <v>196.15802567786548</v>
      </c>
      <c r="K25" s="20">
        <f>(K24*H2ED*(Constants!$D$19*K3+Constants!$D$20*K4)-K24*H2ED*(Constants!$D$19*K10+Constants!$D$20*K11))/10^6</f>
        <v>217.41332748186844</v>
      </c>
      <c r="L25" s="20">
        <f>(L24*H2ED*(Constants!$D$19*L3+Constants!$D$20*L4)-L24*H2ED*(Constants!$D$19*L10+Constants!$D$20*L11))/10^6</f>
        <v>229.56807178626298</v>
      </c>
      <c r="M25" s="20">
        <f>(M24*H2ED*(Constants!$D$19*M3+Constants!$D$20*M4)-M24*H2ED*(Constants!$D$19*M10+Constants!$D$20*M11))/10^6</f>
        <v>240.92632103363653</v>
      </c>
      <c r="N25" s="20">
        <f>(N24*H2ED*(Constants!$D$19*N3+Constants!$D$20*N4)-N24*H2ED*(Constants!$D$19*N10+Constants!$D$20*N11))/10^6</f>
        <v>251.45443166417516</v>
      </c>
      <c r="O25" s="20">
        <f>(O24*H2ED*(Constants!$D$19*O3+Constants!$D$20*O4)-O24*H2ED*(Constants!$D$19*O10+Constants!$D$20*O11))/10^6</f>
        <v>261.3009858870476</v>
      </c>
      <c r="P25" s="20">
        <f>(P24*H2ED*(Constants!$D$19*P3+Constants!$D$20*P4)-P24*H2ED*(Constants!$D$19*P10+Constants!$D$20*P11))/10^6</f>
        <v>270.56200156192483</v>
      </c>
    </row>
    <row r="26" spans="1:19" ht="15" customHeight="1">
      <c r="A26" s="90"/>
      <c r="B26" t="s">
        <v>80</v>
      </c>
      <c r="E26" s="22">
        <f t="shared" ref="E26:P26" si="9">(E24*E$17)</f>
        <v>71318.720050635486</v>
      </c>
      <c r="F26" s="22">
        <f t="shared" si="9"/>
        <v>195316.81577677524</v>
      </c>
      <c r="G26" s="22">
        <f t="shared" si="9"/>
        <v>236222.58116269048</v>
      </c>
      <c r="H26" s="22">
        <f t="shared" si="9"/>
        <v>277050.78344768292</v>
      </c>
      <c r="I26" s="22">
        <f t="shared" si="9"/>
        <v>315398.6643135504</v>
      </c>
      <c r="J26" s="22">
        <f t="shared" si="9"/>
        <v>348733.36475151998</v>
      </c>
      <c r="K26" s="22">
        <f t="shared" si="9"/>
        <v>376777.38891916501</v>
      </c>
      <c r="L26" s="22">
        <f t="shared" si="9"/>
        <v>398319.95762810617</v>
      </c>
      <c r="M26" s="22">
        <f t="shared" si="9"/>
        <v>418560.38917729334</v>
      </c>
      <c r="N26" s="22">
        <f t="shared" si="9"/>
        <v>437442.29584487603</v>
      </c>
      <c r="O26" s="22">
        <f t="shared" si="9"/>
        <v>455226.69834443735</v>
      </c>
      <c r="P26" s="22">
        <f t="shared" si="9"/>
        <v>487313.32670490444</v>
      </c>
      <c r="R26" s="23">
        <f>4*SUM(F26:K26)</f>
        <v>6997998.3934855349</v>
      </c>
      <c r="S26" s="23">
        <f>4*SUM(F26:P26)</f>
        <v>15785449.064284006</v>
      </c>
    </row>
    <row r="27" spans="1:19" ht="15" customHeight="1">
      <c r="A27" s="90"/>
      <c r="B27" t="s">
        <v>81</v>
      </c>
      <c r="E27" s="22">
        <f t="shared" ref="E27:P27" si="10">(E25*E15)</f>
        <v>5433.8090573184681</v>
      </c>
      <c r="F27" s="22">
        <f t="shared" si="10"/>
        <v>15145.335415502715</v>
      </c>
      <c r="G27" s="22">
        <f t="shared" si="10"/>
        <v>18665.648437831889</v>
      </c>
      <c r="H27" s="22">
        <f t="shared" si="10"/>
        <v>22339.287922446609</v>
      </c>
      <c r="I27" s="22">
        <f t="shared" si="10"/>
        <v>25991.767999578809</v>
      </c>
      <c r="J27" s="22">
        <f t="shared" si="10"/>
        <v>29423.703851679824</v>
      </c>
      <c r="K27" s="22">
        <f t="shared" si="10"/>
        <v>32611.999122280264</v>
      </c>
      <c r="L27" s="22">
        <f t="shared" si="10"/>
        <v>34435.210767939447</v>
      </c>
      <c r="M27" s="22">
        <f t="shared" si="10"/>
        <v>36138.94815504548</v>
      </c>
      <c r="N27" s="22">
        <f t="shared" si="10"/>
        <v>37718.164749626274</v>
      </c>
      <c r="O27" s="22">
        <f t="shared" si="10"/>
        <v>39195.147883057143</v>
      </c>
      <c r="P27" s="22">
        <f t="shared" si="10"/>
        <v>40584.300234288727</v>
      </c>
      <c r="R27" s="23">
        <f>4*SUM(F27:K27)</f>
        <v>576710.97099728044</v>
      </c>
      <c r="S27" s="23">
        <f>4*SUM(F27:P27)</f>
        <v>1328998.0581571087</v>
      </c>
    </row>
    <row r="28" spans="1:19" ht="15" customHeight="1">
      <c r="A28" s="90"/>
      <c r="B28" t="s">
        <v>84</v>
      </c>
      <c r="E28" s="23">
        <f>4*(E26+E27)</f>
        <v>307010.11643181584</v>
      </c>
      <c r="F28" s="23">
        <f t="shared" ref="F28:P28" si="11">4*(F26+F27)</f>
        <v>841848.60476911184</v>
      </c>
      <c r="G28" s="23">
        <f t="shared" si="11"/>
        <v>1019552.9184020895</v>
      </c>
      <c r="H28" s="23">
        <f t="shared" si="11"/>
        <v>1197560.2854805181</v>
      </c>
      <c r="I28" s="23">
        <f t="shared" si="11"/>
        <v>1365561.7292525168</v>
      </c>
      <c r="J28" s="23">
        <f t="shared" si="11"/>
        <v>1512628.2744127992</v>
      </c>
      <c r="K28" s="23">
        <f t="shared" si="11"/>
        <v>1637557.5521657811</v>
      </c>
      <c r="L28" s="23">
        <f t="shared" si="11"/>
        <v>1731020.6735841825</v>
      </c>
      <c r="M28" s="23">
        <f t="shared" si="11"/>
        <v>1818797.3493293552</v>
      </c>
      <c r="N28" s="23">
        <f t="shared" si="11"/>
        <v>1900641.8423780091</v>
      </c>
      <c r="O28" s="23">
        <f t="shared" si="11"/>
        <v>1977687.3849099779</v>
      </c>
      <c r="P28" s="23">
        <f t="shared" si="11"/>
        <v>2111590.5077567725</v>
      </c>
      <c r="R28" s="22">
        <f>SUM(F28:K28)</f>
        <v>7574709.3644828172</v>
      </c>
      <c r="S28" s="22">
        <f>SUM(F28:P28)</f>
        <v>17114447.122441113</v>
      </c>
    </row>
    <row r="29" spans="1:19" ht="15" customHeight="1">
      <c r="A29" s="90"/>
      <c r="B29" t="s">
        <v>185</v>
      </c>
      <c r="E29" s="23">
        <f>-4*(E24*E18)</f>
        <v>-198741.49987443755</v>
      </c>
      <c r="F29" s="23">
        <f t="shared" ref="F29:P29" si="12">-4*(F24*F18)</f>
        <v>-559794.97808717494</v>
      </c>
      <c r="G29" s="23">
        <f t="shared" si="12"/>
        <v>-697500.85783310782</v>
      </c>
      <c r="H29" s="23">
        <f t="shared" si="12"/>
        <v>-844345.24479293847</v>
      </c>
      <c r="I29" s="23">
        <f t="shared" si="12"/>
        <v>-992874.99525905668</v>
      </c>
      <c r="J29" s="23">
        <f t="shared" si="12"/>
        <v>-1137972.0323470652</v>
      </c>
      <c r="K29" s="23">
        <f t="shared" si="12"/>
        <v>-1279368.5561521868</v>
      </c>
      <c r="L29" s="23">
        <f t="shared" si="12"/>
        <v>-1370293.4898900799</v>
      </c>
      <c r="M29" s="23">
        <f t="shared" si="12"/>
        <v>-1460040.8646701558</v>
      </c>
      <c r="N29" s="23">
        <f t="shared" si="12"/>
        <v>-1548562.9524428886</v>
      </c>
      <c r="O29" s="23">
        <f t="shared" si="12"/>
        <v>-1636952.2444928873</v>
      </c>
      <c r="P29" s="23">
        <f t="shared" si="12"/>
        <v>-1726047.7408720879</v>
      </c>
      <c r="R29" s="22"/>
      <c r="S29" s="22"/>
    </row>
    <row r="30" spans="1:19" ht="15" customHeight="1">
      <c r="A30" s="90"/>
      <c r="B30" t="s">
        <v>83</v>
      </c>
      <c r="E30" s="23">
        <f>E28+E29</f>
        <v>108268.61655737829</v>
      </c>
      <c r="F30" s="23">
        <f t="shared" ref="F30:P30" si="13">F28+F29</f>
        <v>282053.6266819369</v>
      </c>
      <c r="G30" s="23">
        <f t="shared" si="13"/>
        <v>322052.06056898169</v>
      </c>
      <c r="H30" s="23">
        <f t="shared" si="13"/>
        <v>353215.04068757966</v>
      </c>
      <c r="I30" s="23">
        <f t="shared" si="13"/>
        <v>372686.73399346007</v>
      </c>
      <c r="J30" s="23">
        <f t="shared" si="13"/>
        <v>374656.242065734</v>
      </c>
      <c r="K30" s="23">
        <f t="shared" si="13"/>
        <v>358188.99601359433</v>
      </c>
      <c r="L30" s="23">
        <f t="shared" si="13"/>
        <v>360727.18369410257</v>
      </c>
      <c r="M30" s="23">
        <f t="shared" si="13"/>
        <v>358756.48465919937</v>
      </c>
      <c r="N30" s="23">
        <f t="shared" si="13"/>
        <v>352078.88993512047</v>
      </c>
      <c r="O30" s="23">
        <f t="shared" si="13"/>
        <v>340735.14041709062</v>
      </c>
      <c r="P30" s="23">
        <f t="shared" si="13"/>
        <v>385542.76688468456</v>
      </c>
      <c r="R30" s="22">
        <f>SUM(F30:K30)</f>
        <v>2062852.7000112867</v>
      </c>
      <c r="S30" s="22">
        <f>SUM(F30:P30)</f>
        <v>3860693.165601484</v>
      </c>
    </row>
    <row r="31" spans="1:19" ht="15" customHeight="1">
      <c r="A31" s="90"/>
      <c r="B31" t="s">
        <v>122</v>
      </c>
      <c r="E31" s="23">
        <f>-Constants!$D$22</f>
        <v>-200000</v>
      </c>
      <c r="F31" s="23">
        <f>-Constants!$D$22</f>
        <v>-200000</v>
      </c>
      <c r="G31" s="23">
        <f>-Constants!$D$22</f>
        <v>-200000</v>
      </c>
      <c r="H31" s="23">
        <f>-Constants!$D$22</f>
        <v>-200000</v>
      </c>
      <c r="I31" s="23">
        <f>-Constants!$D$22</f>
        <v>-200000</v>
      </c>
      <c r="J31" s="23">
        <f>-Constants!$D$22</f>
        <v>-200000</v>
      </c>
      <c r="K31" s="23">
        <f>-Constants!$D$22</f>
        <v>-200000</v>
      </c>
      <c r="L31" s="23">
        <f>-Constants!$D$22</f>
        <v>-200000</v>
      </c>
      <c r="M31" s="23">
        <f>-Constants!$D$22</f>
        <v>-200000</v>
      </c>
      <c r="N31" s="23">
        <f>-Constants!$D$22</f>
        <v>-200000</v>
      </c>
      <c r="O31" s="23">
        <f>-Constants!$D$22</f>
        <v>-200000</v>
      </c>
      <c r="P31" s="23">
        <f>-Constants!$D$22</f>
        <v>-200000</v>
      </c>
      <c r="R31" s="22"/>
      <c r="S31" s="22"/>
    </row>
    <row r="32" spans="1:19" ht="15" customHeight="1">
      <c r="A32" s="90"/>
      <c r="B32" t="s">
        <v>82</v>
      </c>
      <c r="E32" s="20">
        <f>(E3*LDH2EER-E16)*Constants!$D$7*(Constants!$D$15*Constants!$D$12*Constants!$D$13-E24)*10^-6</f>
        <v>1628.9456684069939</v>
      </c>
      <c r="F32" s="20">
        <f>(F3*LDH2EER-F16)*Constants!$D$7*(Constants!$D$15*Constants!$D$12*Constants!$D$13-F24)*10^-6</f>
        <v>1417.2533669310551</v>
      </c>
      <c r="G32" s="20">
        <f>(G3*LDH2EER-G16)*Constants!$D$7*(Constants!$D$15*Constants!$D$12*Constants!$D$13-G24)*10^-6</f>
        <v>1314.4937486064937</v>
      </c>
      <c r="H32" s="20">
        <f>(H3*LDH2EER-H16)*Constants!$D$7*(Constants!$D$15*Constants!$D$12*Constants!$D$13-H24)*10^-6</f>
        <v>1208.8000617933985</v>
      </c>
      <c r="I32" s="20">
        <f>(I3*LDH2EER-I16)*Constants!$D$7*(Constants!$D$15*Constants!$D$12*Constants!$D$13-I24)*10^-6</f>
        <v>1103.2355878245528</v>
      </c>
      <c r="J32" s="20">
        <f>(J3*LDH2EER-J16)*Constants!$D$7*(Constants!$D$15*Constants!$D$12*Constants!$D$13-J24)*10^-6</f>
        <v>1001.3242834777112</v>
      </c>
      <c r="K32" s="20">
        <f>(K3*LDH2EER-K16)*Constants!$D$7*(Constants!$D$15*Constants!$D$12*Constants!$D$13-K24)*10^-6</f>
        <v>903.47611754756349</v>
      </c>
      <c r="L32" s="20">
        <f>(L3*LDH2EER-L16)*Constants!$D$7*(Constants!$D$15*Constants!$D$12*Constants!$D$13-L24)*10^-6</f>
        <v>829.69478127959076</v>
      </c>
      <c r="M32" s="20">
        <f>(M3*LDH2EER-M16)*Constants!$D$7*(Constants!$D$15*Constants!$D$12*Constants!$D$13-M24)*10^-6</f>
        <v>757.84304819193505</v>
      </c>
      <c r="N32" s="20">
        <f>(N3*LDH2EER-N16)*Constants!$D$7*(Constants!$D$15*Constants!$D$12*Constants!$D$13-N24)*10^-6</f>
        <v>688.00591977872443</v>
      </c>
      <c r="O32" s="20">
        <f>(O3*LDH2EER-O16)*Constants!$D$7*(Constants!$D$15*Constants!$D$12*Constants!$D$13-O24)*10^-6</f>
        <v>619.77775215240365</v>
      </c>
      <c r="P32" s="20">
        <f>(P3*LDH2EER-P16)*Constants!$D$7*(Constants!$D$15*Constants!$D$12*Constants!$D$13-P24)*10^-6</f>
        <v>552.89007673667777</v>
      </c>
      <c r="R32" s="22"/>
      <c r="S32" s="22"/>
    </row>
    <row r="33" spans="1:19" ht="15" customHeight="1">
      <c r="A33" s="90"/>
      <c r="B33" s="47" t="s">
        <v>16</v>
      </c>
      <c r="E33" s="22">
        <f>E32*Constants!$D$14*4</f>
        <v>977367.40104419633</v>
      </c>
      <c r="F33" s="22">
        <f>F32*Constants!$D$14*4</f>
        <v>850352.02015863301</v>
      </c>
      <c r="G33" s="22">
        <f>G32*Constants!$D$14*4</f>
        <v>788696.24916389619</v>
      </c>
      <c r="H33" s="22">
        <f>H32*Constants!$D$14*4</f>
        <v>725280.03707603912</v>
      </c>
      <c r="I33" s="22">
        <f>I32*Constants!$D$14*4</f>
        <v>661941.35269473167</v>
      </c>
      <c r="J33" s="22">
        <f>J32*Constants!$D$14*4</f>
        <v>600794.57008662669</v>
      </c>
      <c r="K33" s="22">
        <f>K32*Constants!$D$14*4</f>
        <v>542085.67052853806</v>
      </c>
      <c r="L33" s="22">
        <f>L32*Constants!$D$14*4</f>
        <v>497816.86876775447</v>
      </c>
      <c r="M33" s="22">
        <f>M32*Constants!$D$14*4</f>
        <v>454705.82891516102</v>
      </c>
      <c r="N33" s="22">
        <f>N32*Constants!$D$14*4</f>
        <v>412803.55186723464</v>
      </c>
      <c r="O33" s="22">
        <f>O32*Constants!$D$14*4</f>
        <v>371866.65129144216</v>
      </c>
      <c r="P33" s="22">
        <f>P32*Constants!$D$14*4</f>
        <v>331734.04604200664</v>
      </c>
      <c r="R33" s="22">
        <f>SUM(F33:K33)</f>
        <v>4169149.8997084647</v>
      </c>
      <c r="S33" s="22">
        <f t="shared" ref="S33:S35" si="14">SUM(F33:P33)</f>
        <v>6238076.8465920631</v>
      </c>
    </row>
    <row r="34" spans="1:19" ht="15" customHeight="1">
      <c r="A34" s="90"/>
      <c r="B34" s="47" t="s">
        <v>89</v>
      </c>
      <c r="E34" s="22">
        <f t="shared" ref="E34:P34" si="15">E33+E28</f>
        <v>1284377.5174760122</v>
      </c>
      <c r="F34" s="22">
        <f t="shared" si="15"/>
        <v>1692200.6249277447</v>
      </c>
      <c r="G34" s="22">
        <f t="shared" si="15"/>
        <v>1808249.1675659856</v>
      </c>
      <c r="H34" s="22">
        <f t="shared" si="15"/>
        <v>1922840.3225565571</v>
      </c>
      <c r="I34" s="22">
        <f t="shared" si="15"/>
        <v>2027503.0819472484</v>
      </c>
      <c r="J34" s="22">
        <f t="shared" si="15"/>
        <v>2113422.844499426</v>
      </c>
      <c r="K34" s="22">
        <f t="shared" si="15"/>
        <v>2179643.2226943192</v>
      </c>
      <c r="L34" s="22">
        <f t="shared" si="15"/>
        <v>2228837.5423519369</v>
      </c>
      <c r="M34" s="22">
        <f t="shared" si="15"/>
        <v>2273503.1782445163</v>
      </c>
      <c r="N34" s="22">
        <f t="shared" si="15"/>
        <v>2313445.3942452436</v>
      </c>
      <c r="O34" s="22">
        <f t="shared" si="15"/>
        <v>2349554.0362014202</v>
      </c>
      <c r="P34" s="22">
        <f t="shared" si="15"/>
        <v>2443324.5537987789</v>
      </c>
      <c r="R34" s="22">
        <f>SUM(F34:K34)</f>
        <v>11743859.264191281</v>
      </c>
      <c r="S34" s="22">
        <f t="shared" si="14"/>
        <v>23352523.969033178</v>
      </c>
    </row>
    <row r="35" spans="1:19" s="12" customFormat="1" ht="15" customHeight="1">
      <c r="A35" s="90"/>
      <c r="B35" s="12" t="s">
        <v>170</v>
      </c>
      <c r="E35" s="48">
        <f>E28+E29+E31+E33</f>
        <v>885636.01760157465</v>
      </c>
      <c r="F35" s="48">
        <f t="shared" ref="F35:P35" si="16">F28+F29+F31+F33</f>
        <v>932405.64684056991</v>
      </c>
      <c r="G35" s="48">
        <f t="shared" si="16"/>
        <v>910748.30973287788</v>
      </c>
      <c r="H35" s="48">
        <f t="shared" si="16"/>
        <v>878495.07776361878</v>
      </c>
      <c r="I35" s="48">
        <f t="shared" si="16"/>
        <v>834628.08668819175</v>
      </c>
      <c r="J35" s="48">
        <f t="shared" si="16"/>
        <v>775450.81215236068</v>
      </c>
      <c r="K35" s="48">
        <f t="shared" si="16"/>
        <v>700274.66654213239</v>
      </c>
      <c r="L35" s="48">
        <f t="shared" si="16"/>
        <v>658544.05246185698</v>
      </c>
      <c r="M35" s="48">
        <f t="shared" si="16"/>
        <v>613462.31357436045</v>
      </c>
      <c r="N35" s="48">
        <f t="shared" si="16"/>
        <v>564882.44180235511</v>
      </c>
      <c r="O35" s="48">
        <f t="shared" si="16"/>
        <v>512601.79170853278</v>
      </c>
      <c r="P35" s="48">
        <f t="shared" si="16"/>
        <v>517276.8129266912</v>
      </c>
      <c r="R35" s="48">
        <f>SUM(F35:K35)</f>
        <v>5032002.5997197516</v>
      </c>
      <c r="S35" s="22">
        <f t="shared" si="14"/>
        <v>7898770.0121935485</v>
      </c>
    </row>
    <row r="36" spans="1:19" s="12" customFormat="1" ht="15" customHeight="1">
      <c r="A36" s="90"/>
      <c r="B36" s="12" t="s">
        <v>168</v>
      </c>
      <c r="C36" s="47" t="s">
        <v>169</v>
      </c>
      <c r="E36" s="48"/>
      <c r="F36" s="50">
        <f>E38</f>
        <v>-4500000</v>
      </c>
      <c r="G36" s="50">
        <f t="shared" ref="G36:M36" si="17">F38</f>
        <v>-3970974.0708174016</v>
      </c>
      <c r="H36" s="50">
        <f t="shared" si="17"/>
        <v>-3411785.7526796204</v>
      </c>
      <c r="I36" s="50">
        <f t="shared" si="17"/>
        <v>-2830544.4962957827</v>
      </c>
      <c r="J36" s="50">
        <f t="shared" si="17"/>
        <v>-2237239.4549027598</v>
      </c>
      <c r="K36" s="50">
        <f t="shared" si="17"/>
        <v>-1646740.0476330572</v>
      </c>
      <c r="L36" s="50">
        <f t="shared" si="17"/>
        <v>-1076125.6525271239</v>
      </c>
      <c r="M36" s="50">
        <f t="shared" si="17"/>
        <v>-492266.96269488649</v>
      </c>
      <c r="N36" s="50">
        <f>M38</f>
        <v>102641.77028870334</v>
      </c>
      <c r="O36" s="50">
        <f t="shared" ref="O36:P36" si="18">N38</f>
        <v>667524.21209105849</v>
      </c>
      <c r="P36" s="50">
        <f t="shared" si="18"/>
        <v>1180126.0037995912</v>
      </c>
      <c r="R36" s="48"/>
      <c r="S36" s="48"/>
    </row>
    <row r="37" spans="1:19" s="12" customFormat="1" ht="15" customHeight="1">
      <c r="A37" s="90"/>
      <c r="B37" s="12" t="s">
        <v>167</v>
      </c>
      <c r="C37" s="91">
        <v>0.1</v>
      </c>
      <c r="E37" s="48"/>
      <c r="F37" s="48">
        <f>$C$37*(F36+(F36+F35))/2</f>
        <v>-403379.71765797149</v>
      </c>
      <c r="G37" s="48">
        <f t="shared" ref="G37:L37" si="19">MIN($C$37*(G36+(G36+G35))/2,0)</f>
        <v>-351559.9915950963</v>
      </c>
      <c r="H37" s="48">
        <f t="shared" si="19"/>
        <v>-297253.82137978112</v>
      </c>
      <c r="I37" s="48">
        <f t="shared" si="19"/>
        <v>-241323.0452951687</v>
      </c>
      <c r="J37" s="48">
        <f t="shared" si="19"/>
        <v>-184951.40488265795</v>
      </c>
      <c r="K37" s="48">
        <f t="shared" si="19"/>
        <v>-129660.27143619911</v>
      </c>
      <c r="L37" s="48">
        <f t="shared" si="19"/>
        <v>-74685.362629619543</v>
      </c>
      <c r="M37" s="48">
        <f>MIN($C$37*(M36+(M36+M35))/2,0)</f>
        <v>-18553.580590770627</v>
      </c>
      <c r="N37" s="48">
        <f t="shared" ref="N37:P37" si="20">MIN($C$37*(N36+(N36+N35))/2,0)</f>
        <v>0</v>
      </c>
      <c r="O37" s="48">
        <f t="shared" si="20"/>
        <v>0</v>
      </c>
      <c r="P37" s="48">
        <f t="shared" si="20"/>
        <v>0</v>
      </c>
      <c r="R37" s="48"/>
      <c r="S37" s="48"/>
    </row>
    <row r="38" spans="1:19" s="12" customFormat="1" ht="15" customHeight="1">
      <c r="A38" s="90"/>
      <c r="B38" s="12" t="s">
        <v>171</v>
      </c>
      <c r="E38" s="48">
        <f>-Constants!D16</f>
        <v>-4500000</v>
      </c>
      <c r="F38" s="50">
        <f>F35+F36+F37</f>
        <v>-3970974.0708174016</v>
      </c>
      <c r="G38" s="50">
        <f t="shared" ref="G38:M38" si="21">G35+G36+G37</f>
        <v>-3411785.7526796204</v>
      </c>
      <c r="H38" s="50">
        <f t="shared" si="21"/>
        <v>-2830544.4962957827</v>
      </c>
      <c r="I38" s="50">
        <f t="shared" si="21"/>
        <v>-2237239.4549027598</v>
      </c>
      <c r="J38" s="50">
        <f t="shared" si="21"/>
        <v>-1646740.0476330572</v>
      </c>
      <c r="K38" s="50">
        <f t="shared" si="21"/>
        <v>-1076125.6525271239</v>
      </c>
      <c r="L38" s="50">
        <f t="shared" si="21"/>
        <v>-492266.96269488649</v>
      </c>
      <c r="M38" s="50">
        <f t="shared" si="21"/>
        <v>102641.77028870334</v>
      </c>
      <c r="N38" s="50">
        <f>N35+N36+N37</f>
        <v>667524.21209105849</v>
      </c>
      <c r="O38" s="50">
        <f t="shared" ref="O38:P38" si="22">O35+O36+O37</f>
        <v>1180126.0037995912</v>
      </c>
      <c r="P38" s="50">
        <f t="shared" si="22"/>
        <v>1697402.8167262825</v>
      </c>
      <c r="R38" s="48"/>
      <c r="S38" s="48"/>
    </row>
    <row r="39" spans="1:19" ht="15" customHeight="1">
      <c r="A39" s="90"/>
      <c r="B39" s="47" t="s">
        <v>126</v>
      </c>
      <c r="E39" s="42">
        <f>E33/E35</f>
        <v>1.1035768437817637</v>
      </c>
      <c r="F39" s="42">
        <f t="shared" ref="F39:P39" si="23">F33/F35</f>
        <v>0.91199793034290033</v>
      </c>
      <c r="G39" s="42">
        <f t="shared" si="23"/>
        <v>0.86598705782415397</v>
      </c>
      <c r="H39" s="42">
        <f t="shared" si="23"/>
        <v>0.82559374028865529</v>
      </c>
      <c r="I39" s="42">
        <f t="shared" si="23"/>
        <v>0.79309738463429635</v>
      </c>
      <c r="J39" s="42">
        <f t="shared" si="23"/>
        <v>0.77476812284075924</v>
      </c>
      <c r="K39" s="42">
        <f t="shared" si="23"/>
        <v>0.77410435708789582</v>
      </c>
      <c r="L39" s="42">
        <f t="shared" si="23"/>
        <v>0.75593556255917771</v>
      </c>
      <c r="M39" s="42">
        <f t="shared" si="23"/>
        <v>0.74121232690856098</v>
      </c>
      <c r="N39" s="42">
        <f t="shared" si="23"/>
        <v>0.73077780670631842</v>
      </c>
      <c r="O39" s="42">
        <f t="shared" si="23"/>
        <v>0.72544937865314152</v>
      </c>
      <c r="P39" s="42">
        <f t="shared" si="23"/>
        <v>0.64130855617729032</v>
      </c>
      <c r="R39" s="42">
        <f>AVERAGE(F39:K39)</f>
        <v>0.82425809883644352</v>
      </c>
      <c r="S39" s="42">
        <f>AVERAGE(F39:P39)</f>
        <v>0.77638474763846821</v>
      </c>
    </row>
    <row r="40" spans="1:19" ht="15" customHeight="1">
      <c r="A40" s="90"/>
      <c r="B40" s="47" t="s">
        <v>127</v>
      </c>
      <c r="E40" s="42">
        <f>(E30-E31)/E35</f>
        <v>0.34807597074948754</v>
      </c>
      <c r="F40" s="42">
        <f t="shared" ref="F40:P40" si="24">(F30-F31)/F35</f>
        <v>0.51699990054260392</v>
      </c>
      <c r="G40" s="42">
        <f t="shared" si="24"/>
        <v>0.57321222009415462</v>
      </c>
      <c r="H40" s="42">
        <f t="shared" si="24"/>
        <v>0.62973038175227669</v>
      </c>
      <c r="I40" s="42">
        <f t="shared" si="24"/>
        <v>0.68615799435396885</v>
      </c>
      <c r="J40" s="42">
        <f t="shared" si="24"/>
        <v>0.74106085526005672</v>
      </c>
      <c r="K40" s="42">
        <f t="shared" si="24"/>
        <v>0.79710008469942362</v>
      </c>
      <c r="L40" s="42">
        <f t="shared" si="24"/>
        <v>0.85146495758016127</v>
      </c>
      <c r="M40" s="42">
        <f t="shared" si="24"/>
        <v>0.9108244667933787</v>
      </c>
      <c r="N40" s="42">
        <f t="shared" si="24"/>
        <v>0.97733413021940863</v>
      </c>
      <c r="O40" s="42">
        <f t="shared" si="24"/>
        <v>1.054883438106581</v>
      </c>
      <c r="P40" s="42">
        <f t="shared" si="24"/>
        <v>1.1319718035914903</v>
      </c>
      <c r="R40" s="42">
        <f>AVERAGE(F40:K40)</f>
        <v>0.65737690611708077</v>
      </c>
      <c r="S40" s="42">
        <f>AVERAGE(F40:P40)</f>
        <v>0.80643093027213686</v>
      </c>
    </row>
    <row r="42" spans="1:19">
      <c r="A42" s="90"/>
      <c r="E42" s="30"/>
      <c r="F42" s="30"/>
      <c r="G42" s="30"/>
      <c r="H42" s="30"/>
      <c r="I42" s="30"/>
      <c r="J42" s="30"/>
      <c r="K42" s="30"/>
      <c r="L42" s="30"/>
      <c r="M42" s="30"/>
      <c r="N42" s="30"/>
      <c r="O42" s="30"/>
      <c r="P42" s="30"/>
    </row>
    <row r="43" spans="1:19" ht="15" customHeight="1">
      <c r="A43" s="90"/>
      <c r="E43" s="24"/>
      <c r="F43" s="24"/>
      <c r="G43" s="24"/>
      <c r="H43" s="24"/>
      <c r="I43" s="24"/>
      <c r="J43" s="24"/>
      <c r="K43" s="24"/>
      <c r="L43" s="24"/>
      <c r="M43" s="24"/>
      <c r="N43" s="24"/>
      <c r="O43" s="24"/>
      <c r="P43" s="24"/>
      <c r="R43" s="27"/>
      <c r="S43" s="27"/>
    </row>
    <row r="44" spans="1:19" ht="15" customHeight="1">
      <c r="A44" s="90"/>
      <c r="E44" s="20"/>
      <c r="F44" s="20"/>
      <c r="G44" s="20"/>
      <c r="H44" s="20"/>
      <c r="I44" s="20"/>
      <c r="J44" s="20"/>
      <c r="K44" s="20"/>
      <c r="L44" s="20"/>
      <c r="M44" s="20"/>
      <c r="N44" s="20"/>
      <c r="O44" s="20"/>
      <c r="P44" s="20"/>
      <c r="R44" s="12"/>
      <c r="S44" s="12"/>
    </row>
    <row r="45" spans="1:19" ht="15" customHeight="1">
      <c r="A45" s="90"/>
      <c r="E45" s="22"/>
      <c r="F45" s="22"/>
      <c r="G45" s="22"/>
      <c r="H45" s="22"/>
      <c r="I45" s="22"/>
      <c r="J45" s="22"/>
      <c r="K45" s="22"/>
      <c r="L45" s="22"/>
      <c r="M45" s="22"/>
      <c r="N45" s="22"/>
      <c r="O45" s="22"/>
      <c r="P45" s="22"/>
      <c r="R45" s="23"/>
      <c r="S45" s="23"/>
    </row>
    <row r="46" spans="1:19" ht="15" customHeight="1">
      <c r="A46" s="90"/>
      <c r="E46" s="22"/>
      <c r="F46" s="22"/>
      <c r="G46" s="22"/>
      <c r="H46" s="22"/>
      <c r="I46" s="22"/>
      <c r="J46" s="22"/>
      <c r="K46" s="22"/>
      <c r="L46" s="22"/>
      <c r="M46" s="22"/>
      <c r="N46" s="22"/>
      <c r="O46" s="22"/>
      <c r="P46" s="22"/>
      <c r="R46" s="23"/>
      <c r="S46" s="23"/>
    </row>
    <row r="47" spans="1:19" ht="15" customHeight="1">
      <c r="A47" s="90"/>
      <c r="E47" s="23"/>
      <c r="F47" s="23"/>
      <c r="G47" s="23"/>
      <c r="H47" s="23"/>
      <c r="I47" s="23"/>
      <c r="J47" s="23"/>
      <c r="K47" s="23"/>
      <c r="L47" s="23"/>
      <c r="M47" s="23"/>
      <c r="N47" s="23"/>
      <c r="O47" s="23"/>
      <c r="P47" s="23"/>
      <c r="R47" s="23"/>
      <c r="S47" s="23"/>
    </row>
    <row r="48" spans="1:19" ht="15" customHeight="1">
      <c r="A48" s="90"/>
      <c r="E48" s="23"/>
      <c r="F48" s="23"/>
      <c r="G48" s="23"/>
      <c r="H48" s="23"/>
      <c r="I48" s="23"/>
      <c r="J48" s="23"/>
      <c r="K48" s="23"/>
      <c r="L48" s="23"/>
      <c r="M48" s="23"/>
      <c r="N48" s="23"/>
      <c r="O48" s="23"/>
      <c r="P48" s="23"/>
      <c r="R48" s="23"/>
      <c r="S48" s="23"/>
    </row>
    <row r="49" spans="1:19" ht="15" customHeight="1">
      <c r="A49" s="90"/>
      <c r="E49" s="23"/>
      <c r="F49" s="23"/>
      <c r="G49" s="23"/>
      <c r="H49" s="23"/>
      <c r="I49" s="23"/>
      <c r="J49" s="23"/>
      <c r="K49" s="23"/>
      <c r="L49" s="23"/>
      <c r="M49" s="23"/>
      <c r="N49" s="23"/>
      <c r="O49" s="23"/>
      <c r="P49" s="23"/>
      <c r="R49" s="23"/>
      <c r="S49" s="23"/>
    </row>
    <row r="50" spans="1:19" ht="15" customHeight="1">
      <c r="A50" s="90"/>
      <c r="E50" s="20"/>
      <c r="F50" s="20"/>
      <c r="G50" s="20"/>
      <c r="H50" s="20"/>
      <c r="I50" s="20"/>
      <c r="J50" s="20"/>
      <c r="K50" s="20"/>
      <c r="L50" s="20"/>
      <c r="M50" s="20"/>
      <c r="N50" s="20"/>
      <c r="O50" s="20"/>
      <c r="P50" s="20"/>
      <c r="R50" s="23"/>
      <c r="S50" s="23"/>
    </row>
    <row r="51" spans="1:19" ht="15" customHeight="1">
      <c r="A51" s="90"/>
      <c r="B51" s="47"/>
      <c r="E51" s="22"/>
      <c r="F51" s="22"/>
      <c r="G51" s="22"/>
      <c r="H51" s="22"/>
      <c r="I51" s="22"/>
      <c r="J51" s="22"/>
      <c r="K51" s="22"/>
      <c r="L51" s="22"/>
      <c r="M51" s="22"/>
      <c r="N51" s="22"/>
      <c r="O51" s="22"/>
      <c r="P51" s="22"/>
      <c r="R51" s="23"/>
      <c r="S51" s="23"/>
    </row>
    <row r="52" spans="1:19" s="12" customFormat="1" ht="17" customHeight="1">
      <c r="A52" s="60"/>
      <c r="B52" s="47"/>
      <c r="C52"/>
      <c r="D52"/>
      <c r="E52" s="22"/>
      <c r="F52" s="22"/>
      <c r="G52" s="22"/>
      <c r="H52" s="22"/>
      <c r="I52" s="22"/>
      <c r="J52" s="22"/>
      <c r="K52" s="22"/>
      <c r="L52" s="22"/>
      <c r="M52" s="22"/>
      <c r="N52" s="22"/>
      <c r="O52" s="22"/>
      <c r="P52" s="22"/>
      <c r="R52" s="52"/>
      <c r="S52" s="23"/>
    </row>
    <row r="53" spans="1:19">
      <c r="B53" s="12"/>
      <c r="D53" s="12"/>
      <c r="E53" s="48"/>
      <c r="F53" s="48"/>
      <c r="G53" s="48"/>
      <c r="H53" s="48"/>
      <c r="I53" s="48"/>
      <c r="J53" s="48"/>
      <c r="K53" s="48"/>
      <c r="L53" s="48"/>
      <c r="M53" s="48"/>
      <c r="N53" s="48"/>
      <c r="O53" s="48"/>
      <c r="P53" s="48"/>
      <c r="R53" s="50"/>
      <c r="S53" s="23"/>
    </row>
    <row r="54" spans="1:19">
      <c r="B54" s="12"/>
      <c r="C54" s="47"/>
      <c r="D54" s="12"/>
      <c r="E54" s="48"/>
      <c r="F54" s="50"/>
      <c r="G54" s="50"/>
      <c r="H54" s="50"/>
      <c r="I54" s="50"/>
      <c r="J54" s="50"/>
      <c r="K54" s="50"/>
      <c r="L54" s="50"/>
      <c r="M54" s="50"/>
      <c r="N54" s="50"/>
      <c r="O54" s="50"/>
      <c r="P54" s="50"/>
      <c r="R54" s="50"/>
      <c r="S54" s="23"/>
    </row>
    <row r="55" spans="1:19">
      <c r="B55" s="12"/>
      <c r="C55" s="91"/>
      <c r="D55" s="12"/>
      <c r="E55" s="48"/>
      <c r="F55" s="48"/>
      <c r="G55" s="48"/>
      <c r="H55" s="48"/>
      <c r="I55" s="48"/>
      <c r="J55" s="48"/>
      <c r="K55" s="48"/>
      <c r="L55" s="48"/>
      <c r="M55" s="48"/>
      <c r="N55" s="48"/>
      <c r="O55" s="48"/>
      <c r="P55" s="48"/>
      <c r="R55" s="50"/>
      <c r="S55" s="23"/>
    </row>
    <row r="56" spans="1:19">
      <c r="B56" s="12"/>
      <c r="C56" s="12"/>
      <c r="D56" s="12"/>
      <c r="E56" s="48"/>
      <c r="F56" s="50"/>
      <c r="G56" s="50"/>
      <c r="H56" s="50"/>
      <c r="I56" s="50"/>
      <c r="J56" s="50"/>
      <c r="K56" s="50"/>
      <c r="L56" s="50"/>
      <c r="M56" s="50"/>
      <c r="N56" s="50"/>
      <c r="O56" s="50"/>
      <c r="P56" s="50"/>
      <c r="R56" s="50"/>
      <c r="S56" s="50"/>
    </row>
    <row r="57" spans="1:19" ht="17" customHeight="1">
      <c r="A57" s="60"/>
      <c r="B57" s="47"/>
      <c r="E57" s="42"/>
      <c r="F57" s="42"/>
      <c r="G57" s="42"/>
      <c r="H57" s="42"/>
      <c r="I57" s="42"/>
      <c r="J57" s="42"/>
      <c r="K57" s="42"/>
      <c r="L57" s="42"/>
      <c r="M57" s="42"/>
      <c r="N57" s="42"/>
      <c r="O57" s="42"/>
      <c r="P57" s="42"/>
      <c r="R57" s="43"/>
      <c r="S57" s="43"/>
    </row>
    <row r="58" spans="1:19" ht="17" customHeight="1">
      <c r="A58" s="60"/>
      <c r="B58" s="47"/>
      <c r="E58" s="42"/>
      <c r="F58" s="42"/>
      <c r="G58" s="42"/>
      <c r="H58" s="42"/>
      <c r="I58" s="42"/>
      <c r="J58" s="42"/>
      <c r="K58" s="42"/>
      <c r="L58" s="42"/>
      <c r="M58" s="42"/>
      <c r="N58" s="42"/>
      <c r="O58" s="42"/>
      <c r="P58" s="42"/>
      <c r="R58" s="43"/>
      <c r="S58" s="43"/>
    </row>
    <row r="62" spans="1:19">
      <c r="C62" s="22"/>
    </row>
    <row r="65" spans="2:3">
      <c r="C65" s="45"/>
    </row>
    <row r="66" spans="2:3">
      <c r="C66" s="45"/>
    </row>
    <row r="67" spans="2:3">
      <c r="C67" s="42"/>
    </row>
    <row r="68" spans="2:3">
      <c r="C68" s="42"/>
    </row>
    <row r="69" spans="2:3">
      <c r="C69" s="42"/>
    </row>
    <row r="70" spans="2:3">
      <c r="C70" s="64"/>
    </row>
    <row r="72" spans="2:3">
      <c r="B72" s="12"/>
    </row>
    <row r="74" spans="2:3">
      <c r="C74" s="24"/>
    </row>
    <row r="76" spans="2:3">
      <c r="C76" s="30"/>
    </row>
    <row r="80" spans="2:3">
      <c r="B80" s="12"/>
    </row>
    <row r="86" spans="5:11">
      <c r="E86" s="46"/>
      <c r="F86" s="46"/>
      <c r="G86" s="46"/>
      <c r="H86" s="46"/>
      <c r="I86" s="46"/>
      <c r="J86" s="46"/>
      <c r="K86" s="46"/>
    </row>
    <row r="87" spans="5:11">
      <c r="E87" s="45"/>
      <c r="F87" s="45"/>
      <c r="G87" s="45"/>
      <c r="H87" s="45"/>
      <c r="I87" s="45"/>
      <c r="J87" s="45"/>
      <c r="K87" s="45"/>
    </row>
  </sheetData>
  <mergeCells count="2">
    <mergeCell ref="A23:A40"/>
    <mergeCell ref="A42:A51"/>
  </mergeCells>
  <pageMargins left="0.7" right="0.7" top="0.75" bottom="0.75" header="0.3" footer="0.3"/>
  <pageSetup scale="56" orientation="landscape" horizontalDpi="0" verticalDpi="0" copies="3"/>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A6339B-616F-3C45-8016-2DE7BC09B007}">
  <sheetPr>
    <pageSetUpPr fitToPage="1"/>
  </sheetPr>
  <dimension ref="A1:S114"/>
  <sheetViews>
    <sheetView workbookViewId="0">
      <selection activeCell="P3" sqref="P3"/>
    </sheetView>
  </sheetViews>
  <sheetFormatPr baseColWidth="10" defaultRowHeight="21"/>
  <cols>
    <col min="1" max="3" width="10" customWidth="1"/>
    <col min="4" max="4" width="6.1640625" customWidth="1"/>
    <col min="5" max="5" width="11.83203125" customWidth="1"/>
    <col min="6" max="6" width="9.5" customWidth="1"/>
    <col min="7" max="17" width="12.5" customWidth="1"/>
    <col min="18" max="18" width="6" customWidth="1"/>
    <col min="19" max="19" width="17.6640625" style="55" bestFit="1" customWidth="1"/>
  </cols>
  <sheetData>
    <row r="1" spans="1:17" ht="77" customHeight="1"/>
    <row r="5" spans="1:17">
      <c r="A5" s="96" t="s">
        <v>91</v>
      </c>
      <c r="B5" s="96"/>
      <c r="C5" s="96"/>
      <c r="D5" s="96"/>
      <c r="E5" s="96" t="s">
        <v>164</v>
      </c>
      <c r="F5" s="96"/>
      <c r="G5" s="96"/>
      <c r="H5" s="96"/>
      <c r="I5" s="96"/>
      <c r="J5" s="96"/>
      <c r="K5" s="96"/>
      <c r="L5" s="96"/>
      <c r="M5" s="96"/>
      <c r="N5" s="96"/>
      <c r="O5" s="96"/>
      <c r="P5" s="96"/>
      <c r="Q5" s="96"/>
    </row>
    <row r="6" spans="1:17" ht="16">
      <c r="A6" s="97">
        <v>0.25</v>
      </c>
      <c r="B6" s="96"/>
      <c r="C6" s="96"/>
      <c r="D6" s="96"/>
      <c r="E6" s="96"/>
      <c r="F6" s="96"/>
      <c r="G6" s="96"/>
      <c r="H6" s="96"/>
      <c r="I6" s="96"/>
      <c r="J6" s="96"/>
      <c r="K6" s="96"/>
      <c r="L6" s="96"/>
      <c r="M6" s="96"/>
      <c r="N6" s="96"/>
      <c r="O6" s="96"/>
      <c r="P6" s="96"/>
      <c r="Q6" s="96"/>
    </row>
    <row r="7" spans="1:17">
      <c r="A7" s="96"/>
      <c r="B7" s="96"/>
      <c r="C7" s="96"/>
      <c r="D7" s="96"/>
      <c r="E7" s="96"/>
      <c r="F7" s="96"/>
      <c r="G7" s="96"/>
      <c r="H7" s="96"/>
      <c r="I7" s="96"/>
      <c r="J7" s="96"/>
      <c r="K7" s="96"/>
      <c r="L7" s="96"/>
      <c r="M7" s="96"/>
      <c r="N7" s="96"/>
      <c r="O7" s="96"/>
      <c r="P7" s="96"/>
      <c r="Q7" s="96"/>
    </row>
    <row r="8" spans="1:17">
      <c r="A8" s="96"/>
      <c r="B8" s="96"/>
      <c r="C8" s="96"/>
      <c r="D8" s="96"/>
      <c r="E8" s="96"/>
      <c r="F8" s="57">
        <v>2019</v>
      </c>
      <c r="G8" s="57">
        <v>2020</v>
      </c>
      <c r="H8" s="57">
        <v>2021</v>
      </c>
      <c r="I8" s="57">
        <v>2022</v>
      </c>
      <c r="J8" s="57">
        <v>2023</v>
      </c>
      <c r="K8" s="57">
        <v>2024</v>
      </c>
      <c r="L8" s="57">
        <v>2025</v>
      </c>
      <c r="M8" s="58">
        <v>2026</v>
      </c>
      <c r="N8" s="58">
        <v>2027</v>
      </c>
      <c r="O8" s="58">
        <v>2028</v>
      </c>
      <c r="P8" s="58">
        <v>2029</v>
      </c>
      <c r="Q8" s="58">
        <v>2030</v>
      </c>
    </row>
    <row r="9" spans="1:17">
      <c r="A9" s="59" t="s">
        <v>7</v>
      </c>
      <c r="B9" s="96"/>
      <c r="C9" s="96"/>
      <c r="D9" s="96"/>
      <c r="E9" s="96"/>
      <c r="F9" s="98">
        <f>'[4]Hydrogen Capacity Effect'!E8-'[4]Hydrogen Capacity Effect'!E60*10^-6</f>
        <v>0.31448439668993355</v>
      </c>
      <c r="G9" s="98">
        <f>'[4]Hydrogen Capacity Effect'!F8-'[4]Hydrogen Capacity Effect'!F60*10^-6</f>
        <v>0.36949545092560587</v>
      </c>
      <c r="H9" s="98">
        <f>'[4]Hydrogen Capacity Effect'!G8-'[4]Hydrogen Capacity Effect'!G60*10^-6</f>
        <v>0.4347277873980574</v>
      </c>
      <c r="I9" s="98">
        <f>'[4]Hydrogen Capacity Effect'!H8-'[4]Hydrogen Capacity Effect'!H60*10^-6</f>
        <v>0.49175797757494838</v>
      </c>
      <c r="J9" s="98">
        <f>'[4]Hydrogen Capacity Effect'!I8-'[4]Hydrogen Capacity Effect'!I60*10^-6</f>
        <v>0.53258915706917942</v>
      </c>
      <c r="K9" s="98">
        <f>'[4]Hydrogen Capacity Effect'!J8-'[4]Hydrogen Capacity Effect'!J60*10^-6</f>
        <v>0.56726269094723925</v>
      </c>
      <c r="L9" s="98">
        <f>'[4]Hydrogen Capacity Effect'!K8-'[4]Hydrogen Capacity Effect'!K60*10^-6</f>
        <v>0.59791113853753908</v>
      </c>
      <c r="M9" s="98">
        <f>'[4]Hydrogen Capacity Effect'!L8-'[4]Hydrogen Capacity Effect'!L60*10^-6</f>
        <v>0.62458342103537312</v>
      </c>
      <c r="N9" s="98">
        <f>'[4]Hydrogen Capacity Effect'!M8-'[4]Hydrogen Capacity Effect'!M60*10^-6</f>
        <v>0.65392476788162035</v>
      </c>
      <c r="O9" s="98">
        <f>'[4]Hydrogen Capacity Effect'!N8-'[4]Hydrogen Capacity Effect'!N60*10^-6</f>
        <v>0.67760216791338734</v>
      </c>
      <c r="P9" s="98">
        <f>'[4]Hydrogen Capacity Effect'!O8-'[4]Hydrogen Capacity Effect'!O60*10^-6</f>
        <v>0.7078926398010541</v>
      </c>
      <c r="Q9" s="98">
        <f>'[4]Hydrogen Capacity Effect'!P8-'[4]Hydrogen Capacity Effect'!P60*10^-6</f>
        <v>0.73175157187607687</v>
      </c>
    </row>
    <row r="10" spans="1:17">
      <c r="A10" s="96" t="s">
        <v>92</v>
      </c>
      <c r="B10" s="96"/>
      <c r="C10" s="96"/>
      <c r="D10" s="96"/>
      <c r="E10" s="96"/>
      <c r="F10" s="99">
        <f>$A$6*F9*1000000</f>
        <v>78621.099172483388</v>
      </c>
      <c r="G10" s="99">
        <f t="shared" ref="G10:Q10" si="0">$A$6*G9*1000000</f>
        <v>92373.862731401474</v>
      </c>
      <c r="H10" s="99">
        <f t="shared" si="0"/>
        <v>108681.94684951435</v>
      </c>
      <c r="I10" s="99">
        <f t="shared" si="0"/>
        <v>122939.4943937371</v>
      </c>
      <c r="J10" s="99">
        <f t="shared" si="0"/>
        <v>133147.28926729487</v>
      </c>
      <c r="K10" s="99">
        <f t="shared" si="0"/>
        <v>141815.67273680982</v>
      </c>
      <c r="L10" s="99">
        <f t="shared" si="0"/>
        <v>149477.78463438476</v>
      </c>
      <c r="M10" s="99">
        <f t="shared" si="0"/>
        <v>156145.85525884328</v>
      </c>
      <c r="N10" s="99">
        <f t="shared" si="0"/>
        <v>163481.19197040508</v>
      </c>
      <c r="O10" s="99">
        <f t="shared" si="0"/>
        <v>169400.54197834682</v>
      </c>
      <c r="P10" s="99">
        <f t="shared" si="0"/>
        <v>176973.15995026354</v>
      </c>
      <c r="Q10" s="99">
        <f t="shared" si="0"/>
        <v>182937.89296901922</v>
      </c>
    </row>
    <row r="11" spans="1:17">
      <c r="A11" s="96"/>
      <c r="B11" s="96"/>
      <c r="C11" s="96"/>
      <c r="D11" s="96"/>
      <c r="E11" s="96"/>
      <c r="F11" s="99"/>
      <c r="G11" s="99"/>
      <c r="H11" s="99"/>
      <c r="I11" s="99"/>
      <c r="J11" s="99"/>
      <c r="K11" s="99"/>
      <c r="L11" s="99"/>
      <c r="M11" s="99"/>
      <c r="N11" s="99"/>
      <c r="O11" s="99"/>
      <c r="P11" s="99"/>
      <c r="Q11" s="99"/>
    </row>
    <row r="12" spans="1:17">
      <c r="A12" s="96" t="s">
        <v>97</v>
      </c>
      <c r="B12" s="96"/>
      <c r="C12" s="96"/>
      <c r="D12" s="96"/>
      <c r="E12" s="96"/>
      <c r="F12" s="99"/>
      <c r="G12" s="99">
        <v>150</v>
      </c>
      <c r="H12" s="99">
        <v>150</v>
      </c>
      <c r="I12" s="99">
        <v>150</v>
      </c>
      <c r="J12" s="99">
        <v>150</v>
      </c>
      <c r="K12" s="99">
        <v>150</v>
      </c>
      <c r="L12" s="99">
        <v>150</v>
      </c>
      <c r="M12" s="99">
        <v>150</v>
      </c>
      <c r="N12" s="99">
        <v>150</v>
      </c>
      <c r="O12" s="99">
        <v>150</v>
      </c>
      <c r="P12" s="99">
        <v>150</v>
      </c>
      <c r="Q12" s="99">
        <v>150</v>
      </c>
    </row>
    <row r="13" spans="1:17">
      <c r="A13" s="96"/>
      <c r="B13" s="96"/>
      <c r="C13" s="96"/>
      <c r="D13" s="96"/>
      <c r="E13" s="96"/>
      <c r="F13" s="99"/>
      <c r="G13" s="99"/>
      <c r="H13" s="99"/>
      <c r="I13" s="99"/>
      <c r="J13" s="99"/>
      <c r="K13" s="99"/>
      <c r="L13" s="99"/>
      <c r="M13" s="99"/>
      <c r="N13" s="99"/>
      <c r="O13" s="99"/>
      <c r="P13" s="99"/>
      <c r="Q13" s="99"/>
    </row>
    <row r="14" spans="1:17">
      <c r="A14" s="96"/>
      <c r="B14" s="96"/>
      <c r="C14" s="96"/>
      <c r="D14" s="96"/>
      <c r="E14" s="96"/>
      <c r="F14" s="99"/>
    </row>
    <row r="15" spans="1:17">
      <c r="A15" s="96"/>
      <c r="B15" s="96"/>
      <c r="C15" s="96"/>
      <c r="D15" s="96"/>
      <c r="E15" s="96"/>
      <c r="F15" s="99"/>
    </row>
    <row r="16" spans="1:17">
      <c r="A16" s="59" t="s">
        <v>95</v>
      </c>
      <c r="B16" s="96"/>
      <c r="C16" s="96"/>
      <c r="D16" s="99"/>
      <c r="E16" s="99"/>
      <c r="F16" s="99"/>
    </row>
    <row r="17" spans="1:17">
      <c r="A17" s="96"/>
      <c r="B17" s="96"/>
      <c r="C17" s="96"/>
      <c r="D17" s="96"/>
      <c r="E17" s="96"/>
      <c r="F17" s="96"/>
      <c r="G17" s="96"/>
      <c r="H17" s="96"/>
      <c r="I17" s="96"/>
      <c r="J17" s="96"/>
      <c r="K17" s="96"/>
      <c r="L17" s="99"/>
      <c r="M17" s="99"/>
      <c r="N17" s="99"/>
      <c r="O17" s="99"/>
      <c r="P17" s="96"/>
      <c r="Q17" s="96"/>
    </row>
    <row r="18" spans="1:17" ht="16">
      <c r="A18" s="59" t="s">
        <v>103</v>
      </c>
      <c r="B18" s="96" t="s">
        <v>94</v>
      </c>
      <c r="C18" s="99" t="s">
        <v>165</v>
      </c>
      <c r="D18" s="96"/>
      <c r="E18" s="59" t="s">
        <v>105</v>
      </c>
      <c r="F18" s="96"/>
      <c r="G18" s="59" t="s">
        <v>106</v>
      </c>
      <c r="H18" s="96"/>
      <c r="I18" s="96"/>
      <c r="J18" s="96"/>
      <c r="K18" s="96"/>
      <c r="L18" s="96"/>
      <c r="M18" s="96"/>
      <c r="N18" s="96"/>
      <c r="O18" s="96"/>
      <c r="P18" s="96"/>
      <c r="Q18" s="96"/>
    </row>
    <row r="19" spans="1:17" ht="16">
      <c r="A19" s="96"/>
      <c r="B19" s="96"/>
      <c r="C19" s="96"/>
      <c r="D19" s="96"/>
      <c r="E19" s="96"/>
      <c r="F19" s="96"/>
      <c r="G19" s="96"/>
      <c r="H19" s="96"/>
      <c r="I19" s="96"/>
      <c r="J19" s="96"/>
      <c r="K19" s="96"/>
      <c r="L19" s="96"/>
      <c r="M19" s="96"/>
      <c r="N19" s="96"/>
      <c r="O19" s="96"/>
      <c r="P19" s="96"/>
      <c r="Q19" s="96"/>
    </row>
    <row r="20" spans="1:17" ht="16">
      <c r="A20" s="96">
        <v>125</v>
      </c>
      <c r="B20" s="100">
        <f>L20*4</f>
        <v>3130.4599032000001</v>
      </c>
      <c r="C20" s="101">
        <f>ROUNDDOWN($L$10/B20,0)</f>
        <v>47</v>
      </c>
      <c r="D20" s="96"/>
      <c r="E20" s="96">
        <v>125</v>
      </c>
      <c r="F20" s="96"/>
      <c r="G20" s="100">
        <v>1172.4379668000001</v>
      </c>
      <c r="H20" s="100">
        <v>1096.7196935999998</v>
      </c>
      <c r="I20" s="100">
        <v>1023.5006704000002</v>
      </c>
      <c r="J20" s="100">
        <v>952.7808971999998</v>
      </c>
      <c r="K20" s="100">
        <v>884.5603739999998</v>
      </c>
      <c r="L20" s="100">
        <v>782.61497580000002</v>
      </c>
      <c r="M20" s="100">
        <v>724.14002759999971</v>
      </c>
      <c r="N20" s="100">
        <v>667.91440439999997</v>
      </c>
      <c r="O20" s="100">
        <v>613.93810619999965</v>
      </c>
      <c r="P20" s="100">
        <v>562.21113299999979</v>
      </c>
      <c r="Q20" s="100">
        <v>512.73348479999993</v>
      </c>
    </row>
    <row r="21" spans="1:17" ht="16">
      <c r="A21" s="96">
        <v>100</v>
      </c>
      <c r="B21" s="100">
        <f t="shared" ref="B21:B22" si="1">L21*4</f>
        <v>3994.6519032000001</v>
      </c>
      <c r="C21" s="101">
        <f t="shared" ref="C21:C22" si="2">ROUNDDOWN($L$10/B21,0)</f>
        <v>37</v>
      </c>
      <c r="D21" s="96"/>
      <c r="E21" s="96">
        <v>100</v>
      </c>
      <c r="F21" s="96"/>
      <c r="G21" s="100">
        <v>1448.4859668000001</v>
      </c>
      <c r="H21" s="100">
        <v>1362.7676935999998</v>
      </c>
      <c r="I21" s="100">
        <v>1279.5486704000002</v>
      </c>
      <c r="J21" s="100">
        <v>1198.8288971999998</v>
      </c>
      <c r="K21" s="100">
        <v>1120.6083739999999</v>
      </c>
      <c r="L21" s="100">
        <v>998.66297580000003</v>
      </c>
      <c r="M21" s="100">
        <v>931.18802759999971</v>
      </c>
      <c r="N21" s="100">
        <v>865.96240439999997</v>
      </c>
      <c r="O21" s="100">
        <v>802.98610619999965</v>
      </c>
      <c r="P21" s="100">
        <v>742.25913299999968</v>
      </c>
      <c r="Q21" s="100">
        <v>683.78148479999993</v>
      </c>
    </row>
    <row r="22" spans="1:17" ht="16">
      <c r="A22" s="96">
        <v>88</v>
      </c>
      <c r="B22" s="100">
        <f t="shared" si="1"/>
        <v>4409.464063200001</v>
      </c>
      <c r="C22" s="101">
        <f t="shared" si="2"/>
        <v>33</v>
      </c>
      <c r="D22" s="96"/>
      <c r="E22" s="96">
        <v>88</v>
      </c>
      <c r="F22" s="96"/>
      <c r="G22" s="100">
        <v>1580.9890068000002</v>
      </c>
      <c r="H22" s="100">
        <v>1490.4707335999999</v>
      </c>
      <c r="I22" s="100">
        <v>1402.4517104000004</v>
      </c>
      <c r="J22" s="100">
        <v>1316.9319371999998</v>
      </c>
      <c r="K22" s="100">
        <v>1233.9114139999999</v>
      </c>
      <c r="L22" s="100">
        <v>1102.3660158000002</v>
      </c>
      <c r="M22" s="100">
        <v>1030.5710675999997</v>
      </c>
      <c r="N22" s="100">
        <v>961.02544439999997</v>
      </c>
      <c r="O22" s="100">
        <v>893.7291461999996</v>
      </c>
      <c r="P22" s="100">
        <v>828.68217299999969</v>
      </c>
      <c r="Q22" s="100">
        <v>765.88452479999989</v>
      </c>
    </row>
    <row r="23" spans="1:17" ht="16">
      <c r="A23" s="96"/>
      <c r="B23" s="96"/>
      <c r="C23" s="96"/>
      <c r="D23" s="96"/>
      <c r="E23" s="96"/>
      <c r="F23" s="96"/>
      <c r="G23" s="96"/>
      <c r="H23" s="96"/>
      <c r="I23" s="96"/>
      <c r="J23" s="96"/>
      <c r="K23" s="96"/>
      <c r="L23" s="96"/>
      <c r="M23" s="96"/>
      <c r="N23" s="96"/>
      <c r="O23" s="96"/>
      <c r="P23" s="96"/>
      <c r="Q23" s="96"/>
    </row>
    <row r="24" spans="1:17" ht="16">
      <c r="A24" s="96"/>
      <c r="B24" s="96"/>
      <c r="C24" s="96"/>
      <c r="D24" s="96"/>
      <c r="E24" s="59" t="s">
        <v>105</v>
      </c>
      <c r="F24" s="96"/>
      <c r="G24" s="59" t="s">
        <v>99</v>
      </c>
      <c r="H24" s="96"/>
      <c r="I24" s="96"/>
      <c r="J24" s="96"/>
      <c r="K24" s="96"/>
      <c r="L24" s="96"/>
      <c r="M24" s="96"/>
      <c r="N24" s="96"/>
      <c r="O24" s="96"/>
      <c r="P24" s="96"/>
      <c r="Q24" s="96"/>
    </row>
    <row r="25" spans="1:17" ht="16">
      <c r="A25" s="96"/>
      <c r="B25" s="96"/>
      <c r="C25" s="96"/>
      <c r="D25" s="96"/>
      <c r="E25" s="96"/>
      <c r="F25" s="96"/>
      <c r="G25" s="96"/>
      <c r="H25" s="96"/>
      <c r="I25" s="96"/>
      <c r="J25" s="96"/>
      <c r="K25" s="96"/>
      <c r="L25" s="96"/>
      <c r="M25" s="96"/>
      <c r="N25" s="96"/>
      <c r="O25" s="96"/>
      <c r="P25" s="96"/>
      <c r="Q25" s="96"/>
    </row>
    <row r="26" spans="1:17" ht="16">
      <c r="A26" s="96"/>
      <c r="B26" s="96"/>
      <c r="C26" s="96"/>
      <c r="D26" s="96"/>
      <c r="E26" s="96">
        <v>125</v>
      </c>
      <c r="F26" s="96"/>
      <c r="G26" s="102">
        <f>G20*G$12*4</f>
        <v>703462.78008000006</v>
      </c>
      <c r="H26" s="102">
        <f t="shared" ref="H26:Q26" si="3">H20*H$12*4</f>
        <v>658031.81615999993</v>
      </c>
      <c r="I26" s="102">
        <f t="shared" si="3"/>
        <v>614100.40224000008</v>
      </c>
      <c r="J26" s="102">
        <f t="shared" si="3"/>
        <v>571668.53831999993</v>
      </c>
      <c r="K26" s="102">
        <f t="shared" si="3"/>
        <v>530736.22439999983</v>
      </c>
      <c r="L26" s="102">
        <f t="shared" si="3"/>
        <v>469568.98548000003</v>
      </c>
      <c r="M26" s="102">
        <f t="shared" si="3"/>
        <v>434484.01655999984</v>
      </c>
      <c r="N26" s="102">
        <f t="shared" si="3"/>
        <v>400748.64263999998</v>
      </c>
      <c r="O26" s="102">
        <f t="shared" si="3"/>
        <v>368362.86371999979</v>
      </c>
      <c r="P26" s="102">
        <f t="shared" si="3"/>
        <v>337326.67979999987</v>
      </c>
      <c r="Q26" s="102">
        <f t="shared" si="3"/>
        <v>307640.09087999997</v>
      </c>
    </row>
    <row r="27" spans="1:17" ht="16">
      <c r="A27" s="96"/>
      <c r="B27" s="96"/>
      <c r="C27" s="96"/>
      <c r="D27" s="96"/>
      <c r="E27" s="96">
        <v>100</v>
      </c>
      <c r="F27" s="96"/>
      <c r="G27" s="102">
        <f t="shared" ref="G27:Q28" si="4">G21*G$12*4</f>
        <v>869091.5800800001</v>
      </c>
      <c r="H27" s="102">
        <f t="shared" si="4"/>
        <v>817660.61615999986</v>
      </c>
      <c r="I27" s="102">
        <f t="shared" si="4"/>
        <v>767729.20224000013</v>
      </c>
      <c r="J27" s="102">
        <f t="shared" si="4"/>
        <v>719297.33831999986</v>
      </c>
      <c r="K27" s="102">
        <f t="shared" si="4"/>
        <v>672365.02439999999</v>
      </c>
      <c r="L27" s="102">
        <f t="shared" si="4"/>
        <v>599197.78547999996</v>
      </c>
      <c r="M27" s="102">
        <f t="shared" si="4"/>
        <v>558712.81655999983</v>
      </c>
      <c r="N27" s="102">
        <f t="shared" si="4"/>
        <v>519577.44263999996</v>
      </c>
      <c r="O27" s="102">
        <f t="shared" si="4"/>
        <v>481791.66371999978</v>
      </c>
      <c r="P27" s="102">
        <f t="shared" si="4"/>
        <v>445355.4797999998</v>
      </c>
      <c r="Q27" s="102">
        <f t="shared" si="4"/>
        <v>410268.89087999996</v>
      </c>
    </row>
    <row r="28" spans="1:17" ht="16">
      <c r="A28" s="96"/>
      <c r="B28" s="96"/>
      <c r="C28" s="96"/>
      <c r="D28" s="96"/>
      <c r="E28" s="96">
        <v>88</v>
      </c>
      <c r="F28" s="96"/>
      <c r="G28" s="102">
        <f t="shared" si="4"/>
        <v>948593.40408000012</v>
      </c>
      <c r="H28" s="102">
        <f t="shared" si="4"/>
        <v>894282.44016</v>
      </c>
      <c r="I28" s="102">
        <f t="shared" si="4"/>
        <v>841471.02624000027</v>
      </c>
      <c r="J28" s="102">
        <f t="shared" si="4"/>
        <v>790159.16231999989</v>
      </c>
      <c r="K28" s="102">
        <f t="shared" si="4"/>
        <v>740346.8483999999</v>
      </c>
      <c r="L28" s="102">
        <f t="shared" si="4"/>
        <v>661419.6094800001</v>
      </c>
      <c r="M28" s="102">
        <f t="shared" si="4"/>
        <v>618342.64055999974</v>
      </c>
      <c r="N28" s="102">
        <f t="shared" si="4"/>
        <v>576615.26663999993</v>
      </c>
      <c r="O28" s="102">
        <f t="shared" si="4"/>
        <v>536237.48771999974</v>
      </c>
      <c r="P28" s="102">
        <f t="shared" si="4"/>
        <v>497209.30379999982</v>
      </c>
      <c r="Q28" s="102">
        <f t="shared" si="4"/>
        <v>459530.71487999993</v>
      </c>
    </row>
    <row r="29" spans="1:17" ht="16">
      <c r="A29" s="96"/>
      <c r="B29" s="96"/>
      <c r="C29" s="96"/>
      <c r="D29" s="96"/>
      <c r="E29" s="96"/>
      <c r="F29" s="96"/>
      <c r="G29" s="96"/>
      <c r="H29" s="96"/>
      <c r="I29" s="96"/>
      <c r="J29" s="96"/>
      <c r="K29" s="96"/>
      <c r="L29" s="96"/>
      <c r="M29" s="96"/>
      <c r="N29" s="96"/>
      <c r="O29" s="96"/>
      <c r="P29" s="96"/>
      <c r="Q29" s="96"/>
    </row>
    <row r="30" spans="1:17" ht="16">
      <c r="A30" s="96"/>
      <c r="B30" s="96"/>
      <c r="C30" s="96"/>
      <c r="D30" s="96"/>
      <c r="E30" s="59" t="s">
        <v>105</v>
      </c>
      <c r="F30" s="96"/>
      <c r="G30" s="59" t="s">
        <v>98</v>
      </c>
      <c r="H30" s="96"/>
      <c r="I30" s="96"/>
      <c r="J30" s="96"/>
      <c r="K30" s="96"/>
      <c r="L30" s="96"/>
      <c r="M30" s="96"/>
      <c r="N30" s="96"/>
      <c r="O30" s="96"/>
      <c r="P30" s="96"/>
      <c r="Q30" s="96"/>
    </row>
    <row r="31" spans="1:17" ht="16">
      <c r="A31" s="96"/>
      <c r="B31" s="96"/>
      <c r="C31" s="96"/>
      <c r="D31" s="96"/>
      <c r="E31" s="96"/>
      <c r="F31" s="96"/>
      <c r="G31" s="96"/>
      <c r="H31" s="96"/>
      <c r="I31" s="96"/>
      <c r="J31" s="96"/>
      <c r="K31" s="96"/>
      <c r="L31" s="96"/>
      <c r="M31" s="96"/>
      <c r="N31" s="96"/>
      <c r="O31" s="96"/>
      <c r="P31" s="96"/>
      <c r="Q31" s="96"/>
    </row>
    <row r="32" spans="1:17" ht="16">
      <c r="A32" s="96"/>
      <c r="B32" s="96"/>
      <c r="C32" s="96"/>
      <c r="D32" s="96"/>
      <c r="E32" s="96">
        <v>125</v>
      </c>
      <c r="F32" s="96"/>
      <c r="G32" s="102">
        <v>37451.627105263178</v>
      </c>
      <c r="H32" s="102">
        <v>60698.441184210475</v>
      </c>
      <c r="I32" s="102">
        <v>73210.631929824478</v>
      </c>
      <c r="J32" s="102">
        <v>75988.199342105188</v>
      </c>
      <c r="K32" s="102">
        <v>67164.476754385862</v>
      </c>
      <c r="L32" s="102">
        <v>72269.934078947408</v>
      </c>
      <c r="M32" s="102">
        <v>71599.204000000143</v>
      </c>
      <c r="N32" s="102">
        <v>66855.796921052737</v>
      </c>
      <c r="O32" s="102">
        <v>57982.36700210534</v>
      </c>
      <c r="P32" s="102">
        <v>44922.733369458001</v>
      </c>
      <c r="Q32" s="102">
        <v>77621.858069535811</v>
      </c>
    </row>
    <row r="33" spans="1:19" ht="16">
      <c r="A33" s="96"/>
      <c r="B33" s="96"/>
      <c r="C33" s="96"/>
      <c r="D33" s="96"/>
      <c r="E33" s="96">
        <v>100</v>
      </c>
      <c r="F33" s="96"/>
      <c r="G33" s="102">
        <v>49104.258684210479</v>
      </c>
      <c r="H33" s="102">
        <v>74940.546447368455</v>
      </c>
      <c r="I33" s="102">
        <v>90042.210877192905</v>
      </c>
      <c r="J33" s="102">
        <v>95409.251973684295</v>
      </c>
      <c r="K33" s="102">
        <v>89175.003070175531</v>
      </c>
      <c r="L33" s="102">
        <v>99459.407763157971</v>
      </c>
      <c r="M33" s="102">
        <v>101119.20400000014</v>
      </c>
      <c r="N33" s="102">
        <v>98706.323236842174</v>
      </c>
      <c r="O33" s="102">
        <v>92163.419633684214</v>
      </c>
      <c r="P33" s="102">
        <v>81434.312316826545</v>
      </c>
      <c r="Q33" s="102">
        <v>116463.96333269356</v>
      </c>
    </row>
    <row r="34" spans="1:19" ht="16">
      <c r="A34" s="96"/>
      <c r="B34" s="96"/>
      <c r="C34" s="96"/>
      <c r="D34" s="96"/>
      <c r="E34" s="96">
        <v>88</v>
      </c>
      <c r="F34" s="96"/>
      <c r="G34" s="102">
        <v>54697.521842105314</v>
      </c>
      <c r="H34" s="102">
        <v>81776.756973684183</v>
      </c>
      <c r="I34" s="102">
        <v>98121.36877192976</v>
      </c>
      <c r="J34" s="102">
        <v>104731.35723684204</v>
      </c>
      <c r="K34" s="102">
        <v>99740.055701754405</v>
      </c>
      <c r="L34" s="102">
        <v>112510.35513157886</v>
      </c>
      <c r="M34" s="102">
        <v>115288.80400000024</v>
      </c>
      <c r="N34" s="102">
        <v>113994.575868421</v>
      </c>
      <c r="O34" s="102">
        <v>108570.32489684224</v>
      </c>
      <c r="P34" s="102">
        <v>98959.870211563306</v>
      </c>
      <c r="Q34" s="102">
        <v>135108.17385900952</v>
      </c>
    </row>
    <row r="35" spans="1:19" ht="16">
      <c r="A35" s="96"/>
      <c r="B35" s="96"/>
      <c r="C35" s="96"/>
      <c r="D35" s="96"/>
      <c r="E35" s="96"/>
      <c r="F35" s="96"/>
      <c r="G35" s="96"/>
      <c r="H35" s="96"/>
      <c r="I35" s="96"/>
      <c r="J35" s="96"/>
      <c r="K35" s="96"/>
      <c r="L35" s="96"/>
      <c r="M35" s="96"/>
      <c r="N35" s="96"/>
      <c r="O35" s="96"/>
      <c r="P35" s="96"/>
      <c r="Q35" s="96"/>
    </row>
    <row r="36" spans="1:19" ht="16">
      <c r="A36" s="96"/>
      <c r="B36" s="96"/>
      <c r="C36" s="96"/>
      <c r="D36" s="96"/>
      <c r="E36" s="59" t="s">
        <v>105</v>
      </c>
      <c r="F36" s="96"/>
      <c r="G36" s="96" t="s">
        <v>100</v>
      </c>
      <c r="H36" s="96"/>
      <c r="I36" s="96"/>
      <c r="J36" s="96"/>
      <c r="K36" s="96"/>
      <c r="L36" s="96"/>
      <c r="M36" s="96"/>
      <c r="N36" s="96"/>
      <c r="O36" s="96"/>
      <c r="P36" s="96"/>
      <c r="Q36" s="96"/>
    </row>
    <row r="37" spans="1:19">
      <c r="A37" s="96"/>
      <c r="B37" s="96"/>
      <c r="C37" s="96"/>
      <c r="D37" s="96"/>
      <c r="E37" s="96"/>
      <c r="F37" s="96"/>
      <c r="G37" s="96"/>
      <c r="H37" s="96"/>
      <c r="I37" s="96"/>
      <c r="J37" s="96"/>
      <c r="K37" s="96"/>
      <c r="L37" s="96"/>
      <c r="M37" s="96"/>
      <c r="N37" s="96"/>
      <c r="O37" s="96"/>
      <c r="P37" s="96"/>
      <c r="Q37" s="96"/>
      <c r="S37" s="55" t="s">
        <v>101</v>
      </c>
    </row>
    <row r="38" spans="1:19">
      <c r="A38" s="96"/>
      <c r="B38" s="96"/>
      <c r="C38" s="96"/>
      <c r="D38" s="96"/>
      <c r="E38" s="96">
        <v>125</v>
      </c>
      <c r="F38" s="96"/>
      <c r="G38" s="102">
        <f>(G26+G32)*$C20</f>
        <v>34822977.137707375</v>
      </c>
      <c r="H38" s="102">
        <f t="shared" ref="H38:Q38" si="5">(H26+H32)*$C20</f>
        <v>33780322.095177889</v>
      </c>
      <c r="I38" s="102">
        <f t="shared" si="5"/>
        <v>32303618.605981756</v>
      </c>
      <c r="J38" s="102">
        <f t="shared" si="5"/>
        <v>30439866.670118939</v>
      </c>
      <c r="K38" s="102">
        <f t="shared" si="5"/>
        <v>28101332.954256129</v>
      </c>
      <c r="L38" s="102">
        <f t="shared" si="5"/>
        <v>25466429.219270531</v>
      </c>
      <c r="M38" s="102">
        <f t="shared" si="5"/>
        <v>23785911.366319999</v>
      </c>
      <c r="N38" s="102">
        <f t="shared" si="5"/>
        <v>21977408.659369476</v>
      </c>
      <c r="O38" s="102">
        <f t="shared" si="5"/>
        <v>20038225.843938939</v>
      </c>
      <c r="P38" s="102">
        <f t="shared" si="5"/>
        <v>17965722.41896452</v>
      </c>
      <c r="Q38" s="102">
        <f t="shared" si="5"/>
        <v>18107311.600628182</v>
      </c>
      <c r="S38" s="56">
        <f>SUM(G38:Q38)</f>
        <v>286789126.57173371</v>
      </c>
    </row>
    <row r="39" spans="1:19">
      <c r="A39" s="96"/>
      <c r="B39" s="96"/>
      <c r="C39" s="96"/>
      <c r="D39" s="96"/>
      <c r="E39" s="96">
        <v>100</v>
      </c>
      <c r="F39" s="96"/>
      <c r="G39" s="102">
        <f t="shared" ref="G39:Q40" si="6">(G27+G33)*$C21</f>
        <v>33973246.034275793</v>
      </c>
      <c r="H39" s="102">
        <f t="shared" si="6"/>
        <v>33026243.016472626</v>
      </c>
      <c r="I39" s="102">
        <f t="shared" si="6"/>
        <v>31737542.285336141</v>
      </c>
      <c r="J39" s="102">
        <f t="shared" si="6"/>
        <v>30144143.840866312</v>
      </c>
      <c r="K39" s="102">
        <f t="shared" si="6"/>
        <v>28176981.016396493</v>
      </c>
      <c r="L39" s="102">
        <f t="shared" si="6"/>
        <v>25850316.149996843</v>
      </c>
      <c r="M39" s="102">
        <f t="shared" si="6"/>
        <v>24413784.76072</v>
      </c>
      <c r="N39" s="102">
        <f t="shared" si="6"/>
        <v>22876499.337443162</v>
      </c>
      <c r="O39" s="102">
        <f t="shared" si="6"/>
        <v>21236338.08408631</v>
      </c>
      <c r="P39" s="102">
        <f t="shared" si="6"/>
        <v>19491222.308322579</v>
      </c>
      <c r="Q39" s="102">
        <f t="shared" si="6"/>
        <v>19489115.605869662</v>
      </c>
      <c r="S39" s="56">
        <f t="shared" ref="S39:S40" si="7">SUM(G39:Q39)</f>
        <v>290415432.43978596</v>
      </c>
    </row>
    <row r="40" spans="1:19">
      <c r="A40" s="96"/>
      <c r="B40" s="96"/>
      <c r="C40" s="96"/>
      <c r="D40" s="96"/>
      <c r="E40" s="96">
        <v>88</v>
      </c>
      <c r="F40" s="96"/>
      <c r="G40" s="102">
        <f t="shared" si="6"/>
        <v>33108600.555429481</v>
      </c>
      <c r="H40" s="102">
        <f t="shared" si="6"/>
        <v>32209953.505411576</v>
      </c>
      <c r="I40" s="102">
        <f t="shared" si="6"/>
        <v>31006549.035393693</v>
      </c>
      <c r="J40" s="102">
        <f t="shared" si="6"/>
        <v>29531387.145375784</v>
      </c>
      <c r="K40" s="102">
        <f t="shared" si="6"/>
        <v>27722867.835357893</v>
      </c>
      <c r="L40" s="102">
        <f t="shared" si="6"/>
        <v>25539688.832182106</v>
      </c>
      <c r="M40" s="102">
        <f t="shared" si="6"/>
        <v>24209837.670479998</v>
      </c>
      <c r="N40" s="102">
        <f t="shared" si="6"/>
        <v>22790124.80277789</v>
      </c>
      <c r="O40" s="102">
        <f t="shared" si="6"/>
        <v>21278657.816355787</v>
      </c>
      <c r="P40" s="102">
        <f t="shared" si="6"/>
        <v>19673582.742381584</v>
      </c>
      <c r="Q40" s="102">
        <f t="shared" si="6"/>
        <v>19623083.328387309</v>
      </c>
      <c r="S40" s="56">
        <f t="shared" si="7"/>
        <v>286694333.2695331</v>
      </c>
    </row>
    <row r="41" spans="1:19">
      <c r="A41" s="96"/>
      <c r="B41" s="96"/>
      <c r="C41" s="96"/>
      <c r="D41" s="96"/>
      <c r="E41" s="96"/>
      <c r="F41" s="96"/>
      <c r="G41" s="102"/>
      <c r="H41" s="102"/>
      <c r="I41" s="102"/>
      <c r="J41" s="102"/>
      <c r="K41" s="102"/>
      <c r="L41" s="102"/>
      <c r="M41" s="102"/>
      <c r="N41" s="102"/>
      <c r="O41" s="102"/>
      <c r="P41" s="102"/>
      <c r="Q41" s="102"/>
      <c r="S41" s="56"/>
    </row>
    <row r="42" spans="1:19">
      <c r="A42" s="59" t="s">
        <v>102</v>
      </c>
      <c r="B42" s="96"/>
      <c r="C42" s="96"/>
      <c r="D42" s="96"/>
      <c r="E42" s="96"/>
      <c r="F42" s="96"/>
      <c r="G42" s="96"/>
      <c r="H42" s="96"/>
      <c r="I42" s="96"/>
      <c r="J42" s="96"/>
      <c r="K42" s="96"/>
      <c r="L42" s="96"/>
      <c r="M42" s="96"/>
      <c r="N42" s="96"/>
      <c r="O42" s="96"/>
      <c r="P42" s="96"/>
      <c r="Q42" s="96"/>
    </row>
    <row r="43" spans="1:19">
      <c r="A43" s="59" t="s">
        <v>104</v>
      </c>
      <c r="B43" s="96" t="s">
        <v>94</v>
      </c>
      <c r="C43" s="99" t="s">
        <v>93</v>
      </c>
      <c r="D43" s="96"/>
      <c r="E43" s="59" t="s">
        <v>105</v>
      </c>
      <c r="F43" s="96"/>
      <c r="G43" s="59" t="s">
        <v>106</v>
      </c>
      <c r="H43" s="96"/>
      <c r="I43" s="96"/>
      <c r="J43" s="96"/>
      <c r="K43" s="96"/>
      <c r="L43" s="96"/>
      <c r="M43" s="96"/>
      <c r="N43" s="96"/>
      <c r="O43" s="96"/>
      <c r="P43" s="96"/>
      <c r="Q43" s="96"/>
    </row>
    <row r="44" spans="1:19">
      <c r="A44" s="96"/>
      <c r="B44" s="96"/>
      <c r="C44" s="96"/>
      <c r="D44" s="96"/>
      <c r="E44" s="96"/>
      <c r="F44" s="96"/>
      <c r="G44" s="96"/>
      <c r="H44" s="96"/>
      <c r="I44" s="96"/>
      <c r="J44" s="96"/>
      <c r="K44" s="96"/>
      <c r="L44" s="96"/>
      <c r="M44" s="96"/>
      <c r="N44" s="96"/>
      <c r="O44" s="96"/>
      <c r="P44" s="96"/>
      <c r="Q44" s="96"/>
    </row>
    <row r="45" spans="1:19">
      <c r="A45" s="96">
        <v>125</v>
      </c>
      <c r="B45" s="100">
        <f>L45*4</f>
        <v>3928.2270917783048</v>
      </c>
      <c r="C45" s="101">
        <f>ROUNDDOWN($L$10/B45,0)</f>
        <v>38</v>
      </c>
      <c r="D45" s="96"/>
      <c r="E45" s="96">
        <v>125</v>
      </c>
      <c r="F45" s="96"/>
      <c r="G45" s="100">
        <v>1172.4379668000001</v>
      </c>
      <c r="H45" s="100">
        <v>1149.9292935999999</v>
      </c>
      <c r="I45" s="100">
        <v>1123.8714864000003</v>
      </c>
      <c r="J45" s="100">
        <v>1094.5832805599998</v>
      </c>
      <c r="K45" s="100">
        <v>1062.3675900256001</v>
      </c>
      <c r="L45" s="100">
        <v>982.05677294457621</v>
      </c>
      <c r="M45" s="100">
        <v>949.03785339511285</v>
      </c>
      <c r="N45" s="100">
        <v>914.04105367817579</v>
      </c>
      <c r="O45" s="100">
        <v>877.29182056132106</v>
      </c>
      <c r="P45" s="100">
        <v>839.00432859897001</v>
      </c>
      <c r="Q45" s="100">
        <v>799.38202119462881</v>
      </c>
    </row>
    <row r="46" spans="1:19">
      <c r="A46" s="96">
        <v>100</v>
      </c>
      <c r="B46" s="100">
        <f t="shared" ref="B46:B47" si="8">L46*4</f>
        <v>4632.8656540626434</v>
      </c>
      <c r="C46" s="101">
        <f t="shared" ref="C46:C47" si="9">ROUNDDOWN($L$10/B46,0)</f>
        <v>32</v>
      </c>
      <c r="D46" s="96"/>
      <c r="E46" s="96">
        <v>100</v>
      </c>
      <c r="F46" s="96"/>
      <c r="G46" s="100">
        <v>1448.4859668000001</v>
      </c>
      <c r="H46" s="100">
        <v>1405.3353735999999</v>
      </c>
      <c r="I46" s="100">
        <v>1359.8453232000002</v>
      </c>
      <c r="J46" s="100">
        <v>1312.2708038879998</v>
      </c>
      <c r="K46" s="100">
        <v>1262.8541468204801</v>
      </c>
      <c r="L46" s="100">
        <v>1158.2164135156609</v>
      </c>
      <c r="M46" s="100">
        <v>1111.1062882360904</v>
      </c>
      <c r="N46" s="100">
        <v>1062.8637238225404</v>
      </c>
      <c r="O46" s="100">
        <v>1013.6690776890566</v>
      </c>
      <c r="P46" s="100">
        <v>963.69368947917587</v>
      </c>
      <c r="Q46" s="100">
        <v>913.10031391570317</v>
      </c>
    </row>
    <row r="47" spans="1:19">
      <c r="A47" s="96">
        <v>88</v>
      </c>
      <c r="B47" s="100">
        <f t="shared" si="8"/>
        <v>4971.092163959127</v>
      </c>
      <c r="C47" s="101">
        <f t="shared" si="9"/>
        <v>30</v>
      </c>
      <c r="D47" s="96"/>
      <c r="E47" s="96">
        <v>88</v>
      </c>
      <c r="F47" s="96"/>
      <c r="G47" s="100">
        <v>1580.9890068000002</v>
      </c>
      <c r="H47" s="100">
        <v>1527.930292</v>
      </c>
      <c r="I47" s="100">
        <v>1473.1127648639999</v>
      </c>
      <c r="J47" s="100">
        <v>1416.7608150854396</v>
      </c>
      <c r="K47" s="100">
        <v>1359.0876940820226</v>
      </c>
      <c r="L47" s="100">
        <v>1242.7730409897817</v>
      </c>
      <c r="M47" s="100">
        <v>1188.8991369597595</v>
      </c>
      <c r="N47" s="100">
        <v>1134.2986054918358</v>
      </c>
      <c r="O47" s="100">
        <v>1079.13016111037</v>
      </c>
      <c r="P47" s="100">
        <v>1023.5445827016747</v>
      </c>
      <c r="Q47" s="100">
        <v>967.68509442181869</v>
      </c>
    </row>
    <row r="48" spans="1:19">
      <c r="A48" s="96"/>
      <c r="B48" s="96"/>
      <c r="C48" s="96"/>
      <c r="D48" s="96"/>
      <c r="E48" s="96"/>
      <c r="F48" s="96"/>
      <c r="G48" s="96"/>
      <c r="H48" s="96"/>
      <c r="I48" s="96"/>
      <c r="J48" s="96"/>
      <c r="K48" s="96"/>
      <c r="L48" s="96"/>
      <c r="M48" s="96"/>
      <c r="N48" s="96"/>
      <c r="O48" s="96"/>
      <c r="P48" s="96"/>
      <c r="Q48" s="96"/>
    </row>
    <row r="49" spans="1:19">
      <c r="A49" s="96"/>
      <c r="B49" s="96"/>
      <c r="C49" s="96"/>
      <c r="D49" s="96"/>
      <c r="E49" s="59" t="s">
        <v>105</v>
      </c>
      <c r="F49" s="96"/>
      <c r="G49" s="59" t="s">
        <v>99</v>
      </c>
      <c r="H49" s="96"/>
      <c r="I49" s="96"/>
      <c r="J49" s="96"/>
    </row>
    <row r="50" spans="1:19">
      <c r="A50" s="96"/>
      <c r="B50" s="96"/>
      <c r="C50" s="96"/>
      <c r="D50" s="96"/>
      <c r="E50" s="96"/>
      <c r="F50" s="96"/>
      <c r="G50" s="96"/>
      <c r="H50" s="96"/>
      <c r="I50" s="96"/>
      <c r="J50" s="96"/>
    </row>
    <row r="51" spans="1:19">
      <c r="A51" s="96"/>
      <c r="B51" s="96"/>
      <c r="C51" s="96"/>
      <c r="D51" s="96"/>
      <c r="E51" s="96">
        <v>125</v>
      </c>
      <c r="F51" s="96"/>
      <c r="G51" s="102">
        <f t="shared" ref="G51:Q53" si="10">G45*G$12*4</f>
        <v>703462.78008000006</v>
      </c>
      <c r="H51" s="102">
        <f t="shared" si="10"/>
        <v>689957.57615999994</v>
      </c>
      <c r="I51" s="102">
        <f t="shared" si="10"/>
        <v>674322.89184000017</v>
      </c>
      <c r="J51" s="102">
        <f t="shared" si="10"/>
        <v>656749.96833599987</v>
      </c>
      <c r="K51" s="102">
        <f t="shared" si="10"/>
        <v>637420.55401536007</v>
      </c>
      <c r="L51" s="102">
        <f t="shared" si="10"/>
        <v>589234.06376674573</v>
      </c>
      <c r="M51" s="102">
        <f t="shared" si="10"/>
        <v>569422.71203706774</v>
      </c>
      <c r="N51" s="102">
        <f t="shared" si="10"/>
        <v>548424.63220690552</v>
      </c>
      <c r="O51" s="102">
        <f t="shared" si="10"/>
        <v>526375.09233679262</v>
      </c>
      <c r="P51" s="102">
        <f t="shared" si="10"/>
        <v>503402.59715938201</v>
      </c>
      <c r="Q51" s="102">
        <f t="shared" si="10"/>
        <v>479629.21271677729</v>
      </c>
    </row>
    <row r="52" spans="1:19">
      <c r="A52" s="96"/>
      <c r="B52" s="96"/>
      <c r="C52" s="96"/>
      <c r="D52" s="96"/>
      <c r="E52" s="96">
        <v>100</v>
      </c>
      <c r="F52" s="96"/>
      <c r="G52" s="102">
        <f t="shared" si="10"/>
        <v>869091.5800800001</v>
      </c>
      <c r="H52" s="102">
        <f t="shared" si="10"/>
        <v>843201.22415999998</v>
      </c>
      <c r="I52" s="102">
        <f t="shared" si="10"/>
        <v>815907.19392000011</v>
      </c>
      <c r="J52" s="102">
        <f t="shared" si="10"/>
        <v>787362.48233279993</v>
      </c>
      <c r="K52" s="102">
        <f t="shared" si="10"/>
        <v>757712.48809228803</v>
      </c>
      <c r="L52" s="102">
        <f t="shared" si="10"/>
        <v>694929.84810939652</v>
      </c>
      <c r="M52" s="102">
        <f t="shared" si="10"/>
        <v>666663.77294165432</v>
      </c>
      <c r="N52" s="102">
        <f t="shared" si="10"/>
        <v>637718.23429352418</v>
      </c>
      <c r="O52" s="102">
        <f t="shared" si="10"/>
        <v>608201.446613434</v>
      </c>
      <c r="P52" s="102">
        <f t="shared" si="10"/>
        <v>578216.21368750557</v>
      </c>
      <c r="Q52" s="102">
        <f t="shared" si="10"/>
        <v>547860.18834942195</v>
      </c>
    </row>
    <row r="53" spans="1:19">
      <c r="A53" s="96"/>
      <c r="B53" s="96"/>
      <c r="C53" s="96"/>
      <c r="D53" s="96"/>
      <c r="E53" s="96">
        <v>88</v>
      </c>
      <c r="F53" s="96"/>
      <c r="G53" s="102">
        <f t="shared" si="10"/>
        <v>948593.40408000012</v>
      </c>
      <c r="H53" s="102">
        <f t="shared" si="10"/>
        <v>916758.17520000006</v>
      </c>
      <c r="I53" s="102">
        <f t="shared" si="10"/>
        <v>883867.65891839995</v>
      </c>
      <c r="J53" s="102">
        <f t="shared" si="10"/>
        <v>850056.48905126378</v>
      </c>
      <c r="K53" s="102">
        <f t="shared" si="10"/>
        <v>815452.61644921359</v>
      </c>
      <c r="L53" s="102">
        <f t="shared" si="10"/>
        <v>745663.82459386904</v>
      </c>
      <c r="M53" s="102">
        <f t="shared" si="10"/>
        <v>713339.48217585566</v>
      </c>
      <c r="N53" s="102">
        <f t="shared" si="10"/>
        <v>680579.16329510149</v>
      </c>
      <c r="O53" s="102">
        <f t="shared" si="10"/>
        <v>647478.09666622197</v>
      </c>
      <c r="P53" s="102">
        <f t="shared" si="10"/>
        <v>614126.7496210048</v>
      </c>
      <c r="Q53" s="102">
        <f t="shared" si="10"/>
        <v>580611.05665309122</v>
      </c>
    </row>
    <row r="54" spans="1:19">
      <c r="A54" s="96"/>
      <c r="B54" s="96"/>
      <c r="C54" s="96"/>
      <c r="D54" s="96"/>
      <c r="E54" s="96"/>
      <c r="F54" s="96"/>
      <c r="G54" s="96"/>
      <c r="H54" s="96"/>
      <c r="I54" s="96"/>
      <c r="J54" s="96"/>
      <c r="K54" s="96"/>
      <c r="L54" s="96"/>
      <c r="M54" s="96"/>
      <c r="N54" s="96"/>
      <c r="O54" s="96"/>
      <c r="P54" s="96"/>
      <c r="Q54" s="96"/>
    </row>
    <row r="55" spans="1:19">
      <c r="A55" s="96"/>
      <c r="B55" s="96"/>
      <c r="C55" s="96"/>
      <c r="D55" s="96"/>
      <c r="E55" s="59" t="s">
        <v>105</v>
      </c>
      <c r="F55" s="96"/>
      <c r="G55" s="59" t="s">
        <v>98</v>
      </c>
      <c r="H55" s="96"/>
      <c r="I55" s="96"/>
      <c r="J55" s="96"/>
      <c r="K55" s="96"/>
      <c r="L55" s="96"/>
      <c r="M55" s="96"/>
      <c r="N55" s="96"/>
      <c r="O55" s="96"/>
      <c r="P55" s="96"/>
      <c r="Q55" s="96"/>
    </row>
    <row r="56" spans="1:19">
      <c r="A56" s="96"/>
      <c r="B56" s="96"/>
      <c r="C56" s="96"/>
      <c r="D56" s="96"/>
      <c r="E56" s="96"/>
      <c r="F56" s="96"/>
      <c r="G56" s="96"/>
      <c r="H56" s="96"/>
      <c r="I56" s="96"/>
      <c r="J56" s="96"/>
      <c r="K56" s="96"/>
      <c r="L56" s="96"/>
      <c r="M56" s="96"/>
      <c r="N56" s="96"/>
      <c r="O56" s="96"/>
      <c r="P56" s="96"/>
      <c r="Q56" s="96"/>
    </row>
    <row r="57" spans="1:19">
      <c r="A57" s="96"/>
      <c r="B57" s="96"/>
      <c r="C57" s="96"/>
      <c r="D57" s="96"/>
      <c r="E57" s="96">
        <v>125</v>
      </c>
      <c r="F57" s="96"/>
      <c r="G57" s="102">
        <v>37451.627105263178</v>
      </c>
      <c r="H57" s="102">
        <v>63546.862236842164</v>
      </c>
      <c r="I57" s="102">
        <v>79808.610877192928</v>
      </c>
      <c r="J57" s="102">
        <v>87180.940394736943</v>
      </c>
      <c r="K57" s="102">
        <v>83744.284282807144</v>
      </c>
      <c r="L57" s="102">
        <v>97369.529978905339</v>
      </c>
      <c r="M57" s="102">
        <v>103664.15424087062</v>
      </c>
      <c r="N57" s="102">
        <v>106438.44011791213</v>
      </c>
      <c r="O57" s="102">
        <v>105598.35432440508</v>
      </c>
      <c r="P57" s="102">
        <v>101053.07979489001</v>
      </c>
      <c r="Q57" s="102">
        <v>142714.88823750219</v>
      </c>
    </row>
    <row r="58" spans="1:19">
      <c r="A58" s="96"/>
      <c r="B58" s="96"/>
      <c r="C58" s="96"/>
      <c r="D58" s="96"/>
      <c r="E58" s="96">
        <v>100</v>
      </c>
      <c r="F58" s="96"/>
      <c r="G58" s="102">
        <v>49104.258684210479</v>
      </c>
      <c r="H58" s="102">
        <v>77219.283289473737</v>
      </c>
      <c r="I58" s="102">
        <v>95320.594035087619</v>
      </c>
      <c r="J58" s="102">
        <v>104363.44481578947</v>
      </c>
      <c r="K58" s="102">
        <v>102438.84909291228</v>
      </c>
      <c r="L58" s="102">
        <v>119539.08448312432</v>
      </c>
      <c r="M58" s="102">
        <v>126771.16419269657</v>
      </c>
      <c r="N58" s="102">
        <v>130372.43779432983</v>
      </c>
      <c r="O58" s="102">
        <v>130256.20949152415</v>
      </c>
      <c r="P58" s="102">
        <v>126338.5894571722</v>
      </c>
      <c r="Q58" s="102">
        <v>168538.38746706676</v>
      </c>
    </row>
    <row r="59" spans="1:19">
      <c r="A59" s="96"/>
      <c r="B59" s="96"/>
      <c r="C59" s="96"/>
      <c r="D59" s="96"/>
      <c r="E59" s="96">
        <v>88</v>
      </c>
      <c r="F59" s="96"/>
      <c r="G59" s="102">
        <v>54697.521842105314</v>
      </c>
      <c r="H59" s="102">
        <v>83782.045394736808</v>
      </c>
      <c r="I59" s="102">
        <v>102766.34595087718</v>
      </c>
      <c r="J59" s="102">
        <v>112611.04693789466</v>
      </c>
      <c r="K59" s="102">
        <v>111412.24020176276</v>
      </c>
      <c r="L59" s="102">
        <v>130180.47064514924</v>
      </c>
      <c r="M59" s="102">
        <v>137862.52896957286</v>
      </c>
      <c r="N59" s="102">
        <v>141860.75667901011</v>
      </c>
      <c r="O59" s="102">
        <v>142091.97997174109</v>
      </c>
      <c r="P59" s="102">
        <v>138475.63409506739</v>
      </c>
      <c r="Q59" s="102">
        <v>180933.66709725792</v>
      </c>
    </row>
    <row r="60" spans="1:19">
      <c r="A60" s="96"/>
      <c r="B60" s="96"/>
      <c r="C60" s="96"/>
      <c r="D60" s="96"/>
      <c r="E60" s="96"/>
      <c r="F60" s="96"/>
      <c r="G60" s="96"/>
      <c r="H60" s="96"/>
      <c r="I60" s="96"/>
      <c r="J60" s="96"/>
      <c r="K60" s="96"/>
      <c r="L60" s="96"/>
      <c r="M60" s="96"/>
      <c r="N60" s="96"/>
      <c r="O60" s="96"/>
      <c r="P60" s="96"/>
      <c r="Q60" s="96"/>
    </row>
    <row r="61" spans="1:19">
      <c r="A61" s="96"/>
      <c r="B61" s="96"/>
      <c r="C61" s="96"/>
      <c r="D61" s="96"/>
      <c r="E61" s="59" t="s">
        <v>105</v>
      </c>
      <c r="F61" s="96"/>
      <c r="G61" s="96" t="s">
        <v>100</v>
      </c>
      <c r="H61" s="96"/>
      <c r="I61" s="96"/>
      <c r="J61" s="96"/>
      <c r="K61" s="96"/>
      <c r="L61" s="96"/>
      <c r="M61" s="96"/>
      <c r="N61" s="96"/>
      <c r="O61" s="96"/>
      <c r="P61" s="96"/>
      <c r="Q61" s="96"/>
    </row>
    <row r="62" spans="1:19">
      <c r="A62" s="96"/>
      <c r="B62" s="96"/>
      <c r="C62" s="96"/>
      <c r="D62" s="96"/>
      <c r="E62" s="96"/>
      <c r="F62" s="96"/>
      <c r="G62" s="96"/>
      <c r="H62" s="96"/>
      <c r="I62" s="96"/>
      <c r="J62" s="96"/>
      <c r="K62" s="96"/>
      <c r="L62" s="96"/>
      <c r="M62" s="96"/>
      <c r="N62" s="96"/>
      <c r="O62" s="96"/>
      <c r="P62" s="96"/>
      <c r="Q62" s="96"/>
      <c r="S62" s="55" t="s">
        <v>101</v>
      </c>
    </row>
    <row r="63" spans="1:19">
      <c r="A63" s="96"/>
      <c r="B63" s="96"/>
      <c r="C63" s="96"/>
      <c r="D63" s="96"/>
      <c r="E63" s="96">
        <v>125</v>
      </c>
      <c r="F63" s="96"/>
      <c r="G63" s="102">
        <f>(G51+G57)*$C45</f>
        <v>28154747.473040003</v>
      </c>
      <c r="H63" s="102">
        <f t="shared" ref="H63:Q63" si="11">(H51+H57)*$C45</f>
        <v>28633168.659079999</v>
      </c>
      <c r="I63" s="102">
        <f t="shared" si="11"/>
        <v>28656997.103253338</v>
      </c>
      <c r="J63" s="102">
        <f t="shared" si="11"/>
        <v>28269374.531767998</v>
      </c>
      <c r="K63" s="102">
        <f t="shared" si="11"/>
        <v>27404263.855330355</v>
      </c>
      <c r="L63" s="102">
        <f t="shared" si="11"/>
        <v>26090936.562334742</v>
      </c>
      <c r="M63" s="102">
        <f t="shared" si="11"/>
        <v>25577300.918561656</v>
      </c>
      <c r="N63" s="102">
        <f t="shared" si="11"/>
        <v>24884796.748343069</v>
      </c>
      <c r="O63" s="102">
        <f t="shared" si="11"/>
        <v>24014990.973125514</v>
      </c>
      <c r="P63" s="102">
        <f t="shared" si="11"/>
        <v>22969315.724262334</v>
      </c>
      <c r="Q63" s="102">
        <f t="shared" si="11"/>
        <v>23649075.836262621</v>
      </c>
      <c r="S63" s="56">
        <f>SUM(G63:Q63)</f>
        <v>288304968.38536167</v>
      </c>
    </row>
    <row r="64" spans="1:19">
      <c r="A64" s="96"/>
      <c r="B64" s="96"/>
      <c r="C64" s="96"/>
      <c r="D64" s="96"/>
      <c r="E64" s="96">
        <v>100</v>
      </c>
      <c r="F64" s="96"/>
      <c r="G64" s="102">
        <f t="shared" ref="G64:Q65" si="12">(G52+G58)*$C46</f>
        <v>29382266.840454739</v>
      </c>
      <c r="H64" s="102">
        <f t="shared" si="12"/>
        <v>29453456.238383159</v>
      </c>
      <c r="I64" s="102">
        <f t="shared" si="12"/>
        <v>29159289.214562807</v>
      </c>
      <c r="J64" s="102">
        <f t="shared" si="12"/>
        <v>28535229.668754861</v>
      </c>
      <c r="K64" s="102">
        <f t="shared" si="12"/>
        <v>27524842.78992641</v>
      </c>
      <c r="L64" s="102">
        <f t="shared" si="12"/>
        <v>26063005.842960667</v>
      </c>
      <c r="M64" s="102">
        <f t="shared" si="12"/>
        <v>25389917.988299228</v>
      </c>
      <c r="N64" s="102">
        <f t="shared" si="12"/>
        <v>24578901.506811328</v>
      </c>
      <c r="O64" s="102">
        <f t="shared" si="12"/>
        <v>23630644.995358661</v>
      </c>
      <c r="P64" s="102">
        <f t="shared" si="12"/>
        <v>22545753.700629689</v>
      </c>
      <c r="Q64" s="102">
        <f t="shared" si="12"/>
        <v>22924754.426127639</v>
      </c>
      <c r="S64" s="56">
        <f t="shared" ref="S64:S65" si="13">SUM(G64:Q64)</f>
        <v>289188063.21226919</v>
      </c>
    </row>
    <row r="65" spans="1:19">
      <c r="A65" s="96"/>
      <c r="B65" s="96"/>
      <c r="C65" s="96"/>
      <c r="D65" s="96"/>
      <c r="E65" s="96">
        <v>88</v>
      </c>
      <c r="F65" s="96"/>
      <c r="G65" s="102">
        <f t="shared" si="12"/>
        <v>30098727.777663164</v>
      </c>
      <c r="H65" s="102">
        <f t="shared" si="12"/>
        <v>30016206.617842104</v>
      </c>
      <c r="I65" s="102">
        <f t="shared" si="12"/>
        <v>29599020.146078315</v>
      </c>
      <c r="J65" s="102">
        <f t="shared" si="12"/>
        <v>28880026.079674754</v>
      </c>
      <c r="K65" s="102">
        <f t="shared" si="12"/>
        <v>27805945.69952929</v>
      </c>
      <c r="L65" s="102">
        <f t="shared" si="12"/>
        <v>26275328.857170548</v>
      </c>
      <c r="M65" s="102">
        <f t="shared" si="12"/>
        <v>25536060.334362857</v>
      </c>
      <c r="N65" s="102">
        <f t="shared" si="12"/>
        <v>24673197.599223349</v>
      </c>
      <c r="O65" s="102">
        <f t="shared" si="12"/>
        <v>23687102.299138892</v>
      </c>
      <c r="P65" s="102">
        <f t="shared" si="12"/>
        <v>22578071.511482164</v>
      </c>
      <c r="Q65" s="102">
        <f t="shared" si="12"/>
        <v>22846341.712510474</v>
      </c>
      <c r="S65" s="56">
        <f t="shared" si="13"/>
        <v>291996028.63467592</v>
      </c>
    </row>
    <row r="66" spans="1:19">
      <c r="A66" s="96"/>
      <c r="B66" s="96"/>
      <c r="C66" s="96"/>
      <c r="D66" s="96"/>
      <c r="E66" s="96"/>
      <c r="F66" s="96"/>
      <c r="G66" s="100"/>
      <c r="H66" s="100"/>
      <c r="I66" s="100"/>
      <c r="J66" s="100"/>
      <c r="K66" s="100"/>
      <c r="L66" s="100"/>
      <c r="M66" s="100"/>
      <c r="N66" s="100"/>
      <c r="O66" s="100"/>
      <c r="P66" s="100"/>
      <c r="Q66" s="100"/>
      <c r="S66" s="56"/>
    </row>
    <row r="67" spans="1:19">
      <c r="A67" s="59" t="s">
        <v>166</v>
      </c>
      <c r="B67" s="96"/>
      <c r="C67" s="96"/>
      <c r="D67" s="96"/>
      <c r="E67" s="96"/>
      <c r="F67" s="96"/>
      <c r="G67" s="99"/>
      <c r="H67" s="99"/>
      <c r="I67" s="99"/>
      <c r="J67" s="99"/>
      <c r="K67" s="99"/>
      <c r="L67" s="99"/>
      <c r="M67" s="99"/>
      <c r="N67" s="99"/>
      <c r="O67" s="99"/>
      <c r="P67" s="99"/>
      <c r="Q67" s="99"/>
    </row>
    <row r="68" spans="1:19">
      <c r="A68" s="59" t="s">
        <v>104</v>
      </c>
      <c r="B68" s="96" t="s">
        <v>94</v>
      </c>
      <c r="C68" s="99" t="s">
        <v>93</v>
      </c>
      <c r="D68" s="96"/>
      <c r="E68" s="59" t="s">
        <v>105</v>
      </c>
      <c r="F68" s="96"/>
      <c r="G68" s="59" t="s">
        <v>106</v>
      </c>
      <c r="H68" s="96"/>
      <c r="I68" s="96"/>
      <c r="J68" s="96"/>
      <c r="K68" s="96"/>
      <c r="L68" s="96"/>
      <c r="M68" s="96"/>
      <c r="N68" s="96"/>
      <c r="O68" s="96"/>
      <c r="P68" s="96"/>
      <c r="Q68" s="96"/>
    </row>
    <row r="69" spans="1:19" ht="16">
      <c r="A69" s="96"/>
      <c r="B69" s="96"/>
      <c r="C69" s="96"/>
      <c r="D69" s="96"/>
      <c r="E69" s="96"/>
      <c r="F69" s="96"/>
      <c r="G69" s="96"/>
      <c r="H69" s="96"/>
      <c r="I69" s="96"/>
      <c r="J69" s="96"/>
      <c r="K69" s="96"/>
      <c r="L69" s="96"/>
      <c r="M69" s="96"/>
      <c r="N69" s="96"/>
      <c r="O69" s="96"/>
      <c r="P69" s="96"/>
      <c r="Q69" s="96"/>
    </row>
    <row r="70" spans="1:19" ht="16">
      <c r="A70" s="96">
        <v>125</v>
      </c>
      <c r="B70" s="100">
        <f>L70*4</f>
        <v>4603.5550047137285</v>
      </c>
      <c r="C70" s="101">
        <f>ROUNDDOWN($L$10/B70,0)</f>
        <v>32</v>
      </c>
      <c r="D70" s="96"/>
      <c r="E70" s="96">
        <v>125</v>
      </c>
      <c r="F70" s="96"/>
      <c r="G70" s="100">
        <v>1172.4379668000001</v>
      </c>
      <c r="H70" s="100">
        <v>1203.1388935999998</v>
      </c>
      <c r="I70" s="100">
        <v>1220.1455344000001</v>
      </c>
      <c r="J70" s="100">
        <v>1225.0477720799995</v>
      </c>
      <c r="K70" s="100">
        <v>1219.2847468895998</v>
      </c>
      <c r="L70" s="100">
        <v>1150.8887511784321</v>
      </c>
      <c r="M70" s="100">
        <v>1131.6570760086372</v>
      </c>
      <c r="N70" s="100">
        <v>1105.7523859915875</v>
      </c>
      <c r="O70" s="100">
        <v>1074.0630985554508</v>
      </c>
      <c r="P70" s="100">
        <v>1037.3925873149099</v>
      </c>
      <c r="Q70" s="100">
        <v>996.4671032097807</v>
      </c>
    </row>
    <row r="71" spans="1:19" ht="16">
      <c r="A71" s="96">
        <v>100</v>
      </c>
      <c r="B71" s="100">
        <f t="shared" ref="B71:B72" si="14">L71*4</f>
        <v>5173.1279844109831</v>
      </c>
      <c r="C71" s="101">
        <f t="shared" ref="C71:C72" si="15">ROUNDDOWN($L$10/B71,0)</f>
        <v>28</v>
      </c>
      <c r="D71" s="96"/>
      <c r="E71" s="96">
        <v>100</v>
      </c>
      <c r="F71" s="96"/>
      <c r="G71" s="100">
        <v>1448.4859668000001</v>
      </c>
      <c r="H71" s="100">
        <v>1447.9030535999998</v>
      </c>
      <c r="I71" s="100">
        <v>1436.8645616000003</v>
      </c>
      <c r="J71" s="100">
        <v>1416.6423971039992</v>
      </c>
      <c r="K71" s="100">
        <v>1388.38787231168</v>
      </c>
      <c r="L71" s="100">
        <v>1293.2819961027458</v>
      </c>
      <c r="M71" s="100">
        <v>1257.2016663269096</v>
      </c>
      <c r="N71" s="100">
        <v>1216.2327896732704</v>
      </c>
      <c r="O71" s="100">
        <v>1171.0861000843604</v>
      </c>
      <c r="P71" s="100">
        <v>1122.4042964519278</v>
      </c>
      <c r="Q71" s="100">
        <v>1070.7683795278244</v>
      </c>
    </row>
    <row r="72" spans="1:19" ht="16">
      <c r="A72" s="96">
        <v>88</v>
      </c>
      <c r="B72" s="100">
        <f t="shared" si="14"/>
        <v>5446.523014665664</v>
      </c>
      <c r="C72" s="101">
        <f t="shared" si="15"/>
        <v>27</v>
      </c>
      <c r="D72" s="96"/>
      <c r="E72" s="96">
        <v>88</v>
      </c>
      <c r="F72" s="96"/>
      <c r="G72" s="100">
        <v>1580.9890068000002</v>
      </c>
      <c r="H72" s="100">
        <v>1565.3898503999999</v>
      </c>
      <c r="I72" s="100">
        <v>1540.8896946559998</v>
      </c>
      <c r="J72" s="100">
        <v>1508.6078171155198</v>
      </c>
      <c r="K72" s="100">
        <v>1469.5573725142783</v>
      </c>
      <c r="L72" s="100">
        <v>1361.630753666416</v>
      </c>
      <c r="M72" s="100">
        <v>1317.4630696796805</v>
      </c>
      <c r="N72" s="100">
        <v>1269.263383440478</v>
      </c>
      <c r="O72" s="100">
        <v>1217.6571408182372</v>
      </c>
      <c r="P72" s="100">
        <v>1163.2099168376963</v>
      </c>
      <c r="Q72" s="100">
        <v>1106.4329921604856</v>
      </c>
    </row>
    <row r="73" spans="1:19" ht="16">
      <c r="A73" s="96"/>
      <c r="B73" s="96"/>
      <c r="C73" s="96"/>
      <c r="D73" s="96"/>
      <c r="E73" s="96"/>
      <c r="F73" s="96"/>
      <c r="G73" s="96"/>
      <c r="H73" s="96"/>
      <c r="I73" s="96"/>
      <c r="J73" s="96"/>
      <c r="K73" s="96"/>
      <c r="L73" s="96"/>
      <c r="M73" s="96"/>
      <c r="N73" s="96"/>
      <c r="O73" s="96"/>
      <c r="P73" s="96"/>
      <c r="Q73" s="96"/>
    </row>
    <row r="74" spans="1:19" ht="16">
      <c r="A74" s="96"/>
      <c r="B74" s="96"/>
      <c r="C74" s="96"/>
      <c r="D74" s="96"/>
      <c r="E74" s="59" t="s">
        <v>105</v>
      </c>
      <c r="F74" s="96"/>
      <c r="G74" s="59" t="s">
        <v>99</v>
      </c>
      <c r="H74" s="96"/>
      <c r="I74" s="96"/>
      <c r="J74" s="96"/>
    </row>
    <row r="75" spans="1:19" ht="16">
      <c r="A75" s="96"/>
      <c r="B75" s="96"/>
      <c r="C75" s="96"/>
      <c r="D75" s="96"/>
      <c r="E75" s="96"/>
      <c r="F75" s="96"/>
      <c r="G75" s="96"/>
      <c r="H75" s="96"/>
      <c r="I75" s="96"/>
      <c r="J75" s="96"/>
    </row>
    <row r="76" spans="1:19" ht="16">
      <c r="A76" s="96"/>
      <c r="B76" s="96"/>
      <c r="C76" s="96"/>
      <c r="D76" s="96"/>
      <c r="E76" s="96">
        <v>125</v>
      </c>
      <c r="F76" s="96"/>
      <c r="G76" s="102">
        <f t="shared" ref="G76:Q78" si="16">G70*G$12*4</f>
        <v>703462.78008000006</v>
      </c>
      <c r="H76" s="102">
        <f t="shared" si="16"/>
        <v>721883.33615999995</v>
      </c>
      <c r="I76" s="102">
        <f t="shared" si="16"/>
        <v>732087.32064000005</v>
      </c>
      <c r="J76" s="102">
        <f t="shared" si="16"/>
        <v>735028.66324799974</v>
      </c>
      <c r="K76" s="102">
        <f t="shared" si="16"/>
        <v>731570.84813375981</v>
      </c>
      <c r="L76" s="102">
        <f t="shared" si="16"/>
        <v>690533.25070705928</v>
      </c>
      <c r="M76" s="102">
        <f t="shared" si="16"/>
        <v>678994.24560518237</v>
      </c>
      <c r="N76" s="102">
        <f t="shared" si="16"/>
        <v>663451.43159495248</v>
      </c>
      <c r="O76" s="102">
        <f t="shared" si="16"/>
        <v>644437.85913327045</v>
      </c>
      <c r="P76" s="102">
        <f t="shared" si="16"/>
        <v>622435.55238894594</v>
      </c>
      <c r="Q76" s="102">
        <f t="shared" si="16"/>
        <v>597880.26192586846</v>
      </c>
    </row>
    <row r="77" spans="1:19" ht="16">
      <c r="A77" s="96"/>
      <c r="B77" s="96"/>
      <c r="C77" s="96"/>
      <c r="D77" s="96"/>
      <c r="E77" s="96">
        <v>100</v>
      </c>
      <c r="F77" s="96"/>
      <c r="G77" s="102">
        <f t="shared" si="16"/>
        <v>869091.5800800001</v>
      </c>
      <c r="H77" s="102">
        <f t="shared" si="16"/>
        <v>868741.83215999987</v>
      </c>
      <c r="I77" s="102">
        <f t="shared" si="16"/>
        <v>862118.73696000024</v>
      </c>
      <c r="J77" s="102">
        <f t="shared" si="16"/>
        <v>849985.43826239952</v>
      </c>
      <c r="K77" s="102">
        <f t="shared" si="16"/>
        <v>833032.72338700795</v>
      </c>
      <c r="L77" s="102">
        <f t="shared" si="16"/>
        <v>775969.19766164746</v>
      </c>
      <c r="M77" s="102">
        <f t="shared" si="16"/>
        <v>754320.99979614583</v>
      </c>
      <c r="N77" s="102">
        <f t="shared" si="16"/>
        <v>729739.6738039623</v>
      </c>
      <c r="O77" s="102">
        <f t="shared" si="16"/>
        <v>702651.66005061625</v>
      </c>
      <c r="P77" s="102">
        <f t="shared" si="16"/>
        <v>673442.57787115674</v>
      </c>
      <c r="Q77" s="102">
        <f t="shared" si="16"/>
        <v>642461.02771669463</v>
      </c>
    </row>
    <row r="78" spans="1:19" ht="16">
      <c r="A78" s="96"/>
      <c r="B78" s="96"/>
      <c r="C78" s="96"/>
      <c r="D78" s="96"/>
      <c r="E78" s="96">
        <v>88</v>
      </c>
      <c r="F78" s="96"/>
      <c r="G78" s="102">
        <f t="shared" si="16"/>
        <v>948593.40408000012</v>
      </c>
      <c r="H78" s="102">
        <f t="shared" si="16"/>
        <v>939233.91023999988</v>
      </c>
      <c r="I78" s="102">
        <f t="shared" si="16"/>
        <v>924533.81679359986</v>
      </c>
      <c r="J78" s="102">
        <f t="shared" si="16"/>
        <v>905164.69026931189</v>
      </c>
      <c r="K78" s="102">
        <f t="shared" si="16"/>
        <v>881734.42350856704</v>
      </c>
      <c r="L78" s="102">
        <f t="shared" si="16"/>
        <v>816978.45219984965</v>
      </c>
      <c r="M78" s="102">
        <f t="shared" si="16"/>
        <v>790477.84180780826</v>
      </c>
      <c r="N78" s="102">
        <f t="shared" si="16"/>
        <v>761558.03006428678</v>
      </c>
      <c r="O78" s="102">
        <f t="shared" si="16"/>
        <v>730594.28449094226</v>
      </c>
      <c r="P78" s="102">
        <f t="shared" si="16"/>
        <v>697925.95010261773</v>
      </c>
      <c r="Q78" s="102">
        <f t="shared" si="16"/>
        <v>663859.79529629136</v>
      </c>
    </row>
    <row r="79" spans="1:19" ht="16">
      <c r="A79" s="96"/>
      <c r="B79" s="96"/>
      <c r="C79" s="96"/>
      <c r="D79" s="96"/>
      <c r="E79" s="96"/>
      <c r="F79" s="96"/>
      <c r="G79" s="96"/>
      <c r="H79" s="96"/>
      <c r="I79" s="96"/>
      <c r="J79" s="96"/>
      <c r="K79" s="96"/>
      <c r="L79" s="96"/>
      <c r="M79" s="96"/>
      <c r="N79" s="96"/>
      <c r="O79" s="96"/>
      <c r="P79" s="96"/>
      <c r="Q79" s="96"/>
    </row>
    <row r="80" spans="1:19" ht="16">
      <c r="A80" s="96"/>
      <c r="B80" s="96"/>
      <c r="C80" s="96"/>
      <c r="D80" s="96"/>
      <c r="E80" s="59" t="s">
        <v>105</v>
      </c>
      <c r="F80" s="96"/>
      <c r="G80" s="59" t="s">
        <v>98</v>
      </c>
      <c r="H80" s="96"/>
      <c r="I80" s="96"/>
      <c r="J80" s="96"/>
      <c r="K80" s="96"/>
      <c r="L80" s="96"/>
      <c r="M80" s="96"/>
      <c r="N80" s="96"/>
      <c r="O80" s="96"/>
      <c r="P80" s="96"/>
      <c r="Q80" s="96"/>
    </row>
    <row r="81" spans="1:19" ht="16">
      <c r="A81" s="96"/>
      <c r="B81" s="96"/>
      <c r="C81" s="96"/>
      <c r="D81" s="96"/>
      <c r="E81" s="96"/>
      <c r="F81" s="96"/>
      <c r="G81" s="96"/>
      <c r="H81" s="96"/>
      <c r="I81" s="96"/>
      <c r="J81" s="96"/>
      <c r="K81" s="96"/>
      <c r="L81" s="96"/>
      <c r="M81" s="96"/>
      <c r="N81" s="96"/>
      <c r="O81" s="96"/>
      <c r="P81" s="96"/>
      <c r="Q81" s="96"/>
    </row>
    <row r="82" spans="1:19" ht="16">
      <c r="A82" s="96"/>
      <c r="B82" s="96"/>
      <c r="C82" s="96"/>
      <c r="D82" s="96"/>
      <c r="E82" s="96">
        <v>125</v>
      </c>
      <c r="F82" s="96"/>
      <c r="G82" s="102">
        <v>37451.627105263178</v>
      </c>
      <c r="H82" s="102">
        <v>66395.28328947362</v>
      </c>
      <c r="I82" s="102">
        <v>86137.284561403445</v>
      </c>
      <c r="J82" s="102">
        <v>97478.759342105244</v>
      </c>
      <c r="K82" s="102">
        <v>98376.177840701654</v>
      </c>
      <c r="L82" s="102">
        <v>118616.90384602104</v>
      </c>
      <c r="M82" s="102">
        <v>129701.20580162574</v>
      </c>
      <c r="N82" s="102">
        <v>137269.88923571887</v>
      </c>
      <c r="O82" s="102">
        <v>141175.82358882693</v>
      </c>
      <c r="P82" s="102">
        <v>141283.84364862903</v>
      </c>
      <c r="Q82" s="102">
        <v>187469.57406505151</v>
      </c>
    </row>
    <row r="83" spans="1:19" ht="16">
      <c r="A83" s="96"/>
      <c r="B83" s="96"/>
      <c r="C83" s="96"/>
      <c r="D83" s="96"/>
      <c r="E83" s="96">
        <v>100</v>
      </c>
      <c r="F83" s="96"/>
      <c r="G83" s="102">
        <v>49104.258684210479</v>
      </c>
      <c r="H83" s="102">
        <v>79498.020131579018</v>
      </c>
      <c r="I83" s="102">
        <v>100383.53298245603</v>
      </c>
      <c r="J83" s="102">
        <v>112601.69997368415</v>
      </c>
      <c r="K83" s="102">
        <v>114144.36393922812</v>
      </c>
      <c r="L83" s="102">
        <v>136536.98357681674</v>
      </c>
      <c r="M83" s="102">
        <v>147600.80544130062</v>
      </c>
      <c r="N83" s="102">
        <v>155037.59708857513</v>
      </c>
      <c r="O83" s="102">
        <v>158718.18490306148</v>
      </c>
      <c r="P83" s="102">
        <v>158523.20054016332</v>
      </c>
      <c r="Q83" s="102">
        <v>204342.13612910616</v>
      </c>
    </row>
    <row r="84" spans="1:19" ht="16">
      <c r="A84" s="96"/>
      <c r="B84" s="96"/>
      <c r="C84" s="96"/>
      <c r="D84" s="96"/>
      <c r="E84" s="96">
        <v>88</v>
      </c>
      <c r="F84" s="96"/>
      <c r="G84" s="102">
        <v>54697.521842105314</v>
      </c>
      <c r="H84" s="102">
        <v>85787.333815789432</v>
      </c>
      <c r="I84" s="102">
        <v>107221.73222456139</v>
      </c>
      <c r="J84" s="102">
        <v>119860.71147684206</v>
      </c>
      <c r="K84" s="102">
        <v>121713.09326652077</v>
      </c>
      <c r="L84" s="102">
        <v>145138.62184759881</v>
      </c>
      <c r="M84" s="102">
        <v>156192.61326834466</v>
      </c>
      <c r="N84" s="102">
        <v>163566.09685794613</v>
      </c>
      <c r="O84" s="102">
        <v>167138.5183338942</v>
      </c>
      <c r="P84" s="102">
        <v>166798.0918480996</v>
      </c>
      <c r="Q84" s="102">
        <v>212440.96591985249</v>
      </c>
    </row>
    <row r="85" spans="1:19">
      <c r="A85" s="96"/>
      <c r="B85" s="96"/>
      <c r="C85" s="96"/>
      <c r="D85" s="96"/>
      <c r="E85" s="96"/>
      <c r="F85" s="96"/>
      <c r="G85" s="96"/>
      <c r="H85" s="96"/>
      <c r="I85" s="96"/>
      <c r="J85" s="96"/>
      <c r="K85" s="96"/>
      <c r="L85" s="96"/>
      <c r="M85" s="96"/>
      <c r="N85" s="96"/>
      <c r="O85" s="96"/>
      <c r="P85" s="96"/>
      <c r="Q85" s="96"/>
    </row>
    <row r="86" spans="1:19">
      <c r="A86" s="96"/>
      <c r="B86" s="96"/>
      <c r="C86" s="96"/>
      <c r="D86" s="96"/>
      <c r="E86" s="59" t="s">
        <v>105</v>
      </c>
      <c r="F86" s="96"/>
      <c r="G86" s="96" t="s">
        <v>100</v>
      </c>
      <c r="H86" s="96"/>
      <c r="I86" s="96"/>
      <c r="J86" s="96"/>
      <c r="K86" s="96"/>
      <c r="L86" s="96"/>
      <c r="M86" s="96"/>
      <c r="N86" s="96"/>
      <c r="O86" s="96"/>
      <c r="P86" s="96"/>
      <c r="Q86" s="96"/>
    </row>
    <row r="87" spans="1:19">
      <c r="A87" s="96"/>
      <c r="B87" s="96"/>
      <c r="C87" s="96"/>
      <c r="D87" s="96"/>
      <c r="E87" s="96"/>
      <c r="F87" s="96"/>
      <c r="G87" s="96"/>
      <c r="H87" s="96"/>
      <c r="I87" s="96"/>
      <c r="J87" s="96"/>
      <c r="K87" s="96"/>
      <c r="L87" s="96"/>
      <c r="M87" s="96"/>
      <c r="N87" s="96"/>
      <c r="O87" s="96"/>
      <c r="P87" s="96"/>
      <c r="Q87" s="96"/>
      <c r="S87" s="55" t="s">
        <v>101</v>
      </c>
    </row>
    <row r="88" spans="1:19">
      <c r="A88" s="96"/>
      <c r="B88" s="96"/>
      <c r="C88" s="96"/>
      <c r="D88" s="96"/>
      <c r="E88" s="96">
        <v>125</v>
      </c>
      <c r="F88" s="96"/>
      <c r="G88" s="102">
        <f>(G76+G82)*$C70</f>
        <v>23709261.029928423</v>
      </c>
      <c r="H88" s="102">
        <f t="shared" ref="H88:Q88" si="17">(H76+H82)*$C70</f>
        <v>25224915.822383154</v>
      </c>
      <c r="I88" s="102">
        <f t="shared" si="17"/>
        <v>26183187.366444912</v>
      </c>
      <c r="J88" s="102">
        <f t="shared" si="17"/>
        <v>26640237.522883359</v>
      </c>
      <c r="K88" s="102">
        <f t="shared" si="17"/>
        <v>26558304.831182767</v>
      </c>
      <c r="L88" s="102">
        <f t="shared" si="17"/>
        <v>25892804.94569857</v>
      </c>
      <c r="M88" s="102">
        <f t="shared" si="17"/>
        <v>25878254.445017859</v>
      </c>
      <c r="N88" s="102">
        <f t="shared" si="17"/>
        <v>25623082.266581483</v>
      </c>
      <c r="O88" s="102">
        <f t="shared" si="17"/>
        <v>25139637.847107116</v>
      </c>
      <c r="P88" s="102">
        <f t="shared" si="17"/>
        <v>24439020.673202399</v>
      </c>
      <c r="Q88" s="102">
        <f t="shared" si="17"/>
        <v>25131194.751709439</v>
      </c>
      <c r="S88" s="56">
        <f>SUM(G88:Q88)</f>
        <v>280419901.50213951</v>
      </c>
    </row>
    <row r="89" spans="1:19">
      <c r="A89" s="96"/>
      <c r="B89" s="96"/>
      <c r="C89" s="96"/>
      <c r="D89" s="96"/>
      <c r="E89" s="96">
        <v>100</v>
      </c>
      <c r="F89" s="96"/>
      <c r="G89" s="102">
        <f t="shared" ref="G89:Q90" si="18">(G77+G83)*$C71</f>
        <v>25709483.485397898</v>
      </c>
      <c r="H89" s="102">
        <f t="shared" si="18"/>
        <v>26550715.864164211</v>
      </c>
      <c r="I89" s="102">
        <f t="shared" si="18"/>
        <v>26950063.558388777</v>
      </c>
      <c r="J89" s="102">
        <f t="shared" si="18"/>
        <v>26952439.870610341</v>
      </c>
      <c r="K89" s="102">
        <f t="shared" si="18"/>
        <v>26520958.44513461</v>
      </c>
      <c r="L89" s="102">
        <f t="shared" si="18"/>
        <v>25550173.074676998</v>
      </c>
      <c r="M89" s="102">
        <f t="shared" si="18"/>
        <v>25253810.546648502</v>
      </c>
      <c r="N89" s="102">
        <f t="shared" si="18"/>
        <v>24773763.584991049</v>
      </c>
      <c r="O89" s="102">
        <f t="shared" si="18"/>
        <v>24118355.658702977</v>
      </c>
      <c r="P89" s="102">
        <f t="shared" si="18"/>
        <v>23295041.79551696</v>
      </c>
      <c r="Q89" s="102">
        <f t="shared" si="18"/>
        <v>23710488.587682422</v>
      </c>
      <c r="S89" s="56">
        <f t="shared" ref="S89:S90" si="19">SUM(G89:Q89)</f>
        <v>279385294.47191471</v>
      </c>
    </row>
    <row r="90" spans="1:19">
      <c r="A90" s="96"/>
      <c r="B90" s="96"/>
      <c r="C90" s="96"/>
      <c r="D90" s="96"/>
      <c r="E90" s="96">
        <v>88</v>
      </c>
      <c r="F90" s="96"/>
      <c r="G90" s="102">
        <f t="shared" si="18"/>
        <v>27088854.999896847</v>
      </c>
      <c r="H90" s="102">
        <f t="shared" si="18"/>
        <v>27675573.589506313</v>
      </c>
      <c r="I90" s="102">
        <f t="shared" si="18"/>
        <v>27857399.823490355</v>
      </c>
      <c r="J90" s="102">
        <f t="shared" si="18"/>
        <v>27675685.847146157</v>
      </c>
      <c r="K90" s="102">
        <f t="shared" si="18"/>
        <v>27093082.95292737</v>
      </c>
      <c r="L90" s="102">
        <f t="shared" si="18"/>
        <v>25977160.999281108</v>
      </c>
      <c r="M90" s="102">
        <f t="shared" si="18"/>
        <v>25560102.287056129</v>
      </c>
      <c r="N90" s="102">
        <f t="shared" si="18"/>
        <v>24978351.42690029</v>
      </c>
      <c r="O90" s="102">
        <f t="shared" si="18"/>
        <v>24238785.676270586</v>
      </c>
      <c r="P90" s="102">
        <f t="shared" si="18"/>
        <v>23347549.132669367</v>
      </c>
      <c r="Q90" s="102">
        <f t="shared" si="18"/>
        <v>23660120.552835885</v>
      </c>
      <c r="S90" s="56">
        <f t="shared" si="19"/>
        <v>285152667.28798038</v>
      </c>
    </row>
    <row r="91" spans="1:19">
      <c r="A91" s="59" t="s">
        <v>96</v>
      </c>
      <c r="B91" s="96"/>
      <c r="C91" s="96"/>
      <c r="D91" s="96"/>
      <c r="E91" s="96"/>
      <c r="F91" s="96"/>
    </row>
    <row r="92" spans="1:19">
      <c r="A92" s="59" t="s">
        <v>105</v>
      </c>
      <c r="B92" s="96" t="s">
        <v>94</v>
      </c>
      <c r="C92" s="99" t="s">
        <v>93</v>
      </c>
      <c r="D92" s="96"/>
      <c r="E92" s="59" t="s">
        <v>105</v>
      </c>
      <c r="F92" s="96"/>
      <c r="G92" s="59" t="s">
        <v>106</v>
      </c>
      <c r="H92" s="96"/>
      <c r="I92" s="96"/>
      <c r="J92" s="96"/>
      <c r="K92" s="96"/>
      <c r="L92" s="96"/>
      <c r="M92" s="96"/>
      <c r="N92" s="96"/>
      <c r="O92" s="96"/>
      <c r="P92" s="96"/>
      <c r="Q92" s="96"/>
    </row>
    <row r="93" spans="1:19">
      <c r="A93" s="96"/>
      <c r="B93" s="96"/>
      <c r="C93" s="96"/>
      <c r="D93" s="96"/>
      <c r="E93" s="96"/>
      <c r="F93" s="96"/>
      <c r="G93" s="96"/>
      <c r="H93" s="96"/>
      <c r="I93" s="96"/>
      <c r="J93" s="96"/>
      <c r="K93" s="96"/>
      <c r="L93" s="96"/>
      <c r="M93" s="96"/>
      <c r="N93" s="96"/>
      <c r="O93" s="96"/>
      <c r="P93" s="96"/>
      <c r="Q93" s="96"/>
    </row>
    <row r="94" spans="1:19">
      <c r="A94" s="96">
        <v>125</v>
      </c>
      <c r="B94" s="100">
        <f>L94*4</f>
        <v>3130.4599032000001</v>
      </c>
      <c r="C94" s="101">
        <f>ROUNDDOWN($L$10/B94,0)</f>
        <v>47</v>
      </c>
      <c r="D94" s="96"/>
      <c r="E94" s="96">
        <v>125</v>
      </c>
      <c r="F94" s="96"/>
      <c r="G94" s="100">
        <v>1172.4379668000001</v>
      </c>
      <c r="H94" s="100">
        <v>1096.7196935999998</v>
      </c>
      <c r="I94" s="100">
        <v>1023.5006704000002</v>
      </c>
      <c r="J94" s="100">
        <v>952.7808971999998</v>
      </c>
      <c r="K94" s="100">
        <v>884.5603739999998</v>
      </c>
      <c r="L94" s="100">
        <v>782.61497580000002</v>
      </c>
      <c r="M94" s="100">
        <v>806.95922759999974</v>
      </c>
      <c r="N94" s="100">
        <v>820.01526839999985</v>
      </c>
      <c r="O94" s="100">
        <v>823.13106107999954</v>
      </c>
      <c r="P94" s="100">
        <v>817.52553468959968</v>
      </c>
      <c r="Q94" s="100">
        <v>804.30060289843186</v>
      </c>
    </row>
    <row r="95" spans="1:19">
      <c r="A95" s="96">
        <v>100</v>
      </c>
      <c r="B95" s="100">
        <f t="shared" ref="B95:B96" si="20">L95*4</f>
        <v>3994.6519032000001</v>
      </c>
      <c r="C95" s="101">
        <f t="shared" ref="C95:C96" si="21">ROUNDDOWN($L$10/B95,0)</f>
        <v>37</v>
      </c>
      <c r="D95" s="96"/>
      <c r="E95" s="96">
        <v>100</v>
      </c>
      <c r="F95" s="96"/>
      <c r="G95" s="100">
        <v>1448.4859668000001</v>
      </c>
      <c r="H95" s="100">
        <v>1362.7676935999998</v>
      </c>
      <c r="I95" s="100">
        <v>1279.5486704000002</v>
      </c>
      <c r="J95" s="100">
        <v>1198.8288971999998</v>
      </c>
      <c r="K95" s="100">
        <v>1120.6083739999999</v>
      </c>
      <c r="L95" s="100">
        <v>998.66297580000003</v>
      </c>
      <c r="M95" s="100">
        <v>997.44338759999971</v>
      </c>
      <c r="N95" s="100">
        <v>987.64309559999981</v>
      </c>
      <c r="O95" s="100">
        <v>970.34047010399945</v>
      </c>
      <c r="P95" s="100">
        <v>946.5106543516797</v>
      </c>
      <c r="Q95" s="100">
        <v>917.03517927874555</v>
      </c>
    </row>
    <row r="96" spans="1:19">
      <c r="A96" s="96">
        <v>88</v>
      </c>
      <c r="B96" s="100">
        <f t="shared" si="20"/>
        <v>4409.464063200001</v>
      </c>
      <c r="C96" s="101">
        <f t="shared" si="21"/>
        <v>33</v>
      </c>
      <c r="D96" s="96"/>
      <c r="E96" s="96">
        <v>88</v>
      </c>
      <c r="F96" s="96"/>
      <c r="G96" s="100">
        <v>1580.9890068000002</v>
      </c>
      <c r="H96" s="100">
        <v>1490.4707335999999</v>
      </c>
      <c r="I96" s="100">
        <v>1402.4517104000004</v>
      </c>
      <c r="J96" s="100">
        <v>1316.9319371999998</v>
      </c>
      <c r="K96" s="100">
        <v>1233.9114139999999</v>
      </c>
      <c r="L96" s="100">
        <v>1102.3660158000002</v>
      </c>
      <c r="M96" s="100">
        <v>1088.8757843999995</v>
      </c>
      <c r="N96" s="100">
        <v>1068.1044526559997</v>
      </c>
      <c r="O96" s="100">
        <v>1041.0009864355197</v>
      </c>
      <c r="P96" s="100">
        <v>1008.4235117894783</v>
      </c>
      <c r="Q96" s="100">
        <v>971.14777594129589</v>
      </c>
    </row>
    <row r="97" spans="1:19">
      <c r="A97" s="96"/>
      <c r="B97" s="96"/>
      <c r="C97" s="96"/>
      <c r="D97" s="96"/>
      <c r="E97" s="96"/>
      <c r="F97" s="96"/>
      <c r="G97" s="96"/>
      <c r="H97" s="96"/>
      <c r="I97" s="96"/>
      <c r="J97" s="96"/>
      <c r="K97" s="96"/>
      <c r="L97" s="96"/>
      <c r="M97" s="96"/>
      <c r="N97" s="96"/>
      <c r="O97" s="96"/>
      <c r="P97" s="96"/>
      <c r="Q97" s="96"/>
    </row>
    <row r="98" spans="1:19">
      <c r="A98" s="96"/>
      <c r="B98" s="96"/>
      <c r="C98" s="96"/>
      <c r="D98" s="96"/>
      <c r="E98" s="59" t="s">
        <v>105</v>
      </c>
      <c r="F98" s="96"/>
      <c r="G98" s="59" t="s">
        <v>99</v>
      </c>
      <c r="H98" s="96"/>
      <c r="I98" s="96"/>
      <c r="J98" s="96"/>
      <c r="K98" s="96"/>
      <c r="L98" s="96"/>
      <c r="M98" s="96"/>
      <c r="N98" s="96"/>
      <c r="O98" s="96"/>
      <c r="P98" s="96"/>
      <c r="Q98" s="96"/>
    </row>
    <row r="99" spans="1:19">
      <c r="A99" s="96"/>
      <c r="B99" s="96"/>
      <c r="C99" s="96"/>
      <c r="D99" s="96"/>
      <c r="E99" s="96"/>
      <c r="F99" s="96"/>
      <c r="G99" s="96"/>
      <c r="H99" s="96"/>
      <c r="I99" s="96"/>
      <c r="J99" s="96"/>
      <c r="K99" s="96"/>
      <c r="L99" s="96"/>
      <c r="M99" s="96"/>
      <c r="N99" s="96"/>
      <c r="O99" s="96"/>
      <c r="P99" s="96"/>
      <c r="Q99" s="96"/>
    </row>
    <row r="100" spans="1:19">
      <c r="A100" s="96"/>
      <c r="B100" s="96"/>
      <c r="C100" s="96"/>
      <c r="D100" s="96"/>
      <c r="E100" s="96">
        <v>125</v>
      </c>
      <c r="F100" s="96"/>
      <c r="G100" s="102">
        <f t="shared" ref="G100:Q102" si="22">G94*G$12*4</f>
        <v>703462.78008000006</v>
      </c>
      <c r="H100" s="102">
        <f t="shared" si="22"/>
        <v>658031.81615999993</v>
      </c>
      <c r="I100" s="102">
        <f t="shared" si="22"/>
        <v>614100.40224000008</v>
      </c>
      <c r="J100" s="102">
        <f t="shared" si="22"/>
        <v>571668.53831999993</v>
      </c>
      <c r="K100" s="102">
        <f t="shared" si="22"/>
        <v>530736.22439999983</v>
      </c>
      <c r="L100" s="102">
        <f t="shared" si="22"/>
        <v>469568.98548000003</v>
      </c>
      <c r="M100" s="102">
        <f t="shared" si="22"/>
        <v>484175.53655999986</v>
      </c>
      <c r="N100" s="102">
        <f t="shared" si="22"/>
        <v>492009.16103999992</v>
      </c>
      <c r="O100" s="102">
        <f t="shared" si="22"/>
        <v>493878.63664799975</v>
      </c>
      <c r="P100" s="102">
        <f t="shared" si="22"/>
        <v>490515.32081375981</v>
      </c>
      <c r="Q100" s="102">
        <f t="shared" si="22"/>
        <v>482580.3617390591</v>
      </c>
    </row>
    <row r="101" spans="1:19">
      <c r="A101" s="96"/>
      <c r="B101" s="96"/>
      <c r="C101" s="96"/>
      <c r="D101" s="96"/>
      <c r="E101" s="96">
        <v>100</v>
      </c>
      <c r="F101" s="96"/>
      <c r="G101" s="102">
        <f t="shared" si="22"/>
        <v>869091.5800800001</v>
      </c>
      <c r="H101" s="102">
        <f t="shared" si="22"/>
        <v>817660.61615999986</v>
      </c>
      <c r="I101" s="102">
        <f t="shared" si="22"/>
        <v>767729.20224000013</v>
      </c>
      <c r="J101" s="102">
        <f t="shared" si="22"/>
        <v>719297.33831999986</v>
      </c>
      <c r="K101" s="102">
        <f t="shared" si="22"/>
        <v>672365.02439999999</v>
      </c>
      <c r="L101" s="102">
        <f t="shared" si="22"/>
        <v>599197.78547999996</v>
      </c>
      <c r="M101" s="102">
        <f t="shared" si="22"/>
        <v>598466.03255999985</v>
      </c>
      <c r="N101" s="102">
        <f t="shared" si="22"/>
        <v>592585.85735999991</v>
      </c>
      <c r="O101" s="102">
        <f t="shared" si="22"/>
        <v>582204.28206239967</v>
      </c>
      <c r="P101" s="102">
        <f t="shared" si="22"/>
        <v>567906.39261100779</v>
      </c>
      <c r="Q101" s="102">
        <f t="shared" si="22"/>
        <v>550221.10756724735</v>
      </c>
    </row>
    <row r="102" spans="1:19">
      <c r="A102" s="96"/>
      <c r="B102" s="96"/>
      <c r="C102" s="96"/>
      <c r="D102" s="96"/>
      <c r="E102" s="96">
        <v>88</v>
      </c>
      <c r="F102" s="96"/>
      <c r="G102" s="102">
        <f t="shared" si="22"/>
        <v>948593.40408000012</v>
      </c>
      <c r="H102" s="102">
        <f t="shared" si="22"/>
        <v>894282.44016</v>
      </c>
      <c r="I102" s="102">
        <f t="shared" si="22"/>
        <v>841471.02624000027</v>
      </c>
      <c r="J102" s="102">
        <f t="shared" si="22"/>
        <v>790159.16231999989</v>
      </c>
      <c r="K102" s="102">
        <f t="shared" si="22"/>
        <v>740346.8483999999</v>
      </c>
      <c r="L102" s="102">
        <f t="shared" si="22"/>
        <v>661419.6094800001</v>
      </c>
      <c r="M102" s="102">
        <f t="shared" si="22"/>
        <v>653325.47063999972</v>
      </c>
      <c r="N102" s="102">
        <f t="shared" si="22"/>
        <v>640862.67159359984</v>
      </c>
      <c r="O102" s="102">
        <f t="shared" si="22"/>
        <v>624600.59186131181</v>
      </c>
      <c r="P102" s="102">
        <f t="shared" si="22"/>
        <v>605054.10707368702</v>
      </c>
      <c r="Q102" s="102">
        <f t="shared" si="22"/>
        <v>582688.66556477756</v>
      </c>
    </row>
    <row r="103" spans="1:19">
      <c r="A103" s="96"/>
      <c r="B103" s="96"/>
      <c r="C103" s="96"/>
      <c r="D103" s="96"/>
      <c r="E103" s="96"/>
      <c r="F103" s="96"/>
      <c r="G103" s="96"/>
      <c r="H103" s="96"/>
      <c r="I103" s="96"/>
      <c r="J103" s="96"/>
      <c r="K103" s="96"/>
      <c r="L103" s="96"/>
      <c r="M103" s="96"/>
      <c r="N103" s="96"/>
      <c r="O103" s="96"/>
      <c r="P103" s="96"/>
      <c r="Q103" s="96"/>
    </row>
    <row r="104" spans="1:19">
      <c r="A104" s="96"/>
      <c r="B104" s="96"/>
      <c r="C104" s="96"/>
      <c r="D104" s="96"/>
      <c r="E104" s="59" t="s">
        <v>105</v>
      </c>
      <c r="F104" s="96"/>
      <c r="G104" s="59" t="s">
        <v>98</v>
      </c>
      <c r="H104" s="96"/>
      <c r="I104" s="96"/>
      <c r="J104" s="96"/>
      <c r="K104" s="96"/>
      <c r="L104" s="96"/>
      <c r="M104" s="96"/>
      <c r="N104" s="96"/>
      <c r="O104" s="96"/>
      <c r="P104" s="96"/>
      <c r="Q104" s="96"/>
    </row>
    <row r="105" spans="1:19">
      <c r="A105" s="96"/>
      <c r="B105" s="96"/>
      <c r="C105" s="96"/>
      <c r="D105" s="96"/>
      <c r="E105" s="96"/>
      <c r="F105" s="96"/>
      <c r="G105" s="96"/>
      <c r="H105" s="96"/>
      <c r="I105" s="96"/>
      <c r="J105" s="96"/>
      <c r="K105" s="96"/>
      <c r="L105" s="96"/>
      <c r="M105" s="96"/>
      <c r="N105" s="96"/>
      <c r="O105" s="96"/>
      <c r="P105" s="96"/>
      <c r="Q105" s="96"/>
    </row>
    <row r="106" spans="1:19">
      <c r="A106" s="96"/>
      <c r="B106" s="96"/>
      <c r="C106" s="96"/>
      <c r="D106" s="96"/>
      <c r="E106" s="96">
        <v>125</v>
      </c>
      <c r="F106" s="96"/>
      <c r="G106" s="102">
        <v>37451.627105263178</v>
      </c>
      <c r="H106" s="102">
        <v>60698.441184210475</v>
      </c>
      <c r="I106" s="102">
        <v>73210.631929824478</v>
      </c>
      <c r="J106" s="102">
        <v>75988.199342105188</v>
      </c>
      <c r="K106" s="102">
        <v>67164.476754385862</v>
      </c>
      <c r="L106" s="102">
        <v>72269.934078947408</v>
      </c>
      <c r="M106" s="102">
        <v>83407.204000000143</v>
      </c>
      <c r="N106" s="102">
        <v>91317.001131579047</v>
      </c>
      <c r="O106" s="102">
        <v>95805.752602105262</v>
      </c>
      <c r="P106" s="102">
        <v>96697.437524405308</v>
      </c>
      <c r="Q106" s="102">
        <v>143831.81487964094</v>
      </c>
    </row>
    <row r="107" spans="1:19">
      <c r="A107" s="96"/>
      <c r="B107" s="96"/>
      <c r="C107" s="96"/>
      <c r="D107" s="96"/>
      <c r="E107" s="96">
        <v>100</v>
      </c>
      <c r="F107" s="96"/>
      <c r="G107" s="102">
        <v>49104.258684210479</v>
      </c>
      <c r="H107" s="102">
        <v>74940.546447368455</v>
      </c>
      <c r="I107" s="102">
        <v>90042.210877192905</v>
      </c>
      <c r="J107" s="102">
        <v>95409.251973684295</v>
      </c>
      <c r="K107" s="102">
        <v>89175.003070175531</v>
      </c>
      <c r="L107" s="102">
        <v>99459.407763157971</v>
      </c>
      <c r="M107" s="102">
        <v>110565.60400000028</v>
      </c>
      <c r="N107" s="102">
        <v>118275.28660526313</v>
      </c>
      <c r="O107" s="102">
        <v>122422.12811368424</v>
      </c>
      <c r="P107" s="102">
        <v>122854.07564078434</v>
      </c>
      <c r="Q107" s="102">
        <v>169431.92878077785</v>
      </c>
    </row>
    <row r="108" spans="1:19">
      <c r="A108" s="96"/>
      <c r="B108" s="96"/>
      <c r="C108" s="96"/>
      <c r="D108" s="96"/>
      <c r="E108" s="96">
        <v>88</v>
      </c>
      <c r="F108" s="96"/>
      <c r="G108" s="102">
        <v>54697.521842105314</v>
      </c>
      <c r="H108" s="102">
        <v>81776.756973684183</v>
      </c>
      <c r="I108" s="102">
        <v>98121.36877192976</v>
      </c>
      <c r="J108" s="102">
        <v>104731.35723684204</v>
      </c>
      <c r="K108" s="102">
        <v>99740.055701754405</v>
      </c>
      <c r="L108" s="102">
        <v>112510.35513157886</v>
      </c>
      <c r="M108" s="102">
        <v>123601.63600000017</v>
      </c>
      <c r="N108" s="102">
        <v>131215.26363263163</v>
      </c>
      <c r="O108" s="102">
        <v>135197.98835924221</v>
      </c>
      <c r="P108" s="102">
        <v>135409.26193664619</v>
      </c>
      <c r="Q108" s="102">
        <v>181719.9834533236</v>
      </c>
    </row>
    <row r="109" spans="1:19">
      <c r="A109" s="96"/>
      <c r="B109" s="96"/>
      <c r="C109" s="96"/>
      <c r="D109" s="96"/>
      <c r="E109" s="96"/>
      <c r="F109" s="96"/>
      <c r="G109" s="96"/>
      <c r="H109" s="96"/>
      <c r="I109" s="96"/>
      <c r="J109" s="96"/>
      <c r="K109" s="96"/>
      <c r="L109" s="96"/>
      <c r="M109" s="96"/>
      <c r="N109" s="96"/>
      <c r="O109" s="96"/>
      <c r="P109" s="96"/>
      <c r="Q109" s="96"/>
    </row>
    <row r="110" spans="1:19">
      <c r="A110" s="96"/>
      <c r="B110" s="96"/>
      <c r="C110" s="96"/>
      <c r="D110" s="96"/>
      <c r="E110" s="59" t="s">
        <v>105</v>
      </c>
      <c r="F110" s="96"/>
      <c r="G110" s="96" t="s">
        <v>100</v>
      </c>
      <c r="H110" s="96"/>
      <c r="I110" s="96"/>
      <c r="J110" s="96"/>
      <c r="K110" s="96"/>
      <c r="L110" s="96"/>
      <c r="M110" s="96"/>
      <c r="N110" s="96"/>
      <c r="O110" s="96"/>
      <c r="P110" s="96"/>
      <c r="Q110" s="96"/>
    </row>
    <row r="111" spans="1:19">
      <c r="A111" s="96"/>
      <c r="B111" s="96"/>
      <c r="C111" s="96"/>
      <c r="D111" s="96"/>
      <c r="E111" s="96"/>
      <c r="F111" s="96"/>
      <c r="G111" s="96"/>
      <c r="H111" s="96"/>
      <c r="I111" s="96"/>
      <c r="J111" s="96"/>
      <c r="K111" s="96"/>
      <c r="L111" s="96"/>
      <c r="M111" s="96"/>
      <c r="N111" s="96"/>
      <c r="O111" s="96"/>
      <c r="P111" s="96"/>
      <c r="Q111" s="96"/>
      <c r="S111" s="55" t="s">
        <v>101</v>
      </c>
    </row>
    <row r="112" spans="1:19">
      <c r="A112" s="96"/>
      <c r="B112" s="96"/>
      <c r="C112" s="96"/>
      <c r="D112" s="96"/>
      <c r="E112" s="96">
        <v>125</v>
      </c>
      <c r="F112" s="96"/>
      <c r="G112" s="102">
        <f t="shared" ref="G112:Q114" si="23">(G106+G100)*$C94</f>
        <v>34822977.137707375</v>
      </c>
      <c r="H112" s="102">
        <f t="shared" si="23"/>
        <v>33780322.095177889</v>
      </c>
      <c r="I112" s="102">
        <f t="shared" si="23"/>
        <v>32303618.605981756</v>
      </c>
      <c r="J112" s="102">
        <f t="shared" si="23"/>
        <v>30439866.670118939</v>
      </c>
      <c r="K112" s="102">
        <f t="shared" si="23"/>
        <v>28101332.954256129</v>
      </c>
      <c r="L112" s="102">
        <f t="shared" si="23"/>
        <v>25466429.219270531</v>
      </c>
      <c r="M112" s="102">
        <f t="shared" si="23"/>
        <v>26676388.806320004</v>
      </c>
      <c r="N112" s="102">
        <f t="shared" si="23"/>
        <v>27416329.62206421</v>
      </c>
      <c r="O112" s="102">
        <f t="shared" si="23"/>
        <v>27715166.294754937</v>
      </c>
      <c r="P112" s="102">
        <f t="shared" si="23"/>
        <v>27598999.641893759</v>
      </c>
      <c r="Q112" s="102">
        <f t="shared" si="23"/>
        <v>29441372.301078901</v>
      </c>
      <c r="S112" s="56">
        <f>SUM(G112:Q112)</f>
        <v>323762803.34862441</v>
      </c>
    </row>
    <row r="113" spans="1:19">
      <c r="A113" s="96"/>
      <c r="B113" s="96"/>
      <c r="C113" s="96"/>
      <c r="D113" s="96"/>
      <c r="E113" s="96">
        <v>100</v>
      </c>
      <c r="F113" s="96"/>
      <c r="G113" s="102">
        <f t="shared" si="23"/>
        <v>33973246.034275793</v>
      </c>
      <c r="H113" s="102">
        <f t="shared" si="23"/>
        <v>33026243.016472626</v>
      </c>
      <c r="I113" s="102">
        <f t="shared" si="23"/>
        <v>31737542.285336141</v>
      </c>
      <c r="J113" s="102">
        <f t="shared" si="23"/>
        <v>30144143.840866312</v>
      </c>
      <c r="K113" s="102">
        <f t="shared" si="23"/>
        <v>28176981.016396493</v>
      </c>
      <c r="L113" s="102">
        <f t="shared" si="23"/>
        <v>25850316.149996843</v>
      </c>
      <c r="M113" s="102">
        <f t="shared" si="23"/>
        <v>26234170.552720007</v>
      </c>
      <c r="N113" s="102">
        <f t="shared" si="23"/>
        <v>26301862.326714732</v>
      </c>
      <c r="O113" s="102">
        <f t="shared" si="23"/>
        <v>26071177.176515106</v>
      </c>
      <c r="P113" s="102">
        <f t="shared" si="23"/>
        <v>25558137.32531631</v>
      </c>
      <c r="Q113" s="102">
        <f t="shared" si="23"/>
        <v>26627162.344876934</v>
      </c>
      <c r="S113" s="56">
        <f t="shared" ref="S113:S114" si="24">SUM(G113:Q113)</f>
        <v>313700982.06948727</v>
      </c>
    </row>
    <row r="114" spans="1:19">
      <c r="A114" s="96"/>
      <c r="B114" s="96"/>
      <c r="C114" s="96"/>
      <c r="D114" s="96"/>
      <c r="E114" s="96">
        <v>88</v>
      </c>
      <c r="F114" s="96"/>
      <c r="G114" s="102">
        <f t="shared" si="23"/>
        <v>33108600.555429481</v>
      </c>
      <c r="H114" s="102">
        <f t="shared" si="23"/>
        <v>32209953.505411576</v>
      </c>
      <c r="I114" s="102">
        <f t="shared" si="23"/>
        <v>31006549.035393693</v>
      </c>
      <c r="J114" s="102">
        <f t="shared" si="23"/>
        <v>29531387.145375784</v>
      </c>
      <c r="K114" s="102">
        <f t="shared" si="23"/>
        <v>27722867.835357893</v>
      </c>
      <c r="L114" s="102">
        <f t="shared" si="23"/>
        <v>25539688.832182106</v>
      </c>
      <c r="M114" s="102">
        <f t="shared" si="23"/>
        <v>25638594.519119997</v>
      </c>
      <c r="N114" s="102">
        <f t="shared" si="23"/>
        <v>25478571.862465639</v>
      </c>
      <c r="O114" s="102">
        <f t="shared" si="23"/>
        <v>25073353.147278283</v>
      </c>
      <c r="P114" s="102">
        <f t="shared" si="23"/>
        <v>24435291.177340996</v>
      </c>
      <c r="Q114" s="102">
        <f t="shared" si="23"/>
        <v>25225485.417597339</v>
      </c>
      <c r="S114" s="56">
        <f t="shared" si="24"/>
        <v>304970343.03295285</v>
      </c>
    </row>
  </sheetData>
  <pageMargins left="0.7" right="0.7" top="0.75" bottom="0.75" header="0.3" footer="0.3"/>
  <pageSetup scale="52" fitToHeight="2" orientation="landscape" horizontalDpi="0" verticalDpi="0" copies="2"/>
  <drawing r:id="rId1"/>
  <legacyDrawing r:id="rId2"/>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8</vt:i4>
      </vt:variant>
      <vt:variant>
        <vt:lpstr>Named Ranges</vt:lpstr>
      </vt:variant>
      <vt:variant>
        <vt:i4>17</vt:i4>
      </vt:variant>
    </vt:vector>
  </HeadingPairs>
  <TitlesOfParts>
    <vt:vector size="25" baseType="lpstr">
      <vt:lpstr>Introduction</vt:lpstr>
      <vt:lpstr>Constants</vt:lpstr>
      <vt:lpstr>DC FC Capacity Effect</vt:lpstr>
      <vt:lpstr>Hydrogen Capacity Effect</vt:lpstr>
      <vt:lpstr>DC FC Station Revenue</vt:lpstr>
      <vt:lpstr>Hydrogen Station Revenue</vt:lpstr>
      <vt:lpstr>CI Effect </vt:lpstr>
      <vt:lpstr>Delay Rationale</vt:lpstr>
      <vt:lpstr>DAYSPERQTR</vt:lpstr>
      <vt:lpstr>EER</vt:lpstr>
      <vt:lpstr>H2CAPBIG</vt:lpstr>
      <vt:lpstr>H2CAPSM</vt:lpstr>
      <vt:lpstr>H2ED</vt:lpstr>
      <vt:lpstr>HDEVEER</vt:lpstr>
      <vt:lpstr>HDH2EER</vt:lpstr>
      <vt:lpstr>LCFSPRICE</vt:lpstr>
      <vt:lpstr>LDEVEER</vt:lpstr>
      <vt:lpstr>LDH2EER</vt:lpstr>
      <vt:lpstr>'CI Effect '!Print_Area</vt:lpstr>
      <vt:lpstr>'DC FC Capacity Effect'!Print_Area</vt:lpstr>
      <vt:lpstr>'DC FC Station Revenue'!Print_Area</vt:lpstr>
      <vt:lpstr>'Delay Rationale'!Print_Area</vt:lpstr>
      <vt:lpstr>'Hydrogen Capacity Effect'!Print_Area</vt:lpstr>
      <vt:lpstr>'Hydrogen Station Revenue'!Print_Area</vt:lpstr>
      <vt:lpstr>UPTIME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Microsoft Office User</cp:lastModifiedBy>
  <cp:lastPrinted>2018-08-21T23:03:10Z</cp:lastPrinted>
  <dcterms:created xsi:type="dcterms:W3CDTF">2018-07-04T20:24:57Z</dcterms:created>
  <dcterms:modified xsi:type="dcterms:W3CDTF">2018-08-30T23:37:11Z</dcterms:modified>
</cp:coreProperties>
</file>