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alkent\Desktop\Opacity\OAL data documents\"/>
    </mc:Choice>
  </mc:AlternateContent>
  <bookViews>
    <workbookView xWindow="0" yWindow="0" windowWidth="28800" windowHeight="12000" activeTab="2"/>
  </bookViews>
  <sheets>
    <sheet name="Proposed Amendments" sheetId="1" r:id="rId1"/>
    <sheet name="Alternative 1" sheetId="2" r:id="rId2"/>
    <sheet name="Alternative 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3" i="1" l="1"/>
  <c r="C79" i="2" l="1"/>
  <c r="I299" i="3"/>
  <c r="C80" i="2"/>
  <c r="E80" i="2"/>
  <c r="F80" i="2"/>
  <c r="F79" i="2"/>
  <c r="G119" i="2"/>
  <c r="I319" i="2"/>
  <c r="G303" i="3" l="1"/>
  <c r="G304" i="3"/>
  <c r="C233" i="3"/>
  <c r="C234" i="3"/>
  <c r="F219" i="3"/>
  <c r="F222" i="3"/>
  <c r="D222" i="3"/>
  <c r="H210" i="3"/>
  <c r="I210" i="3"/>
  <c r="I201" i="3"/>
  <c r="I200" i="3"/>
  <c r="I199" i="3"/>
  <c r="H201" i="3"/>
  <c r="H212" i="3" s="1"/>
  <c r="H200" i="3"/>
  <c r="H211" i="3" s="1"/>
  <c r="H199" i="3"/>
  <c r="D138" i="3"/>
  <c r="O11" i="3"/>
  <c r="O10" i="3"/>
  <c r="O9" i="3"/>
  <c r="C319" i="2"/>
  <c r="D252" i="2"/>
  <c r="F236" i="1"/>
  <c r="C232" i="1"/>
  <c r="F239" i="2"/>
  <c r="F238" i="2"/>
  <c r="C241" i="2"/>
  <c r="G323" i="2" s="1"/>
  <c r="I220" i="2"/>
  <c r="I219" i="2"/>
  <c r="I218" i="2"/>
  <c r="I229" i="2" s="1"/>
  <c r="H220" i="2"/>
  <c r="H231" i="2" s="1"/>
  <c r="H219" i="2"/>
  <c r="H230" i="2" s="1"/>
  <c r="H218" i="2"/>
  <c r="H229" i="2" s="1"/>
  <c r="D156" i="2"/>
  <c r="I149" i="2"/>
  <c r="O11" i="2"/>
  <c r="O10" i="2"/>
  <c r="O9" i="2"/>
  <c r="D232" i="1"/>
  <c r="F219" i="1"/>
  <c r="F218" i="1"/>
  <c r="C221" i="1"/>
  <c r="F220" i="1" s="1"/>
  <c r="H211" i="1"/>
  <c r="H210" i="1"/>
  <c r="H209" i="1"/>
  <c r="I209" i="1"/>
  <c r="D138" i="1"/>
  <c r="O11" i="1"/>
  <c r="O10" i="1"/>
  <c r="O9" i="1"/>
  <c r="AM12" i="1" l="1"/>
  <c r="G144" i="2" l="1"/>
  <c r="G145" i="2"/>
  <c r="G146" i="2"/>
  <c r="G147" i="2"/>
  <c r="G148" i="2"/>
  <c r="H300" i="3"/>
  <c r="H301" i="3"/>
  <c r="H302" i="3"/>
  <c r="H303" i="3"/>
  <c r="H304" i="3"/>
  <c r="H305" i="3"/>
  <c r="H299" i="3"/>
  <c r="H320" i="2"/>
  <c r="H321" i="2"/>
  <c r="H322" i="2"/>
  <c r="H323" i="2"/>
  <c r="H324" i="2"/>
  <c r="H325" i="2"/>
  <c r="H319" i="2"/>
  <c r="D233" i="3"/>
  <c r="E233" i="3"/>
  <c r="E232" i="3"/>
  <c r="E231" i="3"/>
  <c r="E230" i="3"/>
  <c r="E250" i="2"/>
  <c r="E249" i="2"/>
  <c r="H300" i="1"/>
  <c r="H301" i="1"/>
  <c r="H302" i="1"/>
  <c r="H303" i="1"/>
  <c r="H304" i="1"/>
  <c r="H305" i="1"/>
  <c r="H299" i="1"/>
  <c r="E230" i="1"/>
  <c r="E229" i="1"/>
  <c r="H306" i="3" l="1"/>
  <c r="H326" i="2"/>
  <c r="H306" i="1"/>
  <c r="E222" i="3"/>
  <c r="G305" i="3" s="1"/>
  <c r="C222" i="3"/>
  <c r="F220" i="3"/>
  <c r="G212" i="3"/>
  <c r="F212" i="3"/>
  <c r="E212" i="3"/>
  <c r="C212" i="3"/>
  <c r="G211" i="3"/>
  <c r="F211" i="3"/>
  <c r="E211" i="3"/>
  <c r="D211" i="3"/>
  <c r="D213" i="3" s="1"/>
  <c r="C211" i="3"/>
  <c r="G210" i="3"/>
  <c r="F210" i="3"/>
  <c r="E210" i="3"/>
  <c r="C210" i="3"/>
  <c r="J201" i="3"/>
  <c r="J212" i="3" s="1"/>
  <c r="I212" i="3"/>
  <c r="J200" i="3"/>
  <c r="J211" i="3" s="1"/>
  <c r="I211" i="3"/>
  <c r="J199" i="3"/>
  <c r="J210" i="3" s="1"/>
  <c r="D195" i="3"/>
  <c r="B195" i="3"/>
  <c r="D194" i="3"/>
  <c r="B194" i="3"/>
  <c r="D193" i="3"/>
  <c r="B193" i="3"/>
  <c r="D143" i="3"/>
  <c r="D144" i="3"/>
  <c r="G163" i="2"/>
  <c r="E163" i="2"/>
  <c r="D161" i="2"/>
  <c r="D162" i="2"/>
  <c r="E241" i="2"/>
  <c r="D241" i="2"/>
  <c r="G324" i="2" s="1"/>
  <c r="G231" i="2"/>
  <c r="F231" i="2"/>
  <c r="E231" i="2"/>
  <c r="C231" i="2"/>
  <c r="G230" i="2"/>
  <c r="F230" i="2"/>
  <c r="E230" i="2"/>
  <c r="D230" i="2"/>
  <c r="D232" i="2" s="1"/>
  <c r="C230" i="2"/>
  <c r="G229" i="2"/>
  <c r="F229" i="2"/>
  <c r="E229" i="2"/>
  <c r="C229" i="2"/>
  <c r="J220" i="2"/>
  <c r="J231" i="2" s="1"/>
  <c r="I231" i="2"/>
  <c r="J219" i="2"/>
  <c r="J230" i="2" s="1"/>
  <c r="I230" i="2"/>
  <c r="J218" i="2"/>
  <c r="J229" i="2" s="1"/>
  <c r="D214" i="2"/>
  <c r="B214" i="2"/>
  <c r="D213" i="2"/>
  <c r="B213" i="2"/>
  <c r="D212" i="2"/>
  <c r="B212" i="2"/>
  <c r="G213" i="3" l="1"/>
  <c r="G306" i="3"/>
  <c r="F221" i="3"/>
  <c r="G325" i="2"/>
  <c r="F240" i="2"/>
  <c r="F241" i="2" s="1"/>
  <c r="E213" i="3"/>
  <c r="I213" i="3"/>
  <c r="F213" i="3"/>
  <c r="H213" i="3"/>
  <c r="J213" i="3"/>
  <c r="K212" i="3"/>
  <c r="K211" i="3"/>
  <c r="C213" i="3"/>
  <c r="K210" i="3"/>
  <c r="G326" i="2"/>
  <c r="G232" i="2"/>
  <c r="I232" i="2"/>
  <c r="F232" i="2"/>
  <c r="J232" i="2"/>
  <c r="K230" i="2"/>
  <c r="K229" i="2"/>
  <c r="H232" i="2"/>
  <c r="E232" i="2"/>
  <c r="C232" i="2"/>
  <c r="D78" i="2"/>
  <c r="K231" i="2" l="1"/>
  <c r="E234" i="2" s="1"/>
  <c r="E215" i="3"/>
  <c r="K213" i="3"/>
  <c r="K232" i="2" l="1"/>
  <c r="T37" i="2"/>
  <c r="D81" i="2" s="1"/>
  <c r="U24" i="2"/>
  <c r="U37" i="2" s="1"/>
  <c r="D253" i="1"/>
  <c r="D262" i="1" s="1"/>
  <c r="E145" i="1"/>
  <c r="F138" i="1"/>
  <c r="D143" i="1"/>
  <c r="D144" i="1"/>
  <c r="E221" i="1" l="1"/>
  <c r="G305" i="1" s="1"/>
  <c r="D221" i="1"/>
  <c r="G304" i="1" s="1"/>
  <c r="G211" i="1"/>
  <c r="F211" i="1"/>
  <c r="E211" i="1"/>
  <c r="C211" i="1"/>
  <c r="G210" i="1"/>
  <c r="F210" i="1"/>
  <c r="E210" i="1"/>
  <c r="D210" i="1"/>
  <c r="D212" i="1" s="1"/>
  <c r="C210" i="1"/>
  <c r="G209" i="1"/>
  <c r="F209" i="1"/>
  <c r="E209" i="1"/>
  <c r="C209" i="1"/>
  <c r="J200" i="1"/>
  <c r="J211" i="1" s="1"/>
  <c r="J199" i="1"/>
  <c r="J210" i="1" s="1"/>
  <c r="J198" i="1"/>
  <c r="J209" i="1" s="1"/>
  <c r="I211" i="1"/>
  <c r="I210" i="1"/>
  <c r="D193" i="1"/>
  <c r="D194" i="1"/>
  <c r="D192" i="1"/>
  <c r="B193" i="1"/>
  <c r="B194" i="1"/>
  <c r="B192" i="1"/>
  <c r="O24" i="1"/>
  <c r="I24" i="1"/>
  <c r="D24" i="1"/>
  <c r="D25" i="1"/>
  <c r="F221" i="1" l="1"/>
  <c r="G306" i="1" s="1"/>
  <c r="G212" i="1"/>
  <c r="E212" i="1"/>
  <c r="I212" i="1"/>
  <c r="J212" i="1"/>
  <c r="H212" i="1"/>
  <c r="F212" i="1"/>
  <c r="K210" i="1"/>
  <c r="K209" i="1"/>
  <c r="C212" i="1"/>
  <c r="K211" i="1" s="1"/>
  <c r="E214" i="1" l="1"/>
  <c r="K212" i="1"/>
  <c r="F299" i="3" l="1"/>
  <c r="F300" i="3"/>
  <c r="F301" i="3"/>
  <c r="F302" i="3"/>
  <c r="F303" i="3"/>
  <c r="F304" i="3"/>
  <c r="F305" i="3"/>
  <c r="M24" i="3" l="1"/>
  <c r="N24" i="3" s="1"/>
  <c r="M25" i="3"/>
  <c r="M26" i="3"/>
  <c r="M27" i="3"/>
  <c r="M28" i="3"/>
  <c r="M29" i="3"/>
  <c r="M30" i="3"/>
  <c r="H24" i="3"/>
  <c r="I24" i="3" s="1"/>
  <c r="H25" i="3"/>
  <c r="H26" i="3"/>
  <c r="H27" i="3"/>
  <c r="H28" i="3"/>
  <c r="H29" i="3"/>
  <c r="H30" i="3"/>
  <c r="C24" i="3"/>
  <c r="D24" i="3" s="1"/>
  <c r="C25" i="3"/>
  <c r="C26" i="3"/>
  <c r="C27" i="3"/>
  <c r="C28" i="3"/>
  <c r="C29" i="3"/>
  <c r="C30" i="3"/>
  <c r="N25" i="3" l="1"/>
  <c r="I25" i="3"/>
  <c r="D25" i="3"/>
  <c r="H37" i="2"/>
  <c r="I37" i="2" s="1"/>
  <c r="H38" i="2"/>
  <c r="H39" i="2"/>
  <c r="H40" i="2"/>
  <c r="H41" i="2"/>
  <c r="H42" i="2"/>
  <c r="H43" i="2"/>
  <c r="C37" i="2"/>
  <c r="D37" i="2" s="1"/>
  <c r="C38" i="2"/>
  <c r="C39" i="2"/>
  <c r="C40" i="2"/>
  <c r="C41" i="2"/>
  <c r="C42" i="2"/>
  <c r="C43" i="2"/>
  <c r="H24" i="2"/>
  <c r="I24" i="2" s="1"/>
  <c r="H25" i="2"/>
  <c r="H26" i="2"/>
  <c r="H27" i="2"/>
  <c r="H28" i="2"/>
  <c r="H29" i="2"/>
  <c r="H30" i="2"/>
  <c r="C24" i="2"/>
  <c r="D24" i="2" s="1"/>
  <c r="C25" i="2"/>
  <c r="C26" i="2"/>
  <c r="C27" i="2"/>
  <c r="C28" i="2"/>
  <c r="C29" i="2"/>
  <c r="C30" i="2"/>
  <c r="H37" i="1" l="1"/>
  <c r="I37" i="1" s="1"/>
  <c r="H38" i="1"/>
  <c r="H39" i="1"/>
  <c r="H40" i="1"/>
  <c r="H41" i="1"/>
  <c r="H42" i="1"/>
  <c r="H43" i="1"/>
  <c r="C37" i="1"/>
  <c r="D37" i="1" s="1"/>
  <c r="C38" i="1"/>
  <c r="C39" i="1"/>
  <c r="C40" i="1"/>
  <c r="C41" i="1"/>
  <c r="C42" i="1"/>
  <c r="C43" i="1"/>
  <c r="H24" i="1"/>
  <c r="H25" i="1"/>
  <c r="H26" i="1"/>
  <c r="H27" i="1"/>
  <c r="H28" i="1"/>
  <c r="H29" i="1"/>
  <c r="H30" i="1"/>
  <c r="C24" i="1"/>
  <c r="C25" i="1"/>
  <c r="C26" i="1"/>
  <c r="C27" i="1"/>
  <c r="C28" i="1"/>
  <c r="C29" i="1"/>
  <c r="C30" i="1"/>
  <c r="I29" i="1" l="1"/>
  <c r="I25" i="1"/>
  <c r="I28" i="1"/>
  <c r="I30" i="1"/>
  <c r="I26" i="1"/>
  <c r="I27" i="1"/>
  <c r="D26" i="1"/>
  <c r="I311" i="1"/>
  <c r="I312" i="1"/>
  <c r="I313" i="1"/>
  <c r="I314" i="1"/>
  <c r="I315" i="1"/>
  <c r="I316" i="1"/>
  <c r="I317" i="1"/>
  <c r="D311" i="3"/>
  <c r="D312" i="3"/>
  <c r="D313" i="3"/>
  <c r="D314" i="3"/>
  <c r="D315" i="3"/>
  <c r="D316" i="3"/>
  <c r="D317" i="3"/>
  <c r="D331" i="2"/>
  <c r="D332" i="2"/>
  <c r="D333" i="2"/>
  <c r="D334" i="2"/>
  <c r="D335" i="2"/>
  <c r="D336" i="2"/>
  <c r="D337" i="2"/>
  <c r="D311" i="1"/>
  <c r="D312" i="1"/>
  <c r="D313" i="1"/>
  <c r="D314" i="1"/>
  <c r="D315" i="1"/>
  <c r="D316" i="1"/>
  <c r="D317" i="1"/>
  <c r="C318" i="3" l="1"/>
  <c r="E317" i="3"/>
  <c r="E316" i="3"/>
  <c r="E315" i="3"/>
  <c r="E314" i="3"/>
  <c r="E313" i="3"/>
  <c r="E312" i="3"/>
  <c r="E311" i="3"/>
  <c r="C338" i="2"/>
  <c r="E337" i="2"/>
  <c r="E336" i="2"/>
  <c r="E335" i="2"/>
  <c r="E334" i="2"/>
  <c r="E333" i="2"/>
  <c r="E332" i="2"/>
  <c r="E331" i="2"/>
  <c r="C318" i="1"/>
  <c r="D318" i="1"/>
  <c r="E311" i="1"/>
  <c r="E312" i="1"/>
  <c r="E313" i="1"/>
  <c r="E314" i="1"/>
  <c r="E315" i="1"/>
  <c r="E316" i="1"/>
  <c r="E317" i="1"/>
  <c r="E318" i="1" l="1"/>
  <c r="D318" i="3"/>
  <c r="E318" i="3"/>
  <c r="D338" i="2"/>
  <c r="E338" i="2"/>
  <c r="I26" i="3" l="1"/>
  <c r="I27" i="3" s="1"/>
  <c r="I37" i="3"/>
  <c r="D37" i="3"/>
  <c r="AF86" i="2"/>
  <c r="P143" i="2" s="1"/>
  <c r="AF87" i="2"/>
  <c r="P144" i="2" s="1"/>
  <c r="AF88" i="2"/>
  <c r="P145" i="2" s="1"/>
  <c r="AF89" i="2"/>
  <c r="P146" i="2" s="1"/>
  <c r="AF90" i="2"/>
  <c r="P147" i="2" s="1"/>
  <c r="AF91" i="2"/>
  <c r="P148" i="2" s="1"/>
  <c r="W119" i="2"/>
  <c r="W120" i="2"/>
  <c r="W121" i="2"/>
  <c r="W122" i="2"/>
  <c r="W123" i="2"/>
  <c r="W124" i="2"/>
  <c r="W125" i="2"/>
  <c r="O120" i="2"/>
  <c r="O121" i="2"/>
  <c r="O122" i="2"/>
  <c r="O123" i="2"/>
  <c r="O124" i="2"/>
  <c r="O125" i="2"/>
  <c r="G120" i="2"/>
  <c r="G121" i="2"/>
  <c r="G122" i="2"/>
  <c r="G123" i="2"/>
  <c r="G124" i="2"/>
  <c r="G125" i="2"/>
  <c r="D80" i="2"/>
  <c r="D79" i="2" l="1"/>
  <c r="E79" i="2" s="1"/>
  <c r="N38" i="3"/>
  <c r="N26" i="3"/>
  <c r="N27" i="3" s="1"/>
  <c r="I28" i="3"/>
  <c r="I29" i="3" s="1"/>
  <c r="I30" i="3" s="1"/>
  <c r="I43" i="3" s="1"/>
  <c r="I40" i="3"/>
  <c r="N37" i="3"/>
  <c r="I38" i="3"/>
  <c r="I39" i="3"/>
  <c r="H85" i="2" l="1"/>
  <c r="I41" i="3"/>
  <c r="I42" i="3"/>
  <c r="C37" i="3"/>
  <c r="N28" i="3"/>
  <c r="N40" i="3"/>
  <c r="N39" i="3"/>
  <c r="D38" i="3"/>
  <c r="D26" i="3"/>
  <c r="H37" i="3"/>
  <c r="C38" i="3" l="1"/>
  <c r="H38" i="3"/>
  <c r="D27" i="3"/>
  <c r="D39" i="3"/>
  <c r="N29" i="3"/>
  <c r="N41" i="3"/>
  <c r="M37" i="3"/>
  <c r="H39" i="3" l="1"/>
  <c r="N30" i="3"/>
  <c r="N43" i="3" s="1"/>
  <c r="N42" i="3"/>
  <c r="M38" i="3"/>
  <c r="D28" i="3"/>
  <c r="D40" i="3"/>
  <c r="C39" i="3"/>
  <c r="D29" i="3" l="1"/>
  <c r="D41" i="3"/>
  <c r="H40" i="3"/>
  <c r="C40" i="3"/>
  <c r="M39" i="3"/>
  <c r="M40" i="3" l="1"/>
  <c r="H41" i="3"/>
  <c r="C41" i="3"/>
  <c r="D30" i="3"/>
  <c r="D43" i="3" s="1"/>
  <c r="D42" i="3"/>
  <c r="H43" i="3" l="1"/>
  <c r="H42" i="3"/>
  <c r="C43" i="3"/>
  <c r="C42" i="3"/>
  <c r="M41" i="3"/>
  <c r="E305" i="3"/>
  <c r="D305" i="3"/>
  <c r="C305" i="3"/>
  <c r="E304" i="3"/>
  <c r="D304" i="3"/>
  <c r="C304" i="3"/>
  <c r="E303" i="3"/>
  <c r="D303" i="3"/>
  <c r="C303" i="3"/>
  <c r="E302" i="3"/>
  <c r="D302" i="3"/>
  <c r="C302" i="3"/>
  <c r="E301" i="3"/>
  <c r="D301" i="3"/>
  <c r="C301" i="3"/>
  <c r="E300" i="3"/>
  <c r="D300" i="3"/>
  <c r="C300" i="3"/>
  <c r="E299" i="3"/>
  <c r="D299" i="3"/>
  <c r="C299" i="3"/>
  <c r="D293" i="3"/>
  <c r="AD254" i="3"/>
  <c r="AC254" i="3"/>
  <c r="AC256" i="3" s="1"/>
  <c r="AC265" i="3" s="1"/>
  <c r="AC274" i="3" s="1"/>
  <c r="AC283" i="3" s="1"/>
  <c r="AB254" i="3"/>
  <c r="AB256" i="3" s="1"/>
  <c r="AB265" i="3" s="1"/>
  <c r="AB274" i="3" s="1"/>
  <c r="AB283" i="3" s="1"/>
  <c r="AA254" i="3"/>
  <c r="AA256" i="3" s="1"/>
  <c r="AA265" i="3" s="1"/>
  <c r="AA274" i="3" s="1"/>
  <c r="AA283" i="3" s="1"/>
  <c r="Z254" i="3"/>
  <c r="Z256" i="3" s="1"/>
  <c r="Z265" i="3" s="1"/>
  <c r="Z274" i="3" s="1"/>
  <c r="Z283" i="3" s="1"/>
  <c r="Y254" i="3"/>
  <c r="Y256" i="3" s="1"/>
  <c r="Y265" i="3" s="1"/>
  <c r="Y274" i="3" s="1"/>
  <c r="Y283" i="3" s="1"/>
  <c r="X254" i="3"/>
  <c r="X256" i="3" s="1"/>
  <c r="X265" i="3" s="1"/>
  <c r="X274" i="3" s="1"/>
  <c r="X283" i="3" s="1"/>
  <c r="W254" i="3"/>
  <c r="W256" i="3" s="1"/>
  <c r="W265" i="3" s="1"/>
  <c r="W274" i="3" s="1"/>
  <c r="W283" i="3" s="1"/>
  <c r="T254" i="3"/>
  <c r="S254" i="3"/>
  <c r="S256" i="3" s="1"/>
  <c r="S265" i="3" s="1"/>
  <c r="S274" i="3" s="1"/>
  <c r="S283" i="3" s="1"/>
  <c r="R254" i="3"/>
  <c r="R256" i="3" s="1"/>
  <c r="R265" i="3" s="1"/>
  <c r="R274" i="3" s="1"/>
  <c r="R283" i="3" s="1"/>
  <c r="Q254" i="3"/>
  <c r="Q256" i="3" s="1"/>
  <c r="Q265" i="3" s="1"/>
  <c r="Q274" i="3" s="1"/>
  <c r="Q283" i="3" s="1"/>
  <c r="P254" i="3"/>
  <c r="O254" i="3"/>
  <c r="O256" i="3" s="1"/>
  <c r="O265" i="3" s="1"/>
  <c r="O274" i="3" s="1"/>
  <c r="O283" i="3" s="1"/>
  <c r="N254" i="3"/>
  <c r="N256" i="3" s="1"/>
  <c r="N265" i="3" s="1"/>
  <c r="N274" i="3" s="1"/>
  <c r="N283" i="3" s="1"/>
  <c r="M254" i="3"/>
  <c r="M256" i="3" s="1"/>
  <c r="M265" i="3" s="1"/>
  <c r="M274" i="3" s="1"/>
  <c r="M283" i="3" s="1"/>
  <c r="J254" i="3"/>
  <c r="J255" i="3" s="1"/>
  <c r="J264" i="3" s="1"/>
  <c r="J273" i="3" s="1"/>
  <c r="J282" i="3" s="1"/>
  <c r="I254" i="3"/>
  <c r="I256" i="3" s="1"/>
  <c r="I265" i="3" s="1"/>
  <c r="I274" i="3" s="1"/>
  <c r="I283" i="3" s="1"/>
  <c r="H254" i="3"/>
  <c r="H256" i="3" s="1"/>
  <c r="H265" i="3" s="1"/>
  <c r="H274" i="3" s="1"/>
  <c r="H283" i="3" s="1"/>
  <c r="G254" i="3"/>
  <c r="G256" i="3" s="1"/>
  <c r="G265" i="3" s="1"/>
  <c r="G274" i="3" s="1"/>
  <c r="G283" i="3" s="1"/>
  <c r="F254" i="3"/>
  <c r="E254" i="3"/>
  <c r="E256" i="3" s="1"/>
  <c r="E265" i="3" s="1"/>
  <c r="E274" i="3" s="1"/>
  <c r="E283" i="3" s="1"/>
  <c r="D254" i="3"/>
  <c r="D256" i="3" s="1"/>
  <c r="D265" i="3" s="1"/>
  <c r="D274" i="3" s="1"/>
  <c r="D283" i="3" s="1"/>
  <c r="C254" i="3"/>
  <c r="C256" i="3" s="1"/>
  <c r="C265" i="3" s="1"/>
  <c r="C274" i="3" s="1"/>
  <c r="C283" i="3" s="1"/>
  <c r="AD253" i="3"/>
  <c r="AD262" i="3" s="1"/>
  <c r="AD271" i="3" s="1"/>
  <c r="AD280" i="3" s="1"/>
  <c r="AC253" i="3"/>
  <c r="AC262" i="3" s="1"/>
  <c r="AC271" i="3" s="1"/>
  <c r="AC280" i="3" s="1"/>
  <c r="AB253" i="3"/>
  <c r="AB262" i="3" s="1"/>
  <c r="AB271" i="3" s="1"/>
  <c r="AB280" i="3" s="1"/>
  <c r="AA253" i="3"/>
  <c r="AA262" i="3" s="1"/>
  <c r="AA271" i="3" s="1"/>
  <c r="AA280" i="3" s="1"/>
  <c r="Z253" i="3"/>
  <c r="Z262" i="3" s="1"/>
  <c r="Z271" i="3" s="1"/>
  <c r="Z280" i="3" s="1"/>
  <c r="Y253" i="3"/>
  <c r="Y262" i="3" s="1"/>
  <c r="Y271" i="3" s="1"/>
  <c r="Y280" i="3" s="1"/>
  <c r="X253" i="3"/>
  <c r="X262" i="3" s="1"/>
  <c r="X271" i="3" s="1"/>
  <c r="X280" i="3" s="1"/>
  <c r="W253" i="3"/>
  <c r="W262" i="3" s="1"/>
  <c r="W271" i="3" s="1"/>
  <c r="W280" i="3" s="1"/>
  <c r="T253" i="3"/>
  <c r="T262" i="3" s="1"/>
  <c r="T271" i="3" s="1"/>
  <c r="T280" i="3" s="1"/>
  <c r="S253" i="3"/>
  <c r="S262" i="3" s="1"/>
  <c r="S271" i="3" s="1"/>
  <c r="S280" i="3" s="1"/>
  <c r="R253" i="3"/>
  <c r="R262" i="3" s="1"/>
  <c r="R271" i="3" s="1"/>
  <c r="R280" i="3" s="1"/>
  <c r="Q253" i="3"/>
  <c r="Q262" i="3" s="1"/>
  <c r="Q271" i="3" s="1"/>
  <c r="Q280" i="3" s="1"/>
  <c r="P253" i="3"/>
  <c r="P262" i="3" s="1"/>
  <c r="P271" i="3" s="1"/>
  <c r="P280" i="3" s="1"/>
  <c r="O253" i="3"/>
  <c r="O262" i="3" s="1"/>
  <c r="O271" i="3" s="1"/>
  <c r="O280" i="3" s="1"/>
  <c r="N253" i="3"/>
  <c r="N262" i="3" s="1"/>
  <c r="N271" i="3" s="1"/>
  <c r="N280" i="3" s="1"/>
  <c r="M253" i="3"/>
  <c r="M262" i="3" s="1"/>
  <c r="M271" i="3" s="1"/>
  <c r="M280" i="3" s="1"/>
  <c r="J253" i="3"/>
  <c r="J262" i="3" s="1"/>
  <c r="J271" i="3" s="1"/>
  <c r="J280" i="3" s="1"/>
  <c r="I253" i="3"/>
  <c r="I262" i="3" s="1"/>
  <c r="I271" i="3" s="1"/>
  <c r="I280" i="3" s="1"/>
  <c r="H253" i="3"/>
  <c r="H262" i="3" s="1"/>
  <c r="H271" i="3" s="1"/>
  <c r="H280" i="3" s="1"/>
  <c r="G253" i="3"/>
  <c r="G262" i="3" s="1"/>
  <c r="G271" i="3" s="1"/>
  <c r="G280" i="3" s="1"/>
  <c r="F253" i="3"/>
  <c r="F262" i="3" s="1"/>
  <c r="F271" i="3" s="1"/>
  <c r="F280" i="3" s="1"/>
  <c r="E253" i="3"/>
  <c r="E262" i="3" s="1"/>
  <c r="E271" i="3" s="1"/>
  <c r="E280" i="3" s="1"/>
  <c r="D253" i="3"/>
  <c r="D262" i="3" s="1"/>
  <c r="D271" i="3" s="1"/>
  <c r="D280" i="3" s="1"/>
  <c r="C253" i="3"/>
  <c r="C262" i="3" s="1"/>
  <c r="C271" i="3" s="1"/>
  <c r="C280" i="3" s="1"/>
  <c r="G180" i="3"/>
  <c r="F179" i="3"/>
  <c r="F178" i="3"/>
  <c r="F176" i="3"/>
  <c r="F175" i="3"/>
  <c r="F174" i="3"/>
  <c r="H158" i="3"/>
  <c r="H165" i="3" s="1"/>
  <c r="F177" i="3" s="1"/>
  <c r="C154" i="3"/>
  <c r="C163" i="3" s="1"/>
  <c r="F144" i="3"/>
  <c r="F143" i="3"/>
  <c r="C139" i="3"/>
  <c r="D139" i="3" s="1"/>
  <c r="H131" i="3"/>
  <c r="C82" i="3"/>
  <c r="C95" i="3" s="1"/>
  <c r="O43" i="3"/>
  <c r="J43" i="3"/>
  <c r="E43" i="3"/>
  <c r="O42" i="3"/>
  <c r="P42" i="3" s="1"/>
  <c r="S60" i="3" s="1"/>
  <c r="S71" i="3" s="1"/>
  <c r="J42" i="3"/>
  <c r="K42" i="3" s="1"/>
  <c r="R60" i="3" s="1"/>
  <c r="R71" i="3" s="1"/>
  <c r="E42" i="3"/>
  <c r="F42" i="3" s="1"/>
  <c r="Q60" i="3" s="1"/>
  <c r="O41" i="3"/>
  <c r="P41" i="3" s="1"/>
  <c r="S59" i="3" s="1"/>
  <c r="S70" i="3" s="1"/>
  <c r="J41" i="3"/>
  <c r="K41" i="3" s="1"/>
  <c r="R59" i="3" s="1"/>
  <c r="R70" i="3" s="1"/>
  <c r="E41" i="3"/>
  <c r="F41" i="3" s="1"/>
  <c r="Q59" i="3" s="1"/>
  <c r="O40" i="3"/>
  <c r="P40" i="3" s="1"/>
  <c r="S58" i="3" s="1"/>
  <c r="S69" i="3" s="1"/>
  <c r="J40" i="3"/>
  <c r="E40" i="3"/>
  <c r="F40" i="3" s="1"/>
  <c r="Q58" i="3" s="1"/>
  <c r="O39" i="3"/>
  <c r="J39" i="3"/>
  <c r="E39" i="3"/>
  <c r="V38" i="3"/>
  <c r="O38" i="3"/>
  <c r="J38" i="3"/>
  <c r="E38" i="3"/>
  <c r="F38" i="3" s="1"/>
  <c r="Q56" i="3" s="1"/>
  <c r="V37" i="3"/>
  <c r="T38" i="3"/>
  <c r="T39" i="3" s="1"/>
  <c r="T40" i="3" s="1"/>
  <c r="U40" i="3" s="1"/>
  <c r="W40" i="3" s="1"/>
  <c r="T58" i="3" s="1"/>
  <c r="T69" i="3" s="1"/>
  <c r="O37" i="3"/>
  <c r="J37" i="3"/>
  <c r="E37" i="3"/>
  <c r="V30" i="3"/>
  <c r="O30" i="3"/>
  <c r="J30" i="3"/>
  <c r="E30" i="3"/>
  <c r="V29" i="3"/>
  <c r="O29" i="3"/>
  <c r="J29" i="3"/>
  <c r="E29" i="3"/>
  <c r="V28" i="3"/>
  <c r="O28" i="3"/>
  <c r="J28" i="3"/>
  <c r="E28" i="3"/>
  <c r="V27" i="3"/>
  <c r="O27" i="3"/>
  <c r="J27" i="3"/>
  <c r="E27" i="3"/>
  <c r="V26" i="3"/>
  <c r="O26" i="3"/>
  <c r="J26" i="3"/>
  <c r="E26" i="3"/>
  <c r="V25" i="3"/>
  <c r="O25" i="3"/>
  <c r="J25" i="3"/>
  <c r="E25" i="3"/>
  <c r="V24" i="3"/>
  <c r="O24" i="3"/>
  <c r="P24" i="3" s="1"/>
  <c r="J24" i="3"/>
  <c r="K24" i="3" s="1"/>
  <c r="E24" i="3"/>
  <c r="F24" i="3" s="1"/>
  <c r="C55" i="3" s="1"/>
  <c r="C66" i="3" s="1"/>
  <c r="J17" i="3"/>
  <c r="I17" i="3"/>
  <c r="H17" i="3"/>
  <c r="G17" i="3"/>
  <c r="F17" i="3"/>
  <c r="E17" i="3"/>
  <c r="D17" i="3"/>
  <c r="C17" i="3"/>
  <c r="J11" i="3"/>
  <c r="C236" i="3" s="1"/>
  <c r="E236" i="3" s="1"/>
  <c r="I11" i="3"/>
  <c r="C235" i="3" s="1"/>
  <c r="H11" i="3"/>
  <c r="G11" i="3"/>
  <c r="F11" i="3"/>
  <c r="E11" i="3"/>
  <c r="D11" i="3"/>
  <c r="C11" i="3"/>
  <c r="E325" i="2"/>
  <c r="D325" i="2"/>
  <c r="C325" i="2"/>
  <c r="E324" i="2"/>
  <c r="D324" i="2"/>
  <c r="C324" i="2"/>
  <c r="E323" i="2"/>
  <c r="D323" i="2"/>
  <c r="C323" i="2"/>
  <c r="F322" i="2"/>
  <c r="E322" i="2"/>
  <c r="D322" i="2"/>
  <c r="C322" i="2"/>
  <c r="F321" i="2"/>
  <c r="E321" i="2"/>
  <c r="D321" i="2"/>
  <c r="C321" i="2"/>
  <c r="F320" i="2"/>
  <c r="E320" i="2"/>
  <c r="D320" i="2"/>
  <c r="C320" i="2"/>
  <c r="E319" i="2"/>
  <c r="D319" i="2"/>
  <c r="D313" i="2"/>
  <c r="AD274" i="2"/>
  <c r="AD275" i="2" s="1"/>
  <c r="AD284" i="2" s="1"/>
  <c r="AD293" i="2" s="1"/>
  <c r="AD302" i="2" s="1"/>
  <c r="AC274" i="2"/>
  <c r="AC276" i="2" s="1"/>
  <c r="AC285" i="2" s="1"/>
  <c r="AC294" i="2" s="1"/>
  <c r="AC303" i="2" s="1"/>
  <c r="AB274" i="2"/>
  <c r="AB275" i="2" s="1"/>
  <c r="AB284" i="2" s="1"/>
  <c r="AB293" i="2" s="1"/>
  <c r="AB302" i="2" s="1"/>
  <c r="AA274" i="2"/>
  <c r="AA275" i="2" s="1"/>
  <c r="AA284" i="2" s="1"/>
  <c r="AA293" i="2" s="1"/>
  <c r="AA302" i="2" s="1"/>
  <c r="Z274" i="2"/>
  <c r="Z276" i="2" s="1"/>
  <c r="Z285" i="2" s="1"/>
  <c r="Z294" i="2" s="1"/>
  <c r="Z303" i="2" s="1"/>
  <c r="Y274" i="2"/>
  <c r="Y276" i="2" s="1"/>
  <c r="Y285" i="2" s="1"/>
  <c r="Y294" i="2" s="1"/>
  <c r="Y303" i="2" s="1"/>
  <c r="X274" i="2"/>
  <c r="X275" i="2" s="1"/>
  <c r="X284" i="2" s="1"/>
  <c r="X293" i="2" s="1"/>
  <c r="X302" i="2" s="1"/>
  <c r="W274" i="2"/>
  <c r="W275" i="2" s="1"/>
  <c r="W284" i="2" s="1"/>
  <c r="W293" i="2" s="1"/>
  <c r="W302" i="2" s="1"/>
  <c r="T274" i="2"/>
  <c r="S274" i="2"/>
  <c r="S276" i="2" s="1"/>
  <c r="S285" i="2" s="1"/>
  <c r="S294" i="2" s="1"/>
  <c r="S303" i="2" s="1"/>
  <c r="R274" i="2"/>
  <c r="R276" i="2" s="1"/>
  <c r="R285" i="2" s="1"/>
  <c r="R294" i="2" s="1"/>
  <c r="R303" i="2" s="1"/>
  <c r="Q274" i="2"/>
  <c r="Q276" i="2" s="1"/>
  <c r="Q285" i="2" s="1"/>
  <c r="Q294" i="2" s="1"/>
  <c r="Q303" i="2" s="1"/>
  <c r="P274" i="2"/>
  <c r="P275" i="2" s="1"/>
  <c r="P284" i="2" s="1"/>
  <c r="P293" i="2" s="1"/>
  <c r="P302" i="2" s="1"/>
  <c r="O274" i="2"/>
  <c r="O276" i="2" s="1"/>
  <c r="O285" i="2" s="1"/>
  <c r="O294" i="2" s="1"/>
  <c r="O303" i="2" s="1"/>
  <c r="N274" i="2"/>
  <c r="N275" i="2" s="1"/>
  <c r="N284" i="2" s="1"/>
  <c r="N293" i="2" s="1"/>
  <c r="N302" i="2" s="1"/>
  <c r="M274" i="2"/>
  <c r="M276" i="2" s="1"/>
  <c r="M285" i="2" s="1"/>
  <c r="M294" i="2" s="1"/>
  <c r="M303" i="2" s="1"/>
  <c r="J274" i="2"/>
  <c r="J276" i="2" s="1"/>
  <c r="J285" i="2" s="1"/>
  <c r="J294" i="2" s="1"/>
  <c r="J303" i="2" s="1"/>
  <c r="I274" i="2"/>
  <c r="I276" i="2" s="1"/>
  <c r="I285" i="2" s="1"/>
  <c r="I294" i="2" s="1"/>
  <c r="I303" i="2" s="1"/>
  <c r="H274" i="2"/>
  <c r="H275" i="2" s="1"/>
  <c r="H284" i="2" s="1"/>
  <c r="H293" i="2" s="1"/>
  <c r="H302" i="2" s="1"/>
  <c r="G274" i="2"/>
  <c r="G275" i="2" s="1"/>
  <c r="G284" i="2" s="1"/>
  <c r="G293" i="2" s="1"/>
  <c r="G302" i="2" s="1"/>
  <c r="F274" i="2"/>
  <c r="E274" i="2"/>
  <c r="E276" i="2" s="1"/>
  <c r="E285" i="2" s="1"/>
  <c r="E294" i="2" s="1"/>
  <c r="E303" i="2" s="1"/>
  <c r="D274" i="2"/>
  <c r="D275" i="2" s="1"/>
  <c r="D284" i="2" s="1"/>
  <c r="D293" i="2" s="1"/>
  <c r="D302" i="2" s="1"/>
  <c r="C274" i="2"/>
  <c r="C275" i="2" s="1"/>
  <c r="C284" i="2" s="1"/>
  <c r="C293" i="2" s="1"/>
  <c r="C302" i="2" s="1"/>
  <c r="AD273" i="2"/>
  <c r="AD282" i="2" s="1"/>
  <c r="AD291" i="2" s="1"/>
  <c r="AD300" i="2" s="1"/>
  <c r="AC273" i="2"/>
  <c r="AC282" i="2" s="1"/>
  <c r="AC291" i="2" s="1"/>
  <c r="AC300" i="2" s="1"/>
  <c r="AB273" i="2"/>
  <c r="AB282" i="2" s="1"/>
  <c r="AB291" i="2" s="1"/>
  <c r="AB300" i="2" s="1"/>
  <c r="AA273" i="2"/>
  <c r="AA282" i="2" s="1"/>
  <c r="AA291" i="2" s="1"/>
  <c r="AA300" i="2" s="1"/>
  <c r="Z273" i="2"/>
  <c r="Z282" i="2" s="1"/>
  <c r="Z291" i="2" s="1"/>
  <c r="Z300" i="2" s="1"/>
  <c r="Y273" i="2"/>
  <c r="Y282" i="2" s="1"/>
  <c r="Y291" i="2" s="1"/>
  <c r="Y300" i="2" s="1"/>
  <c r="X273" i="2"/>
  <c r="X282" i="2" s="1"/>
  <c r="X291" i="2" s="1"/>
  <c r="X300" i="2" s="1"/>
  <c r="W273" i="2"/>
  <c r="W282" i="2" s="1"/>
  <c r="W291" i="2" s="1"/>
  <c r="W300" i="2" s="1"/>
  <c r="T273" i="2"/>
  <c r="T282" i="2" s="1"/>
  <c r="T291" i="2" s="1"/>
  <c r="T300" i="2" s="1"/>
  <c r="S273" i="2"/>
  <c r="S282" i="2" s="1"/>
  <c r="S291" i="2" s="1"/>
  <c r="S300" i="2" s="1"/>
  <c r="R273" i="2"/>
  <c r="R282" i="2" s="1"/>
  <c r="R291" i="2" s="1"/>
  <c r="R300" i="2" s="1"/>
  <c r="Q273" i="2"/>
  <c r="Q282" i="2" s="1"/>
  <c r="Q291" i="2" s="1"/>
  <c r="Q300" i="2" s="1"/>
  <c r="P273" i="2"/>
  <c r="P282" i="2" s="1"/>
  <c r="P291" i="2" s="1"/>
  <c r="P300" i="2" s="1"/>
  <c r="O273" i="2"/>
  <c r="O282" i="2" s="1"/>
  <c r="O291" i="2" s="1"/>
  <c r="O300" i="2" s="1"/>
  <c r="N273" i="2"/>
  <c r="N282" i="2" s="1"/>
  <c r="N291" i="2" s="1"/>
  <c r="N300" i="2" s="1"/>
  <c r="M273" i="2"/>
  <c r="M282" i="2" s="1"/>
  <c r="M291" i="2" s="1"/>
  <c r="M300" i="2" s="1"/>
  <c r="J273" i="2"/>
  <c r="J282" i="2" s="1"/>
  <c r="J291" i="2" s="1"/>
  <c r="J300" i="2" s="1"/>
  <c r="I273" i="2"/>
  <c r="I282" i="2" s="1"/>
  <c r="I291" i="2" s="1"/>
  <c r="I300" i="2" s="1"/>
  <c r="H273" i="2"/>
  <c r="H282" i="2" s="1"/>
  <c r="H291" i="2" s="1"/>
  <c r="H300" i="2" s="1"/>
  <c r="G273" i="2"/>
  <c r="G282" i="2" s="1"/>
  <c r="G291" i="2" s="1"/>
  <c r="G300" i="2" s="1"/>
  <c r="F273" i="2"/>
  <c r="F282" i="2" s="1"/>
  <c r="F291" i="2" s="1"/>
  <c r="F300" i="2" s="1"/>
  <c r="E273" i="2"/>
  <c r="E282" i="2" s="1"/>
  <c r="E291" i="2" s="1"/>
  <c r="E300" i="2" s="1"/>
  <c r="D273" i="2"/>
  <c r="D282" i="2" s="1"/>
  <c r="D291" i="2" s="1"/>
  <c r="D300" i="2" s="1"/>
  <c r="C273" i="2"/>
  <c r="C282" i="2" s="1"/>
  <c r="C291" i="2" s="1"/>
  <c r="C300" i="2" s="1"/>
  <c r="G198" i="2"/>
  <c r="F197" i="2"/>
  <c r="F196" i="2"/>
  <c r="F194" i="2"/>
  <c r="F193" i="2"/>
  <c r="F192" i="2"/>
  <c r="H176" i="2"/>
  <c r="H179" i="2" s="1"/>
  <c r="C172" i="2"/>
  <c r="C181" i="2" s="1"/>
  <c r="F162" i="2"/>
  <c r="F325" i="2" s="1"/>
  <c r="F161" i="2"/>
  <c r="F324" i="2" s="1"/>
  <c r="C157" i="2"/>
  <c r="D157" i="2" s="1"/>
  <c r="C100" i="2"/>
  <c r="C113" i="2" s="1"/>
  <c r="O43" i="2"/>
  <c r="M43" i="2"/>
  <c r="J43" i="2"/>
  <c r="E43" i="2"/>
  <c r="O42" i="2"/>
  <c r="M42" i="2"/>
  <c r="J42" i="2"/>
  <c r="E42" i="2"/>
  <c r="O41" i="2"/>
  <c r="M41" i="2"/>
  <c r="J41" i="2"/>
  <c r="E41" i="2"/>
  <c r="O40" i="2"/>
  <c r="M40" i="2"/>
  <c r="J40" i="2"/>
  <c r="E40" i="2"/>
  <c r="O39" i="2"/>
  <c r="M39" i="2"/>
  <c r="J39" i="2"/>
  <c r="E39" i="2"/>
  <c r="V38" i="2"/>
  <c r="O38" i="2"/>
  <c r="M38" i="2"/>
  <c r="J38" i="2"/>
  <c r="E38" i="2"/>
  <c r="V37" i="2"/>
  <c r="O37" i="2"/>
  <c r="M37" i="2"/>
  <c r="N37" i="2" s="1"/>
  <c r="J37" i="2"/>
  <c r="E37" i="2"/>
  <c r="V30" i="2"/>
  <c r="O30" i="2"/>
  <c r="M30" i="2"/>
  <c r="J30" i="2"/>
  <c r="E30" i="2"/>
  <c r="V29" i="2"/>
  <c r="O29" i="2"/>
  <c r="M29" i="2"/>
  <c r="J29" i="2"/>
  <c r="E29" i="2"/>
  <c r="V28" i="2"/>
  <c r="O28" i="2"/>
  <c r="M28" i="2"/>
  <c r="J28" i="2"/>
  <c r="E28" i="2"/>
  <c r="V27" i="2"/>
  <c r="O27" i="2"/>
  <c r="M27" i="2"/>
  <c r="J27" i="2"/>
  <c r="E27" i="2"/>
  <c r="V26" i="2"/>
  <c r="O26" i="2"/>
  <c r="M26" i="2"/>
  <c r="J26" i="2"/>
  <c r="E26" i="2"/>
  <c r="V25" i="2"/>
  <c r="O25" i="2"/>
  <c r="M25" i="2"/>
  <c r="J25" i="2"/>
  <c r="E25" i="2"/>
  <c r="V24" i="2"/>
  <c r="O24" i="2"/>
  <c r="M24" i="2"/>
  <c r="N24" i="2" s="1"/>
  <c r="J24" i="2"/>
  <c r="E24" i="2"/>
  <c r="J17" i="2"/>
  <c r="I17" i="2"/>
  <c r="H17" i="2"/>
  <c r="G17" i="2"/>
  <c r="F17" i="2"/>
  <c r="E17" i="2"/>
  <c r="D17" i="2"/>
  <c r="C17" i="2"/>
  <c r="J11" i="2"/>
  <c r="C255" i="2" s="1"/>
  <c r="I11" i="2"/>
  <c r="C254" i="2" s="1"/>
  <c r="E253" i="2" s="1"/>
  <c r="H11" i="2"/>
  <c r="C253" i="2" s="1"/>
  <c r="E252" i="2" s="1"/>
  <c r="G11" i="2"/>
  <c r="C252" i="2" s="1"/>
  <c r="E251" i="2" s="1"/>
  <c r="F11" i="2"/>
  <c r="E11" i="2"/>
  <c r="D11" i="2"/>
  <c r="C11" i="2"/>
  <c r="I300" i="3" l="1"/>
  <c r="I304" i="3"/>
  <c r="I301" i="3"/>
  <c r="I305" i="3"/>
  <c r="E235" i="3"/>
  <c r="E234" i="3"/>
  <c r="I320" i="2"/>
  <c r="I321" i="2"/>
  <c r="I322" i="2"/>
  <c r="I325" i="2"/>
  <c r="I324" i="2"/>
  <c r="I303" i="3"/>
  <c r="I302" i="3"/>
  <c r="F138" i="3"/>
  <c r="J55" i="3"/>
  <c r="W24" i="3"/>
  <c r="F55" i="3" s="1"/>
  <c r="F66" i="3" s="1"/>
  <c r="F101" i="3" s="1"/>
  <c r="H161" i="3"/>
  <c r="F173" i="3" s="1"/>
  <c r="F180" i="3" s="1"/>
  <c r="D306" i="3"/>
  <c r="M43" i="3"/>
  <c r="M42" i="3"/>
  <c r="E306" i="3"/>
  <c r="K40" i="3"/>
  <c r="R58" i="3" s="1"/>
  <c r="R69" i="3" s="1"/>
  <c r="H183" i="2"/>
  <c r="F195" i="2" s="1"/>
  <c r="X276" i="2"/>
  <c r="X285" i="2" s="1"/>
  <c r="X294" i="2" s="1"/>
  <c r="X303" i="2" s="1"/>
  <c r="W37" i="2"/>
  <c r="T55" i="2" s="1"/>
  <c r="T66" i="2" s="1"/>
  <c r="V85" i="2" s="1"/>
  <c r="V119" i="2" s="1"/>
  <c r="C110" i="2"/>
  <c r="M275" i="2"/>
  <c r="M284" i="2" s="1"/>
  <c r="M293" i="2" s="1"/>
  <c r="M302" i="2" s="1"/>
  <c r="C111" i="2"/>
  <c r="C276" i="2"/>
  <c r="C285" i="2" s="1"/>
  <c r="C294" i="2" s="1"/>
  <c r="C303" i="2" s="1"/>
  <c r="N276" i="2"/>
  <c r="N285" i="2" s="1"/>
  <c r="N294" i="2" s="1"/>
  <c r="N303" i="2" s="1"/>
  <c r="F191" i="2"/>
  <c r="F198" i="2" s="1"/>
  <c r="Q275" i="2"/>
  <c r="Q284" i="2" s="1"/>
  <c r="Q293" i="2" s="1"/>
  <c r="Q302" i="2" s="1"/>
  <c r="D276" i="2"/>
  <c r="D285" i="2" s="1"/>
  <c r="D294" i="2" s="1"/>
  <c r="D303" i="2" s="1"/>
  <c r="P276" i="2"/>
  <c r="P285" i="2" s="1"/>
  <c r="P294" i="2" s="1"/>
  <c r="P303" i="2" s="1"/>
  <c r="AA276" i="2"/>
  <c r="AA285" i="2" s="1"/>
  <c r="AA294" i="2" s="1"/>
  <c r="AA303" i="2" s="1"/>
  <c r="C112" i="2"/>
  <c r="R275" i="2"/>
  <c r="R284" i="2" s="1"/>
  <c r="R293" i="2" s="1"/>
  <c r="R302" i="2" s="1"/>
  <c r="G276" i="2"/>
  <c r="G285" i="2" s="1"/>
  <c r="G294" i="2" s="1"/>
  <c r="G303" i="2" s="1"/>
  <c r="H276" i="2"/>
  <c r="H285" i="2" s="1"/>
  <c r="H294" i="2" s="1"/>
  <c r="H303" i="2" s="1"/>
  <c r="W276" i="2"/>
  <c r="W285" i="2" s="1"/>
  <c r="W294" i="2" s="1"/>
  <c r="W303" i="2" s="1"/>
  <c r="C326" i="2"/>
  <c r="E326" i="2"/>
  <c r="D41" i="2"/>
  <c r="F41" i="2" s="1"/>
  <c r="Q59" i="2" s="1"/>
  <c r="I26" i="2"/>
  <c r="K26" i="2" s="1"/>
  <c r="K57" i="2" s="1"/>
  <c r="K68" i="2" s="1"/>
  <c r="T25" i="2"/>
  <c r="U25" i="2" s="1"/>
  <c r="W25" i="2" s="1"/>
  <c r="D27" i="2"/>
  <c r="F27" i="2" s="1"/>
  <c r="J58" i="2" s="1"/>
  <c r="J69" i="2" s="1"/>
  <c r="N30" i="2"/>
  <c r="P30" i="2" s="1"/>
  <c r="D28" i="2"/>
  <c r="F28" i="2" s="1"/>
  <c r="K24" i="2"/>
  <c r="K55" i="2" s="1"/>
  <c r="K66" i="2" s="1"/>
  <c r="P24" i="2"/>
  <c r="I30" i="2"/>
  <c r="K30" i="2" s="1"/>
  <c r="I25" i="2"/>
  <c r="K25" i="2" s="1"/>
  <c r="D56" i="2" s="1"/>
  <c r="D67" i="2" s="1"/>
  <c r="F37" i="2"/>
  <c r="Q55" i="2" s="1"/>
  <c r="Q66" i="2" s="1"/>
  <c r="N25" i="2"/>
  <c r="P25" i="2" s="1"/>
  <c r="D29" i="2"/>
  <c r="F29" i="2" s="1"/>
  <c r="N28" i="2"/>
  <c r="P28" i="2" s="1"/>
  <c r="L59" i="2" s="1"/>
  <c r="L70" i="2" s="1"/>
  <c r="D25" i="2"/>
  <c r="F25" i="2" s="1"/>
  <c r="J56" i="2" s="1"/>
  <c r="D26" i="2"/>
  <c r="F26" i="2" s="1"/>
  <c r="N26" i="2"/>
  <c r="P26" i="2" s="1"/>
  <c r="I28" i="2"/>
  <c r="K28" i="2" s="1"/>
  <c r="I29" i="2"/>
  <c r="K29" i="2" s="1"/>
  <c r="N41" i="2"/>
  <c r="P41" i="2" s="1"/>
  <c r="S59" i="2" s="1"/>
  <c r="S70" i="2" s="1"/>
  <c r="U89" i="2" s="1"/>
  <c r="N29" i="2"/>
  <c r="P29" i="2" s="1"/>
  <c r="I27" i="2"/>
  <c r="K27" i="2" s="1"/>
  <c r="K58" i="2" s="1"/>
  <c r="K69" i="2" s="1"/>
  <c r="D30" i="2"/>
  <c r="F30" i="2" s="1"/>
  <c r="J61" i="2" s="1"/>
  <c r="I43" i="2"/>
  <c r="K43" i="2" s="1"/>
  <c r="R61" i="2" s="1"/>
  <c r="R72" i="2" s="1"/>
  <c r="N38" i="2"/>
  <c r="P38" i="2" s="1"/>
  <c r="S56" i="2" s="1"/>
  <c r="S67" i="2" s="1"/>
  <c r="N27" i="2"/>
  <c r="P27" i="2" s="1"/>
  <c r="L58" i="2" s="1"/>
  <c r="K37" i="2"/>
  <c r="R55" i="2" s="1"/>
  <c r="R66" i="2" s="1"/>
  <c r="T85" i="2" s="1"/>
  <c r="N42" i="2"/>
  <c r="P42" i="2" s="1"/>
  <c r="S60" i="2" s="1"/>
  <c r="S71" i="2" s="1"/>
  <c r="F24" i="2"/>
  <c r="J55" i="2" s="1"/>
  <c r="W24" i="2"/>
  <c r="I42" i="2"/>
  <c r="K42" i="2" s="1"/>
  <c r="R60" i="2" s="1"/>
  <c r="R71" i="2" s="1"/>
  <c r="P37" i="2"/>
  <c r="S55" i="2" s="1"/>
  <c r="S66" i="2" s="1"/>
  <c r="D39" i="2"/>
  <c r="F39" i="2" s="1"/>
  <c r="Q57" i="2" s="1"/>
  <c r="Q68" i="2" s="1"/>
  <c r="S87" i="2" s="1"/>
  <c r="S121" i="2" s="1"/>
  <c r="I40" i="2"/>
  <c r="K40" i="2" s="1"/>
  <c r="R58" i="2" s="1"/>
  <c r="R69" i="2" s="1"/>
  <c r="T88" i="2" s="1"/>
  <c r="I41" i="2"/>
  <c r="K41" i="2" s="1"/>
  <c r="R59" i="2" s="1"/>
  <c r="R70" i="2" s="1"/>
  <c r="T89" i="2" s="1"/>
  <c r="D42" i="2"/>
  <c r="F42" i="2" s="1"/>
  <c r="Q60" i="2" s="1"/>
  <c r="Q71" i="2" s="1"/>
  <c r="S90" i="2" s="1"/>
  <c r="S124" i="2" s="1"/>
  <c r="D43" i="2"/>
  <c r="F43" i="2" s="1"/>
  <c r="Q61" i="2" s="1"/>
  <c r="Q72" i="2" s="1"/>
  <c r="S91" i="2" s="1"/>
  <c r="S125" i="2" s="1"/>
  <c r="N43" i="2"/>
  <c r="P43" i="2" s="1"/>
  <c r="S61" i="2" s="1"/>
  <c r="S72" i="2" s="1"/>
  <c r="E55" i="3"/>
  <c r="E66" i="3" s="1"/>
  <c r="L55" i="3"/>
  <c r="L66" i="3" s="1"/>
  <c r="Q69" i="3"/>
  <c r="K55" i="3"/>
  <c r="K66" i="3" s="1"/>
  <c r="D55" i="3"/>
  <c r="D66" i="3" s="1"/>
  <c r="Q71" i="3"/>
  <c r="J66" i="3"/>
  <c r="P26" i="3"/>
  <c r="P27" i="3"/>
  <c r="P29" i="3"/>
  <c r="P30" i="3"/>
  <c r="Q67" i="3"/>
  <c r="F43" i="3"/>
  <c r="Q61" i="3" s="1"/>
  <c r="K26" i="3"/>
  <c r="K27" i="3"/>
  <c r="K29" i="3"/>
  <c r="K30" i="3"/>
  <c r="W37" i="3"/>
  <c r="T55" i="3" s="1"/>
  <c r="T66" i="3" s="1"/>
  <c r="P39" i="3"/>
  <c r="S57" i="3" s="1"/>
  <c r="S68" i="3" s="1"/>
  <c r="F25" i="3"/>
  <c r="F26" i="3"/>
  <c r="F27" i="3"/>
  <c r="F28" i="3"/>
  <c r="F29" i="3"/>
  <c r="F30" i="3"/>
  <c r="K37" i="3"/>
  <c r="P38" i="3"/>
  <c r="S56" i="3" s="1"/>
  <c r="S67" i="3" s="1"/>
  <c r="K39" i="3"/>
  <c r="R57" i="3" s="1"/>
  <c r="R68" i="3" s="1"/>
  <c r="U39" i="3"/>
  <c r="W39" i="3" s="1"/>
  <c r="T57" i="3" s="1"/>
  <c r="T68" i="3" s="1"/>
  <c r="P43" i="3"/>
  <c r="S61" i="3" s="1"/>
  <c r="S72" i="3" s="1"/>
  <c r="P25" i="3"/>
  <c r="P28" i="3"/>
  <c r="Q70" i="3"/>
  <c r="K43" i="3"/>
  <c r="R61" i="3" s="1"/>
  <c r="R72" i="3" s="1"/>
  <c r="K25" i="3"/>
  <c r="K28" i="3"/>
  <c r="P37" i="3"/>
  <c r="S55" i="3" s="1"/>
  <c r="S66" i="3" s="1"/>
  <c r="T104" i="3"/>
  <c r="T25" i="3"/>
  <c r="F37" i="3"/>
  <c r="K38" i="3"/>
  <c r="R56" i="3" s="1"/>
  <c r="R67" i="3" s="1"/>
  <c r="U38" i="3"/>
  <c r="W38" i="3" s="1"/>
  <c r="T56" i="3" s="1"/>
  <c r="T67" i="3" s="1"/>
  <c r="F39" i="3"/>
  <c r="Q57" i="3" s="1"/>
  <c r="T41" i="3"/>
  <c r="Z255" i="3"/>
  <c r="Z264" i="3" s="1"/>
  <c r="Z273" i="3" s="1"/>
  <c r="Z282" i="3" s="1"/>
  <c r="C93" i="3"/>
  <c r="R106" i="3" s="1"/>
  <c r="C94" i="3"/>
  <c r="S106" i="3" s="1"/>
  <c r="C92" i="3"/>
  <c r="C101" i="3" s="1"/>
  <c r="F256" i="3"/>
  <c r="F265" i="3" s="1"/>
  <c r="F274" i="3" s="1"/>
  <c r="F283" i="3" s="1"/>
  <c r="F255" i="3"/>
  <c r="F264" i="3" s="1"/>
  <c r="F273" i="3" s="1"/>
  <c r="F282" i="3" s="1"/>
  <c r="P255" i="3"/>
  <c r="P264" i="3" s="1"/>
  <c r="P273" i="3" s="1"/>
  <c r="P282" i="3" s="1"/>
  <c r="P256" i="3"/>
  <c r="P265" i="3" s="1"/>
  <c r="P274" i="3" s="1"/>
  <c r="P283" i="3" s="1"/>
  <c r="T256" i="3"/>
  <c r="T265" i="3" s="1"/>
  <c r="T274" i="3" s="1"/>
  <c r="T283" i="3" s="1"/>
  <c r="T255" i="3"/>
  <c r="T264" i="3" s="1"/>
  <c r="T273" i="3" s="1"/>
  <c r="T282" i="3" s="1"/>
  <c r="AD255" i="3"/>
  <c r="AD264" i="3" s="1"/>
  <c r="AD273" i="3" s="1"/>
  <c r="AD282" i="3" s="1"/>
  <c r="AD256" i="3"/>
  <c r="AD265" i="3" s="1"/>
  <c r="AD274" i="3" s="1"/>
  <c r="AD283" i="3" s="1"/>
  <c r="J256" i="3"/>
  <c r="J265" i="3" s="1"/>
  <c r="J274" i="3" s="1"/>
  <c r="J283" i="3" s="1"/>
  <c r="C306" i="3"/>
  <c r="C140" i="3"/>
  <c r="D140" i="3" s="1"/>
  <c r="C255" i="3"/>
  <c r="C264" i="3" s="1"/>
  <c r="C273" i="3" s="1"/>
  <c r="C282" i="3" s="1"/>
  <c r="G255" i="3"/>
  <c r="G264" i="3" s="1"/>
  <c r="G273" i="3" s="1"/>
  <c r="G282" i="3" s="1"/>
  <c r="M255" i="3"/>
  <c r="M264" i="3" s="1"/>
  <c r="M273" i="3" s="1"/>
  <c r="M282" i="3" s="1"/>
  <c r="Q255" i="3"/>
  <c r="Q264" i="3" s="1"/>
  <c r="Q273" i="3" s="1"/>
  <c r="Q282" i="3" s="1"/>
  <c r="W255" i="3"/>
  <c r="W264" i="3" s="1"/>
  <c r="W273" i="3" s="1"/>
  <c r="W282" i="3" s="1"/>
  <c r="AA255" i="3"/>
  <c r="AA264" i="3" s="1"/>
  <c r="AA273" i="3" s="1"/>
  <c r="AA282" i="3" s="1"/>
  <c r="D255" i="3"/>
  <c r="D264" i="3" s="1"/>
  <c r="D273" i="3" s="1"/>
  <c r="D282" i="3" s="1"/>
  <c r="H255" i="3"/>
  <c r="H264" i="3" s="1"/>
  <c r="H273" i="3" s="1"/>
  <c r="H282" i="3" s="1"/>
  <c r="N255" i="3"/>
  <c r="N264" i="3" s="1"/>
  <c r="N273" i="3" s="1"/>
  <c r="N282" i="3" s="1"/>
  <c r="R255" i="3"/>
  <c r="R264" i="3" s="1"/>
  <c r="R273" i="3" s="1"/>
  <c r="R282" i="3" s="1"/>
  <c r="X255" i="3"/>
  <c r="X264" i="3" s="1"/>
  <c r="X273" i="3" s="1"/>
  <c r="X282" i="3" s="1"/>
  <c r="AB255" i="3"/>
  <c r="AB264" i="3" s="1"/>
  <c r="AB273" i="3" s="1"/>
  <c r="AB282" i="3" s="1"/>
  <c r="E255" i="3"/>
  <c r="E264" i="3" s="1"/>
  <c r="E273" i="3" s="1"/>
  <c r="E282" i="3" s="1"/>
  <c r="I255" i="3"/>
  <c r="I264" i="3" s="1"/>
  <c r="I273" i="3" s="1"/>
  <c r="I282" i="3" s="1"/>
  <c r="O255" i="3"/>
  <c r="O264" i="3" s="1"/>
  <c r="O273" i="3" s="1"/>
  <c r="O282" i="3" s="1"/>
  <c r="S255" i="3"/>
  <c r="S264" i="3" s="1"/>
  <c r="S273" i="3" s="1"/>
  <c r="S282" i="3" s="1"/>
  <c r="Y255" i="3"/>
  <c r="Y264" i="3" s="1"/>
  <c r="Y273" i="3" s="1"/>
  <c r="Y282" i="3" s="1"/>
  <c r="AC255" i="3"/>
  <c r="AC264" i="3" s="1"/>
  <c r="AC273" i="3" s="1"/>
  <c r="AC282" i="3" s="1"/>
  <c r="N40" i="2"/>
  <c r="P40" i="2" s="1"/>
  <c r="S58" i="2" s="1"/>
  <c r="S69" i="2" s="1"/>
  <c r="U88" i="2" s="1"/>
  <c r="D38" i="2"/>
  <c r="F38" i="2" s="1"/>
  <c r="Q56" i="2" s="1"/>
  <c r="D326" i="2"/>
  <c r="T38" i="2"/>
  <c r="N39" i="2"/>
  <c r="P39" i="2" s="1"/>
  <c r="S57" i="2" s="1"/>
  <c r="S68" i="2" s="1"/>
  <c r="U87" i="2" s="1"/>
  <c r="D40" i="2"/>
  <c r="F40" i="2" s="1"/>
  <c r="I38" i="2"/>
  <c r="K38" i="2" s="1"/>
  <c r="R56" i="2" s="1"/>
  <c r="R67" i="2" s="1"/>
  <c r="T86" i="2" s="1"/>
  <c r="I39" i="2"/>
  <c r="K39" i="2" s="1"/>
  <c r="R57" i="2" s="1"/>
  <c r="R68" i="2" s="1"/>
  <c r="T87" i="2" s="1"/>
  <c r="F156" i="2"/>
  <c r="F319" i="2" s="1"/>
  <c r="C158" i="2"/>
  <c r="D158" i="2" s="1"/>
  <c r="J275" i="2"/>
  <c r="J284" i="2" s="1"/>
  <c r="J293" i="2" s="1"/>
  <c r="J302" i="2" s="1"/>
  <c r="Z275" i="2"/>
  <c r="Z284" i="2" s="1"/>
  <c r="Z293" i="2" s="1"/>
  <c r="Z302" i="2" s="1"/>
  <c r="AD276" i="2"/>
  <c r="AD285" i="2" s="1"/>
  <c r="AD294" i="2" s="1"/>
  <c r="AD303" i="2" s="1"/>
  <c r="F276" i="2"/>
  <c r="F285" i="2" s="1"/>
  <c r="F294" i="2" s="1"/>
  <c r="F303" i="2" s="1"/>
  <c r="F275" i="2"/>
  <c r="F284" i="2" s="1"/>
  <c r="F293" i="2" s="1"/>
  <c r="F302" i="2" s="1"/>
  <c r="T276" i="2"/>
  <c r="T285" i="2" s="1"/>
  <c r="T294" i="2" s="1"/>
  <c r="T303" i="2" s="1"/>
  <c r="T275" i="2"/>
  <c r="T284" i="2" s="1"/>
  <c r="T293" i="2" s="1"/>
  <c r="T302" i="2" s="1"/>
  <c r="AB276" i="2"/>
  <c r="AB285" i="2" s="1"/>
  <c r="AB294" i="2" s="1"/>
  <c r="AB303" i="2" s="1"/>
  <c r="E275" i="2"/>
  <c r="E284" i="2" s="1"/>
  <c r="E293" i="2" s="1"/>
  <c r="E302" i="2" s="1"/>
  <c r="I275" i="2"/>
  <c r="I284" i="2" s="1"/>
  <c r="I293" i="2" s="1"/>
  <c r="I302" i="2" s="1"/>
  <c r="O275" i="2"/>
  <c r="O284" i="2" s="1"/>
  <c r="O293" i="2" s="1"/>
  <c r="O302" i="2" s="1"/>
  <c r="S275" i="2"/>
  <c r="S284" i="2" s="1"/>
  <c r="S293" i="2" s="1"/>
  <c r="S302" i="2" s="1"/>
  <c r="Y275" i="2"/>
  <c r="Y284" i="2" s="1"/>
  <c r="Y293" i="2" s="1"/>
  <c r="Y302" i="2" s="1"/>
  <c r="AC275" i="2"/>
  <c r="AC284" i="2" s="1"/>
  <c r="AC293" i="2" s="1"/>
  <c r="AC302" i="2" s="1"/>
  <c r="J72" i="2" l="1"/>
  <c r="K91" i="2" s="1"/>
  <c r="K125" i="2" s="1"/>
  <c r="C288" i="3"/>
  <c r="U58" i="3"/>
  <c r="M55" i="3"/>
  <c r="M66" i="3" s="1"/>
  <c r="M101" i="3" s="1"/>
  <c r="U123" i="2"/>
  <c r="T121" i="2"/>
  <c r="U121" i="2"/>
  <c r="U122" i="2"/>
  <c r="T122" i="2"/>
  <c r="T120" i="2"/>
  <c r="T123" i="2"/>
  <c r="T119" i="2"/>
  <c r="S105" i="3"/>
  <c r="K101" i="3"/>
  <c r="C291" i="3"/>
  <c r="C286" i="3"/>
  <c r="R105" i="3"/>
  <c r="C287" i="3"/>
  <c r="C289" i="3"/>
  <c r="C292" i="3"/>
  <c r="C290" i="3"/>
  <c r="F31" i="3"/>
  <c r="C309" i="2"/>
  <c r="C58" i="2"/>
  <c r="C69" i="2" s="1"/>
  <c r="C88" i="2" s="1"/>
  <c r="E58" i="2"/>
  <c r="E69" i="2" s="1"/>
  <c r="E88" i="2" s="1"/>
  <c r="D58" i="2"/>
  <c r="D69" i="2" s="1"/>
  <c r="Y69" i="2" s="1"/>
  <c r="S85" i="2"/>
  <c r="S119" i="2" s="1"/>
  <c r="U91" i="2"/>
  <c r="U125" i="2" s="1"/>
  <c r="L87" i="2"/>
  <c r="L121" i="2" s="1"/>
  <c r="L88" i="2"/>
  <c r="L122" i="2" s="1"/>
  <c r="M89" i="2"/>
  <c r="M123" i="2" s="1"/>
  <c r="U85" i="2"/>
  <c r="U119" i="2" s="1"/>
  <c r="U86" i="2"/>
  <c r="U120" i="2" s="1"/>
  <c r="D86" i="2"/>
  <c r="L85" i="2"/>
  <c r="L119" i="2" s="1"/>
  <c r="T90" i="2"/>
  <c r="T124" i="2" s="1"/>
  <c r="U90" i="2"/>
  <c r="U124" i="2" s="1"/>
  <c r="T91" i="2"/>
  <c r="T125" i="2" s="1"/>
  <c r="C310" i="2"/>
  <c r="C306" i="2"/>
  <c r="L55" i="2"/>
  <c r="L66" i="2" s="1"/>
  <c r="E55" i="2"/>
  <c r="E66" i="2" s="1"/>
  <c r="K60" i="2"/>
  <c r="D60" i="2"/>
  <c r="D71" i="2" s="1"/>
  <c r="U55" i="2"/>
  <c r="C61" i="2"/>
  <c r="C72" i="2" s="1"/>
  <c r="T26" i="2"/>
  <c r="L60" i="2"/>
  <c r="L71" i="2" s="1"/>
  <c r="E60" i="2"/>
  <c r="E71" i="2" s="1"/>
  <c r="L57" i="2"/>
  <c r="L68" i="2" s="1"/>
  <c r="E57" i="2"/>
  <c r="E68" i="2" s="1"/>
  <c r="C55" i="2"/>
  <c r="C66" i="2" s="1"/>
  <c r="C85" i="2" s="1"/>
  <c r="E59" i="2"/>
  <c r="E70" i="2" s="1"/>
  <c r="L56" i="2"/>
  <c r="L67" i="2" s="1"/>
  <c r="E56" i="2"/>
  <c r="E67" i="2" s="1"/>
  <c r="K61" i="2"/>
  <c r="K72" i="2" s="1"/>
  <c r="D61" i="2"/>
  <c r="D72" i="2" s="1"/>
  <c r="C307" i="2"/>
  <c r="C308" i="2"/>
  <c r="C57" i="2"/>
  <c r="C68" i="2" s="1"/>
  <c r="C87" i="2" s="1"/>
  <c r="J57" i="2"/>
  <c r="J68" i="2" s="1"/>
  <c r="K87" i="2" s="1"/>
  <c r="K121" i="2" s="1"/>
  <c r="C311" i="2"/>
  <c r="D57" i="2"/>
  <c r="D68" i="2" s="1"/>
  <c r="Y68" i="2" s="1"/>
  <c r="C56" i="2"/>
  <c r="C67" i="2" s="1"/>
  <c r="C86" i="2" s="1"/>
  <c r="K31" i="2"/>
  <c r="P31" i="2"/>
  <c r="K56" i="2"/>
  <c r="K67" i="2" s="1"/>
  <c r="F55" i="2"/>
  <c r="F66" i="2" s="1"/>
  <c r="F85" i="2" s="1"/>
  <c r="M55" i="2"/>
  <c r="M66" i="2" s="1"/>
  <c r="U66" i="2"/>
  <c r="F31" i="2"/>
  <c r="D55" i="2"/>
  <c r="D66" i="2" s="1"/>
  <c r="C312" i="2"/>
  <c r="F44" i="2"/>
  <c r="P44" i="2"/>
  <c r="K44" i="2"/>
  <c r="Q72" i="3"/>
  <c r="T102" i="3"/>
  <c r="S107" i="3"/>
  <c r="Q55" i="3"/>
  <c r="F44" i="3"/>
  <c r="R55" i="3"/>
  <c r="R66" i="3" s="1"/>
  <c r="K44" i="3"/>
  <c r="C141" i="3"/>
  <c r="D141" i="3" s="1"/>
  <c r="R102" i="3"/>
  <c r="K59" i="3"/>
  <c r="K70" i="3" s="1"/>
  <c r="D59" i="3"/>
  <c r="D70" i="3" s="1"/>
  <c r="D105" i="3" s="1"/>
  <c r="R103" i="3"/>
  <c r="J60" i="3"/>
  <c r="J71" i="3" s="1"/>
  <c r="C60" i="3"/>
  <c r="C56" i="3"/>
  <c r="J56" i="3"/>
  <c r="S103" i="3"/>
  <c r="D60" i="3"/>
  <c r="D71" i="3" s="1"/>
  <c r="D106" i="3" s="1"/>
  <c r="K60" i="3"/>
  <c r="K71" i="3" s="1"/>
  <c r="L60" i="3"/>
  <c r="L71" i="3" s="1"/>
  <c r="E60" i="3"/>
  <c r="E71" i="3" s="1"/>
  <c r="E106" i="3" s="1"/>
  <c r="J101" i="3"/>
  <c r="Q106" i="3"/>
  <c r="R104" i="3"/>
  <c r="L101" i="3"/>
  <c r="Q68" i="3"/>
  <c r="U57" i="3"/>
  <c r="E59" i="3"/>
  <c r="E70" i="3" s="1"/>
  <c r="E105" i="3" s="1"/>
  <c r="L59" i="3"/>
  <c r="L70" i="3" s="1"/>
  <c r="Z66" i="3"/>
  <c r="M124" i="3" s="1"/>
  <c r="S101" i="3"/>
  <c r="J58" i="3"/>
  <c r="J69" i="3" s="1"/>
  <c r="C58" i="3"/>
  <c r="K57" i="3"/>
  <c r="K68" i="3" s="1"/>
  <c r="K103" i="3" s="1"/>
  <c r="D57" i="3"/>
  <c r="D68" i="3" s="1"/>
  <c r="D103" i="3" s="1"/>
  <c r="Q102" i="3"/>
  <c r="U67" i="3"/>
  <c r="L57" i="3"/>
  <c r="L68" i="3" s="1"/>
  <c r="L103" i="3" s="1"/>
  <c r="E57" i="3"/>
  <c r="E68" i="3" s="1"/>
  <c r="E103" i="3" s="1"/>
  <c r="G55" i="3"/>
  <c r="R107" i="3"/>
  <c r="S104" i="3"/>
  <c r="L56" i="3"/>
  <c r="L67" i="3" s="1"/>
  <c r="L102" i="3" s="1"/>
  <c r="E56" i="3"/>
  <c r="E67" i="3" s="1"/>
  <c r="E102" i="3" s="1"/>
  <c r="T103" i="3"/>
  <c r="C61" i="3"/>
  <c r="J61" i="3"/>
  <c r="J72" i="3" s="1"/>
  <c r="C57" i="3"/>
  <c r="J57" i="3"/>
  <c r="K61" i="3"/>
  <c r="D61" i="3"/>
  <c r="D72" i="3" s="1"/>
  <c r="D107" i="3" s="1"/>
  <c r="L61" i="3"/>
  <c r="E61" i="3"/>
  <c r="E72" i="3" s="1"/>
  <c r="E107" i="3" s="1"/>
  <c r="K31" i="3"/>
  <c r="U69" i="3"/>
  <c r="Q104" i="3"/>
  <c r="U41" i="3"/>
  <c r="W41" i="3" s="1"/>
  <c r="T59" i="3" s="1"/>
  <c r="T42" i="3"/>
  <c r="U25" i="3"/>
  <c r="W25" i="3" s="1"/>
  <c r="T26" i="3"/>
  <c r="K56" i="3"/>
  <c r="K67" i="3" s="1"/>
  <c r="K102" i="3" s="1"/>
  <c r="D56" i="3"/>
  <c r="D67" i="3" s="1"/>
  <c r="D102" i="3" s="1"/>
  <c r="Q105" i="3"/>
  <c r="P44" i="3"/>
  <c r="S102" i="3"/>
  <c r="C59" i="3"/>
  <c r="J59" i="3"/>
  <c r="J70" i="3" s="1"/>
  <c r="T101" i="3"/>
  <c r="D58" i="3"/>
  <c r="D69" i="3" s="1"/>
  <c r="D104" i="3" s="1"/>
  <c r="K58" i="3"/>
  <c r="K69" i="3" s="1"/>
  <c r="U56" i="3"/>
  <c r="L58" i="3"/>
  <c r="E58" i="3"/>
  <c r="E69" i="3" s="1"/>
  <c r="E104" i="3" s="1"/>
  <c r="P31" i="3"/>
  <c r="D101" i="3"/>
  <c r="E101" i="3"/>
  <c r="Q58" i="2"/>
  <c r="M56" i="2"/>
  <c r="M67" i="2" s="1"/>
  <c r="F56" i="2"/>
  <c r="F67" i="2" s="1"/>
  <c r="D59" i="2"/>
  <c r="D70" i="2" s="1"/>
  <c r="K59" i="2"/>
  <c r="K70" i="2" s="1"/>
  <c r="Q67" i="2"/>
  <c r="S86" i="2" s="1"/>
  <c r="S120" i="2" s="1"/>
  <c r="C59" i="2"/>
  <c r="J59" i="2"/>
  <c r="J70" i="2" s="1"/>
  <c r="J67" i="2"/>
  <c r="K86" i="2" s="1"/>
  <c r="K120" i="2" s="1"/>
  <c r="J66" i="2"/>
  <c r="K85" i="2" s="1"/>
  <c r="K119" i="2" s="1"/>
  <c r="J60" i="2"/>
  <c r="J71" i="2" s="1"/>
  <c r="C60" i="2"/>
  <c r="C159" i="2"/>
  <c r="D159" i="2" s="1"/>
  <c r="Q70" i="2"/>
  <c r="S89" i="2" s="1"/>
  <c r="S123" i="2" s="1"/>
  <c r="U38" i="2"/>
  <c r="W38" i="2" s="1"/>
  <c r="T39" i="2"/>
  <c r="K88" i="2"/>
  <c r="K122" i="2" s="1"/>
  <c r="L61" i="2"/>
  <c r="E61" i="2"/>
  <c r="E72" i="2" s="1"/>
  <c r="L69" i="3" l="1"/>
  <c r="L69" i="2"/>
  <c r="M88" i="2" s="1"/>
  <c r="M122" i="2" s="1"/>
  <c r="O119" i="2"/>
  <c r="G130" i="2" s="1"/>
  <c r="P85" i="2"/>
  <c r="L72" i="2"/>
  <c r="M91" i="2" s="1"/>
  <c r="M125" i="2" s="1"/>
  <c r="M90" i="2"/>
  <c r="M124" i="2" s="1"/>
  <c r="K71" i="2"/>
  <c r="L90" i="2" s="1"/>
  <c r="L124" i="2" s="1"/>
  <c r="K72" i="3"/>
  <c r="K107" i="3" s="1"/>
  <c r="D118" i="3" s="1"/>
  <c r="D130" i="3" s="1"/>
  <c r="L106" i="3"/>
  <c r="E117" i="3" s="1"/>
  <c r="E129" i="3" s="1"/>
  <c r="L72" i="3"/>
  <c r="L107" i="3" s="1"/>
  <c r="E118" i="3" s="1"/>
  <c r="E130" i="3" s="1"/>
  <c r="AA66" i="3"/>
  <c r="N124" i="3" s="1"/>
  <c r="N55" i="3"/>
  <c r="C293" i="3"/>
  <c r="N66" i="3"/>
  <c r="F112" i="3"/>
  <c r="F124" i="3" s="1"/>
  <c r="D114" i="3"/>
  <c r="D126" i="3" s="1"/>
  <c r="D88" i="2"/>
  <c r="AB88" i="2" s="1"/>
  <c r="M145" i="2" s="1"/>
  <c r="N85" i="2"/>
  <c r="AD85" i="2" s="1"/>
  <c r="O142" i="2" s="1"/>
  <c r="F119" i="2"/>
  <c r="E112" i="3"/>
  <c r="E124" i="3" s="1"/>
  <c r="G55" i="2"/>
  <c r="C119" i="2"/>
  <c r="AA85" i="2"/>
  <c r="L142" i="2" s="1"/>
  <c r="C121" i="2"/>
  <c r="AA87" i="2"/>
  <c r="L144" i="2" s="1"/>
  <c r="E122" i="2"/>
  <c r="E133" i="2" s="1"/>
  <c r="E145" i="2" s="1"/>
  <c r="C120" i="2"/>
  <c r="AA86" i="2"/>
  <c r="D120" i="2"/>
  <c r="C122" i="2"/>
  <c r="W44" i="3"/>
  <c r="D113" i="3"/>
  <c r="U102" i="3"/>
  <c r="Y68" i="3"/>
  <c r="L126" i="3" s="1"/>
  <c r="X119" i="2"/>
  <c r="W85" i="2"/>
  <c r="F86" i="2"/>
  <c r="D91" i="2"/>
  <c r="E89" i="2"/>
  <c r="E90" i="2"/>
  <c r="X72" i="2"/>
  <c r="C91" i="2"/>
  <c r="E85" i="2"/>
  <c r="N86" i="2"/>
  <c r="N120" i="2" s="1"/>
  <c r="L91" i="2"/>
  <c r="L125" i="2" s="1"/>
  <c r="M85" i="2"/>
  <c r="E91" i="2"/>
  <c r="L89" i="2"/>
  <c r="L123" i="2" s="1"/>
  <c r="L86" i="2"/>
  <c r="L120" i="2" s="1"/>
  <c r="D87" i="2"/>
  <c r="E86" i="2"/>
  <c r="E87" i="2"/>
  <c r="D90" i="2"/>
  <c r="D89" i="2"/>
  <c r="D85" i="2"/>
  <c r="M86" i="2"/>
  <c r="M120" i="2" s="1"/>
  <c r="M87" i="2"/>
  <c r="M121" i="2" s="1"/>
  <c r="Z70" i="2"/>
  <c r="Z66" i="2"/>
  <c r="Y72" i="2"/>
  <c r="N56" i="2"/>
  <c r="Y67" i="2"/>
  <c r="T27" i="2"/>
  <c r="E81" i="2"/>
  <c r="F81" i="2" s="1"/>
  <c r="U26" i="2"/>
  <c r="W26" i="2" s="1"/>
  <c r="C313" i="2"/>
  <c r="Z67" i="2"/>
  <c r="N55" i="2"/>
  <c r="Z68" i="2"/>
  <c r="AA66" i="2"/>
  <c r="Y66" i="2"/>
  <c r="Y70" i="2"/>
  <c r="G56" i="2"/>
  <c r="K104" i="3"/>
  <c r="D115" i="3" s="1"/>
  <c r="D127" i="3" s="1"/>
  <c r="Y69" i="3"/>
  <c r="L127" i="3" s="1"/>
  <c r="T43" i="3"/>
  <c r="U43" i="3" s="1"/>
  <c r="W43" i="3" s="1"/>
  <c r="T61" i="3" s="1"/>
  <c r="U42" i="3"/>
  <c r="W42" i="3" s="1"/>
  <c r="T60" i="3" s="1"/>
  <c r="J68" i="3"/>
  <c r="C69" i="3"/>
  <c r="F139" i="3"/>
  <c r="Q66" i="3"/>
  <c r="U55" i="3"/>
  <c r="T70" i="3"/>
  <c r="U59" i="3"/>
  <c r="E114" i="3"/>
  <c r="E126" i="3" s="1"/>
  <c r="J67" i="3"/>
  <c r="Y67" i="3"/>
  <c r="L104" i="3"/>
  <c r="E115" i="3" s="1"/>
  <c r="E127" i="3" s="1"/>
  <c r="Z69" i="3"/>
  <c r="M127" i="3" s="1"/>
  <c r="U26" i="3"/>
  <c r="W26" i="3" s="1"/>
  <c r="T27" i="3"/>
  <c r="E113" i="3"/>
  <c r="G145" i="3"/>
  <c r="N101" i="3"/>
  <c r="C67" i="3"/>
  <c r="Y66" i="3"/>
  <c r="L124" i="3" s="1"/>
  <c r="R101" i="3"/>
  <c r="D112" i="3" s="1"/>
  <c r="D124" i="3" s="1"/>
  <c r="L105" i="3"/>
  <c r="E116" i="3" s="1"/>
  <c r="E128" i="3" s="1"/>
  <c r="Z70" i="3"/>
  <c r="M128" i="3" s="1"/>
  <c r="K105" i="3"/>
  <c r="D116" i="3" s="1"/>
  <c r="D128" i="3" s="1"/>
  <c r="Y70" i="3"/>
  <c r="L128" i="3" s="1"/>
  <c r="C70" i="3"/>
  <c r="C68" i="3"/>
  <c r="G66" i="3"/>
  <c r="U68" i="3"/>
  <c r="Q103" i="3"/>
  <c r="U103" i="3" s="1"/>
  <c r="K106" i="3"/>
  <c r="D117" i="3" s="1"/>
  <c r="D129" i="3" s="1"/>
  <c r="Y71" i="3"/>
  <c r="L129" i="3" s="1"/>
  <c r="Z67" i="3"/>
  <c r="M125" i="3" s="1"/>
  <c r="F56" i="3"/>
  <c r="F67" i="3" s="1"/>
  <c r="F102" i="3" s="1"/>
  <c r="M56" i="3"/>
  <c r="M67" i="3" s="1"/>
  <c r="U104" i="3"/>
  <c r="C72" i="3"/>
  <c r="Z68" i="3"/>
  <c r="M126" i="3" s="1"/>
  <c r="C71" i="3"/>
  <c r="C142" i="3"/>
  <c r="F140" i="3"/>
  <c r="Q107" i="3"/>
  <c r="N67" i="2"/>
  <c r="C160" i="2"/>
  <c r="F158" i="2"/>
  <c r="N66" i="2"/>
  <c r="X66" i="2"/>
  <c r="X67" i="2"/>
  <c r="G67" i="2"/>
  <c r="C71" i="2"/>
  <c r="C90" i="2" s="1"/>
  <c r="K89" i="2"/>
  <c r="K123" i="2" s="1"/>
  <c r="T56" i="2"/>
  <c r="F157" i="2"/>
  <c r="G66" i="2"/>
  <c r="U39" i="2"/>
  <c r="W39" i="2" s="1"/>
  <c r="T57" i="2" s="1"/>
  <c r="T40" i="2"/>
  <c r="K90" i="2"/>
  <c r="K124" i="2" s="1"/>
  <c r="X68" i="2"/>
  <c r="C70" i="2"/>
  <c r="Q69" i="2"/>
  <c r="S88" i="2" s="1"/>
  <c r="S122" i="2" s="1"/>
  <c r="C299" i="1"/>
  <c r="C300" i="1"/>
  <c r="C301" i="1"/>
  <c r="C302" i="1"/>
  <c r="C303" i="1"/>
  <c r="C304" i="1"/>
  <c r="C305" i="1"/>
  <c r="H131" i="1"/>
  <c r="E299" i="1"/>
  <c r="E300" i="1"/>
  <c r="E301" i="1"/>
  <c r="E302" i="1"/>
  <c r="E303" i="1"/>
  <c r="E304" i="1"/>
  <c r="E305" i="1"/>
  <c r="G180" i="1"/>
  <c r="D299" i="1"/>
  <c r="D300" i="1"/>
  <c r="D301" i="1"/>
  <c r="D302" i="1"/>
  <c r="D303" i="1"/>
  <c r="D304" i="1"/>
  <c r="D305" i="1"/>
  <c r="D293" i="1"/>
  <c r="F300" i="1"/>
  <c r="F301" i="1"/>
  <c r="F302" i="1"/>
  <c r="X254" i="1"/>
  <c r="X256" i="1" s="1"/>
  <c r="X265" i="1" s="1"/>
  <c r="X274" i="1" s="1"/>
  <c r="X283" i="1" s="1"/>
  <c r="Y254" i="1"/>
  <c r="Y256" i="1" s="1"/>
  <c r="Y265" i="1" s="1"/>
  <c r="Y274" i="1" s="1"/>
  <c r="Y283" i="1" s="1"/>
  <c r="Z254" i="1"/>
  <c r="Z256" i="1" s="1"/>
  <c r="Z265" i="1" s="1"/>
  <c r="Z274" i="1" s="1"/>
  <c r="Z283" i="1" s="1"/>
  <c r="AA254" i="1"/>
  <c r="AA256" i="1" s="1"/>
  <c r="AA265" i="1" s="1"/>
  <c r="AA274" i="1" s="1"/>
  <c r="AA283" i="1" s="1"/>
  <c r="AB254" i="1"/>
  <c r="AB256" i="1" s="1"/>
  <c r="AB265" i="1" s="1"/>
  <c r="AB274" i="1" s="1"/>
  <c r="AB283" i="1" s="1"/>
  <c r="AC254" i="1"/>
  <c r="AC256" i="1" s="1"/>
  <c r="AC265" i="1" s="1"/>
  <c r="AC274" i="1" s="1"/>
  <c r="AC283" i="1" s="1"/>
  <c r="AD254" i="1"/>
  <c r="AD256" i="1" s="1"/>
  <c r="AD265" i="1" s="1"/>
  <c r="AD274" i="1" s="1"/>
  <c r="AD283" i="1" s="1"/>
  <c r="X253" i="1"/>
  <c r="X262" i="1" s="1"/>
  <c r="X271" i="1" s="1"/>
  <c r="X280" i="1" s="1"/>
  <c r="Y253" i="1"/>
  <c r="Y262" i="1" s="1"/>
  <c r="Y271" i="1" s="1"/>
  <c r="Y280" i="1" s="1"/>
  <c r="Z253" i="1"/>
  <c r="Z262" i="1" s="1"/>
  <c r="Z271" i="1" s="1"/>
  <c r="Z280" i="1" s="1"/>
  <c r="AA253" i="1"/>
  <c r="AA262" i="1" s="1"/>
  <c r="AA271" i="1" s="1"/>
  <c r="AA280" i="1" s="1"/>
  <c r="AB253" i="1"/>
  <c r="AB262" i="1" s="1"/>
  <c r="AB271" i="1" s="1"/>
  <c r="AB280" i="1" s="1"/>
  <c r="AC253" i="1"/>
  <c r="AC262" i="1" s="1"/>
  <c r="AC271" i="1" s="1"/>
  <c r="AC280" i="1" s="1"/>
  <c r="AD253" i="1"/>
  <c r="AD262" i="1" s="1"/>
  <c r="AD271" i="1" s="1"/>
  <c r="AD280" i="1" s="1"/>
  <c r="W254" i="1"/>
  <c r="W256" i="1" s="1"/>
  <c r="W265" i="1" s="1"/>
  <c r="W274" i="1" s="1"/>
  <c r="W283" i="1" s="1"/>
  <c r="W253" i="1"/>
  <c r="W262" i="1" s="1"/>
  <c r="W271" i="1" s="1"/>
  <c r="W280" i="1" s="1"/>
  <c r="N254" i="1"/>
  <c r="N256" i="1" s="1"/>
  <c r="N265" i="1" s="1"/>
  <c r="N274" i="1" s="1"/>
  <c r="N283" i="1" s="1"/>
  <c r="O254" i="1"/>
  <c r="O256" i="1" s="1"/>
  <c r="O265" i="1" s="1"/>
  <c r="O274" i="1" s="1"/>
  <c r="O283" i="1" s="1"/>
  <c r="P254" i="1"/>
  <c r="Q254" i="1"/>
  <c r="Q256" i="1" s="1"/>
  <c r="Q265" i="1" s="1"/>
  <c r="Q274" i="1" s="1"/>
  <c r="Q283" i="1" s="1"/>
  <c r="R254" i="1"/>
  <c r="R256" i="1" s="1"/>
  <c r="R265" i="1" s="1"/>
  <c r="R274" i="1" s="1"/>
  <c r="R283" i="1" s="1"/>
  <c r="S254" i="1"/>
  <c r="S256" i="1" s="1"/>
  <c r="S265" i="1" s="1"/>
  <c r="S274" i="1" s="1"/>
  <c r="S283" i="1" s="1"/>
  <c r="T254" i="1"/>
  <c r="T256" i="1" s="1"/>
  <c r="T265" i="1" s="1"/>
  <c r="T274" i="1" s="1"/>
  <c r="T283" i="1" s="1"/>
  <c r="N253" i="1"/>
  <c r="N262" i="1" s="1"/>
  <c r="O253" i="1"/>
  <c r="O262" i="1" s="1"/>
  <c r="O271" i="1" s="1"/>
  <c r="O280" i="1" s="1"/>
  <c r="P253" i="1"/>
  <c r="P262" i="1" s="1"/>
  <c r="P271" i="1" s="1"/>
  <c r="P280" i="1" s="1"/>
  <c r="Q253" i="1"/>
  <c r="Q262" i="1" s="1"/>
  <c r="Q271" i="1" s="1"/>
  <c r="Q280" i="1" s="1"/>
  <c r="R253" i="1"/>
  <c r="R262" i="1" s="1"/>
  <c r="R271" i="1" s="1"/>
  <c r="R280" i="1" s="1"/>
  <c r="S253" i="1"/>
  <c r="S262" i="1" s="1"/>
  <c r="S271" i="1" s="1"/>
  <c r="S280" i="1" s="1"/>
  <c r="T253" i="1"/>
  <c r="T262" i="1" s="1"/>
  <c r="T271" i="1" s="1"/>
  <c r="T280" i="1" s="1"/>
  <c r="M254" i="1"/>
  <c r="M256" i="1" s="1"/>
  <c r="M265" i="1" s="1"/>
  <c r="M274" i="1" s="1"/>
  <c r="M283" i="1" s="1"/>
  <c r="M253" i="1"/>
  <c r="M262" i="1" s="1"/>
  <c r="M271" i="1" s="1"/>
  <c r="M280" i="1" s="1"/>
  <c r="C253" i="1"/>
  <c r="C262" i="1" s="1"/>
  <c r="C271" i="1" s="1"/>
  <c r="C280" i="1" s="1"/>
  <c r="P256" i="1"/>
  <c r="P265" i="1" s="1"/>
  <c r="P274" i="1" s="1"/>
  <c r="P283" i="1" s="1"/>
  <c r="D254" i="1"/>
  <c r="D255" i="1" s="1"/>
  <c r="D264" i="1" s="1"/>
  <c r="D273" i="1" s="1"/>
  <c r="D282" i="1" s="1"/>
  <c r="E254" i="1"/>
  <c r="E255" i="1" s="1"/>
  <c r="E264" i="1" s="1"/>
  <c r="E273" i="1" s="1"/>
  <c r="E282" i="1" s="1"/>
  <c r="F254" i="1"/>
  <c r="F256" i="1" s="1"/>
  <c r="F265" i="1" s="1"/>
  <c r="F274" i="1" s="1"/>
  <c r="F283" i="1" s="1"/>
  <c r="G254" i="1"/>
  <c r="G256" i="1" s="1"/>
  <c r="G265" i="1" s="1"/>
  <c r="G274" i="1" s="1"/>
  <c r="G283" i="1" s="1"/>
  <c r="H254" i="1"/>
  <c r="H255" i="1" s="1"/>
  <c r="H264" i="1" s="1"/>
  <c r="H273" i="1" s="1"/>
  <c r="H282" i="1" s="1"/>
  <c r="I254" i="1"/>
  <c r="I255" i="1" s="1"/>
  <c r="I264" i="1" s="1"/>
  <c r="I273" i="1" s="1"/>
  <c r="I282" i="1" s="1"/>
  <c r="J254" i="1"/>
  <c r="J256" i="1" s="1"/>
  <c r="J265" i="1" s="1"/>
  <c r="J274" i="1" s="1"/>
  <c r="J283" i="1" s="1"/>
  <c r="D271" i="1"/>
  <c r="D280" i="1" s="1"/>
  <c r="E253" i="1"/>
  <c r="E262" i="1" s="1"/>
  <c r="E271" i="1" s="1"/>
  <c r="E280" i="1" s="1"/>
  <c r="F253" i="1"/>
  <c r="F262" i="1" s="1"/>
  <c r="F271" i="1" s="1"/>
  <c r="F280" i="1" s="1"/>
  <c r="G253" i="1"/>
  <c r="G262" i="1" s="1"/>
  <c r="G271" i="1" s="1"/>
  <c r="G280" i="1" s="1"/>
  <c r="H253" i="1"/>
  <c r="H262" i="1" s="1"/>
  <c r="H271" i="1" s="1"/>
  <c r="H280" i="1" s="1"/>
  <c r="I253" i="1"/>
  <c r="I262" i="1" s="1"/>
  <c r="I271" i="1" s="1"/>
  <c r="I280" i="1" s="1"/>
  <c r="J253" i="1"/>
  <c r="J262" i="1" s="1"/>
  <c r="J271" i="1" s="1"/>
  <c r="J280" i="1" s="1"/>
  <c r="C254" i="1"/>
  <c r="C255" i="1" s="1"/>
  <c r="C264" i="1" s="1"/>
  <c r="C273" i="1" s="1"/>
  <c r="C282" i="1" s="1"/>
  <c r="F174" i="1"/>
  <c r="F175" i="1"/>
  <c r="F176" i="1"/>
  <c r="F178" i="1"/>
  <c r="F179" i="1"/>
  <c r="H158" i="1"/>
  <c r="H165" i="1" s="1"/>
  <c r="F177" i="1" s="1"/>
  <c r="C154" i="1"/>
  <c r="C163" i="1" s="1"/>
  <c r="F143" i="1"/>
  <c r="F304" i="1" s="1"/>
  <c r="F144" i="1"/>
  <c r="F305" i="1" s="1"/>
  <c r="C139" i="1"/>
  <c r="D139" i="1" s="1"/>
  <c r="AC88" i="2" l="1"/>
  <c r="N145" i="2" s="1"/>
  <c r="Z69" i="2"/>
  <c r="Z72" i="2"/>
  <c r="N271" i="1"/>
  <c r="N280" i="1" s="1"/>
  <c r="G249" i="1"/>
  <c r="I302" i="1"/>
  <c r="I305" i="1"/>
  <c r="I301" i="1"/>
  <c r="I304" i="1"/>
  <c r="I300" i="1"/>
  <c r="G143" i="2"/>
  <c r="G142" i="2"/>
  <c r="Y71" i="2"/>
  <c r="C89" i="2"/>
  <c r="C123" i="2" s="1"/>
  <c r="Y72" i="3"/>
  <c r="L130" i="3" s="1"/>
  <c r="E125" i="3"/>
  <c r="N119" i="2"/>
  <c r="L143" i="2"/>
  <c r="L125" i="3"/>
  <c r="F141" i="3"/>
  <c r="D142" i="3"/>
  <c r="F142" i="3" s="1"/>
  <c r="D125" i="3"/>
  <c r="Z72" i="3"/>
  <c r="M130" i="3" s="1"/>
  <c r="Z71" i="3"/>
  <c r="M129" i="3" s="1"/>
  <c r="X72" i="3"/>
  <c r="X68" i="3"/>
  <c r="K126" i="3" s="1"/>
  <c r="F159" i="2"/>
  <c r="D160" i="2"/>
  <c r="F160" i="2" s="1"/>
  <c r="F323" i="2" s="1"/>
  <c r="D122" i="2"/>
  <c r="D133" i="2" s="1"/>
  <c r="D145" i="2" s="1"/>
  <c r="Z71" i="2"/>
  <c r="P120" i="2"/>
  <c r="D131" i="2"/>
  <c r="F299" i="1"/>
  <c r="I299" i="1" s="1"/>
  <c r="D306" i="1"/>
  <c r="C124" i="2"/>
  <c r="AA90" i="2"/>
  <c r="L147" i="2" s="1"/>
  <c r="D119" i="2"/>
  <c r="AB85" i="2"/>
  <c r="M142" i="2" s="1"/>
  <c r="E121" i="2"/>
  <c r="E132" i="2" s="1"/>
  <c r="E144" i="2" s="1"/>
  <c r="AC87" i="2"/>
  <c r="N144" i="2" s="1"/>
  <c r="AA88" i="2"/>
  <c r="L145" i="2" s="1"/>
  <c r="E120" i="2"/>
  <c r="AC86" i="2"/>
  <c r="E125" i="2"/>
  <c r="E136" i="2" s="1"/>
  <c r="E148" i="2" s="1"/>
  <c r="AC91" i="2"/>
  <c r="N148" i="2" s="1"/>
  <c r="E124" i="2"/>
  <c r="E135" i="2" s="1"/>
  <c r="E147" i="2" s="1"/>
  <c r="AC90" i="2"/>
  <c r="N147" i="2" s="1"/>
  <c r="F120" i="2"/>
  <c r="D124" i="2"/>
  <c r="D135" i="2" s="1"/>
  <c r="D147" i="2" s="1"/>
  <c r="AB90" i="2"/>
  <c r="M147" i="2" s="1"/>
  <c r="D121" i="2"/>
  <c r="D132" i="2" s="1"/>
  <c r="D144" i="2" s="1"/>
  <c r="AB87" i="2"/>
  <c r="M144" i="2" s="1"/>
  <c r="E119" i="2"/>
  <c r="AC85" i="2"/>
  <c r="N142" i="2" s="1"/>
  <c r="E123" i="2"/>
  <c r="E134" i="2" s="1"/>
  <c r="E146" i="2" s="1"/>
  <c r="AC89" i="2"/>
  <c r="N146" i="2" s="1"/>
  <c r="AB86" i="2"/>
  <c r="D123" i="2"/>
  <c r="D134" i="2" s="1"/>
  <c r="D146" i="2" s="1"/>
  <c r="AB89" i="2"/>
  <c r="M146" i="2" s="1"/>
  <c r="C125" i="2"/>
  <c r="C136" i="2" s="1"/>
  <c r="AA91" i="2"/>
  <c r="L148" i="2" s="1"/>
  <c r="D125" i="2"/>
  <c r="D136" i="2" s="1"/>
  <c r="D148" i="2" s="1"/>
  <c r="AB91" i="2"/>
  <c r="M148" i="2" s="1"/>
  <c r="D145" i="3"/>
  <c r="G255" i="1"/>
  <c r="G264" i="1" s="1"/>
  <c r="G273" i="1" s="1"/>
  <c r="G282" i="1" s="1"/>
  <c r="I256" i="1"/>
  <c r="I265" i="1" s="1"/>
  <c r="I274" i="1" s="1"/>
  <c r="I283" i="1" s="1"/>
  <c r="E306" i="1"/>
  <c r="O85" i="2"/>
  <c r="M119" i="2"/>
  <c r="G86" i="2"/>
  <c r="G85" i="2"/>
  <c r="O86" i="2"/>
  <c r="AB66" i="2"/>
  <c r="E78" i="2"/>
  <c r="F78" i="2" s="1"/>
  <c r="T28" i="2"/>
  <c r="U27" i="2"/>
  <c r="W27" i="2" s="1"/>
  <c r="M57" i="2"/>
  <c r="F57" i="2"/>
  <c r="F255" i="1"/>
  <c r="F264" i="1" s="1"/>
  <c r="F273" i="1" s="1"/>
  <c r="F282" i="1" s="1"/>
  <c r="E256" i="1"/>
  <c r="E265" i="1" s="1"/>
  <c r="E274" i="1" s="1"/>
  <c r="E283" i="1" s="1"/>
  <c r="J255" i="1"/>
  <c r="J264" i="1" s="1"/>
  <c r="J273" i="1" s="1"/>
  <c r="J282" i="1" s="1"/>
  <c r="C256" i="1"/>
  <c r="C265" i="1" s="1"/>
  <c r="C274" i="1" s="1"/>
  <c r="C283" i="1" s="1"/>
  <c r="H256" i="1"/>
  <c r="H265" i="1" s="1"/>
  <c r="H274" i="1" s="1"/>
  <c r="H283" i="1" s="1"/>
  <c r="D256" i="1"/>
  <c r="D265" i="1" s="1"/>
  <c r="D274" i="1" s="1"/>
  <c r="D283" i="1" s="1"/>
  <c r="C306" i="1"/>
  <c r="T105" i="3"/>
  <c r="U105" i="3" s="1"/>
  <c r="U70" i="3"/>
  <c r="G101" i="3"/>
  <c r="U27" i="3"/>
  <c r="W27" i="3" s="1"/>
  <c r="T28" i="3"/>
  <c r="J105" i="3"/>
  <c r="X70" i="3"/>
  <c r="C106" i="3"/>
  <c r="C105" i="3"/>
  <c r="C102" i="3"/>
  <c r="G67" i="3"/>
  <c r="F306" i="3"/>
  <c r="I306" i="3"/>
  <c r="C322" i="3" s="1"/>
  <c r="J107" i="3"/>
  <c r="M57" i="3"/>
  <c r="F57" i="3"/>
  <c r="T71" i="3"/>
  <c r="U60" i="3"/>
  <c r="J102" i="3"/>
  <c r="N67" i="3"/>
  <c r="X67" i="3"/>
  <c r="Q101" i="3"/>
  <c r="U101" i="3" s="1"/>
  <c r="U66" i="3"/>
  <c r="X66" i="3"/>
  <c r="J106" i="3"/>
  <c r="X71" i="3"/>
  <c r="J104" i="3"/>
  <c r="X69" i="3"/>
  <c r="G56" i="3"/>
  <c r="C104" i="3"/>
  <c r="J103" i="3"/>
  <c r="K130" i="3"/>
  <c r="C107" i="3"/>
  <c r="M102" i="3"/>
  <c r="F113" i="3" s="1"/>
  <c r="F125" i="3" s="1"/>
  <c r="AA67" i="3"/>
  <c r="N125" i="3" s="1"/>
  <c r="C103" i="3"/>
  <c r="N56" i="3"/>
  <c r="T72" i="3"/>
  <c r="U61" i="3"/>
  <c r="T68" i="2"/>
  <c r="V87" i="2" s="1"/>
  <c r="U57" i="2"/>
  <c r="C130" i="2"/>
  <c r="C132" i="2"/>
  <c r="X70" i="2"/>
  <c r="T67" i="2"/>
  <c r="V86" i="2" s="1"/>
  <c r="AD86" i="2" s="1"/>
  <c r="O143" i="2" s="1"/>
  <c r="U56" i="2"/>
  <c r="C133" i="2"/>
  <c r="X69" i="2"/>
  <c r="X71" i="2"/>
  <c r="T41" i="2"/>
  <c r="U40" i="2"/>
  <c r="W40" i="2" s="1"/>
  <c r="T58" i="2" s="1"/>
  <c r="C131" i="2"/>
  <c r="X255" i="1"/>
  <c r="X264" i="1" s="1"/>
  <c r="X273" i="1" s="1"/>
  <c r="X282" i="1" s="1"/>
  <c r="AB255" i="1"/>
  <c r="AB264" i="1" s="1"/>
  <c r="AB273" i="1" s="1"/>
  <c r="AB282" i="1" s="1"/>
  <c r="Y255" i="1"/>
  <c r="Y264" i="1" s="1"/>
  <c r="Y273" i="1" s="1"/>
  <c r="Y282" i="1" s="1"/>
  <c r="AC255" i="1"/>
  <c r="AC264" i="1" s="1"/>
  <c r="AC273" i="1" s="1"/>
  <c r="AC282" i="1" s="1"/>
  <c r="W255" i="1"/>
  <c r="W264" i="1" s="1"/>
  <c r="W273" i="1" s="1"/>
  <c r="W282" i="1" s="1"/>
  <c r="AA255" i="1"/>
  <c r="AA264" i="1" s="1"/>
  <c r="AA273" i="1" s="1"/>
  <c r="AA282" i="1" s="1"/>
  <c r="Z255" i="1"/>
  <c r="Z264" i="1" s="1"/>
  <c r="Z273" i="1" s="1"/>
  <c r="Z282" i="1" s="1"/>
  <c r="AD255" i="1"/>
  <c r="AD264" i="1" s="1"/>
  <c r="AD273" i="1" s="1"/>
  <c r="AD282" i="1" s="1"/>
  <c r="N255" i="1"/>
  <c r="N264" i="1" s="1"/>
  <c r="N273" i="1" s="1"/>
  <c r="N282" i="1" s="1"/>
  <c r="R255" i="1"/>
  <c r="R264" i="1" s="1"/>
  <c r="R273" i="1" s="1"/>
  <c r="R282" i="1" s="1"/>
  <c r="P255" i="1"/>
  <c r="P264" i="1" s="1"/>
  <c r="P273" i="1" s="1"/>
  <c r="P282" i="1" s="1"/>
  <c r="T255" i="1"/>
  <c r="T264" i="1" s="1"/>
  <c r="T273" i="1" s="1"/>
  <c r="T282" i="1" s="1"/>
  <c r="M255" i="1"/>
  <c r="M264" i="1" s="1"/>
  <c r="M273" i="1" s="1"/>
  <c r="M282" i="1" s="1"/>
  <c r="Q255" i="1"/>
  <c r="Q264" i="1" s="1"/>
  <c r="Q273" i="1" s="1"/>
  <c r="Q282" i="1" s="1"/>
  <c r="O255" i="1"/>
  <c r="O264" i="1" s="1"/>
  <c r="O273" i="1" s="1"/>
  <c r="O282" i="1" s="1"/>
  <c r="S255" i="1"/>
  <c r="S264" i="1" s="1"/>
  <c r="S273" i="1" s="1"/>
  <c r="S282" i="1" s="1"/>
  <c r="G145" i="1"/>
  <c r="H161" i="1"/>
  <c r="C140" i="1"/>
  <c r="C82" i="1"/>
  <c r="V38" i="1"/>
  <c r="V37" i="1"/>
  <c r="W37" i="1" s="1"/>
  <c r="O43" i="1"/>
  <c r="O42" i="1"/>
  <c r="O41" i="1"/>
  <c r="O40" i="1"/>
  <c r="O39" i="1"/>
  <c r="O38" i="1"/>
  <c r="O37" i="1"/>
  <c r="J43" i="1"/>
  <c r="J42" i="1"/>
  <c r="J41" i="1"/>
  <c r="J40" i="1"/>
  <c r="J39" i="1"/>
  <c r="J38" i="1"/>
  <c r="J37" i="1"/>
  <c r="K37" i="1" s="1"/>
  <c r="E43" i="1"/>
  <c r="E42" i="1"/>
  <c r="E41" i="1"/>
  <c r="E40" i="1"/>
  <c r="E39" i="1"/>
  <c r="E38" i="1"/>
  <c r="E37" i="1"/>
  <c r="F37" i="1" s="1"/>
  <c r="M43" i="1"/>
  <c r="M42" i="1"/>
  <c r="M41" i="1"/>
  <c r="M40" i="1"/>
  <c r="M39" i="1"/>
  <c r="M38" i="1"/>
  <c r="T38" i="1"/>
  <c r="M37" i="1"/>
  <c r="N37" i="1" s="1"/>
  <c r="V30" i="1"/>
  <c r="V29" i="1"/>
  <c r="V28" i="1"/>
  <c r="V27" i="1"/>
  <c r="V26" i="1"/>
  <c r="V25" i="1"/>
  <c r="V24" i="1"/>
  <c r="O30" i="1"/>
  <c r="O29" i="1"/>
  <c r="O28" i="1"/>
  <c r="O27" i="1"/>
  <c r="O26" i="1"/>
  <c r="O25" i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K55" i="1" s="1"/>
  <c r="E30" i="1"/>
  <c r="E29" i="1"/>
  <c r="E28" i="1"/>
  <c r="E27" i="1"/>
  <c r="E26" i="1"/>
  <c r="F26" i="1" s="1"/>
  <c r="E25" i="1"/>
  <c r="F25" i="1" s="1"/>
  <c r="E24" i="1"/>
  <c r="F24" i="1" s="1"/>
  <c r="C55" i="1" s="1"/>
  <c r="C66" i="1" s="1"/>
  <c r="M30" i="1"/>
  <c r="M29" i="1"/>
  <c r="M28" i="1"/>
  <c r="M27" i="1"/>
  <c r="M26" i="1"/>
  <c r="M25" i="1"/>
  <c r="T25" i="1"/>
  <c r="M24" i="1"/>
  <c r="N24" i="1" s="1"/>
  <c r="P24" i="1" s="1"/>
  <c r="U24" i="1"/>
  <c r="J17" i="1"/>
  <c r="I17" i="1"/>
  <c r="H17" i="1"/>
  <c r="G17" i="1"/>
  <c r="F17" i="1"/>
  <c r="E17" i="1"/>
  <c r="D17" i="1"/>
  <c r="C17" i="1"/>
  <c r="J11" i="1"/>
  <c r="C235" i="1" s="1"/>
  <c r="I11" i="1"/>
  <c r="C234" i="1" s="1"/>
  <c r="H11" i="1"/>
  <c r="C233" i="1" s="1"/>
  <c r="G11" i="1"/>
  <c r="F11" i="1"/>
  <c r="E11" i="1"/>
  <c r="D11" i="1"/>
  <c r="C11" i="1"/>
  <c r="F145" i="3" l="1"/>
  <c r="AA89" i="2"/>
  <c r="L146" i="2" s="1"/>
  <c r="M143" i="2"/>
  <c r="E233" i="1"/>
  <c r="E232" i="1"/>
  <c r="C236" i="1"/>
  <c r="E235" i="1" s="1"/>
  <c r="E231" i="1"/>
  <c r="F173" i="1"/>
  <c r="F180" i="1" s="1"/>
  <c r="E234" i="1"/>
  <c r="I323" i="2"/>
  <c r="I326" i="2" s="1"/>
  <c r="C342" i="2" s="1"/>
  <c r="F130" i="2"/>
  <c r="F142" i="2" s="1"/>
  <c r="C142" i="2"/>
  <c r="AF85" i="2"/>
  <c r="P142" i="2" s="1"/>
  <c r="D163" i="2"/>
  <c r="F163" i="2"/>
  <c r="F326" i="2"/>
  <c r="K125" i="3"/>
  <c r="O125" i="3" s="1"/>
  <c r="AB66" i="3"/>
  <c r="K124" i="3"/>
  <c r="C143" i="2"/>
  <c r="N143" i="2"/>
  <c r="E130" i="2"/>
  <c r="E142" i="2" s="1"/>
  <c r="P119" i="2"/>
  <c r="C286" i="1"/>
  <c r="C141" i="1"/>
  <c r="D140" i="1"/>
  <c r="F140" i="1" s="1"/>
  <c r="C289" i="1"/>
  <c r="N28" i="1"/>
  <c r="P28" i="1" s="1"/>
  <c r="P37" i="1"/>
  <c r="S55" i="1" s="1"/>
  <c r="S66" i="1" s="1"/>
  <c r="W24" i="1"/>
  <c r="N25" i="1"/>
  <c r="P25" i="1" s="1"/>
  <c r="N26" i="1"/>
  <c r="P26" i="1" s="1"/>
  <c r="N30" i="1"/>
  <c r="P30" i="1" s="1"/>
  <c r="C291" i="1"/>
  <c r="N29" i="1"/>
  <c r="P29" i="1" s="1"/>
  <c r="N27" i="1"/>
  <c r="P27" i="1" s="1"/>
  <c r="T26" i="1"/>
  <c r="T27" i="1" s="1"/>
  <c r="U25" i="1"/>
  <c r="W25" i="1" s="1"/>
  <c r="C292" i="1"/>
  <c r="C290" i="1"/>
  <c r="AE85" i="2"/>
  <c r="C321" i="3"/>
  <c r="H119" i="2"/>
  <c r="D130" i="2"/>
  <c r="D142" i="2" s="1"/>
  <c r="H120" i="2"/>
  <c r="E131" i="2"/>
  <c r="C92" i="1"/>
  <c r="C101" i="1" s="1"/>
  <c r="C93" i="1"/>
  <c r="C288" i="1"/>
  <c r="C287" i="1"/>
  <c r="W86" i="2"/>
  <c r="V120" i="2"/>
  <c r="F131" i="2" s="1"/>
  <c r="W87" i="2"/>
  <c r="V121" i="2"/>
  <c r="F68" i="2"/>
  <c r="F87" i="2" s="1"/>
  <c r="G57" i="2"/>
  <c r="M68" i="2"/>
  <c r="N87" i="2" s="1"/>
  <c r="N57" i="2"/>
  <c r="M58" i="2"/>
  <c r="M69" i="2" s="1"/>
  <c r="F58" i="2"/>
  <c r="T29" i="2"/>
  <c r="U28" i="2"/>
  <c r="W28" i="2" s="1"/>
  <c r="C118" i="3"/>
  <c r="K127" i="3"/>
  <c r="T106" i="3"/>
  <c r="U106" i="3" s="1"/>
  <c r="U71" i="3"/>
  <c r="K128" i="3"/>
  <c r="M58" i="3"/>
  <c r="M69" i="3" s="1"/>
  <c r="F58" i="3"/>
  <c r="C114" i="3"/>
  <c r="AB67" i="3"/>
  <c r="C113" i="3"/>
  <c r="G102" i="3"/>
  <c r="C116" i="3"/>
  <c r="T107" i="3"/>
  <c r="U107" i="3" s="1"/>
  <c r="U72" i="3"/>
  <c r="C115" i="3"/>
  <c r="F68" i="3"/>
  <c r="G57" i="3"/>
  <c r="C117" i="3"/>
  <c r="C112" i="3"/>
  <c r="K129" i="3"/>
  <c r="N102" i="3"/>
  <c r="M68" i="3"/>
  <c r="N57" i="3"/>
  <c r="U28" i="3"/>
  <c r="W28" i="3" s="1"/>
  <c r="W31" i="3" s="1"/>
  <c r="T29" i="3"/>
  <c r="U68" i="2"/>
  <c r="C148" i="2"/>
  <c r="C135" i="2"/>
  <c r="T42" i="2"/>
  <c r="U41" i="2"/>
  <c r="W41" i="2" s="1"/>
  <c r="C134" i="2"/>
  <c r="AA67" i="2"/>
  <c r="AE86" i="2" s="1"/>
  <c r="U67" i="2"/>
  <c r="C145" i="2"/>
  <c r="T69" i="2"/>
  <c r="V88" i="2" s="1"/>
  <c r="U58" i="2"/>
  <c r="C144" i="2"/>
  <c r="C95" i="1"/>
  <c r="N40" i="1"/>
  <c r="P40" i="1" s="1"/>
  <c r="S58" i="1" s="1"/>
  <c r="S69" i="1" s="1"/>
  <c r="C94" i="1"/>
  <c r="I40" i="1"/>
  <c r="K40" i="1" s="1"/>
  <c r="R58" i="1" s="1"/>
  <c r="R69" i="1" s="1"/>
  <c r="D39" i="1"/>
  <c r="F39" i="1" s="1"/>
  <c r="Q57" i="1" s="1"/>
  <c r="R55" i="1"/>
  <c r="R66" i="1" s="1"/>
  <c r="I39" i="1"/>
  <c r="K39" i="1" s="1"/>
  <c r="R57" i="1" s="1"/>
  <c r="R68" i="1" s="1"/>
  <c r="D41" i="1"/>
  <c r="F41" i="1" s="1"/>
  <c r="Q59" i="1" s="1"/>
  <c r="Q70" i="1" s="1"/>
  <c r="I42" i="1"/>
  <c r="K42" i="1" s="1"/>
  <c r="R60" i="1" s="1"/>
  <c r="R71" i="1" s="1"/>
  <c r="N43" i="1"/>
  <c r="P43" i="1" s="1"/>
  <c r="S61" i="1" s="1"/>
  <c r="S72" i="1" s="1"/>
  <c r="D40" i="1"/>
  <c r="F40" i="1" s="1"/>
  <c r="Q58" i="1" s="1"/>
  <c r="Q69" i="1" s="1"/>
  <c r="N42" i="1"/>
  <c r="P42" i="1" s="1"/>
  <c r="S60" i="1" s="1"/>
  <c r="S71" i="1" s="1"/>
  <c r="N39" i="1"/>
  <c r="P39" i="1" s="1"/>
  <c r="I41" i="1"/>
  <c r="K41" i="1" s="1"/>
  <c r="R59" i="1" s="1"/>
  <c r="R70" i="1" s="1"/>
  <c r="N41" i="1"/>
  <c r="P41" i="1" s="1"/>
  <c r="S59" i="1" s="1"/>
  <c r="S70" i="1" s="1"/>
  <c r="D43" i="1"/>
  <c r="F43" i="1" s="1"/>
  <c r="Q61" i="1" s="1"/>
  <c r="Q55" i="1"/>
  <c r="Q66" i="1" s="1"/>
  <c r="D42" i="1"/>
  <c r="F42" i="1" s="1"/>
  <c r="Q60" i="1" s="1"/>
  <c r="I43" i="1"/>
  <c r="K43" i="1" s="1"/>
  <c r="R61" i="1" s="1"/>
  <c r="R72" i="1" s="1"/>
  <c r="T39" i="1"/>
  <c r="U38" i="1"/>
  <c r="W38" i="1" s="1"/>
  <c r="T55" i="1"/>
  <c r="D38" i="1"/>
  <c r="F38" i="1" s="1"/>
  <c r="I38" i="1"/>
  <c r="K38" i="1" s="1"/>
  <c r="R56" i="1" s="1"/>
  <c r="R67" i="1" s="1"/>
  <c r="N38" i="1"/>
  <c r="P38" i="1" s="1"/>
  <c r="S56" i="1" s="1"/>
  <c r="S67" i="1" s="1"/>
  <c r="D28" i="1"/>
  <c r="D27" i="1"/>
  <c r="F27" i="1" s="1"/>
  <c r="D30" i="1"/>
  <c r="F30" i="1" s="1"/>
  <c r="D29" i="1"/>
  <c r="F29" i="1" s="1"/>
  <c r="Q143" i="2" l="1"/>
  <c r="F143" i="2"/>
  <c r="C341" i="2"/>
  <c r="H142" i="2"/>
  <c r="H130" i="2"/>
  <c r="E143" i="2"/>
  <c r="C125" i="3"/>
  <c r="G112" i="3"/>
  <c r="C124" i="3"/>
  <c r="O124" i="3"/>
  <c r="D143" i="2"/>
  <c r="C142" i="1"/>
  <c r="D141" i="1"/>
  <c r="T56" i="1"/>
  <c r="T67" i="1" s="1"/>
  <c r="T102" i="1" s="1"/>
  <c r="S57" i="1"/>
  <c r="S68" i="1" s="1"/>
  <c r="S103" i="1" s="1"/>
  <c r="C58" i="1"/>
  <c r="F28" i="1"/>
  <c r="J59" i="1" s="1"/>
  <c r="J70" i="1" s="1"/>
  <c r="J60" i="1"/>
  <c r="J71" i="1" s="1"/>
  <c r="U26" i="1"/>
  <c r="AD87" i="2"/>
  <c r="O144" i="2" s="1"/>
  <c r="Q144" i="2" s="1"/>
  <c r="Q142" i="2"/>
  <c r="C293" i="1"/>
  <c r="P44" i="1"/>
  <c r="K31" i="1"/>
  <c r="F44" i="1"/>
  <c r="P31" i="1"/>
  <c r="K44" i="1"/>
  <c r="G87" i="2"/>
  <c r="F121" i="2"/>
  <c r="W88" i="2"/>
  <c r="V122" i="2"/>
  <c r="O87" i="2"/>
  <c r="N121" i="2"/>
  <c r="P121" i="2" s="1"/>
  <c r="AA68" i="2"/>
  <c r="M59" i="2"/>
  <c r="M70" i="2" s="1"/>
  <c r="F59" i="2"/>
  <c r="N68" i="2"/>
  <c r="T30" i="2"/>
  <c r="U30" i="2" s="1"/>
  <c r="W30" i="2" s="1"/>
  <c r="U29" i="2"/>
  <c r="W29" i="2" s="1"/>
  <c r="F69" i="2"/>
  <c r="G58" i="2"/>
  <c r="N88" i="2"/>
  <c r="N58" i="2"/>
  <c r="G68" i="2"/>
  <c r="R105" i="1"/>
  <c r="S106" i="1"/>
  <c r="Q105" i="1"/>
  <c r="Q101" i="1"/>
  <c r="Q104" i="1"/>
  <c r="S102" i="1"/>
  <c r="S105" i="1"/>
  <c r="S101" i="1"/>
  <c r="S107" i="1"/>
  <c r="S104" i="1"/>
  <c r="U29" i="3"/>
  <c r="W29" i="3" s="1"/>
  <c r="T30" i="3"/>
  <c r="U30" i="3" s="1"/>
  <c r="W30" i="3" s="1"/>
  <c r="C127" i="3"/>
  <c r="M59" i="3"/>
  <c r="M70" i="3" s="1"/>
  <c r="F59" i="3"/>
  <c r="F103" i="3"/>
  <c r="G68" i="3"/>
  <c r="F69" i="3"/>
  <c r="G58" i="3"/>
  <c r="M103" i="3"/>
  <c r="N103" i="3" s="1"/>
  <c r="AA68" i="3"/>
  <c r="N68" i="3"/>
  <c r="C129" i="3"/>
  <c r="G125" i="3"/>
  <c r="G113" i="3"/>
  <c r="C126" i="3"/>
  <c r="N58" i="3"/>
  <c r="C130" i="3"/>
  <c r="C128" i="3"/>
  <c r="AB67" i="2"/>
  <c r="X121" i="2"/>
  <c r="X120" i="2"/>
  <c r="U42" i="2"/>
  <c r="W42" i="2" s="1"/>
  <c r="T60" i="2" s="1"/>
  <c r="T43" i="2"/>
  <c r="U43" i="2" s="1"/>
  <c r="W43" i="2" s="1"/>
  <c r="C147" i="2"/>
  <c r="T59" i="2"/>
  <c r="U69" i="2"/>
  <c r="C146" i="2"/>
  <c r="R101" i="1"/>
  <c r="R104" i="1"/>
  <c r="R102" i="1"/>
  <c r="R106" i="1"/>
  <c r="R107" i="1"/>
  <c r="R103" i="1"/>
  <c r="F139" i="1"/>
  <c r="Q71" i="1"/>
  <c r="M55" i="1"/>
  <c r="M66" i="1" s="1"/>
  <c r="M101" i="1" s="1"/>
  <c r="F55" i="1"/>
  <c r="F66" i="1" s="1"/>
  <c r="F101" i="1" s="1"/>
  <c r="J61" i="1"/>
  <c r="J72" i="1" s="1"/>
  <c r="C61" i="1"/>
  <c r="Q72" i="1"/>
  <c r="J55" i="1"/>
  <c r="K56" i="1"/>
  <c r="K67" i="1" s="1"/>
  <c r="K102" i="1" s="1"/>
  <c r="D56" i="1"/>
  <c r="D67" i="1" s="1"/>
  <c r="D102" i="1" s="1"/>
  <c r="C60" i="1"/>
  <c r="J58" i="1"/>
  <c r="J69" i="1" s="1"/>
  <c r="E61" i="1"/>
  <c r="E72" i="1" s="1"/>
  <c r="E107" i="1" s="1"/>
  <c r="L61" i="1"/>
  <c r="F56" i="1"/>
  <c r="F67" i="1" s="1"/>
  <c r="F102" i="1" s="1"/>
  <c r="K61" i="1"/>
  <c r="D61" i="1"/>
  <c r="D72" i="1" s="1"/>
  <c r="D107" i="1" s="1"/>
  <c r="K59" i="1"/>
  <c r="D59" i="1"/>
  <c r="D70" i="1" s="1"/>
  <c r="D105" i="1" s="1"/>
  <c r="K58" i="1"/>
  <c r="D58" i="1"/>
  <c r="D69" i="1" s="1"/>
  <c r="D104" i="1" s="1"/>
  <c r="L55" i="1"/>
  <c r="L66" i="1" s="1"/>
  <c r="L101" i="1" s="1"/>
  <c r="E55" i="1"/>
  <c r="E66" i="1" s="1"/>
  <c r="E101" i="1" s="1"/>
  <c r="L59" i="1"/>
  <c r="E59" i="1"/>
  <c r="E70" i="1" s="1"/>
  <c r="E105" i="1" s="1"/>
  <c r="C56" i="1"/>
  <c r="J56" i="1"/>
  <c r="L57" i="1"/>
  <c r="L68" i="1" s="1"/>
  <c r="L103" i="1" s="1"/>
  <c r="E57" i="1"/>
  <c r="E68" i="1" s="1"/>
  <c r="E103" i="1" s="1"/>
  <c r="L56" i="1"/>
  <c r="L67" i="1" s="1"/>
  <c r="L102" i="1" s="1"/>
  <c r="E56" i="1"/>
  <c r="E67" i="1" s="1"/>
  <c r="E102" i="1" s="1"/>
  <c r="K60" i="1"/>
  <c r="D60" i="1"/>
  <c r="D71" i="1" s="1"/>
  <c r="D106" i="1" s="1"/>
  <c r="D55" i="1"/>
  <c r="D66" i="1" s="1"/>
  <c r="D101" i="1" s="1"/>
  <c r="K66" i="1"/>
  <c r="K101" i="1" s="1"/>
  <c r="L60" i="1"/>
  <c r="L71" i="1" s="1"/>
  <c r="E60" i="1"/>
  <c r="E71" i="1" s="1"/>
  <c r="E106" i="1" s="1"/>
  <c r="J57" i="1"/>
  <c r="C57" i="1"/>
  <c r="Q56" i="1"/>
  <c r="L58" i="1"/>
  <c r="E58" i="1"/>
  <c r="E69" i="1" s="1"/>
  <c r="E104" i="1" s="1"/>
  <c r="K57" i="1"/>
  <c r="K68" i="1" s="1"/>
  <c r="K103" i="1" s="1"/>
  <c r="D57" i="1"/>
  <c r="U55" i="1"/>
  <c r="T66" i="1"/>
  <c r="Q68" i="1"/>
  <c r="T40" i="1"/>
  <c r="U39" i="1"/>
  <c r="T28" i="1"/>
  <c r="U27" i="1"/>
  <c r="W27" i="1" s="1"/>
  <c r="H143" i="2" l="1"/>
  <c r="K70" i="1"/>
  <c r="K105" i="1" s="1"/>
  <c r="D116" i="1" s="1"/>
  <c r="D128" i="1" s="1"/>
  <c r="L69" i="1"/>
  <c r="L104" i="1" s="1"/>
  <c r="E115" i="1" s="1"/>
  <c r="E127" i="1" s="1"/>
  <c r="L70" i="1"/>
  <c r="L105" i="1" s="1"/>
  <c r="E116" i="1" s="1"/>
  <c r="E128" i="1" s="1"/>
  <c r="K69" i="1"/>
  <c r="K104" i="1" s="1"/>
  <c r="D115" i="1" s="1"/>
  <c r="D127" i="1" s="1"/>
  <c r="Z71" i="1"/>
  <c r="AE87" i="2"/>
  <c r="AB68" i="2"/>
  <c r="W31" i="2"/>
  <c r="F141" i="1"/>
  <c r="D142" i="1"/>
  <c r="F31" i="1"/>
  <c r="C59" i="1"/>
  <c r="C70" i="1" s="1"/>
  <c r="C105" i="1" s="1"/>
  <c r="W39" i="1"/>
  <c r="T57" i="1" s="1"/>
  <c r="M56" i="1"/>
  <c r="M67" i="1" s="1"/>
  <c r="M102" i="1" s="1"/>
  <c r="F113" i="1" s="1"/>
  <c r="W26" i="1"/>
  <c r="M57" i="1" s="1"/>
  <c r="M68" i="1" s="1"/>
  <c r="M103" i="1" s="1"/>
  <c r="K72" i="1"/>
  <c r="K107" i="1" s="1"/>
  <c r="D118" i="1" s="1"/>
  <c r="D130" i="1" s="1"/>
  <c r="D68" i="1"/>
  <c r="D103" i="1" s="1"/>
  <c r="D114" i="1" s="1"/>
  <c r="D126" i="1" s="1"/>
  <c r="K71" i="1"/>
  <c r="K106" i="1" s="1"/>
  <c r="D117" i="1" s="1"/>
  <c r="D129" i="1" s="1"/>
  <c r="L72" i="1"/>
  <c r="L107" i="1" s="1"/>
  <c r="E118" i="1" s="1"/>
  <c r="E130" i="1" s="1"/>
  <c r="G124" i="3"/>
  <c r="Z68" i="1"/>
  <c r="M126" i="1" s="1"/>
  <c r="Y66" i="1"/>
  <c r="L124" i="1" s="1"/>
  <c r="O88" i="2"/>
  <c r="N122" i="2"/>
  <c r="P122" i="2" s="1"/>
  <c r="F132" i="2"/>
  <c r="F144" i="2" s="1"/>
  <c r="H144" i="2" s="1"/>
  <c r="H121" i="2"/>
  <c r="AA69" i="2"/>
  <c r="F88" i="2"/>
  <c r="AD88" i="2" s="1"/>
  <c r="O145" i="2" s="1"/>
  <c r="Q145" i="2" s="1"/>
  <c r="G69" i="2"/>
  <c r="N69" i="2"/>
  <c r="F60" i="2"/>
  <c r="M60" i="2"/>
  <c r="M71" i="2" s="1"/>
  <c r="F70" i="2"/>
  <c r="F89" i="2" s="1"/>
  <c r="G59" i="2"/>
  <c r="F61" i="2"/>
  <c r="M61" i="2"/>
  <c r="M72" i="2" s="1"/>
  <c r="N89" i="2"/>
  <c r="N59" i="2"/>
  <c r="T61" i="2"/>
  <c r="T72" i="2" s="1"/>
  <c r="V91" i="2" s="1"/>
  <c r="W44" i="2"/>
  <c r="Z67" i="1"/>
  <c r="Q106" i="1"/>
  <c r="Y67" i="1"/>
  <c r="T101" i="1"/>
  <c r="U101" i="1" s="1"/>
  <c r="AA66" i="1"/>
  <c r="N124" i="1" s="1"/>
  <c r="Q107" i="1"/>
  <c r="Z66" i="1"/>
  <c r="M124" i="1" s="1"/>
  <c r="Y70" i="1"/>
  <c r="L128" i="1" s="1"/>
  <c r="M104" i="3"/>
  <c r="N104" i="3" s="1"/>
  <c r="AA69" i="3"/>
  <c r="N69" i="3"/>
  <c r="N126" i="3"/>
  <c r="O126" i="3" s="1"/>
  <c r="AB68" i="3"/>
  <c r="F104" i="3"/>
  <c r="G69" i="3"/>
  <c r="F70" i="3"/>
  <c r="G59" i="3"/>
  <c r="M61" i="3"/>
  <c r="M72" i="3" s="1"/>
  <c r="F61" i="3"/>
  <c r="F114" i="3"/>
  <c r="G103" i="3"/>
  <c r="N59" i="3"/>
  <c r="F60" i="3"/>
  <c r="M60" i="3"/>
  <c r="M71" i="3" s="1"/>
  <c r="H131" i="2"/>
  <c r="X122" i="2"/>
  <c r="T70" i="2"/>
  <c r="V89" i="2" s="1"/>
  <c r="U59" i="2"/>
  <c r="T71" i="2"/>
  <c r="V90" i="2" s="1"/>
  <c r="U60" i="2"/>
  <c r="E114" i="1"/>
  <c r="E126" i="1" s="1"/>
  <c r="U66" i="1"/>
  <c r="E113" i="1"/>
  <c r="E112" i="1"/>
  <c r="E124" i="1" s="1"/>
  <c r="D113" i="1"/>
  <c r="D112" i="1"/>
  <c r="D124" i="1" s="1"/>
  <c r="Q103" i="1"/>
  <c r="C68" i="1"/>
  <c r="C103" i="1" s="1"/>
  <c r="C69" i="1"/>
  <c r="C104" i="1" s="1"/>
  <c r="J107" i="1"/>
  <c r="Q67" i="1"/>
  <c r="U56" i="1"/>
  <c r="J106" i="1"/>
  <c r="J66" i="1"/>
  <c r="X66" i="1" s="1"/>
  <c r="K124" i="1" s="1"/>
  <c r="N55" i="1"/>
  <c r="C67" i="1"/>
  <c r="C102" i="1" s="1"/>
  <c r="G56" i="1"/>
  <c r="J68" i="1"/>
  <c r="J103" i="1" s="1"/>
  <c r="J67" i="1"/>
  <c r="C71" i="1"/>
  <c r="C106" i="1" s="1"/>
  <c r="G55" i="1"/>
  <c r="C72" i="1"/>
  <c r="C107" i="1" s="1"/>
  <c r="T41" i="1"/>
  <c r="U40" i="1"/>
  <c r="W40" i="1" s="1"/>
  <c r="T29" i="1"/>
  <c r="U28" i="1"/>
  <c r="W28" i="1" s="1"/>
  <c r="Z69" i="1" l="1"/>
  <c r="M127" i="1" s="1"/>
  <c r="Z70" i="1"/>
  <c r="M128" i="1" s="1"/>
  <c r="Y69" i="1"/>
  <c r="L127" i="1" s="1"/>
  <c r="E255" i="2"/>
  <c r="E254" i="2"/>
  <c r="L106" i="1"/>
  <c r="E117" i="1" s="1"/>
  <c r="E129" i="1" s="1"/>
  <c r="F142" i="1"/>
  <c r="D145" i="1"/>
  <c r="AA67" i="1"/>
  <c r="N125" i="1" s="1"/>
  <c r="Y72" i="1"/>
  <c r="L130" i="1" s="1"/>
  <c r="N56" i="1"/>
  <c r="O124" i="1"/>
  <c r="F57" i="1"/>
  <c r="F68" i="1" s="1"/>
  <c r="F103" i="1" s="1"/>
  <c r="G103" i="1" s="1"/>
  <c r="L125" i="1"/>
  <c r="D125" i="1"/>
  <c r="E125" i="1"/>
  <c r="M125" i="1"/>
  <c r="T68" i="1"/>
  <c r="U57" i="1"/>
  <c r="Y71" i="1"/>
  <c r="L129" i="1" s="1"/>
  <c r="Y68" i="1"/>
  <c r="L126" i="1" s="1"/>
  <c r="M129" i="1"/>
  <c r="Z72" i="1"/>
  <c r="M130" i="1" s="1"/>
  <c r="AE88" i="2"/>
  <c r="G89" i="2"/>
  <c r="AD89" i="2"/>
  <c r="O146" i="2" s="1"/>
  <c r="Q146" i="2" s="1"/>
  <c r="C117" i="1"/>
  <c r="C129" i="1" s="1"/>
  <c r="X67" i="1"/>
  <c r="AB66" i="1"/>
  <c r="T58" i="1"/>
  <c r="T69" i="1" s="1"/>
  <c r="G88" i="2"/>
  <c r="F122" i="2"/>
  <c r="W89" i="2"/>
  <c r="V123" i="2"/>
  <c r="W91" i="2"/>
  <c r="V125" i="2"/>
  <c r="W90" i="2"/>
  <c r="V124" i="2"/>
  <c r="O89" i="2"/>
  <c r="N123" i="2"/>
  <c r="P123" i="2" s="1"/>
  <c r="AB69" i="2"/>
  <c r="H132" i="2"/>
  <c r="F71" i="2"/>
  <c r="G60" i="2"/>
  <c r="N70" i="2"/>
  <c r="F123" i="2"/>
  <c r="G70" i="2"/>
  <c r="F72" i="2"/>
  <c r="G61" i="2"/>
  <c r="N91" i="2"/>
  <c r="N61" i="2"/>
  <c r="N60" i="2"/>
  <c r="U61" i="2"/>
  <c r="J105" i="1"/>
  <c r="C116" i="1" s="1"/>
  <c r="C128" i="1" s="1"/>
  <c r="X70" i="1"/>
  <c r="X68" i="1"/>
  <c r="X72" i="1"/>
  <c r="X71" i="1"/>
  <c r="F112" i="1"/>
  <c r="F124" i="1" s="1"/>
  <c r="J104" i="1"/>
  <c r="C115" i="1" s="1"/>
  <c r="C127" i="1" s="1"/>
  <c r="X69" i="1"/>
  <c r="N60" i="3"/>
  <c r="N61" i="3"/>
  <c r="N127" i="3"/>
  <c r="O127" i="3" s="1"/>
  <c r="AB69" i="3"/>
  <c r="F105" i="3"/>
  <c r="G70" i="3"/>
  <c r="F115" i="3"/>
  <c r="G104" i="3"/>
  <c r="F71" i="3"/>
  <c r="G60" i="3"/>
  <c r="F126" i="3"/>
  <c r="G126" i="3" s="1"/>
  <c r="G114" i="3"/>
  <c r="M105" i="3"/>
  <c r="N105" i="3" s="1"/>
  <c r="AA70" i="3"/>
  <c r="N70" i="3"/>
  <c r="F72" i="3"/>
  <c r="G61" i="3"/>
  <c r="U71" i="2"/>
  <c r="U72" i="2"/>
  <c r="AA70" i="2"/>
  <c r="U70" i="2"/>
  <c r="N103" i="1"/>
  <c r="C118" i="1"/>
  <c r="N67" i="1"/>
  <c r="J102" i="1"/>
  <c r="N102" i="1" s="1"/>
  <c r="U67" i="1"/>
  <c r="Q102" i="1"/>
  <c r="U102" i="1" s="1"/>
  <c r="N66" i="1"/>
  <c r="J101" i="1"/>
  <c r="N101" i="1" s="1"/>
  <c r="C114" i="1"/>
  <c r="M58" i="1"/>
  <c r="M69" i="1" s="1"/>
  <c r="F58" i="1"/>
  <c r="G101" i="1"/>
  <c r="G66" i="1"/>
  <c r="G102" i="1"/>
  <c r="G67" i="1"/>
  <c r="N57" i="1"/>
  <c r="N68" i="1"/>
  <c r="T42" i="1"/>
  <c r="U41" i="1"/>
  <c r="W41" i="1" s="1"/>
  <c r="T30" i="1"/>
  <c r="U29" i="1"/>
  <c r="W29" i="1" s="1"/>
  <c r="F303" i="1" l="1"/>
  <c r="I303" i="1" s="1"/>
  <c r="F145" i="1"/>
  <c r="G68" i="1"/>
  <c r="AA68" i="1"/>
  <c r="N126" i="1" s="1"/>
  <c r="G57" i="1"/>
  <c r="F125" i="1"/>
  <c r="K125" i="1"/>
  <c r="O125" i="1" s="1"/>
  <c r="T103" i="1"/>
  <c r="U68" i="1"/>
  <c r="U58" i="1"/>
  <c r="AB67" i="1"/>
  <c r="AE89" i="2"/>
  <c r="F91" i="2"/>
  <c r="F125" i="2"/>
  <c r="F134" i="2"/>
  <c r="H123" i="2"/>
  <c r="F90" i="2"/>
  <c r="F124" i="2"/>
  <c r="F133" i="2"/>
  <c r="F145" i="2" s="1"/>
  <c r="H145" i="2" s="1"/>
  <c r="H122" i="2"/>
  <c r="O91" i="2"/>
  <c r="N125" i="2"/>
  <c r="P125" i="2" s="1"/>
  <c r="AA71" i="2"/>
  <c r="N90" i="2"/>
  <c r="AA72" i="2"/>
  <c r="AB72" i="2" s="1"/>
  <c r="G71" i="2"/>
  <c r="N71" i="2"/>
  <c r="G72" i="2"/>
  <c r="N72" i="2"/>
  <c r="K129" i="1"/>
  <c r="K127" i="1"/>
  <c r="K130" i="1"/>
  <c r="K126" i="1"/>
  <c r="K128" i="1"/>
  <c r="N128" i="3"/>
  <c r="O128" i="3" s="1"/>
  <c r="AB70" i="3"/>
  <c r="F106" i="3"/>
  <c r="G71" i="3"/>
  <c r="M107" i="3"/>
  <c r="N107" i="3" s="1"/>
  <c r="N72" i="3"/>
  <c r="AA72" i="3"/>
  <c r="F107" i="3"/>
  <c r="G72" i="3"/>
  <c r="F116" i="3"/>
  <c r="G105" i="3"/>
  <c r="F127" i="3"/>
  <c r="G127" i="3" s="1"/>
  <c r="G115" i="3"/>
  <c r="M106" i="3"/>
  <c r="N106" i="3" s="1"/>
  <c r="N71" i="3"/>
  <c r="AA71" i="3"/>
  <c r="X123" i="2"/>
  <c r="X125" i="2"/>
  <c r="X124" i="2"/>
  <c r="AB70" i="2"/>
  <c r="C113" i="1"/>
  <c r="C112" i="1"/>
  <c r="C126" i="1"/>
  <c r="C130" i="1"/>
  <c r="U69" i="1"/>
  <c r="T104" i="1"/>
  <c r="U104" i="1" s="1"/>
  <c r="N58" i="1"/>
  <c r="T59" i="1"/>
  <c r="M59" i="1"/>
  <c r="M70" i="1" s="1"/>
  <c r="F59" i="1"/>
  <c r="F69" i="1"/>
  <c r="G58" i="1"/>
  <c r="T43" i="1"/>
  <c r="U43" i="1" s="1"/>
  <c r="W43" i="1" s="1"/>
  <c r="T61" i="1" s="1"/>
  <c r="U42" i="1"/>
  <c r="W42" i="1" s="1"/>
  <c r="T60" i="1" s="1"/>
  <c r="U30" i="1"/>
  <c r="W30" i="1" s="1"/>
  <c r="F61" i="1" s="1"/>
  <c r="AB68" i="1" l="1"/>
  <c r="O126" i="1"/>
  <c r="H133" i="2"/>
  <c r="F306" i="1"/>
  <c r="G112" i="1"/>
  <c r="C124" i="1"/>
  <c r="G124" i="1" s="1"/>
  <c r="C125" i="1"/>
  <c r="G125" i="1" s="1"/>
  <c r="U103" i="1"/>
  <c r="F114" i="1"/>
  <c r="AA69" i="1"/>
  <c r="AB69" i="1" s="1"/>
  <c r="G90" i="2"/>
  <c r="AD90" i="2"/>
  <c r="O147" i="2" s="1"/>
  <c r="Q147" i="2" s="1"/>
  <c r="G91" i="2"/>
  <c r="AD91" i="2"/>
  <c r="O148" i="2" s="1"/>
  <c r="Q148" i="2" s="1"/>
  <c r="G113" i="1"/>
  <c r="W44" i="1"/>
  <c r="O90" i="2"/>
  <c r="N124" i="2"/>
  <c r="P124" i="2" s="1"/>
  <c r="H124" i="2"/>
  <c r="F136" i="2"/>
  <c r="F148" i="2" s="1"/>
  <c r="H148" i="2" s="1"/>
  <c r="H125" i="2"/>
  <c r="AB71" i="2"/>
  <c r="F118" i="3"/>
  <c r="G107" i="3"/>
  <c r="F128" i="3"/>
  <c r="G128" i="3" s="1"/>
  <c r="G116" i="3"/>
  <c r="N130" i="3"/>
  <c r="O130" i="3" s="1"/>
  <c r="AB72" i="3"/>
  <c r="N129" i="3"/>
  <c r="O129" i="3" s="1"/>
  <c r="AB71" i="3"/>
  <c r="F117" i="3"/>
  <c r="G106" i="3"/>
  <c r="F146" i="2"/>
  <c r="H146" i="2" s="1"/>
  <c r="H134" i="2"/>
  <c r="N69" i="1"/>
  <c r="M104" i="1"/>
  <c r="N104" i="1" s="1"/>
  <c r="G69" i="1"/>
  <c r="F104" i="1"/>
  <c r="T70" i="1"/>
  <c r="U59" i="1"/>
  <c r="F70" i="1"/>
  <c r="G59" i="1"/>
  <c r="T72" i="1"/>
  <c r="U61" i="1"/>
  <c r="N59" i="1"/>
  <c r="T71" i="1"/>
  <c r="U60" i="1"/>
  <c r="F60" i="1"/>
  <c r="M60" i="1"/>
  <c r="M71" i="1" s="1"/>
  <c r="I306" i="1" l="1"/>
  <c r="C321" i="1" s="1"/>
  <c r="F135" i="2"/>
  <c r="F147" i="2" s="1"/>
  <c r="H147" i="2" s="1"/>
  <c r="H149" i="2" s="1"/>
  <c r="F126" i="1"/>
  <c r="G126" i="1" s="1"/>
  <c r="G114" i="1"/>
  <c r="N127" i="1"/>
  <c r="O127" i="1" s="1"/>
  <c r="W31" i="1"/>
  <c r="M61" i="1"/>
  <c r="M72" i="1" s="1"/>
  <c r="AE91" i="2"/>
  <c r="AE90" i="2"/>
  <c r="H136" i="2"/>
  <c r="AA70" i="1"/>
  <c r="F129" i="3"/>
  <c r="G129" i="3" s="1"/>
  <c r="G117" i="3"/>
  <c r="F130" i="3"/>
  <c r="G130" i="3" s="1"/>
  <c r="G118" i="3"/>
  <c r="U72" i="1"/>
  <c r="T107" i="1"/>
  <c r="U107" i="1" s="1"/>
  <c r="U70" i="1"/>
  <c r="T105" i="1"/>
  <c r="U105" i="1" s="1"/>
  <c r="F115" i="1"/>
  <c r="G104" i="1"/>
  <c r="U71" i="1"/>
  <c r="T106" i="1"/>
  <c r="U106" i="1" s="1"/>
  <c r="N70" i="1"/>
  <c r="M105" i="1"/>
  <c r="N105" i="1" s="1"/>
  <c r="G70" i="1"/>
  <c r="F105" i="1"/>
  <c r="N60" i="1"/>
  <c r="N71" i="1" s="1"/>
  <c r="F71" i="1"/>
  <c r="G60" i="1"/>
  <c r="F72" i="1"/>
  <c r="G61" i="1"/>
  <c r="N61" i="1" l="1"/>
  <c r="N72" i="1" s="1"/>
  <c r="C322" i="1"/>
  <c r="H135" i="2"/>
  <c r="G137" i="2" s="1"/>
  <c r="G119" i="3"/>
  <c r="AA72" i="1"/>
  <c r="AB72" i="1" s="1"/>
  <c r="AA71" i="1"/>
  <c r="N129" i="1" s="1"/>
  <c r="O129" i="1" s="1"/>
  <c r="G131" i="3"/>
  <c r="N128" i="1"/>
  <c r="O128" i="1" s="1"/>
  <c r="AB70" i="1"/>
  <c r="G72" i="1"/>
  <c r="F107" i="1"/>
  <c r="M107" i="1"/>
  <c r="N107" i="1" s="1"/>
  <c r="F116" i="1"/>
  <c r="G105" i="1"/>
  <c r="G71" i="1"/>
  <c r="F106" i="1"/>
  <c r="M106" i="1"/>
  <c r="N106" i="1" s="1"/>
  <c r="F127" i="1"/>
  <c r="G127" i="1" s="1"/>
  <c r="G115" i="1"/>
  <c r="AB71" i="1" l="1"/>
  <c r="N130" i="1"/>
  <c r="O130" i="1" s="1"/>
  <c r="F117" i="1"/>
  <c r="G106" i="1"/>
  <c r="F118" i="1"/>
  <c r="G107" i="1"/>
  <c r="F128" i="1"/>
  <c r="G128" i="1" s="1"/>
  <c r="G116" i="1"/>
  <c r="F129" i="1" l="1"/>
  <c r="G129" i="1" s="1"/>
  <c r="G117" i="1"/>
  <c r="F130" i="1"/>
  <c r="G130" i="1" s="1"/>
  <c r="G118" i="1"/>
  <c r="G131" i="1" l="1"/>
  <c r="G119" i="1"/>
</calcChain>
</file>

<file path=xl/sharedStrings.xml><?xml version="1.0" encoding="utf-8"?>
<sst xmlns="http://schemas.openxmlformats.org/spreadsheetml/2006/main" count="1264" uniqueCount="214">
  <si>
    <t>Vehicle Daily Populations (A)</t>
  </si>
  <si>
    <t>Total HD Trucking Inventory for California: From EMFAC</t>
  </si>
  <si>
    <t xml:space="preserve"> (14000 lbs GWVR and up) </t>
  </si>
  <si>
    <t>(includes buses)</t>
  </si>
  <si>
    <t>In-State</t>
  </si>
  <si>
    <t>2007 - 2009</t>
  </si>
  <si>
    <t>MY 2010 and newer</t>
  </si>
  <si>
    <t>non-DPF</t>
  </si>
  <si>
    <t>Retrofit</t>
  </si>
  <si>
    <t>Total In-State</t>
  </si>
  <si>
    <t>Out-of-State</t>
  </si>
  <si>
    <t>Total</t>
  </si>
  <si>
    <t>Year</t>
  </si>
  <si>
    <t>Projected 2018 Failure Rate for DPF Equipped Vehicles</t>
  </si>
  <si>
    <t>Retrofits</t>
  </si>
  <si>
    <t>2007-2009</t>
  </si>
  <si>
    <t>2010+</t>
  </si>
  <si>
    <t>Non-DPF</t>
  </si>
  <si>
    <t>% over 5%</t>
  </si>
  <si>
    <t>Increased Failure Rate</t>
  </si>
  <si>
    <t># of vehicles</t>
  </si>
  <si>
    <t># of failures</t>
  </si>
  <si>
    <t>Increased Failure rate</t>
  </si>
  <si>
    <t>increased Failure rate</t>
  </si>
  <si>
    <t>increased failure rate</t>
  </si>
  <si>
    <t>Totals</t>
  </si>
  <si>
    <t>IN-STATE</t>
  </si>
  <si>
    <t>OUT-OF-STATE</t>
  </si>
  <si>
    <t>Repair Rates</t>
  </si>
  <si>
    <t>HDVIP</t>
  </si>
  <si>
    <t>HDVIP/PSIP</t>
  </si>
  <si>
    <t>CA Population %</t>
  </si>
  <si>
    <t>Owner Operators</t>
  </si>
  <si>
    <t>Fleets of 2+</t>
  </si>
  <si>
    <t>Population Affected</t>
  </si>
  <si>
    <t>Owner Ops, OOS</t>
  </si>
  <si>
    <t>CA Fleets of 2+</t>
  </si>
  <si>
    <t>%</t>
  </si>
  <si>
    <t>Program</t>
  </si>
  <si>
    <t>2007-2009 MY</t>
  </si>
  <si>
    <t>2010+ MY</t>
  </si>
  <si>
    <t>Non-DPFs</t>
  </si>
  <si>
    <t>Total Vehicles</t>
  </si>
  <si>
    <t xml:space="preserve">                              Projected Non-Compliant Vehicles for Owner Operators</t>
  </si>
  <si>
    <t xml:space="preserve">               Projected Non-Compliant Vehicles for CA Fleets of 2+</t>
  </si>
  <si>
    <t>Out-Of-State</t>
  </si>
  <si>
    <t xml:space="preserve">               Projected Non-Compliant Vehicles for OOS</t>
  </si>
  <si>
    <t xml:space="preserve">                              Projected Repairs for Owner Operators</t>
  </si>
  <si>
    <t xml:space="preserve">                              Projected Repairs for OOS</t>
  </si>
  <si>
    <t xml:space="preserve">                              Projected Repairs for CA Fleets of 2+</t>
  </si>
  <si>
    <t>Upstream Repair Costs</t>
  </si>
  <si>
    <t>Part</t>
  </si>
  <si>
    <t>DOC</t>
  </si>
  <si>
    <t>Cost</t>
  </si>
  <si>
    <t>Frequency</t>
  </si>
  <si>
    <t>EGR Valve</t>
  </si>
  <si>
    <t>EGR Cooler</t>
  </si>
  <si>
    <t>Turbocharger</t>
  </si>
  <si>
    <t>Fuel Injector</t>
  </si>
  <si>
    <t>Weighted Average</t>
  </si>
  <si>
    <t>DPF Repair Costs</t>
  </si>
  <si>
    <t xml:space="preserve">                 Total Repair Costs</t>
  </si>
  <si>
    <t>0.62 upstream repairs for every DPF replacement, non-DPF assumes full upstream cost</t>
  </si>
  <si>
    <t xml:space="preserve">                              Projected Repair Costs for Owner Operators</t>
  </si>
  <si>
    <t>Total Repair Costs for All</t>
  </si>
  <si>
    <t>-</t>
  </si>
  <si>
    <t>Slope</t>
  </si>
  <si>
    <t>Failure Rates</t>
  </si>
  <si>
    <t>Citation Costs</t>
  </si>
  <si>
    <t>Citation Rate</t>
  </si>
  <si>
    <t>Number of Inspections</t>
  </si>
  <si>
    <t>Fine ($)</t>
  </si>
  <si>
    <t>Number of Citations</t>
  </si>
  <si>
    <t>Rounded Costs</t>
  </si>
  <si>
    <t>Smoke Tester Training Costs</t>
  </si>
  <si>
    <t>Ratio of Trainees to Vehicles: 1:20</t>
  </si>
  <si>
    <t># of Trainees</t>
  </si>
  <si>
    <t>Online Class</t>
  </si>
  <si>
    <t>In-Person Class</t>
  </si>
  <si>
    <t>Online Class Info</t>
  </si>
  <si>
    <t>Time</t>
  </si>
  <si>
    <t>Opportunity Cost</t>
  </si>
  <si>
    <t>per hour</t>
  </si>
  <si>
    <t>hour</t>
  </si>
  <si>
    <t>90% of trainees already accounted for in baseline</t>
  </si>
  <si>
    <t>Course needs to be retaken every 4 years</t>
  </si>
  <si>
    <t># of trainees above BAU</t>
  </si>
  <si>
    <t>Course Info</t>
  </si>
  <si>
    <t>hours</t>
  </si>
  <si>
    <t>Total Smoke Tester Training Costs</t>
  </si>
  <si>
    <t>Baseline Repair Costs</t>
  </si>
  <si>
    <t>Current Non-Compliance Rates</t>
  </si>
  <si>
    <t>Repair Cost</t>
  </si>
  <si>
    <t>Non-DPF Pre 1991 MY</t>
  </si>
  <si>
    <t>Pre-1991 MY Non DPF</t>
  </si>
  <si>
    <t>1991-2007 MY Non DPFs represent about 90% of all Non-DPFs</t>
  </si>
  <si>
    <t>Vehicle Population</t>
  </si>
  <si>
    <t>CA 2+ Fleets</t>
  </si>
  <si>
    <t>OOS Fleets</t>
  </si>
  <si>
    <t>Projected Vehicles Above Current Opacity Limits</t>
  </si>
  <si>
    <t>Pre 1991 Non-DPF</t>
  </si>
  <si>
    <t>1991-2006 Non DPF</t>
  </si>
  <si>
    <t>Pre-1991 Non DPF</t>
  </si>
  <si>
    <t>1991-2006 Non-DPF</t>
  </si>
  <si>
    <t>Projected Repairs</t>
  </si>
  <si>
    <t>Non-DPF 1991-2006 MY</t>
  </si>
  <si>
    <t>1991-2006 MY Non DPF</t>
  </si>
  <si>
    <t>Total BAU Repair Costs</t>
  </si>
  <si>
    <t>BAU Repair Costs</t>
  </si>
  <si>
    <t>Total Costs</t>
  </si>
  <si>
    <t>Repair Costs</t>
  </si>
  <si>
    <t>Training Costs</t>
  </si>
  <si>
    <t>Total Repair Cost</t>
  </si>
  <si>
    <t xml:space="preserve">                              Projected Repairs for All</t>
  </si>
  <si>
    <t>Assume 50% of Pre-1997 MY engines need new vehicles and 50% can make the upstream repair to meet the 20% opacity limit</t>
  </si>
  <si>
    <t>Type</t>
  </si>
  <si>
    <t>Population #</t>
  </si>
  <si>
    <t>Non-Compliant</t>
  </si>
  <si>
    <t>OOS</t>
  </si>
  <si>
    <t>Expected Repairs</t>
  </si>
  <si>
    <t>CA Pre 1997 MY Non-DPF</t>
  </si>
  <si>
    <t>Replacements</t>
  </si>
  <si>
    <t>Cost of new vehicle purchase</t>
  </si>
  <si>
    <t>Non-DPF Repairs</t>
  </si>
  <si>
    <t>Total Vehicle Repairs</t>
  </si>
  <si>
    <t>Non-DPF Replacements</t>
  </si>
  <si>
    <t xml:space="preserve">                              Projected Repairs/Replacements for Owner Operators</t>
  </si>
  <si>
    <t xml:space="preserve">                              Projected Repairs/Replacements for CA 2+ Fleets</t>
  </si>
  <si>
    <t xml:space="preserve">                              Projected Repairs/Replacements for OOS</t>
  </si>
  <si>
    <t xml:space="preserve">                              Projected Repairs/Replacements for All Vehicles</t>
  </si>
  <si>
    <t>Total Repair/Replacement Costs for All</t>
  </si>
  <si>
    <t xml:space="preserve">                              Projected Repair/Replacement Costs for Owner Operators</t>
  </si>
  <si>
    <t xml:space="preserve">                              Projected Repair/Replacement Costs for CA Fleets of 2+</t>
  </si>
  <si>
    <t xml:space="preserve">                              Projected Repair/Replacement Costs for OOS</t>
  </si>
  <si>
    <t xml:space="preserve">                              Projected Repair/Replacements for All</t>
  </si>
  <si>
    <t>(8% opacity)</t>
  </si>
  <si>
    <t>Benefits</t>
  </si>
  <si>
    <t>TPD</t>
  </si>
  <si>
    <t>lbs/yr</t>
  </si>
  <si>
    <t>Tons/Yr</t>
  </si>
  <si>
    <t>Cost Effectiveness</t>
  </si>
  <si>
    <t>$/ton</t>
  </si>
  <si>
    <t>$/lb</t>
  </si>
  <si>
    <t>Rounded Citations</t>
  </si>
  <si>
    <t>Baseline Emissions</t>
  </si>
  <si>
    <t>benefit</t>
  </si>
  <si>
    <t>Reg Scenario</t>
  </si>
  <si>
    <t>HDVIP/PSIP w/ reporting</t>
  </si>
  <si>
    <t>Regulation assumed to be effective for only 9 months in 2019. Assume repairs for 9 months in 2019 and push rest of repairs to 2020</t>
  </si>
  <si>
    <t>Reporting Costs</t>
  </si>
  <si>
    <t>Reporting Cost ($/hour)</t>
  </si>
  <si>
    <t>Initial Reporting Time Estimate</t>
  </si>
  <si>
    <t>50+ vehicle fleet</t>
  </si>
  <si>
    <t>20-49 vehicle fleet</t>
  </si>
  <si>
    <t>Subsequent year Time Estimate</t>
  </si>
  <si>
    <t>Cost per fleet</t>
  </si>
  <si>
    <t>50+ vehicle fleets</t>
  </si>
  <si>
    <t>20-49 vehicle fleets</t>
  </si>
  <si>
    <t xml:space="preserve">           Fleet Populations</t>
  </si>
  <si>
    <t>Total Cost</t>
  </si>
  <si>
    <t>&lt; 20 vehicle fleets</t>
  </si>
  <si>
    <t>Total Cost of Reporting</t>
  </si>
  <si>
    <t>Baseline Costs</t>
  </si>
  <si>
    <t>Rounded Reporting Costs</t>
  </si>
  <si>
    <t>CY 2024</t>
  </si>
  <si>
    <t>CY 2025</t>
  </si>
  <si>
    <t>Sum</t>
  </si>
  <si>
    <t>Repair Estimates Adjusted for 9 months of effectiveness in 2019. Rest of repairs pushed to 2020</t>
  </si>
  <si>
    <t>Year 2019</t>
  </si>
  <si>
    <t>Regulation effective for only 9 months in 2019. Assume repairs for 3 months in 2019 and push rest of repairs to 2020</t>
  </si>
  <si>
    <t>HDVIP/PSIP w/reporting</t>
  </si>
  <si>
    <t>Regulation effective for only 9 months in 2019. Assume repairs for 9 months in 2019 and push rest of repairs to 2020</t>
  </si>
  <si>
    <t>Additional Testing Costs</t>
  </si>
  <si>
    <t>Smokemeter</t>
  </si>
  <si>
    <t>Smoke test per vehicle</t>
  </si>
  <si>
    <t xml:space="preserve"> Fleets &lt;20 vehicles</t>
  </si>
  <si>
    <t>Fleets &gt;20 vehicles</t>
  </si>
  <si>
    <t>Number of Fleets</t>
  </si>
  <si>
    <t>% of Population</t>
  </si>
  <si>
    <t>Rounded Total</t>
  </si>
  <si>
    <t>Total Repair Costs for All (9 months in 2018)</t>
  </si>
  <si>
    <t xml:space="preserve">                         </t>
  </si>
  <si>
    <t xml:space="preserve">                          </t>
  </si>
  <si>
    <t>Non-DPF replacements</t>
  </si>
  <si>
    <t>Total Repair/Replacement Costs for All (9 months in 2019) (All replacements in 2019)</t>
  </si>
  <si>
    <t xml:space="preserve">                              </t>
  </si>
  <si>
    <t>Total Repair Costs for All (9 months in 2019)</t>
  </si>
  <si>
    <t>Fleets of 20 or more</t>
  </si>
  <si>
    <t>Vehicles in 20+ Fleets</t>
  </si>
  <si>
    <t>Assume fleets of 20 or more do their own testing, smaller fleets contract out service</t>
  </si>
  <si>
    <t>CY 2023</t>
  </si>
  <si>
    <t>*(only 3 months in 2019)</t>
  </si>
  <si>
    <t>&lt;20 vehicle fleets</t>
  </si>
  <si>
    <t>Local and State Government Costs</t>
  </si>
  <si>
    <t>State Government Costs</t>
  </si>
  <si>
    <t>State Repair Costs</t>
  </si>
  <si>
    <t>Fiscal Year</t>
  </si>
  <si>
    <t>Fiscal Year Costs</t>
  </si>
  <si>
    <t>Staff Costs</t>
  </si>
  <si>
    <t>2018-2019</t>
  </si>
  <si>
    <t>2019-2020</t>
  </si>
  <si>
    <t>2020-2021</t>
  </si>
  <si>
    <t>2021-2022</t>
  </si>
  <si>
    <t>2022-2023</t>
  </si>
  <si>
    <t>2023-2024</t>
  </si>
  <si>
    <t>2024-2025</t>
  </si>
  <si>
    <t>Local Gov't Costs</t>
  </si>
  <si>
    <t>Calendar Year</t>
  </si>
  <si>
    <t>Local Cost</t>
  </si>
  <si>
    <t>Fiscal year</t>
  </si>
  <si>
    <t>&lt;20 vehicle fleet</t>
  </si>
  <si>
    <t>CA 2+ fleets (2022 and beyond)</t>
  </si>
  <si>
    <t>CA 2+ (2022 and beyond)</t>
  </si>
  <si>
    <t>CA Fleets of 2+ (2022 &amp; beyond)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</si>
</sst>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_);[Red]\(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2" fillId="4" borderId="1" xfId="0" applyFont="1" applyFill="1" applyBorder="1" applyAlignment="1">
      <alignment horizontal="left"/>
    </xf>
    <xf numFmtId="43" fontId="1" fillId="4" borderId="1" xfId="0" applyNumberFormat="1" applyFont="1" applyFill="1" applyBorder="1"/>
    <xf numFmtId="0" fontId="0" fillId="0" borderId="0" xfId="0" applyAlignment="1">
      <alignment horizontal="left" indent="1"/>
    </xf>
    <xf numFmtId="164" fontId="0" fillId="0" borderId="0" xfId="0" applyNumberFormat="1"/>
    <xf numFmtId="0" fontId="1" fillId="4" borderId="1" xfId="0" applyNumberFormat="1" applyFont="1" applyFill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NumberFormat="1" applyBorder="1"/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0" borderId="0" xfId="0" applyFont="1"/>
    <xf numFmtId="0" fontId="0" fillId="0" borderId="23" xfId="0" applyBorder="1"/>
    <xf numFmtId="0" fontId="0" fillId="0" borderId="6" xfId="0" applyBorder="1"/>
    <xf numFmtId="0" fontId="0" fillId="0" borderId="7" xfId="0" applyBorder="1"/>
    <xf numFmtId="9" fontId="0" fillId="0" borderId="10" xfId="0" applyNumberFormat="1" applyBorder="1"/>
    <xf numFmtId="0" fontId="0" fillId="0" borderId="24" xfId="0" applyBorder="1"/>
    <xf numFmtId="9" fontId="0" fillId="0" borderId="25" xfId="0" applyNumberFormat="1" applyBorder="1"/>
    <xf numFmtId="0" fontId="0" fillId="0" borderId="0" xfId="0" applyBorder="1"/>
    <xf numFmtId="9" fontId="0" fillId="0" borderId="0" xfId="0" applyNumberFormat="1" applyBorder="1"/>
    <xf numFmtId="0" fontId="0" fillId="0" borderId="26" xfId="0" applyBorder="1"/>
    <xf numFmtId="9" fontId="0" fillId="0" borderId="27" xfId="0" applyNumberFormat="1" applyBorder="1"/>
    <xf numFmtId="0" fontId="4" fillId="0" borderId="23" xfId="0" applyFont="1" applyBorder="1"/>
    <xf numFmtId="0" fontId="4" fillId="0" borderId="26" xfId="0" applyFont="1" applyBorder="1"/>
    <xf numFmtId="0" fontId="4" fillId="0" borderId="6" xfId="0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0" xfId="0" applyNumberFormat="1"/>
    <xf numFmtId="0" fontId="0" fillId="0" borderId="27" xfId="0" applyBorder="1"/>
    <xf numFmtId="0" fontId="1" fillId="0" borderId="24" xfId="0" applyFont="1" applyBorder="1"/>
    <xf numFmtId="0" fontId="1" fillId="0" borderId="27" xfId="0" applyFont="1" applyBorder="1"/>
    <xf numFmtId="0" fontId="0" fillId="0" borderId="10" xfId="0" applyBorder="1"/>
    <xf numFmtId="0" fontId="0" fillId="0" borderId="25" xfId="0" applyBorder="1"/>
    <xf numFmtId="0" fontId="1" fillId="0" borderId="2" xfId="0" applyFont="1" applyBorder="1" applyAlignment="1">
      <alignment horizontal="left"/>
    </xf>
    <xf numFmtId="16" fontId="0" fillId="0" borderId="26" xfId="0" applyNumberFormat="1" applyBorder="1"/>
    <xf numFmtId="0" fontId="3" fillId="0" borderId="26" xfId="0" applyFont="1" applyBorder="1"/>
    <xf numFmtId="0" fontId="3" fillId="0" borderId="6" xfId="0" applyFont="1" applyBorder="1"/>
    <xf numFmtId="0" fontId="0" fillId="0" borderId="0" xfId="0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1" fontId="0" fillId="0" borderId="2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6" fontId="0" fillId="0" borderId="0" xfId="0" applyNumberFormat="1"/>
    <xf numFmtId="37" fontId="0" fillId="0" borderId="0" xfId="0" applyNumberFormat="1"/>
    <xf numFmtId="3" fontId="3" fillId="0" borderId="23" xfId="0" applyNumberFormat="1" applyFont="1" applyBorder="1" applyAlignment="1">
      <alignment horizontal="center"/>
    </xf>
    <xf numFmtId="0" fontId="0" fillId="0" borderId="38" xfId="0" applyBorder="1"/>
    <xf numFmtId="3" fontId="0" fillId="0" borderId="22" xfId="0" applyNumberFormat="1" applyBorder="1"/>
    <xf numFmtId="3" fontId="0" fillId="0" borderId="39" xfId="0" applyNumberFormat="1" applyBorder="1"/>
    <xf numFmtId="0" fontId="4" fillId="0" borderId="38" xfId="0" applyFont="1" applyBorder="1"/>
    <xf numFmtId="0" fontId="0" fillId="0" borderId="22" xfId="0" applyBorder="1"/>
    <xf numFmtId="0" fontId="0" fillId="0" borderId="39" xfId="0" applyBorder="1"/>
    <xf numFmtId="0" fontId="0" fillId="0" borderId="40" xfId="0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0" fillId="0" borderId="2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53" xfId="0" applyNumberFormat="1" applyBorder="1" applyAlignment="1">
      <alignment horizontal="center"/>
    </xf>
    <xf numFmtId="10" fontId="0" fillId="0" borderId="54" xfId="0" applyNumberFormat="1" applyBorder="1" applyAlignment="1">
      <alignment horizontal="center"/>
    </xf>
    <xf numFmtId="4" fontId="0" fillId="0" borderId="0" xfId="0" applyNumberFormat="1"/>
    <xf numFmtId="0" fontId="0" fillId="0" borderId="0" xfId="0" applyBorder="1" applyAlignment="1">
      <alignment horizontal="center"/>
    </xf>
    <xf numFmtId="165" fontId="0" fillId="0" borderId="0" xfId="0" applyNumberFormat="1"/>
    <xf numFmtId="3" fontId="0" fillId="0" borderId="10" xfId="0" applyNumberFormat="1" applyBorder="1"/>
    <xf numFmtId="3" fontId="0" fillId="0" borderId="25" xfId="0" applyNumberFormat="1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6" fontId="0" fillId="0" borderId="58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36" xfId="0" applyNumberFormat="1" applyBorder="1" applyAlignment="1">
      <alignment horizontal="center"/>
    </xf>
    <xf numFmtId="6" fontId="0" fillId="0" borderId="25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/>
    <xf numFmtId="3" fontId="0" fillId="0" borderId="58" xfId="0" applyNumberFormat="1" applyBorder="1" applyAlignment="1">
      <alignment horizontal="center"/>
    </xf>
    <xf numFmtId="6" fontId="0" fillId="0" borderId="33" xfId="0" applyNumberFormat="1" applyBorder="1"/>
    <xf numFmtId="6" fontId="0" fillId="0" borderId="34" xfId="0" applyNumberFormat="1" applyBorder="1"/>
    <xf numFmtId="3" fontId="0" fillId="0" borderId="61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4" xfId="0" applyFill="1" applyBorder="1" applyAlignment="1">
      <alignment horizontal="center"/>
    </xf>
    <xf numFmtId="3" fontId="0" fillId="0" borderId="0" xfId="0" applyNumberFormat="1" applyBorder="1"/>
    <xf numFmtId="3" fontId="0" fillId="0" borderId="27" xfId="0" applyNumberFormat="1" applyBorder="1"/>
    <xf numFmtId="3" fontId="0" fillId="0" borderId="65" xfId="0" applyNumberFormat="1" applyBorder="1"/>
    <xf numFmtId="3" fontId="0" fillId="0" borderId="66" xfId="0" applyNumberFormat="1" applyBorder="1"/>
    <xf numFmtId="0" fontId="3" fillId="0" borderId="38" xfId="0" applyFont="1" applyBorder="1"/>
    <xf numFmtId="0" fontId="0" fillId="0" borderId="24" xfId="0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Border="1"/>
    <xf numFmtId="9" fontId="0" fillId="0" borderId="67" xfId="0" applyNumberFormat="1" applyBorder="1"/>
    <xf numFmtId="3" fontId="0" fillId="0" borderId="0" xfId="0" applyNumberFormat="1" applyFill="1" applyBorder="1"/>
    <xf numFmtId="0" fontId="0" fillId="0" borderId="15" xfId="0" applyFill="1" applyBorder="1" applyAlignment="1">
      <alignment horizontal="center"/>
    </xf>
    <xf numFmtId="3" fontId="0" fillId="0" borderId="62" xfId="0" applyNumberFormat="1" applyFill="1" applyBorder="1"/>
    <xf numFmtId="0" fontId="0" fillId="0" borderId="68" xfId="0" applyFill="1" applyBorder="1" applyAlignment="1">
      <alignment horizontal="center"/>
    </xf>
    <xf numFmtId="3" fontId="0" fillId="0" borderId="69" xfId="0" applyNumberFormat="1" applyBorder="1"/>
    <xf numFmtId="3" fontId="0" fillId="0" borderId="70" xfId="0" applyNumberFormat="1" applyFill="1" applyBorder="1"/>
    <xf numFmtId="0" fontId="1" fillId="0" borderId="71" xfId="0" applyFont="1" applyFill="1" applyBorder="1" applyAlignment="1">
      <alignment horizontal="center"/>
    </xf>
    <xf numFmtId="3" fontId="1" fillId="0" borderId="72" xfId="0" applyNumberFormat="1" applyFont="1" applyBorder="1"/>
    <xf numFmtId="3" fontId="0" fillId="0" borderId="72" xfId="0" applyNumberFormat="1" applyBorder="1"/>
    <xf numFmtId="0" fontId="0" fillId="0" borderId="73" xfId="0" applyBorder="1"/>
    <xf numFmtId="166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5" xfId="0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65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3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5" fillId="0" borderId="27" xfId="0" applyFont="1" applyFill="1" applyBorder="1"/>
    <xf numFmtId="0" fontId="6" fillId="0" borderId="23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Retrofits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15201224846894"/>
                  <c:y val="0.106830344123651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Amendments'!$N$5:$N$6</c:f>
              <c:numCache>
                <c:formatCode>General</c:formatCode>
                <c:ptCount val="2"/>
                <c:pt idx="0">
                  <c:v>2014</c:v>
                </c:pt>
                <c:pt idx="1">
                  <c:v>2016</c:v>
                </c:pt>
              </c:numCache>
            </c:numRef>
          </c:xVal>
          <c:yVal>
            <c:numRef>
              <c:f>'Proposed Amendments'!$O$5:$O$6</c:f>
              <c:numCache>
                <c:formatCode>General</c:formatCode>
                <c:ptCount val="2"/>
                <c:pt idx="0">
                  <c:v>10.19</c:v>
                </c:pt>
                <c:pt idx="1">
                  <c:v>11.86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CA-4DE0-A38E-6A7677FD98EB}"/>
            </c:ext>
          </c:extLst>
        </c:ser>
        <c:ser>
          <c:idx val="1"/>
          <c:order val="1"/>
          <c:tx>
            <c:v>2007-2009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'Proposed Amendments'!$P$4:$P$6</c:f>
              <c:numCache>
                <c:formatCode>General</c:formatCode>
                <c:ptCount val="3"/>
                <c:pt idx="0">
                  <c:v>11.32</c:v>
                </c:pt>
                <c:pt idx="1">
                  <c:v>11.88</c:v>
                </c:pt>
                <c:pt idx="2">
                  <c:v>21.73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CA-4DE0-A38E-6A7677FD98EB}"/>
            </c:ext>
          </c:extLst>
        </c:ser>
        <c:ser>
          <c:idx val="2"/>
          <c:order val="2"/>
          <c:tx>
            <c:v>2010+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0878235148692791E-2"/>
                  <c:y val="-4.295713035870515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'Proposed Amendments'!$Q$4:$Q$6</c:f>
              <c:numCache>
                <c:formatCode>General</c:formatCode>
                <c:ptCount val="3"/>
                <c:pt idx="0">
                  <c:v>1.68</c:v>
                </c:pt>
                <c:pt idx="1">
                  <c:v>2.04</c:v>
                </c:pt>
                <c:pt idx="2">
                  <c:v>2.93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CA-4DE0-A38E-6A7677FD9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58912"/>
        <c:axId val="139560832"/>
      </c:scatterChart>
      <c:valAx>
        <c:axId val="13955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60832"/>
        <c:crosses val="autoZero"/>
        <c:crossBetween val="midCat"/>
      </c:valAx>
      <c:valAx>
        <c:axId val="1395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Vehicles Over 5% Opacity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5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Retrofits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15201224846894"/>
                  <c:y val="0.106830344123651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Amendments'!$N$5:$N$6</c:f>
              <c:numCache>
                <c:formatCode>General</c:formatCode>
                <c:ptCount val="2"/>
                <c:pt idx="0">
                  <c:v>2014</c:v>
                </c:pt>
                <c:pt idx="1">
                  <c:v>2016</c:v>
                </c:pt>
              </c:numCache>
            </c:numRef>
          </c:xVal>
          <c:yVal>
            <c:numRef>
              <c:f>'Proposed Amendments'!$O$5:$O$6</c:f>
              <c:numCache>
                <c:formatCode>General</c:formatCode>
                <c:ptCount val="2"/>
                <c:pt idx="0">
                  <c:v>10.19</c:v>
                </c:pt>
                <c:pt idx="1">
                  <c:v>11.86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2C-4EDE-8819-4F64EB2F118B}"/>
            </c:ext>
          </c:extLst>
        </c:ser>
        <c:ser>
          <c:idx val="1"/>
          <c:order val="1"/>
          <c:tx>
            <c:v>2007-2009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'Proposed Amendments'!$P$4:$P$6</c:f>
              <c:numCache>
                <c:formatCode>General</c:formatCode>
                <c:ptCount val="3"/>
                <c:pt idx="0">
                  <c:v>11.32</c:v>
                </c:pt>
                <c:pt idx="1">
                  <c:v>11.88</c:v>
                </c:pt>
                <c:pt idx="2">
                  <c:v>21.73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2C-4EDE-8819-4F64EB2F118B}"/>
            </c:ext>
          </c:extLst>
        </c:ser>
        <c:ser>
          <c:idx val="2"/>
          <c:order val="2"/>
          <c:tx>
            <c:v>2010+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0878235148692791E-2"/>
                  <c:y val="-4.295713035870515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'Proposed Amendments'!$Q$4:$Q$6</c:f>
              <c:numCache>
                <c:formatCode>General</c:formatCode>
                <c:ptCount val="3"/>
                <c:pt idx="0">
                  <c:v>1.68</c:v>
                </c:pt>
                <c:pt idx="1">
                  <c:v>2.04</c:v>
                </c:pt>
                <c:pt idx="2">
                  <c:v>2.93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2C-4EDE-8819-4F64EB2F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75744"/>
        <c:axId val="148317312"/>
      </c:scatterChart>
      <c:valAx>
        <c:axId val="19457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17312"/>
        <c:crosses val="autoZero"/>
        <c:crossBetween val="midCat"/>
      </c:valAx>
      <c:valAx>
        <c:axId val="1483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Vehicles Over 5% Opacity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75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Baseline PM Emissions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'Proposed Amendments'!$G$311:$G$317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xVal>
          <c:yVal>
            <c:numRef>
              <c:f>'Proposed Amendments'!$H$311:$H$317</c:f>
              <c:numCache>
                <c:formatCode>General</c:formatCode>
                <c:ptCount val="7"/>
                <c:pt idx="0">
                  <c:v>6.0679999999999996</c:v>
                </c:pt>
                <c:pt idx="1">
                  <c:v>4.9329999999999998</c:v>
                </c:pt>
                <c:pt idx="2">
                  <c:v>4.415</c:v>
                </c:pt>
                <c:pt idx="3">
                  <c:v>2.367</c:v>
                </c:pt>
                <c:pt idx="4">
                  <c:v>1.3879999999999999</c:v>
                </c:pt>
                <c:pt idx="5">
                  <c:v>1.4179999999999999</c:v>
                </c:pt>
                <c:pt idx="6">
                  <c:v>1.4350000000000001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D7-4288-9F7D-AA224024AE4E}"/>
            </c:ext>
          </c:extLst>
        </c:ser>
        <c:ser>
          <c:idx val="1"/>
          <c:order val="1"/>
          <c:tx>
            <c:v>PM Emissions with Proposed Amendments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'Proposed Amendments'!$G$311:$G$317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xVal>
          <c:yVal>
            <c:numRef>
              <c:f>'Proposed Amendments'!$I$311:$I$317</c:f>
              <c:numCache>
                <c:formatCode>General</c:formatCode>
                <c:ptCount val="7"/>
                <c:pt idx="0">
                  <c:v>5.5189999999999992</c:v>
                </c:pt>
                <c:pt idx="1">
                  <c:v>4.32</c:v>
                </c:pt>
                <c:pt idx="2">
                  <c:v>3.839</c:v>
                </c:pt>
                <c:pt idx="3">
                  <c:v>1.9279999999999999</c:v>
                </c:pt>
                <c:pt idx="4">
                  <c:v>1.0719999999999998</c:v>
                </c:pt>
                <c:pt idx="5">
                  <c:v>1.0759999999999998</c:v>
                </c:pt>
                <c:pt idx="6">
                  <c:v>1.0720000000000001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D7-4288-9F7D-AA224024A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59424"/>
        <c:axId val="148361984"/>
      </c:scatterChart>
      <c:valAx>
        <c:axId val="14835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61984"/>
        <c:crosses val="autoZero"/>
        <c:crossBetween val="midCat"/>
      </c:valAx>
      <c:valAx>
        <c:axId val="148361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Projected</a:t>
                </a:r>
                <a:r>
                  <a:rPr lang="en-US" baseline="0"/>
                  <a:t> PM Emissions (TPD)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59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08289588801402"/>
          <c:y val="0.13541557305336832"/>
          <c:w val="0.32236154855643046"/>
          <c:h val="0.2569466316710410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Retrofits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15201224846894"/>
                  <c:y val="0.106830344123651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Amendments'!$N$5:$N$6</c:f>
              <c:numCache>
                <c:formatCode>General</c:formatCode>
                <c:ptCount val="2"/>
                <c:pt idx="0">
                  <c:v>2014</c:v>
                </c:pt>
                <c:pt idx="1">
                  <c:v>2016</c:v>
                </c:pt>
              </c:numCache>
            </c:numRef>
          </c:xVal>
          <c:yVal>
            <c:numRef>
              <c:f>'Proposed Amendments'!$O$5:$O$6</c:f>
              <c:numCache>
                <c:formatCode>General</c:formatCode>
                <c:ptCount val="2"/>
                <c:pt idx="0">
                  <c:v>10.19</c:v>
                </c:pt>
                <c:pt idx="1">
                  <c:v>11.86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E-435D-962D-ED9BF18AF5FE}"/>
            </c:ext>
          </c:extLst>
        </c:ser>
        <c:ser>
          <c:idx val="1"/>
          <c:order val="1"/>
          <c:tx>
            <c:v>2007-2009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'Proposed Amendments'!$P$4:$P$6</c:f>
              <c:numCache>
                <c:formatCode>General</c:formatCode>
                <c:ptCount val="3"/>
                <c:pt idx="0">
                  <c:v>11.32</c:v>
                </c:pt>
                <c:pt idx="1">
                  <c:v>11.88</c:v>
                </c:pt>
                <c:pt idx="2">
                  <c:v>21.73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FE-435D-962D-ED9BF18AF5FE}"/>
            </c:ext>
          </c:extLst>
        </c:ser>
        <c:ser>
          <c:idx val="2"/>
          <c:order val="2"/>
          <c:tx>
            <c:v>2010+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0878235148692791E-2"/>
                  <c:y val="-4.295713035870515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'Proposed Amendments'!$N$4:$N$6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'Proposed Amendments'!$Q$4:$Q$6</c:f>
              <c:numCache>
                <c:formatCode>General</c:formatCode>
                <c:ptCount val="3"/>
                <c:pt idx="0">
                  <c:v>1.68</c:v>
                </c:pt>
                <c:pt idx="1">
                  <c:v>2.04</c:v>
                </c:pt>
                <c:pt idx="2">
                  <c:v>2.93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FE-435D-962D-ED9BF18AF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37248"/>
        <c:axId val="147603840"/>
      </c:scatterChart>
      <c:valAx>
        <c:axId val="14843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03840"/>
        <c:crosses val="autoZero"/>
        <c:crossBetween val="midCat"/>
      </c:valAx>
      <c:valAx>
        <c:axId val="14760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Vehicles Over 5% Opacity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37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Retrofits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15201224846894"/>
                  <c:y val="0.106830344123651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'Alternative 2'!$N$5:$N$6</c:f>
              <c:numCache>
                <c:formatCode>General</c:formatCode>
                <c:ptCount val="2"/>
                <c:pt idx="0">
                  <c:v>2014</c:v>
                </c:pt>
                <c:pt idx="1">
                  <c:v>2016</c:v>
                </c:pt>
              </c:numCache>
            </c:numRef>
          </c:xVal>
          <c:yVal>
            <c:numRef>
              <c:f>'Alternative 2'!$O$5:$O$6</c:f>
              <c:numCache>
                <c:formatCode>General</c:formatCode>
                <c:ptCount val="2"/>
                <c:pt idx="0">
                  <c:v>7.01</c:v>
                </c:pt>
                <c:pt idx="1">
                  <c:v>7.34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54-40B8-B2CB-6C760E8AAE8C}"/>
            </c:ext>
          </c:extLst>
        </c:ser>
        <c:ser>
          <c:idx val="1"/>
          <c:order val="1"/>
          <c:tx>
            <c:v>2007-2009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'Alternative 2'!$N$4:$N$6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'Alternative 2'!$P$4:$P$6</c:f>
              <c:numCache>
                <c:formatCode>General</c:formatCode>
                <c:ptCount val="3"/>
                <c:pt idx="0">
                  <c:v>8.01</c:v>
                </c:pt>
                <c:pt idx="1">
                  <c:v>7.83</c:v>
                </c:pt>
                <c:pt idx="2">
                  <c:v>15.29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54-40B8-B2CB-6C760E8AAE8C}"/>
            </c:ext>
          </c:extLst>
        </c:ser>
        <c:ser>
          <c:idx val="2"/>
          <c:order val="2"/>
          <c:tx>
            <c:v>2010+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0878235148692791E-2"/>
                  <c:y val="-4.295713035870515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'Alternative 2'!$N$4:$N$6</c:f>
              <c:numCache>
                <c:formatCode>General</c:formatCode>
                <c:ptCount val="3"/>
                <c:pt idx="0">
                  <c:v>2011</c:v>
                </c:pt>
                <c:pt idx="1">
                  <c:v>2014</c:v>
                </c:pt>
                <c:pt idx="2">
                  <c:v>2016</c:v>
                </c:pt>
              </c:numCache>
            </c:numRef>
          </c:xVal>
          <c:yVal>
            <c:numRef>
              <c:f>'Alternative 2'!$Q$4:$Q$6</c:f>
              <c:numCache>
                <c:formatCode>General</c:formatCode>
                <c:ptCount val="3"/>
                <c:pt idx="0">
                  <c:v>1.1200000000000001</c:v>
                </c:pt>
                <c:pt idx="1">
                  <c:v>0.9</c:v>
                </c:pt>
                <c:pt idx="2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54-40B8-B2CB-6C760E8AA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64032"/>
        <c:axId val="197595136"/>
      </c:scatterChart>
      <c:valAx>
        <c:axId val="19516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95136"/>
        <c:crosses val="autoZero"/>
        <c:crossBetween val="midCat"/>
      </c:valAx>
      <c:valAx>
        <c:axId val="19759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Vehicles Over 5% Opacity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64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602900</xdr:colOff>
      <xdr:row>1</xdr:row>
      <xdr:rowOff>10048</xdr:rowOff>
    </xdr:from>
    <xdr:to>
      <xdr:col>22</xdr:col>
      <xdr:colOff>450082</xdr:colOff>
      <xdr:row>14</xdr:row>
      <xdr:rowOff>157424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602900</xdr:colOff>
      <xdr:row>1</xdr:row>
      <xdr:rowOff>10048</xdr:rowOff>
    </xdr:from>
    <xdr:to>
      <xdr:col>22</xdr:col>
      <xdr:colOff>450082</xdr:colOff>
      <xdr:row>14</xdr:row>
      <xdr:rowOff>157424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424962</xdr:colOff>
      <xdr:row>318</xdr:row>
      <xdr:rowOff>135653</xdr:rowOff>
    </xdr:from>
    <xdr:to>
      <xdr:col>10</xdr:col>
      <xdr:colOff>527539</xdr:colOff>
      <xdr:row>333</xdr:row>
      <xdr:rowOff>52754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602900</xdr:colOff>
      <xdr:row>1</xdr:row>
      <xdr:rowOff>10048</xdr:rowOff>
    </xdr:from>
    <xdr:to>
      <xdr:col>22</xdr:col>
      <xdr:colOff>450082</xdr:colOff>
      <xdr:row>14</xdr:row>
      <xdr:rowOff>157424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602899</xdr:colOff>
      <xdr:row>1</xdr:row>
      <xdr:rowOff>10048</xdr:rowOff>
    </xdr:from>
    <xdr:to>
      <xdr:col>23</xdr:col>
      <xdr:colOff>152399</xdr:colOff>
      <xdr:row>14</xdr:row>
      <xdr:rowOff>157424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368"/>
  <sheetViews>
    <sheetView topLeftCell="A136" zoomScale="91" zoomScaleNormal="91" workbookViewId="0">
      <selection activeCell="E48" sqref="E48"/>
    </sheetView>
  </sheetViews>
  <sheetFormatPr defaultRowHeight="15" x14ac:dyDescent="0.25"/>
  <cols>
    <col min="2" max="2" width="22" customWidth="1"/>
    <col min="3" max="3" width="18.7109375" customWidth="1"/>
    <col min="4" max="4" width="29.140625" customWidth="1"/>
    <col min="5" max="6" width="17.28515625" customWidth="1"/>
    <col min="7" max="7" width="16" customWidth="1"/>
    <col min="8" max="8" width="21.85546875" customWidth="1"/>
    <col min="9" max="9" width="22" customWidth="1"/>
    <col min="10" max="10" width="14.140625" customWidth="1"/>
    <col min="11" max="11" width="16.42578125" customWidth="1"/>
    <col min="12" max="12" width="20.85546875" customWidth="1"/>
    <col min="13" max="13" width="13.140625" customWidth="1"/>
    <col min="14" max="14" width="21" customWidth="1"/>
    <col min="15" max="15" width="14.5703125" customWidth="1"/>
    <col min="16" max="16" width="13.7109375" customWidth="1"/>
    <col min="17" max="17" width="15.85546875" customWidth="1"/>
    <col min="18" max="18" width="14.7109375" customWidth="1"/>
    <col min="19" max="19" width="11.42578125" customWidth="1"/>
    <col min="20" max="20" width="15.7109375" customWidth="1"/>
    <col min="21" max="21" width="21.7109375" customWidth="1"/>
    <col min="22" max="22" width="22.42578125" customWidth="1"/>
    <col min="23" max="23" width="14.42578125" customWidth="1"/>
    <col min="24" max="24" width="10.28515625" customWidth="1"/>
    <col min="25" max="25" width="16.42578125" customWidth="1"/>
    <col min="26" max="26" width="13.85546875" customWidth="1"/>
    <col min="27" max="27" width="13.5703125" customWidth="1"/>
    <col min="28" max="28" width="15.7109375" customWidth="1"/>
  </cols>
  <sheetData>
    <row r="1" spans="2:39" x14ac:dyDescent="0.25">
      <c r="E1" s="86"/>
      <c r="O1" s="8" t="s">
        <v>67</v>
      </c>
    </row>
    <row r="2" spans="2:39" ht="15.75" thickBot="1" x14ac:dyDescent="0.3">
      <c r="F2" s="86"/>
      <c r="G2" s="86"/>
      <c r="H2" s="86"/>
      <c r="I2" s="86"/>
    </row>
    <row r="3" spans="2:39" ht="15.75" thickTop="1" x14ac:dyDescent="0.25">
      <c r="B3" s="1" t="s">
        <v>0</v>
      </c>
      <c r="C3" t="s">
        <v>1</v>
      </c>
      <c r="N3" s="42" t="s">
        <v>12</v>
      </c>
      <c r="O3" s="50" t="s">
        <v>14</v>
      </c>
      <c r="P3" s="80" t="s">
        <v>15</v>
      </c>
      <c r="Q3" s="43" t="s">
        <v>16</v>
      </c>
    </row>
    <row r="4" spans="2:39" x14ac:dyDescent="0.25">
      <c r="C4" t="s">
        <v>2</v>
      </c>
      <c r="E4" t="s">
        <v>3</v>
      </c>
      <c r="N4" s="44">
        <v>2011</v>
      </c>
      <c r="O4" s="48" t="s">
        <v>65</v>
      </c>
      <c r="P4" s="48">
        <v>11.32</v>
      </c>
      <c r="Q4" s="77">
        <v>1.68</v>
      </c>
    </row>
    <row r="5" spans="2:39" x14ac:dyDescent="0.25">
      <c r="B5" s="2" t="s">
        <v>12</v>
      </c>
      <c r="C5" s="2">
        <v>2018</v>
      </c>
      <c r="D5" s="2">
        <v>2019</v>
      </c>
      <c r="E5" s="2">
        <v>2020</v>
      </c>
      <c r="F5" s="2">
        <v>2021</v>
      </c>
      <c r="G5" s="2">
        <v>2022</v>
      </c>
      <c r="H5" s="2">
        <v>2023</v>
      </c>
      <c r="I5" s="2">
        <v>2024</v>
      </c>
      <c r="J5" s="2">
        <v>2025</v>
      </c>
      <c r="N5" s="44">
        <v>2014</v>
      </c>
      <c r="O5" s="48">
        <v>10.19</v>
      </c>
      <c r="P5" s="48">
        <v>11.88</v>
      </c>
      <c r="Q5" s="77">
        <v>2.04</v>
      </c>
    </row>
    <row r="6" spans="2:39" ht="19.5" thickBot="1" x14ac:dyDescent="0.35">
      <c r="B6" s="3" t="s">
        <v>4</v>
      </c>
      <c r="C6" s="4"/>
      <c r="D6" s="4"/>
      <c r="E6" s="4"/>
      <c r="F6" s="4"/>
      <c r="G6" s="4"/>
      <c r="H6" s="4"/>
      <c r="I6" s="4"/>
      <c r="J6" s="4"/>
      <c r="N6" s="46">
        <v>2016</v>
      </c>
      <c r="O6" s="74">
        <v>11.86</v>
      </c>
      <c r="P6" s="74">
        <v>21.73</v>
      </c>
      <c r="Q6" s="78">
        <v>2.93</v>
      </c>
    </row>
    <row r="7" spans="2:39" ht="16.5" thickTop="1" thickBot="1" x14ac:dyDescent="0.3">
      <c r="B7" s="5" t="s">
        <v>5</v>
      </c>
      <c r="C7" s="6">
        <v>108410.55990559849</v>
      </c>
      <c r="D7" s="6">
        <v>106168.62426979949</v>
      </c>
      <c r="E7" s="6">
        <v>101820.11616840152</v>
      </c>
      <c r="F7" s="6">
        <v>96759.049215894149</v>
      </c>
      <c r="G7" s="6">
        <v>91822.904966670962</v>
      </c>
      <c r="H7" s="6">
        <v>11815.408218454433</v>
      </c>
      <c r="I7" s="6">
        <v>11273.203502331169</v>
      </c>
      <c r="J7" s="6">
        <v>10697.437428083533</v>
      </c>
    </row>
    <row r="8" spans="2:39" ht="15.75" thickTop="1" x14ac:dyDescent="0.25">
      <c r="B8" s="5" t="s">
        <v>6</v>
      </c>
      <c r="C8" s="6">
        <v>273459.60099555581</v>
      </c>
      <c r="D8" s="6">
        <v>312784.51056735357</v>
      </c>
      <c r="E8" s="6">
        <v>373639.80119887122</v>
      </c>
      <c r="F8" s="6">
        <v>439524.7837783256</v>
      </c>
      <c r="G8" s="6">
        <v>476536.1203578097</v>
      </c>
      <c r="H8" s="6">
        <v>583537.20867161872</v>
      </c>
      <c r="I8" s="6">
        <v>612469.32223807357</v>
      </c>
      <c r="J8" s="6">
        <v>638396.25951051654</v>
      </c>
      <c r="N8" s="42"/>
      <c r="O8" s="81">
        <v>2019</v>
      </c>
      <c r="P8" s="82" t="s">
        <v>66</v>
      </c>
    </row>
    <row r="9" spans="2:39" x14ac:dyDescent="0.25">
      <c r="B9" s="5" t="s">
        <v>7</v>
      </c>
      <c r="C9" s="6">
        <v>127012.27186348365</v>
      </c>
      <c r="D9" s="6">
        <v>113409.4558062435</v>
      </c>
      <c r="E9" s="6">
        <v>76130.54001936024</v>
      </c>
      <c r="F9" s="6">
        <v>33502.534499616573</v>
      </c>
      <c r="G9" s="6">
        <v>31582.4146889728</v>
      </c>
      <c r="H9" s="6">
        <v>16905.890385895033</v>
      </c>
      <c r="I9" s="6">
        <v>15301.669405443959</v>
      </c>
      <c r="J9" s="6">
        <v>13701.453034362472</v>
      </c>
      <c r="N9" s="44" t="s">
        <v>14</v>
      </c>
      <c r="O9" s="48">
        <f>2019*0.835-1671.5</f>
        <v>14.365000000000009</v>
      </c>
      <c r="P9" s="77">
        <v>0.84</v>
      </c>
    </row>
    <row r="10" spans="2:39" x14ac:dyDescent="0.25">
      <c r="B10" s="5" t="s">
        <v>8</v>
      </c>
      <c r="C10" s="6">
        <v>64792.995768826258</v>
      </c>
      <c r="D10" s="6">
        <v>60341.297649762419</v>
      </c>
      <c r="E10" s="6">
        <v>55476.671967986877</v>
      </c>
      <c r="F10" s="6">
        <v>47428.04526372601</v>
      </c>
      <c r="G10" s="6">
        <v>37786.996301316489</v>
      </c>
      <c r="H10" s="6">
        <v>28479.05336433656</v>
      </c>
      <c r="I10" s="6">
        <v>25785.553944489166</v>
      </c>
      <c r="J10" s="6">
        <v>23210.35855515482</v>
      </c>
      <c r="N10" s="44" t="s">
        <v>15</v>
      </c>
      <c r="O10" s="48">
        <f>2019*1.9324-3876.2</f>
        <v>25.315599999999904</v>
      </c>
      <c r="P10" s="77">
        <v>1.93</v>
      </c>
    </row>
    <row r="11" spans="2:39" ht="15.75" thickBot="1" x14ac:dyDescent="0.3">
      <c r="B11" s="5" t="s">
        <v>9</v>
      </c>
      <c r="C11" s="6">
        <f t="shared" ref="C11:J11" si="0">SUM(C7:C10)</f>
        <v>573675.4285334642</v>
      </c>
      <c r="D11" s="6">
        <f t="shared" si="0"/>
        <v>592703.88829315896</v>
      </c>
      <c r="E11" s="6">
        <f t="shared" si="0"/>
        <v>607067.12935461989</v>
      </c>
      <c r="F11" s="6">
        <f t="shared" si="0"/>
        <v>617214.41275756236</v>
      </c>
      <c r="G11" s="6">
        <f t="shared" si="0"/>
        <v>637728.4363147699</v>
      </c>
      <c r="H11" s="6">
        <f t="shared" si="0"/>
        <v>640737.56064030482</v>
      </c>
      <c r="I11" s="6">
        <f t="shared" si="0"/>
        <v>664829.74909033789</v>
      </c>
      <c r="J11" s="6">
        <f t="shared" si="0"/>
        <v>686005.50852811744</v>
      </c>
      <c r="N11" s="46" t="s">
        <v>16</v>
      </c>
      <c r="O11" s="74">
        <f>2019*0.2397-480.53</f>
        <v>3.4243000000000166</v>
      </c>
      <c r="P11" s="78">
        <v>0.24</v>
      </c>
    </row>
    <row r="12" spans="2:39" ht="19.5" thickTop="1" x14ac:dyDescent="0.3">
      <c r="B12" s="3" t="s">
        <v>10</v>
      </c>
      <c r="C12" s="7"/>
      <c r="D12" s="7"/>
      <c r="E12" s="7"/>
      <c r="F12" s="7"/>
      <c r="G12" s="7"/>
      <c r="H12" s="7"/>
      <c r="I12" s="7"/>
      <c r="J12" s="7"/>
      <c r="AM12">
        <f>AJ12*$B$21</f>
        <v>0</v>
      </c>
    </row>
    <row r="13" spans="2:39" x14ac:dyDescent="0.25">
      <c r="B13" s="5" t="s">
        <v>5</v>
      </c>
      <c r="C13" s="6">
        <v>6695.4560650107887</v>
      </c>
      <c r="D13" s="6">
        <v>5904.8627325188818</v>
      </c>
      <c r="E13" s="6">
        <v>5108.8308843614041</v>
      </c>
      <c r="F13" s="6">
        <v>4311.3201045015767</v>
      </c>
      <c r="G13" s="6">
        <v>3529.6965113456804</v>
      </c>
      <c r="H13" s="6">
        <v>53.2754988481745</v>
      </c>
      <c r="I13" s="6">
        <v>41.347082787489555</v>
      </c>
      <c r="J13" s="6">
        <v>31.218223546701729</v>
      </c>
    </row>
    <row r="14" spans="2:39" x14ac:dyDescent="0.25">
      <c r="B14" s="5" t="s">
        <v>6</v>
      </c>
      <c r="C14" s="6">
        <v>46491.361131278652</v>
      </c>
      <c r="D14" s="6">
        <v>49657.254101634382</v>
      </c>
      <c r="E14" s="6">
        <v>52535.602460458977</v>
      </c>
      <c r="F14" s="6">
        <v>55351.791111490784</v>
      </c>
      <c r="G14" s="6">
        <v>58173.653791756362</v>
      </c>
      <c r="H14" s="6">
        <v>62075.347240682582</v>
      </c>
      <c r="I14" s="6">
        <v>63370.466011437573</v>
      </c>
      <c r="J14" s="6">
        <v>64460.98678521008</v>
      </c>
    </row>
    <row r="15" spans="2:39" x14ac:dyDescent="0.25">
      <c r="B15" s="5" t="s">
        <v>7</v>
      </c>
      <c r="C15" s="6">
        <v>418.64965863977062</v>
      </c>
      <c r="D15" s="6">
        <v>296.00490589947208</v>
      </c>
      <c r="E15" s="6">
        <v>177.43749902232059</v>
      </c>
      <c r="F15" s="6"/>
      <c r="G15" s="6"/>
      <c r="H15" s="6"/>
      <c r="I15" s="6"/>
      <c r="J15" s="6"/>
    </row>
    <row r="16" spans="2:39" x14ac:dyDescent="0.25">
      <c r="B16" s="5" t="s">
        <v>8</v>
      </c>
      <c r="C16" s="6">
        <v>3448.3865853810748</v>
      </c>
      <c r="D16" s="6">
        <v>2750.5815354414281</v>
      </c>
      <c r="E16" s="6">
        <v>2157.7691022185973</v>
      </c>
      <c r="F16" s="6">
        <v>1354.1862386734415</v>
      </c>
      <c r="G16" s="6">
        <v>106.32276376788423</v>
      </c>
      <c r="H16" s="6">
        <v>78.476315482777522</v>
      </c>
      <c r="I16" s="6">
        <v>59.591859566995936</v>
      </c>
      <c r="J16" s="6">
        <v>46.922258508151167</v>
      </c>
    </row>
    <row r="17" spans="2:23" x14ac:dyDescent="0.25">
      <c r="B17" s="5" t="s">
        <v>11</v>
      </c>
      <c r="C17" s="6">
        <f t="shared" ref="C17:J17" si="1">SUM(C13:C16)</f>
        <v>57053.853440310282</v>
      </c>
      <c r="D17" s="6">
        <f t="shared" si="1"/>
        <v>58608.703275494161</v>
      </c>
      <c r="E17" s="6">
        <f t="shared" si="1"/>
        <v>59979.639946061303</v>
      </c>
      <c r="F17" s="6">
        <f t="shared" si="1"/>
        <v>61017.297454665801</v>
      </c>
      <c r="G17" s="6">
        <f t="shared" si="1"/>
        <v>61809.673066869931</v>
      </c>
      <c r="H17" s="6">
        <f t="shared" si="1"/>
        <v>62207.099055013532</v>
      </c>
      <c r="I17" s="6">
        <f t="shared" si="1"/>
        <v>63471.404953792058</v>
      </c>
      <c r="J17" s="6">
        <f t="shared" si="1"/>
        <v>64539.127267264936</v>
      </c>
    </row>
    <row r="21" spans="2:23" x14ac:dyDescent="0.25">
      <c r="D21" s="41" t="s">
        <v>26</v>
      </c>
      <c r="E21" t="s">
        <v>13</v>
      </c>
    </row>
    <row r="22" spans="2:23" ht="15.75" thickBot="1" x14ac:dyDescent="0.3">
      <c r="D22" s="8" t="s">
        <v>14</v>
      </c>
      <c r="J22" s="8" t="s">
        <v>15</v>
      </c>
      <c r="P22" s="8" t="s">
        <v>16</v>
      </c>
      <c r="V22" s="8" t="s">
        <v>17</v>
      </c>
    </row>
    <row r="23" spans="2:23" ht="16.5" thickTop="1" thickBot="1" x14ac:dyDescent="0.3">
      <c r="B23" s="9" t="s">
        <v>12</v>
      </c>
      <c r="C23" s="10" t="s">
        <v>18</v>
      </c>
      <c r="D23" s="11" t="s">
        <v>19</v>
      </c>
      <c r="E23" s="11" t="s">
        <v>20</v>
      </c>
      <c r="F23" s="11" t="s">
        <v>21</v>
      </c>
      <c r="G23" s="39"/>
      <c r="H23" s="11" t="s">
        <v>18</v>
      </c>
      <c r="I23" s="11" t="s">
        <v>22</v>
      </c>
      <c r="J23" s="11" t="s">
        <v>20</v>
      </c>
      <c r="K23" s="11" t="s">
        <v>21</v>
      </c>
      <c r="L23" s="39"/>
      <c r="M23" s="11" t="s">
        <v>18</v>
      </c>
      <c r="N23" s="11" t="s">
        <v>23</v>
      </c>
      <c r="O23" s="11" t="s">
        <v>20</v>
      </c>
      <c r="P23" s="11" t="s">
        <v>21</v>
      </c>
      <c r="Q23" s="37"/>
      <c r="S23" s="9" t="s">
        <v>12</v>
      </c>
      <c r="T23" s="12" t="s">
        <v>18</v>
      </c>
      <c r="U23" s="12" t="s">
        <v>24</v>
      </c>
      <c r="V23" s="12" t="s">
        <v>20</v>
      </c>
      <c r="W23" s="34" t="s">
        <v>21</v>
      </c>
    </row>
    <row r="24" spans="2:23" x14ac:dyDescent="0.25">
      <c r="B24" s="13">
        <v>2019</v>
      </c>
      <c r="C24" s="18">
        <f t="shared" ref="C24:C30" si="2">(B24*0.835-1671.5)/100</f>
        <v>0.14365000000000008</v>
      </c>
      <c r="D24" s="14">
        <f>(B24*0.835-1671.5)/100</f>
        <v>0.14365000000000008</v>
      </c>
      <c r="E24" s="20">
        <f>D10</f>
        <v>60341.297649762419</v>
      </c>
      <c r="F24" s="21">
        <f>E24*D24</f>
        <v>8668.0274073883757</v>
      </c>
      <c r="G24" s="40"/>
      <c r="H24" s="139">
        <f t="shared" ref="H24:H30" si="3">(1.9324*B24-3876.2)/100</f>
        <v>0.25315599999999905</v>
      </c>
      <c r="I24" s="15">
        <f>(1.9324*B24-3876.2)/100</f>
        <v>0.25315599999999905</v>
      </c>
      <c r="J24" s="20">
        <f>D7</f>
        <v>106168.62426979949</v>
      </c>
      <c r="K24" s="21">
        <f>J24*I24</f>
        <v>26877.224245645259</v>
      </c>
      <c r="L24" s="40"/>
      <c r="M24" s="22">
        <f t="shared" ref="M24:M30" si="4">(B24*0.2397-480.53)/100</f>
        <v>3.4243000000000162E-2</v>
      </c>
      <c r="N24" s="14">
        <f>M24</f>
        <v>3.4243000000000162E-2</v>
      </c>
      <c r="O24" s="20">
        <f>D8</f>
        <v>312784.51056735357</v>
      </c>
      <c r="P24" s="21">
        <f>O24*N24</f>
        <v>10710.679995357939</v>
      </c>
      <c r="Q24" s="38"/>
      <c r="S24" s="13">
        <v>2019</v>
      </c>
      <c r="T24" s="16">
        <v>0.1</v>
      </c>
      <c r="U24" s="16">
        <f>T24</f>
        <v>0.1</v>
      </c>
      <c r="V24" s="17">
        <f>D9</f>
        <v>113409.4558062435</v>
      </c>
      <c r="W24" s="35">
        <f>V24*U24</f>
        <v>11340.94558062435</v>
      </c>
    </row>
    <row r="25" spans="2:23" x14ac:dyDescent="0.25">
      <c r="B25" s="13">
        <v>2020</v>
      </c>
      <c r="C25" s="18">
        <f t="shared" si="2"/>
        <v>0.15199999999999819</v>
      </c>
      <c r="D25" s="19">
        <f>P9/100</f>
        <v>8.3999999999999995E-3</v>
      </c>
      <c r="E25" s="20">
        <f>E10</f>
        <v>55476.671967986877</v>
      </c>
      <c r="F25" s="21">
        <f>E25*D25</f>
        <v>466.00404453108973</v>
      </c>
      <c r="G25" s="40"/>
      <c r="H25" s="139">
        <f t="shared" si="3"/>
        <v>0.2724800000000005</v>
      </c>
      <c r="I25" s="19">
        <f>H25-H24</f>
        <v>1.9324000000001451E-2</v>
      </c>
      <c r="J25" s="20">
        <f>E7</f>
        <v>101820.11616840152</v>
      </c>
      <c r="K25" s="21">
        <f t="shared" ref="K25:K30" si="5">J25*I25</f>
        <v>1967.5719248383389</v>
      </c>
      <c r="L25" s="40"/>
      <c r="M25" s="22">
        <f t="shared" si="4"/>
        <v>3.6640000000000443E-2</v>
      </c>
      <c r="N25" s="19">
        <f>M25-M24</f>
        <v>2.3970000000002809E-3</v>
      </c>
      <c r="O25" s="20">
        <f>E8</f>
        <v>373639.80119887122</v>
      </c>
      <c r="P25" s="21">
        <f t="shared" ref="P25:P30" si="6">O25*N25</f>
        <v>895.61460347379921</v>
      </c>
      <c r="Q25" s="38"/>
      <c r="S25" s="13">
        <v>2020</v>
      </c>
      <c r="T25" s="16">
        <f t="shared" ref="T25:T30" si="7">T24+0.01</f>
        <v>0.11</v>
      </c>
      <c r="U25" s="16">
        <f t="shared" ref="U25:U30" si="8">T25-T24</f>
        <v>9.999999999999995E-3</v>
      </c>
      <c r="V25" s="17">
        <f>E9</f>
        <v>76130.54001936024</v>
      </c>
      <c r="W25" s="35">
        <f t="shared" ref="W25:W30" si="9">V25*U25</f>
        <v>761.30540019360205</v>
      </c>
    </row>
    <row r="26" spans="2:23" x14ac:dyDescent="0.25">
      <c r="B26" s="13">
        <v>2021</v>
      </c>
      <c r="C26" s="18">
        <f t="shared" si="2"/>
        <v>0.16034999999999855</v>
      </c>
      <c r="D26" s="19">
        <f>C25-C24</f>
        <v>8.3499999999981089E-3</v>
      </c>
      <c r="E26" s="20">
        <f>F10</f>
        <v>47428.04526372601</v>
      </c>
      <c r="F26" s="21">
        <f t="shared" ref="F26:F30" si="10">E26*D26</f>
        <v>396.02417795202251</v>
      </c>
      <c r="G26" s="40"/>
      <c r="H26" s="139">
        <f t="shared" si="3"/>
        <v>0.2918040000000019</v>
      </c>
      <c r="I26" s="19">
        <f t="shared" ref="I26:I30" si="11">H26-H25</f>
        <v>1.9324000000001396E-2</v>
      </c>
      <c r="J26" s="20">
        <f>F7</f>
        <v>96759.049215894149</v>
      </c>
      <c r="K26" s="21">
        <f t="shared" si="5"/>
        <v>1869.7718670480735</v>
      </c>
      <c r="L26" s="40"/>
      <c r="M26" s="22">
        <f t="shared" si="4"/>
        <v>3.9037000000000148E-2</v>
      </c>
      <c r="N26" s="19">
        <f t="shared" ref="N26:N30" si="12">M26-M25</f>
        <v>2.3969999999997049E-3</v>
      </c>
      <c r="O26" s="20">
        <f>F8</f>
        <v>439524.7837783256</v>
      </c>
      <c r="P26" s="21">
        <f t="shared" si="6"/>
        <v>1053.5409067165167</v>
      </c>
      <c r="Q26" s="38"/>
      <c r="S26" s="13">
        <v>2021</v>
      </c>
      <c r="T26" s="16">
        <f t="shared" si="7"/>
        <v>0.12</v>
      </c>
      <c r="U26" s="16">
        <f t="shared" si="8"/>
        <v>9.999999999999995E-3</v>
      </c>
      <c r="V26" s="17">
        <f>F9</f>
        <v>33502.534499616573</v>
      </c>
      <c r="W26" s="35">
        <f>V26*U26</f>
        <v>335.02534499616559</v>
      </c>
    </row>
    <row r="27" spans="2:23" x14ac:dyDescent="0.25">
      <c r="B27" s="13">
        <v>2022</v>
      </c>
      <c r="C27" s="18">
        <f t="shared" si="2"/>
        <v>0.16869999999999891</v>
      </c>
      <c r="D27" s="19">
        <f>C26-C25</f>
        <v>8.3500000000003571E-3</v>
      </c>
      <c r="E27" s="20">
        <f>G10</f>
        <v>37786.996301316489</v>
      </c>
      <c r="F27" s="21">
        <f t="shared" si="10"/>
        <v>315.5214191160062</v>
      </c>
      <c r="G27" s="40"/>
      <c r="H27" s="139">
        <f t="shared" si="3"/>
        <v>0.31112799999999879</v>
      </c>
      <c r="I27" s="19">
        <f t="shared" si="11"/>
        <v>1.9323999999996899E-2</v>
      </c>
      <c r="J27" s="20">
        <f>G7</f>
        <v>91822.904966670962</v>
      </c>
      <c r="K27" s="21">
        <f t="shared" si="5"/>
        <v>1774.385815575665</v>
      </c>
      <c r="L27" s="40"/>
      <c r="M27" s="22">
        <f t="shared" si="4"/>
        <v>4.1434000000000422E-2</v>
      </c>
      <c r="N27" s="19">
        <f t="shared" si="12"/>
        <v>2.3970000000002739E-3</v>
      </c>
      <c r="O27" s="20">
        <f>G8</f>
        <v>476536.1203578097</v>
      </c>
      <c r="P27" s="21">
        <f t="shared" si="6"/>
        <v>1142.2570804978004</v>
      </c>
      <c r="Q27" s="38"/>
      <c r="S27" s="13">
        <v>2022</v>
      </c>
      <c r="T27" s="16">
        <f t="shared" si="7"/>
        <v>0.13</v>
      </c>
      <c r="U27" s="16">
        <f t="shared" si="8"/>
        <v>1.0000000000000009E-2</v>
      </c>
      <c r="V27" s="17">
        <f>G9</f>
        <v>31582.4146889728</v>
      </c>
      <c r="W27" s="35">
        <f t="shared" si="9"/>
        <v>315.8241468897283</v>
      </c>
    </row>
    <row r="28" spans="2:23" x14ac:dyDescent="0.25">
      <c r="B28" s="13">
        <v>2023</v>
      </c>
      <c r="C28" s="18">
        <f t="shared" si="2"/>
        <v>0.17704999999999926</v>
      </c>
      <c r="D28" s="19">
        <f>C27-C26</f>
        <v>8.3500000000003571E-3</v>
      </c>
      <c r="E28" s="20">
        <f>H10</f>
        <v>28479.05336433656</v>
      </c>
      <c r="F28" s="21">
        <f t="shared" si="10"/>
        <v>237.80009559222046</v>
      </c>
      <c r="G28" s="40"/>
      <c r="H28" s="139">
        <f t="shared" si="3"/>
        <v>0.33045200000000025</v>
      </c>
      <c r="I28" s="19">
        <f t="shared" si="11"/>
        <v>1.9324000000001451E-2</v>
      </c>
      <c r="J28" s="20">
        <f>H7</f>
        <v>11815.408218454433</v>
      </c>
      <c r="K28" s="21">
        <f t="shared" si="5"/>
        <v>228.32094841343061</v>
      </c>
      <c r="L28" s="40"/>
      <c r="M28" s="22">
        <f t="shared" si="4"/>
        <v>4.3831000000000134E-2</v>
      </c>
      <c r="N28" s="19">
        <f t="shared" si="12"/>
        <v>2.3969999999997119E-3</v>
      </c>
      <c r="O28" s="20">
        <f>H8</f>
        <v>583537.20867161872</v>
      </c>
      <c r="P28" s="21">
        <f t="shared" si="6"/>
        <v>1398.738689185702</v>
      </c>
      <c r="Q28" s="38"/>
      <c r="S28" s="13">
        <v>2023</v>
      </c>
      <c r="T28" s="16">
        <f t="shared" si="7"/>
        <v>0.14000000000000001</v>
      </c>
      <c r="U28" s="16">
        <f t="shared" si="8"/>
        <v>1.0000000000000009E-2</v>
      </c>
      <c r="V28" s="17">
        <f>H9</f>
        <v>16905.890385895033</v>
      </c>
      <c r="W28" s="35">
        <f t="shared" si="9"/>
        <v>169.05890385895049</v>
      </c>
    </row>
    <row r="29" spans="2:23" x14ac:dyDescent="0.25">
      <c r="B29" s="13">
        <v>2024</v>
      </c>
      <c r="C29" s="18">
        <f t="shared" si="2"/>
        <v>0.18539999999999965</v>
      </c>
      <c r="D29" s="19">
        <f>C28-C27</f>
        <v>8.3500000000003571E-3</v>
      </c>
      <c r="E29" s="20">
        <f>I10</f>
        <v>25785.553944489166</v>
      </c>
      <c r="F29" s="21">
        <f t="shared" si="10"/>
        <v>215.30937543649375</v>
      </c>
      <c r="G29" s="40"/>
      <c r="H29" s="139">
        <f t="shared" si="3"/>
        <v>0.34977600000000164</v>
      </c>
      <c r="I29" s="19">
        <f t="shared" si="11"/>
        <v>1.9324000000001396E-2</v>
      </c>
      <c r="J29" s="20">
        <f>I7</f>
        <v>11273.203502331169</v>
      </c>
      <c r="K29" s="21">
        <f t="shared" si="5"/>
        <v>217.84338447906325</v>
      </c>
      <c r="L29" s="40"/>
      <c r="M29" s="16">
        <f t="shared" si="4"/>
        <v>4.6228000000000408E-2</v>
      </c>
      <c r="N29" s="19">
        <f t="shared" si="12"/>
        <v>2.3970000000002739E-3</v>
      </c>
      <c r="O29" s="20">
        <f>I8</f>
        <v>612469.32223807357</v>
      </c>
      <c r="P29" s="21">
        <f t="shared" si="6"/>
        <v>1468.0889654048301</v>
      </c>
      <c r="Q29" s="38"/>
      <c r="S29" s="13">
        <v>2024</v>
      </c>
      <c r="T29" s="16">
        <f t="shared" si="7"/>
        <v>0.15000000000000002</v>
      </c>
      <c r="U29" s="16">
        <f t="shared" si="8"/>
        <v>1.0000000000000009E-2</v>
      </c>
      <c r="V29" s="17">
        <f>I9</f>
        <v>15301.669405443959</v>
      </c>
      <c r="W29" s="35">
        <f t="shared" si="9"/>
        <v>153.01669405443974</v>
      </c>
    </row>
    <row r="30" spans="2:23" ht="15.75" thickBot="1" x14ac:dyDescent="0.3">
      <c r="B30" s="13">
        <v>2025</v>
      </c>
      <c r="C30" s="137">
        <f t="shared" si="2"/>
        <v>0.19375000000000001</v>
      </c>
      <c r="D30" s="19">
        <f>C29-C28</f>
        <v>8.3500000000003849E-3</v>
      </c>
      <c r="E30" s="23">
        <f>J10</f>
        <v>23210.35855515482</v>
      </c>
      <c r="F30" s="21">
        <f t="shared" si="10"/>
        <v>193.80649393555169</v>
      </c>
      <c r="G30" s="40"/>
      <c r="H30" s="140">
        <f t="shared" si="3"/>
        <v>0.36909999999999854</v>
      </c>
      <c r="I30" s="19">
        <f t="shared" si="11"/>
        <v>1.9323999999996899E-2</v>
      </c>
      <c r="J30" s="23">
        <f>J7</f>
        <v>10697.437428083533</v>
      </c>
      <c r="K30" s="21">
        <f t="shared" si="5"/>
        <v>206.71728086025303</v>
      </c>
      <c r="L30" s="40"/>
      <c r="M30" s="16">
        <f t="shared" si="4"/>
        <v>4.8625000000000113E-2</v>
      </c>
      <c r="N30" s="19">
        <f t="shared" si="12"/>
        <v>2.3969999999997049E-3</v>
      </c>
      <c r="O30" s="23">
        <f>J8</f>
        <v>638396.25951051654</v>
      </c>
      <c r="P30" s="21">
        <f t="shared" si="6"/>
        <v>1530.2358340465198</v>
      </c>
      <c r="Q30" s="38"/>
      <c r="S30" s="13">
        <v>2025</v>
      </c>
      <c r="T30" s="16">
        <f t="shared" si="7"/>
        <v>0.16000000000000003</v>
      </c>
      <c r="U30" s="16">
        <f t="shared" si="8"/>
        <v>1.0000000000000009E-2</v>
      </c>
      <c r="V30" s="17">
        <f>J9</f>
        <v>13701.453034362472</v>
      </c>
      <c r="W30" s="35">
        <f t="shared" si="9"/>
        <v>137.01453034362484</v>
      </c>
    </row>
    <row r="31" spans="2:23" ht="15.75" thickBot="1" x14ac:dyDescent="0.3">
      <c r="B31" s="25" t="s">
        <v>25</v>
      </c>
      <c r="C31" s="26"/>
      <c r="D31" s="27"/>
      <c r="E31" s="28"/>
      <c r="F31" s="29">
        <f>SUM(F24:F30)</f>
        <v>10492.49301395176</v>
      </c>
      <c r="G31" s="40"/>
      <c r="H31" s="30"/>
      <c r="I31" s="30"/>
      <c r="J31" s="31"/>
      <c r="K31" s="29">
        <f>SUM(K24:K30)</f>
        <v>33141.835466860088</v>
      </c>
      <c r="L31" s="40"/>
      <c r="M31" s="30"/>
      <c r="N31" s="30"/>
      <c r="O31" s="31"/>
      <c r="P31" s="29">
        <f>SUM(P24:P30)</f>
        <v>18199.156074683109</v>
      </c>
      <c r="Q31" s="38"/>
      <c r="S31" s="32" t="s">
        <v>25</v>
      </c>
      <c r="T31" s="30"/>
      <c r="U31" s="30"/>
      <c r="V31" s="33"/>
      <c r="W31" s="36">
        <f>SUM(W24:W30)</f>
        <v>13212.190600960861</v>
      </c>
    </row>
    <row r="32" spans="2:23" ht="15.75" thickTop="1" x14ac:dyDescent="0.25"/>
    <row r="34" spans="2:23" x14ac:dyDescent="0.25">
      <c r="D34" s="41" t="s">
        <v>27</v>
      </c>
      <c r="E34" t="s">
        <v>13</v>
      </c>
    </row>
    <row r="35" spans="2:23" ht="15.75" thickBot="1" x14ac:dyDescent="0.3">
      <c r="D35" s="8" t="s">
        <v>14</v>
      </c>
      <c r="J35" s="8" t="s">
        <v>15</v>
      </c>
      <c r="P35" s="8" t="s">
        <v>16</v>
      </c>
      <c r="V35" s="8" t="s">
        <v>17</v>
      </c>
    </row>
    <row r="36" spans="2:23" ht="16.5" thickTop="1" thickBot="1" x14ac:dyDescent="0.3">
      <c r="B36" s="9" t="s">
        <v>12</v>
      </c>
      <c r="C36" s="10" t="s">
        <v>18</v>
      </c>
      <c r="D36" s="11" t="s">
        <v>19</v>
      </c>
      <c r="E36" s="11" t="s">
        <v>20</v>
      </c>
      <c r="F36" s="11" t="s">
        <v>21</v>
      </c>
      <c r="G36" s="39"/>
      <c r="H36" s="11" t="s">
        <v>18</v>
      </c>
      <c r="I36" s="11" t="s">
        <v>22</v>
      </c>
      <c r="J36" s="11" t="s">
        <v>20</v>
      </c>
      <c r="K36" s="11" t="s">
        <v>21</v>
      </c>
      <c r="L36" s="39"/>
      <c r="M36" s="11" t="s">
        <v>18</v>
      </c>
      <c r="N36" s="11" t="s">
        <v>23</v>
      </c>
      <c r="O36" s="11" t="s">
        <v>20</v>
      </c>
      <c r="P36" s="11" t="s">
        <v>21</v>
      </c>
      <c r="Q36" s="37"/>
      <c r="S36" s="9" t="s">
        <v>12</v>
      </c>
      <c r="T36" s="12" t="s">
        <v>18</v>
      </c>
      <c r="U36" s="12" t="s">
        <v>24</v>
      </c>
      <c r="V36" s="12" t="s">
        <v>20</v>
      </c>
      <c r="W36" s="34" t="s">
        <v>21</v>
      </c>
    </row>
    <row r="37" spans="2:23" x14ac:dyDescent="0.25">
      <c r="B37" s="13">
        <v>2019</v>
      </c>
      <c r="C37" s="18">
        <f t="shared" ref="C37:C43" si="13">(B37*0.835-1671.5)/100</f>
        <v>0.14365000000000008</v>
      </c>
      <c r="D37" s="19">
        <f>C37</f>
        <v>0.14365000000000008</v>
      </c>
      <c r="E37" s="20">
        <f>D16</f>
        <v>2750.5815354414281</v>
      </c>
      <c r="F37" s="21">
        <f>E37*D37</f>
        <v>395.12103756616136</v>
      </c>
      <c r="G37" s="40"/>
      <c r="H37" s="139">
        <f t="shared" ref="H37:H43" si="14">(1.9324*B37-3876.2)/100</f>
        <v>0.25315599999999905</v>
      </c>
      <c r="I37" s="19">
        <f>H37</f>
        <v>0.25315599999999905</v>
      </c>
      <c r="J37" s="20">
        <f>D13</f>
        <v>5904.8627325188818</v>
      </c>
      <c r="K37" s="21">
        <f>J37*I37</f>
        <v>1494.8514299135445</v>
      </c>
      <c r="L37" s="40"/>
      <c r="M37" s="22">
        <f t="shared" ref="M37:M43" si="15">(B37*0.2397-480.53)/100</f>
        <v>3.4243000000000162E-2</v>
      </c>
      <c r="N37" s="19">
        <f>M37</f>
        <v>3.4243000000000162E-2</v>
      </c>
      <c r="O37" s="20">
        <f>D14</f>
        <v>49657.254101634382</v>
      </c>
      <c r="P37" s="21">
        <f>O37*N37</f>
        <v>1700.4133522022742</v>
      </c>
      <c r="Q37" s="38"/>
      <c r="S37" s="13">
        <v>2019</v>
      </c>
      <c r="T37" s="16">
        <v>0.1</v>
      </c>
      <c r="U37" s="16">
        <v>0.1</v>
      </c>
      <c r="V37" s="17">
        <f>D15</f>
        <v>296.00490589947208</v>
      </c>
      <c r="W37" s="35">
        <f>V37*U37</f>
        <v>29.60049058994721</v>
      </c>
    </row>
    <row r="38" spans="2:23" x14ac:dyDescent="0.25">
      <c r="B38" s="13">
        <v>2020</v>
      </c>
      <c r="C38" s="18">
        <f t="shared" si="13"/>
        <v>0.15199999999999819</v>
      </c>
      <c r="D38" s="19">
        <f t="shared" ref="D38:D43" si="16">C38-C37</f>
        <v>8.3499999999981089E-3</v>
      </c>
      <c r="E38" s="20">
        <f>E16</f>
        <v>2157.7691022185973</v>
      </c>
      <c r="F38" s="21">
        <f t="shared" ref="F38:F43" si="17">E38*D38</f>
        <v>18.017372003521206</v>
      </c>
      <c r="G38" s="40"/>
      <c r="H38" s="139">
        <f t="shared" si="14"/>
        <v>0.2724800000000005</v>
      </c>
      <c r="I38" s="19">
        <f t="shared" ref="I38:I43" si="18">H38-H37</f>
        <v>1.9324000000001451E-2</v>
      </c>
      <c r="J38" s="20">
        <f>E13</f>
        <v>5108.8308843614041</v>
      </c>
      <c r="K38" s="21">
        <f t="shared" ref="K38:K43" si="19">J38*I38</f>
        <v>98.723048009407179</v>
      </c>
      <c r="L38" s="40"/>
      <c r="M38" s="22">
        <f t="shared" si="15"/>
        <v>3.6640000000000443E-2</v>
      </c>
      <c r="N38" s="19">
        <f t="shared" ref="N38:N43" si="20">M38-M37</f>
        <v>2.3970000000002809E-3</v>
      </c>
      <c r="O38" s="20">
        <f>E14</f>
        <v>52535.602460458977</v>
      </c>
      <c r="P38" s="21">
        <f t="shared" ref="P38:P43" si="21">O38*N38</f>
        <v>125.92783909773492</v>
      </c>
      <c r="Q38" s="38"/>
      <c r="S38" s="13">
        <v>2020</v>
      </c>
      <c r="T38" s="16">
        <f t="shared" ref="T38:T43" si="22">T37+0.01</f>
        <v>0.11</v>
      </c>
      <c r="U38" s="16">
        <f t="shared" ref="U38:U43" si="23">T38-T37</f>
        <v>9.999999999999995E-3</v>
      </c>
      <c r="V38" s="17">
        <f>E15</f>
        <v>177.43749902232059</v>
      </c>
      <c r="W38" s="35">
        <f>V38*U38</f>
        <v>1.7743749902232051</v>
      </c>
    </row>
    <row r="39" spans="2:23" x14ac:dyDescent="0.25">
      <c r="B39" s="13">
        <v>2021</v>
      </c>
      <c r="C39" s="18">
        <f t="shared" si="13"/>
        <v>0.16034999999999855</v>
      </c>
      <c r="D39" s="19">
        <f t="shared" si="16"/>
        <v>8.3500000000003571E-3</v>
      </c>
      <c r="E39" s="20">
        <f>F16</f>
        <v>1354.1862386734415</v>
      </c>
      <c r="F39" s="21">
        <f t="shared" si="17"/>
        <v>11.307455092923719</v>
      </c>
      <c r="G39" s="40"/>
      <c r="H39" s="139">
        <f t="shared" si="14"/>
        <v>0.2918040000000019</v>
      </c>
      <c r="I39" s="19">
        <f t="shared" si="18"/>
        <v>1.9324000000001396E-2</v>
      </c>
      <c r="J39" s="20">
        <f>F13</f>
        <v>4311.3201045015767</v>
      </c>
      <c r="K39" s="21">
        <f t="shared" si="19"/>
        <v>83.311949699394489</v>
      </c>
      <c r="L39" s="40"/>
      <c r="M39" s="22">
        <f t="shared" si="15"/>
        <v>3.9037000000000148E-2</v>
      </c>
      <c r="N39" s="19">
        <f t="shared" si="20"/>
        <v>2.3969999999997049E-3</v>
      </c>
      <c r="O39" s="20">
        <f>F14</f>
        <v>55351.791111490784</v>
      </c>
      <c r="P39" s="21">
        <f t="shared" si="21"/>
        <v>132.67824329422709</v>
      </c>
      <c r="Q39" s="38"/>
      <c r="S39" s="13">
        <v>2021</v>
      </c>
      <c r="T39" s="16">
        <f t="shared" si="22"/>
        <v>0.12</v>
      </c>
      <c r="U39" s="16">
        <f t="shared" si="23"/>
        <v>9.999999999999995E-3</v>
      </c>
      <c r="V39" s="17">
        <v>0</v>
      </c>
      <c r="W39" s="35">
        <f>V39*U39</f>
        <v>0</v>
      </c>
    </row>
    <row r="40" spans="2:23" x14ac:dyDescent="0.25">
      <c r="B40" s="13">
        <v>2022</v>
      </c>
      <c r="C40" s="18">
        <f t="shared" si="13"/>
        <v>0.16869999999999891</v>
      </c>
      <c r="D40" s="19">
        <f t="shared" si="16"/>
        <v>8.3500000000003571E-3</v>
      </c>
      <c r="E40" s="20">
        <f>G16</f>
        <v>106.32276376788423</v>
      </c>
      <c r="F40" s="21">
        <f t="shared" si="17"/>
        <v>0.88779507746187125</v>
      </c>
      <c r="G40" s="40"/>
      <c r="H40" s="139">
        <f t="shared" si="14"/>
        <v>0.31112799999999879</v>
      </c>
      <c r="I40" s="19">
        <f t="shared" si="18"/>
        <v>1.9323999999996899E-2</v>
      </c>
      <c r="J40" s="20">
        <f>G13</f>
        <v>3529.6965113456804</v>
      </c>
      <c r="K40" s="21">
        <f t="shared" si="19"/>
        <v>68.207855385232989</v>
      </c>
      <c r="L40" s="40"/>
      <c r="M40" s="22">
        <f t="shared" si="15"/>
        <v>4.1434000000000422E-2</v>
      </c>
      <c r="N40" s="19">
        <f t="shared" si="20"/>
        <v>2.3970000000002739E-3</v>
      </c>
      <c r="O40" s="20">
        <f>G14</f>
        <v>58173.653791756362</v>
      </c>
      <c r="P40" s="21">
        <f t="shared" si="21"/>
        <v>139.44224813885594</v>
      </c>
      <c r="Q40" s="38"/>
      <c r="S40" s="13">
        <v>2022</v>
      </c>
      <c r="T40" s="16">
        <f t="shared" si="22"/>
        <v>0.13</v>
      </c>
      <c r="U40" s="16">
        <f t="shared" si="23"/>
        <v>1.0000000000000009E-2</v>
      </c>
      <c r="V40" s="17">
        <v>0</v>
      </c>
      <c r="W40" s="35">
        <f t="shared" ref="W40:W43" si="24">V40*U40</f>
        <v>0</v>
      </c>
    </row>
    <row r="41" spans="2:23" x14ac:dyDescent="0.25">
      <c r="B41" s="13">
        <v>2023</v>
      </c>
      <c r="C41" s="18">
        <f t="shared" si="13"/>
        <v>0.17704999999999926</v>
      </c>
      <c r="D41" s="19">
        <f t="shared" si="16"/>
        <v>8.3500000000003571E-3</v>
      </c>
      <c r="E41" s="20">
        <f>H16</f>
        <v>78.476315482777522</v>
      </c>
      <c r="F41" s="21">
        <f t="shared" si="17"/>
        <v>0.65527723428122031</v>
      </c>
      <c r="G41" s="40"/>
      <c r="H41" s="139">
        <f t="shared" si="14"/>
        <v>0.33045200000000025</v>
      </c>
      <c r="I41" s="19">
        <f t="shared" si="18"/>
        <v>1.9324000000001451E-2</v>
      </c>
      <c r="J41" s="20">
        <f>H13</f>
        <v>53.2754988481745</v>
      </c>
      <c r="K41" s="21">
        <f t="shared" si="19"/>
        <v>1.0294957397422013</v>
      </c>
      <c r="L41" s="40"/>
      <c r="M41" s="22">
        <f t="shared" si="15"/>
        <v>4.3831000000000134E-2</v>
      </c>
      <c r="N41" s="19">
        <f t="shared" si="20"/>
        <v>2.3969999999997119E-3</v>
      </c>
      <c r="O41" s="20">
        <f>H14</f>
        <v>62075.347240682582</v>
      </c>
      <c r="P41" s="21">
        <f t="shared" si="21"/>
        <v>148.79460733589826</v>
      </c>
      <c r="Q41" s="38"/>
      <c r="S41" s="13">
        <v>2023</v>
      </c>
      <c r="T41" s="16">
        <f t="shared" si="22"/>
        <v>0.14000000000000001</v>
      </c>
      <c r="U41" s="16">
        <f t="shared" si="23"/>
        <v>1.0000000000000009E-2</v>
      </c>
      <c r="V41" s="17">
        <v>0</v>
      </c>
      <c r="W41" s="35">
        <f t="shared" si="24"/>
        <v>0</v>
      </c>
    </row>
    <row r="42" spans="2:23" x14ac:dyDescent="0.25">
      <c r="B42" s="13">
        <v>2024</v>
      </c>
      <c r="C42" s="18">
        <f t="shared" si="13"/>
        <v>0.18539999999999965</v>
      </c>
      <c r="D42" s="19">
        <f t="shared" si="16"/>
        <v>8.3500000000003849E-3</v>
      </c>
      <c r="E42" s="20">
        <f>I16</f>
        <v>59.591859566995936</v>
      </c>
      <c r="F42" s="21">
        <f t="shared" si="17"/>
        <v>0.49759202738443903</v>
      </c>
      <c r="G42" s="40"/>
      <c r="H42" s="139">
        <f t="shared" si="14"/>
        <v>0.34977600000000164</v>
      </c>
      <c r="I42" s="19">
        <f t="shared" si="18"/>
        <v>1.9324000000001396E-2</v>
      </c>
      <c r="J42" s="20">
        <f>I13</f>
        <v>41.347082787489555</v>
      </c>
      <c r="K42" s="21">
        <f t="shared" si="19"/>
        <v>0.7989910277855059</v>
      </c>
      <c r="L42" s="40"/>
      <c r="M42" s="16">
        <f t="shared" si="15"/>
        <v>4.6228000000000408E-2</v>
      </c>
      <c r="N42" s="19">
        <f t="shared" si="20"/>
        <v>2.3970000000002739E-3</v>
      </c>
      <c r="O42" s="20">
        <f>I14</f>
        <v>63370.466011437573</v>
      </c>
      <c r="P42" s="21">
        <f t="shared" si="21"/>
        <v>151.89900702943322</v>
      </c>
      <c r="Q42" s="38"/>
      <c r="S42" s="13">
        <v>2024</v>
      </c>
      <c r="T42" s="16">
        <f t="shared" si="22"/>
        <v>0.15000000000000002</v>
      </c>
      <c r="U42" s="16">
        <f t="shared" si="23"/>
        <v>1.0000000000000009E-2</v>
      </c>
      <c r="V42" s="17">
        <v>0</v>
      </c>
      <c r="W42" s="35">
        <f t="shared" si="24"/>
        <v>0</v>
      </c>
    </row>
    <row r="43" spans="2:23" ht="15.75" thickBot="1" x14ac:dyDescent="0.3">
      <c r="B43" s="13">
        <v>2025</v>
      </c>
      <c r="C43" s="137">
        <f t="shared" si="13"/>
        <v>0.19375000000000001</v>
      </c>
      <c r="D43" s="138">
        <f t="shared" si="16"/>
        <v>8.3500000000003571E-3</v>
      </c>
      <c r="E43" s="23">
        <f>J16</f>
        <v>46.922258508151167</v>
      </c>
      <c r="F43" s="21">
        <f t="shared" si="17"/>
        <v>0.391800858543079</v>
      </c>
      <c r="G43" s="40"/>
      <c r="H43" s="140">
        <f t="shared" si="14"/>
        <v>0.36909999999999854</v>
      </c>
      <c r="I43" s="138">
        <f t="shared" si="18"/>
        <v>1.9323999999996899E-2</v>
      </c>
      <c r="J43" s="23">
        <f>J13</f>
        <v>31.218223546701729</v>
      </c>
      <c r="K43" s="24">
        <f t="shared" si="19"/>
        <v>0.60326095181636741</v>
      </c>
      <c r="L43" s="40"/>
      <c r="M43" s="16">
        <f t="shared" si="15"/>
        <v>4.8625000000000113E-2</v>
      </c>
      <c r="N43" s="19">
        <f t="shared" si="20"/>
        <v>2.3969999999997049E-3</v>
      </c>
      <c r="O43" s="23">
        <f>J14</f>
        <v>64460.98678521008</v>
      </c>
      <c r="P43" s="21">
        <f t="shared" si="21"/>
        <v>154.51298532412955</v>
      </c>
      <c r="Q43" s="38"/>
      <c r="S43" s="13">
        <v>2025</v>
      </c>
      <c r="T43" s="16">
        <f t="shared" si="22"/>
        <v>0.16000000000000003</v>
      </c>
      <c r="U43" s="16">
        <f t="shared" si="23"/>
        <v>1.0000000000000009E-2</v>
      </c>
      <c r="V43" s="17">
        <v>0</v>
      </c>
      <c r="W43" s="35">
        <f t="shared" si="24"/>
        <v>0</v>
      </c>
    </row>
    <row r="44" spans="2:23" ht="15.75" thickBot="1" x14ac:dyDescent="0.3">
      <c r="B44" s="25" t="s">
        <v>25</v>
      </c>
      <c r="C44" s="26"/>
      <c r="D44" s="27"/>
      <c r="E44" s="28"/>
      <c r="F44" s="29">
        <f>SUM(F37:F43)</f>
        <v>426.87832986027689</v>
      </c>
      <c r="G44" s="40"/>
      <c r="H44" s="30"/>
      <c r="I44" s="30"/>
      <c r="J44" s="31"/>
      <c r="K44" s="29">
        <f>SUM(K37:K43)</f>
        <v>1747.5260307269232</v>
      </c>
      <c r="L44" s="40"/>
      <c r="M44" s="30"/>
      <c r="N44" s="30"/>
      <c r="O44" s="31"/>
      <c r="P44" s="29">
        <f>SUM(P37:P43)</f>
        <v>2553.6682824225527</v>
      </c>
      <c r="Q44" s="38"/>
      <c r="S44" s="32" t="s">
        <v>25</v>
      </c>
      <c r="T44" s="30"/>
      <c r="U44" s="30"/>
      <c r="V44" s="33"/>
      <c r="W44" s="36">
        <f>SUM(W37:W43)</f>
        <v>31.374865580170415</v>
      </c>
    </row>
    <row r="45" spans="2:23" ht="15.75" thickTop="1" x14ac:dyDescent="0.25"/>
    <row r="46" spans="2:23" ht="15.75" thickBot="1" x14ac:dyDescent="0.3">
      <c r="C46" s="41" t="s">
        <v>28</v>
      </c>
    </row>
    <row r="47" spans="2:23" ht="15.75" thickTop="1" x14ac:dyDescent="0.25">
      <c r="B47" s="52" t="s">
        <v>38</v>
      </c>
      <c r="C47" s="53" t="s">
        <v>37</v>
      </c>
      <c r="D47" s="54" t="s">
        <v>34</v>
      </c>
      <c r="F47" s="52" t="s">
        <v>31</v>
      </c>
      <c r="G47" s="54"/>
    </row>
    <row r="48" spans="2:23" x14ac:dyDescent="0.25">
      <c r="B48" s="44" t="s">
        <v>29</v>
      </c>
      <c r="C48" s="49">
        <v>0.35</v>
      </c>
      <c r="D48" s="45" t="s">
        <v>35</v>
      </c>
      <c r="F48" s="44" t="s">
        <v>32</v>
      </c>
      <c r="G48" s="45">
        <v>0.2</v>
      </c>
    </row>
    <row r="49" spans="2:28" ht="15.75" thickBot="1" x14ac:dyDescent="0.3">
      <c r="B49" s="44" t="s">
        <v>30</v>
      </c>
      <c r="C49" s="49">
        <v>0.5</v>
      </c>
      <c r="D49" s="45" t="s">
        <v>36</v>
      </c>
      <c r="F49" s="46" t="s">
        <v>33</v>
      </c>
      <c r="G49" s="47">
        <v>0.8</v>
      </c>
    </row>
    <row r="50" spans="2:28" ht="16.5" thickTop="1" thickBot="1" x14ac:dyDescent="0.3">
      <c r="B50" s="46" t="s">
        <v>147</v>
      </c>
      <c r="C50" s="51">
        <v>0.7</v>
      </c>
      <c r="D50" s="78" t="s">
        <v>213</v>
      </c>
    </row>
    <row r="51" spans="2:28" ht="15.75" thickTop="1" x14ac:dyDescent="0.25"/>
    <row r="52" spans="2:28" ht="15.75" thickBot="1" x14ac:dyDescent="0.3">
      <c r="B52" t="s">
        <v>32</v>
      </c>
      <c r="I52" t="s">
        <v>36</v>
      </c>
      <c r="P52" t="s">
        <v>45</v>
      </c>
    </row>
    <row r="53" spans="2:28" ht="16.5" thickTop="1" thickBot="1" x14ac:dyDescent="0.3">
      <c r="B53" s="55"/>
      <c r="C53" s="56" t="s">
        <v>43</v>
      </c>
      <c r="D53" s="56"/>
      <c r="E53" s="56"/>
      <c r="F53" s="56"/>
      <c r="G53" s="57"/>
      <c r="I53" s="55"/>
      <c r="J53" s="56" t="s">
        <v>44</v>
      </c>
      <c r="K53" s="56"/>
      <c r="L53" s="56"/>
      <c r="M53" s="56"/>
      <c r="N53" s="57"/>
      <c r="P53" s="55"/>
      <c r="Q53" s="56" t="s">
        <v>46</v>
      </c>
      <c r="R53" s="56"/>
      <c r="S53" s="56"/>
      <c r="T53" s="56"/>
      <c r="U53" s="57"/>
    </row>
    <row r="54" spans="2:28" ht="15.75" thickBot="1" x14ac:dyDescent="0.3">
      <c r="B54" s="58" t="s">
        <v>12</v>
      </c>
      <c r="C54" s="59" t="s">
        <v>14</v>
      </c>
      <c r="D54" s="60" t="s">
        <v>39</v>
      </c>
      <c r="E54" s="60" t="s">
        <v>40</v>
      </c>
      <c r="F54" s="61" t="s">
        <v>41</v>
      </c>
      <c r="G54" s="62" t="s">
        <v>42</v>
      </c>
      <c r="I54" s="58" t="s">
        <v>12</v>
      </c>
      <c r="J54" s="59" t="s">
        <v>14</v>
      </c>
      <c r="K54" s="60" t="s">
        <v>39</v>
      </c>
      <c r="L54" s="60" t="s">
        <v>40</v>
      </c>
      <c r="M54" s="61" t="s">
        <v>41</v>
      </c>
      <c r="N54" s="62" t="s">
        <v>42</v>
      </c>
      <c r="P54" s="58" t="s">
        <v>12</v>
      </c>
      <c r="Q54" s="59" t="s">
        <v>14</v>
      </c>
      <c r="R54" s="60" t="s">
        <v>39</v>
      </c>
      <c r="S54" s="60" t="s">
        <v>40</v>
      </c>
      <c r="T54" s="61" t="s">
        <v>41</v>
      </c>
      <c r="U54" s="62" t="s">
        <v>42</v>
      </c>
    </row>
    <row r="55" spans="2:28" x14ac:dyDescent="0.25">
      <c r="B55" s="13">
        <v>2019</v>
      </c>
      <c r="C55" s="63">
        <f t="shared" ref="C55:C61" si="25">F24*$G$48</f>
        <v>1733.6054814776753</v>
      </c>
      <c r="D55" s="64">
        <f t="shared" ref="D55:D61" si="26">K24*$G$48</f>
        <v>5375.4448491290523</v>
      </c>
      <c r="E55" s="64">
        <f t="shared" ref="E55:E61" si="27">P24*$G$48</f>
        <v>2142.1359990715878</v>
      </c>
      <c r="F55" s="65">
        <f t="shared" ref="F55:F61" si="28">W24*$G$48</f>
        <v>2268.18911612487</v>
      </c>
      <c r="G55" s="66">
        <f t="shared" ref="G55:G61" si="29">SUM(C55:F55)</f>
        <v>11519.375445803185</v>
      </c>
      <c r="I55" s="13">
        <v>2019</v>
      </c>
      <c r="J55" s="63">
        <f t="shared" ref="J55:J61" si="30">F24*$G$49</f>
        <v>6934.4219259107012</v>
      </c>
      <c r="K55" s="64">
        <f t="shared" ref="K55:K61" si="31">K24*$G$49</f>
        <v>21501.779396516209</v>
      </c>
      <c r="L55" s="64">
        <f t="shared" ref="L55:L61" si="32">P24*$G$49</f>
        <v>8568.5439962863511</v>
      </c>
      <c r="M55" s="65">
        <f t="shared" ref="M55:M61" si="33">W24*$G$49</f>
        <v>9072.75646449948</v>
      </c>
      <c r="N55" s="66">
        <f t="shared" ref="N55:N61" si="34">SUM(J55:M55)</f>
        <v>46077.501783212741</v>
      </c>
      <c r="P55" s="13">
        <v>2019</v>
      </c>
      <c r="Q55" s="63">
        <f t="shared" ref="Q55:Q61" si="35">F37</f>
        <v>395.12103756616136</v>
      </c>
      <c r="R55" s="64">
        <f t="shared" ref="R55:R61" si="36">K37</f>
        <v>1494.8514299135445</v>
      </c>
      <c r="S55" s="64">
        <f t="shared" ref="S55:S61" si="37">P37</f>
        <v>1700.4133522022742</v>
      </c>
      <c r="T55" s="65">
        <f t="shared" ref="T55:T61" si="38">W37</f>
        <v>29.60049058994721</v>
      </c>
      <c r="U55" s="66">
        <f t="shared" ref="U55:U61" si="39">SUM(Q55:T55)</f>
        <v>3619.9863102719273</v>
      </c>
    </row>
    <row r="56" spans="2:28" x14ac:dyDescent="0.25">
      <c r="B56" s="13">
        <v>2020</v>
      </c>
      <c r="C56" s="63">
        <f t="shared" si="25"/>
        <v>93.200808906217958</v>
      </c>
      <c r="D56" s="64">
        <f t="shared" si="26"/>
        <v>393.51438496766781</v>
      </c>
      <c r="E56" s="64">
        <f t="shared" si="27"/>
        <v>179.12292069475984</v>
      </c>
      <c r="F56" s="65">
        <f t="shared" si="28"/>
        <v>152.26108003872042</v>
      </c>
      <c r="G56" s="66">
        <f t="shared" si="29"/>
        <v>818.09919460736592</v>
      </c>
      <c r="I56" s="13">
        <v>2020</v>
      </c>
      <c r="J56" s="63">
        <f t="shared" si="30"/>
        <v>372.80323562487183</v>
      </c>
      <c r="K56" s="64">
        <f t="shared" si="31"/>
        <v>1574.0575398706712</v>
      </c>
      <c r="L56" s="64">
        <f t="shared" si="32"/>
        <v>716.49168277903937</v>
      </c>
      <c r="M56" s="65">
        <f t="shared" si="33"/>
        <v>609.04432015488169</v>
      </c>
      <c r="N56" s="66">
        <f t="shared" si="34"/>
        <v>3272.3967784294637</v>
      </c>
      <c r="P56" s="13">
        <v>2020</v>
      </c>
      <c r="Q56" s="63">
        <f t="shared" si="35"/>
        <v>18.017372003521206</v>
      </c>
      <c r="R56" s="64">
        <f t="shared" si="36"/>
        <v>98.723048009407179</v>
      </c>
      <c r="S56" s="64">
        <f t="shared" si="37"/>
        <v>125.92783909773492</v>
      </c>
      <c r="T56" s="65">
        <f t="shared" si="38"/>
        <v>1.7743749902232051</v>
      </c>
      <c r="U56" s="66">
        <f t="shared" si="39"/>
        <v>244.44263410088652</v>
      </c>
    </row>
    <row r="57" spans="2:28" x14ac:dyDescent="0.25">
      <c r="B57" s="13">
        <v>2021</v>
      </c>
      <c r="C57" s="63">
        <f t="shared" si="25"/>
        <v>79.204835590404514</v>
      </c>
      <c r="D57" s="64">
        <f t="shared" si="26"/>
        <v>373.95437340961473</v>
      </c>
      <c r="E57" s="64">
        <f t="shared" si="27"/>
        <v>210.70818134330335</v>
      </c>
      <c r="F57" s="65">
        <f t="shared" si="28"/>
        <v>67.005068999233117</v>
      </c>
      <c r="G57" s="66">
        <f t="shared" si="29"/>
        <v>730.87245934255566</v>
      </c>
      <c r="I57" s="13">
        <v>2021</v>
      </c>
      <c r="J57" s="63">
        <f t="shared" si="30"/>
        <v>316.81934236161806</v>
      </c>
      <c r="K57" s="64">
        <f t="shared" si="31"/>
        <v>1495.8174936384589</v>
      </c>
      <c r="L57" s="64">
        <f t="shared" si="32"/>
        <v>842.83272537321341</v>
      </c>
      <c r="M57" s="65">
        <f t="shared" si="33"/>
        <v>268.02027599693247</v>
      </c>
      <c r="N57" s="66">
        <f t="shared" si="34"/>
        <v>2923.4898373702226</v>
      </c>
      <c r="P57" s="13">
        <v>2021</v>
      </c>
      <c r="Q57" s="63">
        <f t="shared" si="35"/>
        <v>11.307455092923719</v>
      </c>
      <c r="R57" s="64">
        <f t="shared" si="36"/>
        <v>83.311949699394489</v>
      </c>
      <c r="S57" s="64">
        <f t="shared" si="37"/>
        <v>132.67824329422709</v>
      </c>
      <c r="T57" s="65">
        <f t="shared" si="38"/>
        <v>0</v>
      </c>
      <c r="U57" s="66">
        <f t="shared" si="39"/>
        <v>227.29764808654528</v>
      </c>
    </row>
    <row r="58" spans="2:28" x14ac:dyDescent="0.25">
      <c r="B58" s="13">
        <v>2022</v>
      </c>
      <c r="C58" s="63">
        <f t="shared" si="25"/>
        <v>63.104283823201243</v>
      </c>
      <c r="D58" s="64">
        <f t="shared" si="26"/>
        <v>354.87716311513304</v>
      </c>
      <c r="E58" s="64">
        <f t="shared" si="27"/>
        <v>228.45141609956011</v>
      </c>
      <c r="F58" s="65">
        <f t="shared" si="28"/>
        <v>63.164829377945665</v>
      </c>
      <c r="G58" s="66">
        <f t="shared" si="29"/>
        <v>709.59769241584002</v>
      </c>
      <c r="I58" s="13">
        <v>2022</v>
      </c>
      <c r="J58" s="63">
        <f t="shared" si="30"/>
        <v>252.41713529280497</v>
      </c>
      <c r="K58" s="64">
        <f t="shared" si="31"/>
        <v>1419.5086524605322</v>
      </c>
      <c r="L58" s="64">
        <f t="shared" si="32"/>
        <v>913.80566439824042</v>
      </c>
      <c r="M58" s="65">
        <f t="shared" si="33"/>
        <v>252.65931751178266</v>
      </c>
      <c r="N58" s="66">
        <f t="shared" si="34"/>
        <v>2838.3907696633601</v>
      </c>
      <c r="P58" s="13">
        <v>2022</v>
      </c>
      <c r="Q58" s="63">
        <f t="shared" si="35"/>
        <v>0.88779507746187125</v>
      </c>
      <c r="R58" s="64">
        <f t="shared" si="36"/>
        <v>68.207855385232989</v>
      </c>
      <c r="S58" s="64">
        <f t="shared" si="37"/>
        <v>139.44224813885594</v>
      </c>
      <c r="T58" s="65">
        <f t="shared" si="38"/>
        <v>0</v>
      </c>
      <c r="U58" s="66">
        <f t="shared" si="39"/>
        <v>208.53789860155081</v>
      </c>
    </row>
    <row r="59" spans="2:28" x14ac:dyDescent="0.25">
      <c r="B59" s="13">
        <v>2023</v>
      </c>
      <c r="C59" s="63">
        <f t="shared" si="25"/>
        <v>47.560019118444096</v>
      </c>
      <c r="D59" s="64">
        <f t="shared" si="26"/>
        <v>45.664189682686128</v>
      </c>
      <c r="E59" s="64">
        <f t="shared" si="27"/>
        <v>279.74773783714039</v>
      </c>
      <c r="F59" s="65">
        <f t="shared" si="28"/>
        <v>33.811780771790097</v>
      </c>
      <c r="G59" s="66">
        <f t="shared" si="29"/>
        <v>406.78372741006075</v>
      </c>
      <c r="I59" s="13">
        <v>2023</v>
      </c>
      <c r="J59" s="63">
        <f t="shared" si="30"/>
        <v>190.24007647377638</v>
      </c>
      <c r="K59" s="64">
        <f t="shared" si="31"/>
        <v>182.65675873074451</v>
      </c>
      <c r="L59" s="64">
        <f t="shared" si="32"/>
        <v>1118.9909513485616</v>
      </c>
      <c r="M59" s="65">
        <f t="shared" si="33"/>
        <v>135.24712308716039</v>
      </c>
      <c r="N59" s="66">
        <f t="shared" si="34"/>
        <v>1627.134909640243</v>
      </c>
      <c r="P59" s="13">
        <v>2023</v>
      </c>
      <c r="Q59" s="63">
        <f t="shared" si="35"/>
        <v>0.65527723428122031</v>
      </c>
      <c r="R59" s="64">
        <f t="shared" si="36"/>
        <v>1.0294957397422013</v>
      </c>
      <c r="S59" s="64">
        <f t="shared" si="37"/>
        <v>148.79460733589826</v>
      </c>
      <c r="T59" s="65">
        <f t="shared" si="38"/>
        <v>0</v>
      </c>
      <c r="U59" s="66">
        <f t="shared" si="39"/>
        <v>150.47938030992168</v>
      </c>
    </row>
    <row r="60" spans="2:28" x14ac:dyDescent="0.25">
      <c r="B60" s="67">
        <v>2024</v>
      </c>
      <c r="C60" s="63">
        <f t="shared" si="25"/>
        <v>43.061875087298752</v>
      </c>
      <c r="D60" s="64">
        <f t="shared" si="26"/>
        <v>43.568676895812651</v>
      </c>
      <c r="E60" s="64">
        <f t="shared" si="27"/>
        <v>293.61779308096601</v>
      </c>
      <c r="F60" s="65">
        <f t="shared" si="28"/>
        <v>30.603338810887948</v>
      </c>
      <c r="G60" s="66">
        <f t="shared" si="29"/>
        <v>410.85168387496537</v>
      </c>
      <c r="I60" s="67">
        <v>2024</v>
      </c>
      <c r="J60" s="63">
        <f t="shared" si="30"/>
        <v>172.24750034919501</v>
      </c>
      <c r="K60" s="64">
        <f t="shared" si="31"/>
        <v>174.2747075832506</v>
      </c>
      <c r="L60" s="64">
        <f t="shared" si="32"/>
        <v>1174.471172323864</v>
      </c>
      <c r="M60" s="65">
        <f t="shared" si="33"/>
        <v>122.41335524355179</v>
      </c>
      <c r="N60" s="66">
        <f t="shared" si="34"/>
        <v>1643.4067354998615</v>
      </c>
      <c r="P60" s="67">
        <v>2024</v>
      </c>
      <c r="Q60" s="63">
        <f t="shared" si="35"/>
        <v>0.49759202738443903</v>
      </c>
      <c r="R60" s="64">
        <f t="shared" si="36"/>
        <v>0.7989910277855059</v>
      </c>
      <c r="S60" s="64">
        <f t="shared" si="37"/>
        <v>151.89900702943322</v>
      </c>
      <c r="T60" s="65">
        <f t="shared" si="38"/>
        <v>0</v>
      </c>
      <c r="U60" s="66">
        <f t="shared" si="39"/>
        <v>153.19559008460317</v>
      </c>
    </row>
    <row r="61" spans="2:28" ht="15.75" thickBot="1" x14ac:dyDescent="0.3">
      <c r="B61" s="68">
        <v>2025</v>
      </c>
      <c r="C61" s="70">
        <f t="shared" si="25"/>
        <v>38.761298787110341</v>
      </c>
      <c r="D61" s="71">
        <f t="shared" si="26"/>
        <v>41.343456172050608</v>
      </c>
      <c r="E61" s="71">
        <f t="shared" si="27"/>
        <v>306.04716680930397</v>
      </c>
      <c r="F61" s="72">
        <f t="shared" si="28"/>
        <v>27.40290606872497</v>
      </c>
      <c r="G61" s="69">
        <f t="shared" si="29"/>
        <v>413.55482783718992</v>
      </c>
      <c r="I61" s="68">
        <v>2025</v>
      </c>
      <c r="J61" s="70">
        <f t="shared" si="30"/>
        <v>155.04519514844137</v>
      </c>
      <c r="K61" s="71">
        <f t="shared" si="31"/>
        <v>165.37382468820243</v>
      </c>
      <c r="L61" s="71">
        <f t="shared" si="32"/>
        <v>1224.1886672372159</v>
      </c>
      <c r="M61" s="72">
        <f t="shared" si="33"/>
        <v>109.61162427489988</v>
      </c>
      <c r="N61" s="69">
        <f t="shared" si="34"/>
        <v>1654.2193113487597</v>
      </c>
      <c r="P61" s="68">
        <v>2025</v>
      </c>
      <c r="Q61" s="70">
        <f t="shared" si="35"/>
        <v>0.391800858543079</v>
      </c>
      <c r="R61" s="71">
        <f t="shared" si="36"/>
        <v>0.60326095181636741</v>
      </c>
      <c r="S61" s="71">
        <f t="shared" si="37"/>
        <v>154.51298532412955</v>
      </c>
      <c r="T61" s="72">
        <f t="shared" si="38"/>
        <v>0</v>
      </c>
      <c r="U61" s="69">
        <f t="shared" si="39"/>
        <v>155.508047134489</v>
      </c>
    </row>
    <row r="62" spans="2:28" ht="15.75" thickTop="1" x14ac:dyDescent="0.25"/>
    <row r="63" spans="2:28" ht="15.75" thickBot="1" x14ac:dyDescent="0.3"/>
    <row r="64" spans="2:28" ht="16.5" thickTop="1" thickBot="1" x14ac:dyDescent="0.3">
      <c r="B64" s="55"/>
      <c r="C64" s="56" t="s">
        <v>47</v>
      </c>
      <c r="D64" s="56"/>
      <c r="E64" s="56"/>
      <c r="F64" s="56"/>
      <c r="G64" s="57"/>
      <c r="I64" s="55"/>
      <c r="J64" s="56" t="s">
        <v>49</v>
      </c>
      <c r="K64" s="56"/>
      <c r="L64" s="56"/>
      <c r="M64" s="56"/>
      <c r="N64" s="57"/>
      <c r="P64" s="55"/>
      <c r="Q64" s="56" t="s">
        <v>48</v>
      </c>
      <c r="R64" s="56"/>
      <c r="S64" s="56"/>
      <c r="T64" s="56"/>
      <c r="U64" s="57"/>
      <c r="W64" s="116"/>
      <c r="X64" s="117" t="s">
        <v>113</v>
      </c>
      <c r="Y64" s="117"/>
      <c r="Z64" s="117"/>
      <c r="AA64" s="117"/>
      <c r="AB64" s="118"/>
    </row>
    <row r="65" spans="2:28" ht="15.75" thickBot="1" x14ac:dyDescent="0.3">
      <c r="B65" s="58" t="s">
        <v>12</v>
      </c>
      <c r="C65" s="59" t="s">
        <v>14</v>
      </c>
      <c r="D65" s="60" t="s">
        <v>39</v>
      </c>
      <c r="E65" s="60" t="s">
        <v>40</v>
      </c>
      <c r="F65" s="61" t="s">
        <v>41</v>
      </c>
      <c r="G65" s="62" t="s">
        <v>42</v>
      </c>
      <c r="I65" s="58" t="s">
        <v>12</v>
      </c>
      <c r="J65" s="59" t="s">
        <v>14</v>
      </c>
      <c r="K65" s="60" t="s">
        <v>39</v>
      </c>
      <c r="L65" s="60" t="s">
        <v>40</v>
      </c>
      <c r="M65" s="61" t="s">
        <v>41</v>
      </c>
      <c r="N65" s="62" t="s">
        <v>42</v>
      </c>
      <c r="P65" s="58" t="s">
        <v>12</v>
      </c>
      <c r="Q65" s="59" t="s">
        <v>14</v>
      </c>
      <c r="R65" s="60" t="s">
        <v>39</v>
      </c>
      <c r="S65" s="60" t="s">
        <v>40</v>
      </c>
      <c r="T65" s="61" t="s">
        <v>41</v>
      </c>
      <c r="U65" s="62" t="s">
        <v>42</v>
      </c>
      <c r="W65" s="119" t="s">
        <v>12</v>
      </c>
      <c r="X65" s="120" t="s">
        <v>14</v>
      </c>
      <c r="Y65" s="121" t="s">
        <v>39</v>
      </c>
      <c r="Z65" s="121" t="s">
        <v>40</v>
      </c>
      <c r="AA65" s="122" t="s">
        <v>41</v>
      </c>
      <c r="AB65" s="123" t="s">
        <v>42</v>
      </c>
    </row>
    <row r="66" spans="2:28" x14ac:dyDescent="0.25">
      <c r="B66" s="13">
        <v>2019</v>
      </c>
      <c r="C66" s="63">
        <f t="shared" ref="C66:F72" si="40">C55*$C$48</f>
        <v>606.76191851718636</v>
      </c>
      <c r="D66" s="63">
        <f t="shared" si="40"/>
        <v>1881.4056971951682</v>
      </c>
      <c r="E66" s="63">
        <f t="shared" si="40"/>
        <v>749.74759967505565</v>
      </c>
      <c r="F66" s="63">
        <f t="shared" si="40"/>
        <v>793.8661906437045</v>
      </c>
      <c r="G66" s="66">
        <f t="shared" ref="G66:G72" si="41">SUM(C66:F66)</f>
        <v>4031.7814060311148</v>
      </c>
      <c r="I66" s="13">
        <v>2019</v>
      </c>
      <c r="J66" s="63">
        <f t="shared" ref="J66:M68" si="42">J55*$C$49</f>
        <v>3467.2109629553506</v>
      </c>
      <c r="K66" s="63">
        <f t="shared" si="42"/>
        <v>10750.889698258105</v>
      </c>
      <c r="L66" s="63">
        <f t="shared" si="42"/>
        <v>4284.2719981431756</v>
      </c>
      <c r="M66" s="63">
        <f t="shared" si="42"/>
        <v>4536.37823224974</v>
      </c>
      <c r="N66" s="66">
        <f t="shared" ref="N66:N70" si="43">SUM(J66:M66)</f>
        <v>23038.750891606371</v>
      </c>
      <c r="P66" s="13">
        <v>2019</v>
      </c>
      <c r="Q66" s="63">
        <f t="shared" ref="Q66:T72" si="44">Q55*$C$48</f>
        <v>138.29236314815645</v>
      </c>
      <c r="R66" s="63">
        <f t="shared" si="44"/>
        <v>523.19800046974058</v>
      </c>
      <c r="S66" s="63">
        <f t="shared" si="44"/>
        <v>595.14467327079592</v>
      </c>
      <c r="T66" s="63">
        <f t="shared" si="44"/>
        <v>10.360171706481523</v>
      </c>
      <c r="U66" s="66">
        <f t="shared" ref="U66:U72" si="45">SUM(Q66:T66)</f>
        <v>1266.9952085951743</v>
      </c>
      <c r="W66" s="38">
        <v>2019</v>
      </c>
      <c r="X66" s="63">
        <f>Q66+J66+C66</f>
        <v>4212.265244620693</v>
      </c>
      <c r="Y66" s="63">
        <f t="shared" ref="Y66:AA72" si="46">R66+K66+D66</f>
        <v>13155.493395923013</v>
      </c>
      <c r="Z66" s="63">
        <f t="shared" si="46"/>
        <v>5629.1642710890274</v>
      </c>
      <c r="AA66" s="63">
        <f t="shared" si="46"/>
        <v>5340.6045945999258</v>
      </c>
      <c r="AB66" s="66">
        <f t="shared" ref="AB66:AB72" si="47">SUM(X66:AA66)</f>
        <v>28337.527506232658</v>
      </c>
    </row>
    <row r="67" spans="2:28" x14ac:dyDescent="0.25">
      <c r="B67" s="13">
        <v>2020</v>
      </c>
      <c r="C67" s="63">
        <f t="shared" si="40"/>
        <v>32.620283117176285</v>
      </c>
      <c r="D67" s="63">
        <f t="shared" si="40"/>
        <v>137.73003473868371</v>
      </c>
      <c r="E67" s="63">
        <f t="shared" si="40"/>
        <v>62.693022243165942</v>
      </c>
      <c r="F67" s="63">
        <f t="shared" si="40"/>
        <v>53.291378013552148</v>
      </c>
      <c r="G67" s="66">
        <f t="shared" si="41"/>
        <v>286.33471811257812</v>
      </c>
      <c r="I67" s="13">
        <v>2020</v>
      </c>
      <c r="J67" s="63">
        <f t="shared" si="42"/>
        <v>186.40161781243592</v>
      </c>
      <c r="K67" s="63">
        <f t="shared" si="42"/>
        <v>787.02876993533562</v>
      </c>
      <c r="L67" s="63">
        <f t="shared" si="42"/>
        <v>358.24584138951968</v>
      </c>
      <c r="M67" s="63">
        <f t="shared" si="42"/>
        <v>304.52216007744084</v>
      </c>
      <c r="N67" s="66">
        <f t="shared" si="43"/>
        <v>1636.1983892147318</v>
      </c>
      <c r="P67" s="13">
        <v>2020</v>
      </c>
      <c r="Q67" s="63">
        <f t="shared" si="44"/>
        <v>6.3060802012324215</v>
      </c>
      <c r="R67" s="63">
        <f t="shared" si="44"/>
        <v>34.553066803292509</v>
      </c>
      <c r="S67" s="63">
        <f t="shared" si="44"/>
        <v>44.07474368420722</v>
      </c>
      <c r="T67" s="63">
        <f t="shared" si="44"/>
        <v>0.6210312465781217</v>
      </c>
      <c r="U67" s="66">
        <f t="shared" si="45"/>
        <v>85.554921935310276</v>
      </c>
      <c r="W67" s="38">
        <v>2020</v>
      </c>
      <c r="X67" s="63">
        <f t="shared" ref="X67:X72" si="48">Q67+J67+C67</f>
        <v>225.32798113084462</v>
      </c>
      <c r="Y67" s="63">
        <f t="shared" si="46"/>
        <v>959.3118714773118</v>
      </c>
      <c r="Z67" s="63">
        <f t="shared" si="46"/>
        <v>465.01360731689283</v>
      </c>
      <c r="AA67" s="63">
        <f t="shared" si="46"/>
        <v>358.43456933757113</v>
      </c>
      <c r="AB67" s="66">
        <f t="shared" si="47"/>
        <v>2008.0880292626202</v>
      </c>
    </row>
    <row r="68" spans="2:28" x14ac:dyDescent="0.25">
      <c r="B68" s="13">
        <v>2021</v>
      </c>
      <c r="C68" s="63">
        <f t="shared" si="40"/>
        <v>27.721692456641577</v>
      </c>
      <c r="D68" s="63">
        <f t="shared" si="40"/>
        <v>130.88403069336516</v>
      </c>
      <c r="E68" s="63">
        <f t="shared" si="40"/>
        <v>73.747863470156162</v>
      </c>
      <c r="F68" s="63">
        <f t="shared" si="40"/>
        <v>23.451774149731591</v>
      </c>
      <c r="G68" s="66">
        <f t="shared" si="41"/>
        <v>255.80536076989449</v>
      </c>
      <c r="I68" s="13">
        <v>2021</v>
      </c>
      <c r="J68" s="63">
        <f t="shared" si="42"/>
        <v>158.40967118080903</v>
      </c>
      <c r="K68" s="63">
        <f t="shared" si="42"/>
        <v>747.90874681922946</v>
      </c>
      <c r="L68" s="63">
        <f t="shared" si="42"/>
        <v>421.4163626866067</v>
      </c>
      <c r="M68" s="63">
        <f t="shared" si="42"/>
        <v>134.01013799846623</v>
      </c>
      <c r="N68" s="66">
        <f t="shared" si="43"/>
        <v>1461.7449186851113</v>
      </c>
      <c r="P68" s="13">
        <v>2021</v>
      </c>
      <c r="Q68" s="63">
        <f t="shared" si="44"/>
        <v>3.9576092825233014</v>
      </c>
      <c r="R68" s="63">
        <f t="shared" si="44"/>
        <v>29.159182394788068</v>
      </c>
      <c r="S68" s="63">
        <f t="shared" si="44"/>
        <v>46.437385152979481</v>
      </c>
      <c r="T68" s="63">
        <f t="shared" si="44"/>
        <v>0</v>
      </c>
      <c r="U68" s="66">
        <f t="shared" si="45"/>
        <v>79.554176830290857</v>
      </c>
      <c r="W68" s="38">
        <v>2021</v>
      </c>
      <c r="X68" s="63">
        <f t="shared" si="48"/>
        <v>190.08897291997391</v>
      </c>
      <c r="Y68" s="63">
        <f t="shared" si="46"/>
        <v>907.95195990738273</v>
      </c>
      <c r="Z68" s="63">
        <f t="shared" si="46"/>
        <v>541.60161130974234</v>
      </c>
      <c r="AA68" s="63">
        <f t="shared" si="46"/>
        <v>157.46191214819783</v>
      </c>
      <c r="AB68" s="66">
        <f t="shared" si="47"/>
        <v>1797.1044562852969</v>
      </c>
    </row>
    <row r="69" spans="2:28" x14ac:dyDescent="0.25">
      <c r="B69" s="13">
        <v>2022</v>
      </c>
      <c r="C69" s="63">
        <f t="shared" si="40"/>
        <v>22.086499338120433</v>
      </c>
      <c r="D69" s="63">
        <f t="shared" si="40"/>
        <v>124.20700709029656</v>
      </c>
      <c r="E69" s="63">
        <f t="shared" si="40"/>
        <v>79.957995634846029</v>
      </c>
      <c r="F69" s="63">
        <f t="shared" si="40"/>
        <v>22.107690282280981</v>
      </c>
      <c r="G69" s="66">
        <f t="shared" si="41"/>
        <v>248.35919234554402</v>
      </c>
      <c r="I69" s="13">
        <v>2022</v>
      </c>
      <c r="J69" s="63">
        <f t="shared" ref="J69:K71" si="49">J58*$C$50</f>
        <v>176.69199470496346</v>
      </c>
      <c r="K69" s="63">
        <f t="shared" si="49"/>
        <v>993.65605672237245</v>
      </c>
      <c r="L69" s="63">
        <f>L58*$C$50+L55*(C50-C49)+L56*(C50-C49)+L57*(C50-C49)</f>
        <v>2665.2376459664888</v>
      </c>
      <c r="M69" s="63">
        <f>M58*$C$50</f>
        <v>176.86152225824785</v>
      </c>
      <c r="N69" s="66">
        <f t="shared" si="43"/>
        <v>4012.4472196520728</v>
      </c>
      <c r="P69" s="13">
        <v>2022</v>
      </c>
      <c r="Q69" s="63">
        <f t="shared" si="44"/>
        <v>0.3107282771116549</v>
      </c>
      <c r="R69" s="63">
        <f t="shared" si="44"/>
        <v>23.872749384831543</v>
      </c>
      <c r="S69" s="63">
        <f t="shared" si="44"/>
        <v>48.804786848599576</v>
      </c>
      <c r="T69" s="63">
        <f t="shared" si="44"/>
        <v>0</v>
      </c>
      <c r="U69" s="66">
        <f t="shared" si="45"/>
        <v>72.988264510542777</v>
      </c>
      <c r="W69" s="38">
        <v>2022</v>
      </c>
      <c r="X69" s="63">
        <f t="shared" si="48"/>
        <v>199.08922232019555</v>
      </c>
      <c r="Y69" s="63">
        <f t="shared" si="46"/>
        <v>1141.7358131975006</v>
      </c>
      <c r="Z69" s="63">
        <f t="shared" si="46"/>
        <v>2794.0004284499346</v>
      </c>
      <c r="AA69" s="63">
        <f t="shared" si="46"/>
        <v>198.96921254052882</v>
      </c>
      <c r="AB69" s="66">
        <f t="shared" si="47"/>
        <v>4333.7946765081597</v>
      </c>
    </row>
    <row r="70" spans="2:28" x14ac:dyDescent="0.25">
      <c r="B70" s="13">
        <v>2023</v>
      </c>
      <c r="C70" s="63">
        <f t="shared" si="40"/>
        <v>16.646006691455433</v>
      </c>
      <c r="D70" s="63">
        <f t="shared" si="40"/>
        <v>15.982466388940145</v>
      </c>
      <c r="E70" s="63">
        <f t="shared" si="40"/>
        <v>97.911708242999126</v>
      </c>
      <c r="F70" s="63">
        <f t="shared" si="40"/>
        <v>11.834123270126533</v>
      </c>
      <c r="G70" s="66">
        <f t="shared" si="41"/>
        <v>142.37430459352123</v>
      </c>
      <c r="I70" s="13">
        <v>2023</v>
      </c>
      <c r="J70" s="63">
        <f t="shared" si="49"/>
        <v>133.16805353164347</v>
      </c>
      <c r="K70" s="63">
        <f t="shared" si="49"/>
        <v>127.85973111152116</v>
      </c>
      <c r="L70" s="63">
        <f>L59*$C$50</f>
        <v>783.29366594399301</v>
      </c>
      <c r="M70" s="63">
        <f>M59*$C$50</f>
        <v>94.672986161012261</v>
      </c>
      <c r="N70" s="66">
        <f t="shared" si="43"/>
        <v>1138.9944367481698</v>
      </c>
      <c r="P70" s="13">
        <v>2023</v>
      </c>
      <c r="Q70" s="63">
        <f t="shared" si="44"/>
        <v>0.2293470319984271</v>
      </c>
      <c r="R70" s="63">
        <f t="shared" si="44"/>
        <v>0.36032350890977044</v>
      </c>
      <c r="S70" s="63">
        <f t="shared" si="44"/>
        <v>52.078112567564389</v>
      </c>
      <c r="T70" s="63">
        <f t="shared" si="44"/>
        <v>0</v>
      </c>
      <c r="U70" s="66">
        <f t="shared" si="45"/>
        <v>52.667783108472584</v>
      </c>
      <c r="W70" s="38">
        <v>2023</v>
      </c>
      <c r="X70" s="63">
        <f t="shared" si="48"/>
        <v>150.04340725509732</v>
      </c>
      <c r="Y70" s="63">
        <f t="shared" si="46"/>
        <v>144.20252100937105</v>
      </c>
      <c r="Z70" s="63">
        <f t="shared" si="46"/>
        <v>933.28348675455652</v>
      </c>
      <c r="AA70" s="63">
        <f t="shared" si="46"/>
        <v>106.50710943113879</v>
      </c>
      <c r="AB70" s="66">
        <f t="shared" si="47"/>
        <v>1334.0365244501636</v>
      </c>
    </row>
    <row r="71" spans="2:28" x14ac:dyDescent="0.25">
      <c r="B71" s="67">
        <v>2024</v>
      </c>
      <c r="C71" s="63">
        <f t="shared" si="40"/>
        <v>15.071656280554562</v>
      </c>
      <c r="D71" s="63">
        <f t="shared" si="40"/>
        <v>15.249036913534427</v>
      </c>
      <c r="E71" s="63">
        <f t="shared" si="40"/>
        <v>102.7662275783381</v>
      </c>
      <c r="F71" s="63">
        <f t="shared" si="40"/>
        <v>10.711168583810782</v>
      </c>
      <c r="G71" s="66">
        <f t="shared" si="41"/>
        <v>143.79808935623788</v>
      </c>
      <c r="I71" s="67">
        <v>2024</v>
      </c>
      <c r="J71" s="63">
        <f t="shared" si="49"/>
        <v>120.57325024443649</v>
      </c>
      <c r="K71" s="63">
        <f t="shared" si="49"/>
        <v>121.99229530827542</v>
      </c>
      <c r="L71" s="63">
        <f>L60*$C$50</f>
        <v>822.12982062670483</v>
      </c>
      <c r="M71" s="63">
        <f>M60*$C$50</f>
        <v>85.689348670486254</v>
      </c>
      <c r="N71" s="66">
        <f>N60*$C$50</f>
        <v>1150.384714849903</v>
      </c>
      <c r="P71" s="67">
        <v>2024</v>
      </c>
      <c r="Q71" s="63">
        <f t="shared" si="44"/>
        <v>0.17415720958455366</v>
      </c>
      <c r="R71" s="63">
        <f t="shared" si="44"/>
        <v>0.27964685972492703</v>
      </c>
      <c r="S71" s="63">
        <f t="shared" si="44"/>
        <v>53.164652460301625</v>
      </c>
      <c r="T71" s="63">
        <f t="shared" si="44"/>
        <v>0</v>
      </c>
      <c r="U71" s="66">
        <f t="shared" si="45"/>
        <v>53.618456529611109</v>
      </c>
      <c r="W71" s="124">
        <v>2024</v>
      </c>
      <c r="X71" s="63">
        <f t="shared" si="48"/>
        <v>135.81906373457559</v>
      </c>
      <c r="Y71" s="63">
        <f t="shared" si="46"/>
        <v>137.52097908153476</v>
      </c>
      <c r="Z71" s="63">
        <f>S71+L71+E71</f>
        <v>978.0607006653446</v>
      </c>
      <c r="AA71" s="63">
        <f t="shared" si="46"/>
        <v>96.400517254297029</v>
      </c>
      <c r="AB71" s="66">
        <f t="shared" si="47"/>
        <v>1347.8012607357518</v>
      </c>
    </row>
    <row r="72" spans="2:28" ht="15.75" thickBot="1" x14ac:dyDescent="0.3">
      <c r="B72" s="68">
        <v>2025</v>
      </c>
      <c r="C72" s="70">
        <f t="shared" si="40"/>
        <v>13.566454575488619</v>
      </c>
      <c r="D72" s="70">
        <f t="shared" si="40"/>
        <v>14.470209660217712</v>
      </c>
      <c r="E72" s="70">
        <f t="shared" si="40"/>
        <v>107.11650838325639</v>
      </c>
      <c r="F72" s="70">
        <f t="shared" si="40"/>
        <v>9.5910171240537387</v>
      </c>
      <c r="G72" s="69">
        <f t="shared" si="41"/>
        <v>144.74418974301645</v>
      </c>
      <c r="I72" s="68">
        <v>2025</v>
      </c>
      <c r="J72" s="70">
        <f>J61*$C$50</f>
        <v>108.53163660390895</v>
      </c>
      <c r="K72" s="70">
        <f t="shared" ref="K72:N72" si="50">K61*$C$50</f>
        <v>115.7616772817417</v>
      </c>
      <c r="L72" s="70">
        <f t="shared" si="50"/>
        <v>856.9320670660511</v>
      </c>
      <c r="M72" s="70">
        <f t="shared" si="50"/>
        <v>76.72813699242991</v>
      </c>
      <c r="N72" s="69">
        <f t="shared" si="50"/>
        <v>1157.9535179441316</v>
      </c>
      <c r="P72" s="68">
        <v>2025</v>
      </c>
      <c r="Q72" s="70">
        <f t="shared" si="44"/>
        <v>0.13713030049007763</v>
      </c>
      <c r="R72" s="70">
        <f t="shared" si="44"/>
        <v>0.21114133313572858</v>
      </c>
      <c r="S72" s="70">
        <f t="shared" si="44"/>
        <v>54.079544863445335</v>
      </c>
      <c r="T72" s="70">
        <f t="shared" si="44"/>
        <v>0</v>
      </c>
      <c r="U72" s="69">
        <f t="shared" si="45"/>
        <v>54.427816497071142</v>
      </c>
      <c r="W72" s="125">
        <v>2025</v>
      </c>
      <c r="X72" s="70">
        <f t="shared" si="48"/>
        <v>122.23522147988764</v>
      </c>
      <c r="Y72" s="70">
        <f t="shared" si="46"/>
        <v>130.44302827509514</v>
      </c>
      <c r="Z72" s="70">
        <f t="shared" si="46"/>
        <v>1018.1281203127528</v>
      </c>
      <c r="AA72" s="70">
        <f t="shared" si="46"/>
        <v>86.319154116483645</v>
      </c>
      <c r="AB72" s="69">
        <f t="shared" si="47"/>
        <v>1357.1255241842191</v>
      </c>
    </row>
    <row r="73" spans="2:28" ht="15.75" thickTop="1" x14ac:dyDescent="0.25"/>
    <row r="74" spans="2:28" x14ac:dyDescent="0.25">
      <c r="AB74" s="73"/>
    </row>
    <row r="75" spans="2:28" ht="15.75" thickBot="1" x14ac:dyDescent="0.3">
      <c r="B75" t="s">
        <v>50</v>
      </c>
    </row>
    <row r="76" spans="2:28" ht="15.75" thickTop="1" x14ac:dyDescent="0.25">
      <c r="B76" s="42" t="s">
        <v>51</v>
      </c>
      <c r="C76" s="50" t="s">
        <v>53</v>
      </c>
      <c r="D76" s="43" t="s">
        <v>54</v>
      </c>
      <c r="E76" s="73"/>
    </row>
    <row r="77" spans="2:28" x14ac:dyDescent="0.25">
      <c r="B77" s="44" t="s">
        <v>52</v>
      </c>
      <c r="C77" s="48">
        <v>3800</v>
      </c>
      <c r="D77" s="45">
        <v>0.45</v>
      </c>
    </row>
    <row r="78" spans="2:28" x14ac:dyDescent="0.25">
      <c r="B78" s="44" t="s">
        <v>55</v>
      </c>
      <c r="C78" s="48">
        <v>1300</v>
      </c>
      <c r="D78" s="45">
        <v>0.21</v>
      </c>
    </row>
    <row r="79" spans="2:28" x14ac:dyDescent="0.25">
      <c r="B79" s="44" t="s">
        <v>56</v>
      </c>
      <c r="C79" s="48">
        <v>3100</v>
      </c>
      <c r="D79" s="45">
        <v>0.09</v>
      </c>
    </row>
    <row r="80" spans="2:28" x14ac:dyDescent="0.25">
      <c r="B80" s="44" t="s">
        <v>57</v>
      </c>
      <c r="C80" s="48">
        <v>5100</v>
      </c>
      <c r="D80" s="45">
        <v>0.16</v>
      </c>
    </row>
    <row r="81" spans="2:4" x14ac:dyDescent="0.25">
      <c r="B81" s="44" t="s">
        <v>58</v>
      </c>
      <c r="C81" s="48">
        <v>1900</v>
      </c>
      <c r="D81" s="45">
        <v>0.09</v>
      </c>
    </row>
    <row r="82" spans="2:4" ht="15.75" thickBot="1" x14ac:dyDescent="0.3">
      <c r="B82" s="75" t="s">
        <v>59</v>
      </c>
      <c r="C82" s="76">
        <f>C77*D77+C78*D78+C79*D79+C80*D80+C81*D81</f>
        <v>3249</v>
      </c>
      <c r="D82" s="47"/>
    </row>
    <row r="83" spans="2:4" ht="15.75" thickTop="1" x14ac:dyDescent="0.25"/>
    <row r="84" spans="2:4" ht="15.75" thickBot="1" x14ac:dyDescent="0.3">
      <c r="B84" t="s">
        <v>60</v>
      </c>
    </row>
    <row r="85" spans="2:4" ht="15.75" thickTop="1" x14ac:dyDescent="0.25">
      <c r="B85" s="42" t="s">
        <v>8</v>
      </c>
      <c r="C85" s="43">
        <v>5400</v>
      </c>
    </row>
    <row r="86" spans="2:4" x14ac:dyDescent="0.25">
      <c r="B86" s="44" t="s">
        <v>15</v>
      </c>
      <c r="C86" s="77">
        <v>2400</v>
      </c>
    </row>
    <row r="87" spans="2:4" ht="15.75" thickBot="1" x14ac:dyDescent="0.3">
      <c r="B87" s="46" t="s">
        <v>16</v>
      </c>
      <c r="C87" s="78">
        <v>2600</v>
      </c>
    </row>
    <row r="88" spans="2:4" ht="15.75" thickTop="1" x14ac:dyDescent="0.25"/>
    <row r="89" spans="2:4" x14ac:dyDescent="0.25">
      <c r="B89" t="s">
        <v>62</v>
      </c>
    </row>
    <row r="90" spans="2:4" ht="15.75" thickBot="1" x14ac:dyDescent="0.3"/>
    <row r="91" spans="2:4" ht="16.5" thickTop="1" thickBot="1" x14ac:dyDescent="0.3">
      <c r="B91" s="79" t="s">
        <v>61</v>
      </c>
      <c r="C91" s="57"/>
    </row>
    <row r="92" spans="2:4" x14ac:dyDescent="0.25">
      <c r="B92" s="44" t="s">
        <v>8</v>
      </c>
      <c r="C92" s="144">
        <f>C82*0.62+C85</f>
        <v>7414.38</v>
      </c>
    </row>
    <row r="93" spans="2:4" x14ac:dyDescent="0.25">
      <c r="B93" s="44" t="s">
        <v>15</v>
      </c>
      <c r="C93" s="144">
        <f>C82*0.62+C86</f>
        <v>4414.38</v>
      </c>
    </row>
    <row r="94" spans="2:4" x14ac:dyDescent="0.25">
      <c r="B94" s="44" t="s">
        <v>16</v>
      </c>
      <c r="C94" s="144">
        <f>C82*0.62+C87</f>
        <v>4614.38</v>
      </c>
    </row>
    <row r="95" spans="2:4" ht="15.75" thickBot="1" x14ac:dyDescent="0.3">
      <c r="B95" s="46" t="s">
        <v>17</v>
      </c>
      <c r="C95" s="145">
        <f>C82</f>
        <v>3249</v>
      </c>
    </row>
    <row r="96" spans="2:4" ht="15.75" thickTop="1" x14ac:dyDescent="0.25"/>
    <row r="98" spans="2:21" ht="15.75" thickBot="1" x14ac:dyDescent="0.3"/>
    <row r="99" spans="2:21" ht="16.5" thickTop="1" thickBot="1" x14ac:dyDescent="0.3">
      <c r="B99" s="55"/>
      <c r="C99" s="56" t="s">
        <v>63</v>
      </c>
      <c r="D99" s="56"/>
      <c r="E99" s="56"/>
      <c r="F99" s="56"/>
      <c r="G99" s="57"/>
      <c r="I99" s="55"/>
      <c r="J99" s="56" t="s">
        <v>49</v>
      </c>
      <c r="K99" s="56"/>
      <c r="L99" s="56"/>
      <c r="M99" s="56"/>
      <c r="N99" s="57"/>
      <c r="P99" s="55"/>
      <c r="Q99" s="56" t="s">
        <v>48</v>
      </c>
      <c r="R99" s="56"/>
      <c r="S99" s="56"/>
      <c r="T99" s="56"/>
      <c r="U99" s="57"/>
    </row>
    <row r="100" spans="2:21" ht="15.75" thickBot="1" x14ac:dyDescent="0.3">
      <c r="B100" s="58" t="s">
        <v>12</v>
      </c>
      <c r="C100" s="59" t="s">
        <v>14</v>
      </c>
      <c r="D100" s="60" t="s">
        <v>39</v>
      </c>
      <c r="E100" s="60" t="s">
        <v>40</v>
      </c>
      <c r="F100" s="61" t="s">
        <v>41</v>
      </c>
      <c r="G100" s="62" t="s">
        <v>42</v>
      </c>
      <c r="I100" s="58" t="s">
        <v>12</v>
      </c>
      <c r="J100" s="59" t="s">
        <v>14</v>
      </c>
      <c r="K100" s="60" t="s">
        <v>39</v>
      </c>
      <c r="L100" s="60" t="s">
        <v>40</v>
      </c>
      <c r="M100" s="61" t="s">
        <v>41</v>
      </c>
      <c r="N100" s="62" t="s">
        <v>42</v>
      </c>
      <c r="P100" s="58" t="s">
        <v>12</v>
      </c>
      <c r="Q100" s="59" t="s">
        <v>14</v>
      </c>
      <c r="R100" s="60" t="s">
        <v>39</v>
      </c>
      <c r="S100" s="60" t="s">
        <v>40</v>
      </c>
      <c r="T100" s="61" t="s">
        <v>41</v>
      </c>
      <c r="U100" s="62" t="s">
        <v>42</v>
      </c>
    </row>
    <row r="101" spans="2:21" x14ac:dyDescent="0.25">
      <c r="B101" s="13">
        <v>2019</v>
      </c>
      <c r="C101" s="63">
        <f t="shared" ref="C101:C107" si="51">C66*$C$92</f>
        <v>4498763.4334154567</v>
      </c>
      <c r="D101" s="63">
        <f t="shared" ref="D101:D107" si="52">D66*$C$93</f>
        <v>8305239.6815844066</v>
      </c>
      <c r="E101" s="63">
        <f t="shared" ref="E101:E107" si="53">E66*$C$94</f>
        <v>3459620.3289885833</v>
      </c>
      <c r="F101" s="63">
        <f t="shared" ref="F101:F107" si="54">F66*$C$95</f>
        <v>2579271.2534013959</v>
      </c>
      <c r="G101" s="66">
        <f t="shared" ref="G101:G107" si="55">SUM(C101:F101)</f>
        <v>18842894.697389845</v>
      </c>
      <c r="I101" s="13">
        <v>2019</v>
      </c>
      <c r="J101" s="63">
        <f t="shared" ref="J101:J107" si="56">J66*$C$92</f>
        <v>25707219.619516894</v>
      </c>
      <c r="K101" s="63">
        <f t="shared" ref="K101:K107" si="57">K66*$C$93</f>
        <v>47458512.466196612</v>
      </c>
      <c r="L101" s="63">
        <f t="shared" ref="L101:L107" si="58">L66*$C$94</f>
        <v>19769259.022791907</v>
      </c>
      <c r="M101" s="63">
        <f t="shared" ref="M101:M107" si="59">M66*$C$95</f>
        <v>14738692.876579406</v>
      </c>
      <c r="N101" s="66">
        <f t="shared" ref="N101:N107" si="60">SUM(J101:M101)</f>
        <v>107673683.98508482</v>
      </c>
      <c r="P101" s="13">
        <v>2019</v>
      </c>
      <c r="Q101" s="63">
        <f t="shared" ref="Q101:Q107" si="61">Q66*$C$92</f>
        <v>1025352.1314784283</v>
      </c>
      <c r="R101" s="63">
        <f t="shared" ref="R101:R107" si="62">R66*$C$93</f>
        <v>2309594.7893136134</v>
      </c>
      <c r="S101" s="63">
        <f t="shared" ref="S101:S107" si="63">S66*$C$94</f>
        <v>2746223.6774472953</v>
      </c>
      <c r="T101" s="63">
        <f t="shared" ref="T101:T107" si="64">T66*$C$95</f>
        <v>33660.19787435847</v>
      </c>
      <c r="U101" s="66">
        <f t="shared" ref="U101:U107" si="65">SUM(Q101:T101)</f>
        <v>6114830.7961136959</v>
      </c>
    </row>
    <row r="102" spans="2:21" x14ac:dyDescent="0.25">
      <c r="B102" s="13">
        <v>2020</v>
      </c>
      <c r="C102" s="63">
        <f t="shared" si="51"/>
        <v>241859.17473832952</v>
      </c>
      <c r="D102" s="63">
        <f t="shared" si="52"/>
        <v>607992.71074975061</v>
      </c>
      <c r="E102" s="63">
        <f t="shared" si="53"/>
        <v>289289.42797842005</v>
      </c>
      <c r="F102" s="63">
        <f t="shared" si="54"/>
        <v>173143.68716603093</v>
      </c>
      <c r="G102" s="66">
        <f t="shared" si="55"/>
        <v>1312285.000632531</v>
      </c>
      <c r="I102" s="13">
        <v>2020</v>
      </c>
      <c r="J102" s="63">
        <f t="shared" si="56"/>
        <v>1382052.4270761686</v>
      </c>
      <c r="K102" s="63">
        <f t="shared" si="57"/>
        <v>3474244.0614271471</v>
      </c>
      <c r="L102" s="63">
        <f t="shared" si="58"/>
        <v>1653082.445590972</v>
      </c>
      <c r="M102" s="63">
        <f t="shared" si="59"/>
        <v>989392.49809160526</v>
      </c>
      <c r="N102" s="66">
        <f t="shared" si="60"/>
        <v>7498771.4321858929</v>
      </c>
      <c r="P102" s="13">
        <v>2020</v>
      </c>
      <c r="Q102" s="63">
        <f t="shared" si="61"/>
        <v>46755.674922413644</v>
      </c>
      <c r="R102" s="63">
        <f t="shared" si="62"/>
        <v>152530.3670351184</v>
      </c>
      <c r="S102" s="63">
        <f t="shared" si="63"/>
        <v>203377.61576153213</v>
      </c>
      <c r="T102" s="63">
        <f t="shared" si="64"/>
        <v>2017.7305201323175</v>
      </c>
      <c r="U102" s="66">
        <f t="shared" si="65"/>
        <v>404681.38823919644</v>
      </c>
    </row>
    <row r="103" spans="2:21" x14ac:dyDescent="0.25">
      <c r="B103" s="13">
        <v>2021</v>
      </c>
      <c r="C103" s="63">
        <f t="shared" si="51"/>
        <v>205539.16211667418</v>
      </c>
      <c r="D103" s="63">
        <f t="shared" si="52"/>
        <v>577771.84741217736</v>
      </c>
      <c r="E103" s="63">
        <f t="shared" si="53"/>
        <v>340300.6662394192</v>
      </c>
      <c r="F103" s="63">
        <f t="shared" si="54"/>
        <v>76194.814212477941</v>
      </c>
      <c r="G103" s="66">
        <f t="shared" si="55"/>
        <v>1199806.4899807489</v>
      </c>
      <c r="I103" s="13">
        <v>2021</v>
      </c>
      <c r="J103" s="63">
        <f t="shared" si="56"/>
        <v>1174509.4978095668</v>
      </c>
      <c r="K103" s="63">
        <f t="shared" si="57"/>
        <v>3301553.4137838702</v>
      </c>
      <c r="L103" s="63">
        <f t="shared" si="58"/>
        <v>1944575.2356538242</v>
      </c>
      <c r="M103" s="63">
        <f t="shared" si="59"/>
        <v>435398.93835701677</v>
      </c>
      <c r="N103" s="66">
        <f t="shared" si="60"/>
        <v>6856037.0856042784</v>
      </c>
      <c r="P103" s="13">
        <v>2021</v>
      </c>
      <c r="Q103" s="63">
        <f t="shared" si="61"/>
        <v>29343.219112155115</v>
      </c>
      <c r="R103" s="63">
        <f t="shared" si="62"/>
        <v>128719.71157990456</v>
      </c>
      <c r="S103" s="63">
        <f t="shared" si="63"/>
        <v>214279.74130220545</v>
      </c>
      <c r="T103" s="63">
        <f t="shared" si="64"/>
        <v>0</v>
      </c>
      <c r="U103" s="66">
        <f t="shared" si="65"/>
        <v>372342.67199426517</v>
      </c>
    </row>
    <row r="104" spans="2:21" x14ac:dyDescent="0.25">
      <c r="B104" s="13">
        <v>2022</v>
      </c>
      <c r="C104" s="63">
        <f t="shared" si="51"/>
        <v>163757.69896257337</v>
      </c>
      <c r="D104" s="63">
        <f t="shared" si="52"/>
        <v>548296.92795926332</v>
      </c>
      <c r="E104" s="63">
        <f t="shared" si="53"/>
        <v>368956.57589752082</v>
      </c>
      <c r="F104" s="63">
        <f t="shared" si="54"/>
        <v>71827.88572713091</v>
      </c>
      <c r="G104" s="66">
        <f t="shared" si="55"/>
        <v>1152839.0885464884</v>
      </c>
      <c r="I104" s="13">
        <v>2022</v>
      </c>
      <c r="J104" s="63">
        <f t="shared" si="56"/>
        <v>1310061.591700587</v>
      </c>
      <c r="K104" s="63">
        <f t="shared" si="57"/>
        <v>4386375.4236741066</v>
      </c>
      <c r="L104" s="63">
        <f t="shared" si="58"/>
        <v>12298419.288794847</v>
      </c>
      <c r="M104" s="63">
        <f t="shared" si="59"/>
        <v>574623.08581704728</v>
      </c>
      <c r="N104" s="66">
        <f t="shared" si="60"/>
        <v>18569479.38998659</v>
      </c>
      <c r="P104" s="13">
        <v>2022</v>
      </c>
      <c r="Q104" s="63">
        <f t="shared" si="61"/>
        <v>2303.8575232511121</v>
      </c>
      <c r="R104" s="63">
        <f t="shared" si="62"/>
        <v>105383.38742941267</v>
      </c>
      <c r="S104" s="63">
        <f t="shared" si="63"/>
        <v>225203.83233844093</v>
      </c>
      <c r="T104" s="63">
        <f t="shared" si="64"/>
        <v>0</v>
      </c>
      <c r="U104" s="66">
        <f t="shared" si="65"/>
        <v>332891.07729110471</v>
      </c>
    </row>
    <row r="105" spans="2:21" x14ac:dyDescent="0.25">
      <c r="B105" s="13">
        <v>2023</v>
      </c>
      <c r="C105" s="63">
        <f t="shared" si="51"/>
        <v>123419.81909299333</v>
      </c>
      <c r="D105" s="63">
        <f t="shared" si="52"/>
        <v>70552.679978009604</v>
      </c>
      <c r="E105" s="63">
        <f t="shared" si="53"/>
        <v>451801.8282823303</v>
      </c>
      <c r="F105" s="63">
        <f t="shared" si="54"/>
        <v>38449.066504641101</v>
      </c>
      <c r="G105" s="66">
        <f t="shared" si="55"/>
        <v>684223.39385797433</v>
      </c>
      <c r="I105" s="13">
        <v>2023</v>
      </c>
      <c r="J105" s="63">
        <f t="shared" si="56"/>
        <v>987358.55274394667</v>
      </c>
      <c r="K105" s="63">
        <f t="shared" si="57"/>
        <v>564421.43982407684</v>
      </c>
      <c r="L105" s="63">
        <f t="shared" si="58"/>
        <v>3614414.6262586424</v>
      </c>
      <c r="M105" s="63">
        <f t="shared" si="59"/>
        <v>307592.53203712881</v>
      </c>
      <c r="N105" s="66">
        <f t="shared" si="60"/>
        <v>5473787.1508637946</v>
      </c>
      <c r="P105" s="13">
        <v>2023</v>
      </c>
      <c r="Q105" s="63">
        <f t="shared" si="61"/>
        <v>1700.4660471084978</v>
      </c>
      <c r="R105" s="63">
        <f t="shared" si="62"/>
        <v>1590.6048912611125</v>
      </c>
      <c r="S105" s="63">
        <f t="shared" si="63"/>
        <v>240308.20106951776</v>
      </c>
      <c r="T105" s="63">
        <f t="shared" si="64"/>
        <v>0</v>
      </c>
      <c r="U105" s="66">
        <f t="shared" si="65"/>
        <v>243599.27200788737</v>
      </c>
    </row>
    <row r="106" spans="2:21" x14ac:dyDescent="0.25">
      <c r="B106" s="67">
        <v>2024</v>
      </c>
      <c r="C106" s="63">
        <f t="shared" si="51"/>
        <v>111746.98689341813</v>
      </c>
      <c r="D106" s="63">
        <f t="shared" si="52"/>
        <v>67315.0435703681</v>
      </c>
      <c r="E106" s="63">
        <f t="shared" si="53"/>
        <v>474202.42521293176</v>
      </c>
      <c r="F106" s="63">
        <f t="shared" si="54"/>
        <v>34800.58672880123</v>
      </c>
      <c r="G106" s="66">
        <f t="shared" si="55"/>
        <v>688065.04240551917</v>
      </c>
      <c r="I106" s="67">
        <v>2024</v>
      </c>
      <c r="J106" s="63">
        <f t="shared" si="56"/>
        <v>893975.89514734503</v>
      </c>
      <c r="K106" s="63">
        <f t="shared" si="57"/>
        <v>538520.3485629448</v>
      </c>
      <c r="L106" s="63">
        <f t="shared" si="58"/>
        <v>3793619.4017034541</v>
      </c>
      <c r="M106" s="63">
        <f t="shared" si="59"/>
        <v>278404.69383040984</v>
      </c>
      <c r="N106" s="66">
        <f t="shared" si="60"/>
        <v>5504520.3392441534</v>
      </c>
      <c r="P106" s="67">
        <v>2024</v>
      </c>
      <c r="Q106" s="63">
        <f t="shared" si="61"/>
        <v>1291.2677315995229</v>
      </c>
      <c r="R106" s="63">
        <f t="shared" si="62"/>
        <v>1234.4675046325235</v>
      </c>
      <c r="S106" s="63">
        <f t="shared" si="63"/>
        <v>245321.90901976661</v>
      </c>
      <c r="T106" s="63">
        <f t="shared" si="64"/>
        <v>0</v>
      </c>
      <c r="U106" s="66">
        <f t="shared" si="65"/>
        <v>247847.64425599866</v>
      </c>
    </row>
    <row r="107" spans="2:21" ht="15.75" thickBot="1" x14ac:dyDescent="0.3">
      <c r="B107" s="68">
        <v>2025</v>
      </c>
      <c r="C107" s="70">
        <f t="shared" si="51"/>
        <v>100586.84947541131</v>
      </c>
      <c r="D107" s="70">
        <f t="shared" si="52"/>
        <v>63877.004119871868</v>
      </c>
      <c r="E107" s="70">
        <f t="shared" si="53"/>
        <v>494276.27395353065</v>
      </c>
      <c r="F107" s="70">
        <f t="shared" si="54"/>
        <v>31161.214636050598</v>
      </c>
      <c r="G107" s="69">
        <f t="shared" si="55"/>
        <v>689901.34218486445</v>
      </c>
      <c r="I107" s="68">
        <v>2025</v>
      </c>
      <c r="J107" s="70">
        <f t="shared" si="56"/>
        <v>804694.79580329044</v>
      </c>
      <c r="K107" s="70">
        <f t="shared" si="57"/>
        <v>511016.03295897495</v>
      </c>
      <c r="L107" s="70">
        <f t="shared" si="58"/>
        <v>3954210.1916282452</v>
      </c>
      <c r="M107" s="70">
        <f t="shared" si="59"/>
        <v>249289.71708840478</v>
      </c>
      <c r="N107" s="69">
        <f t="shared" si="60"/>
        <v>5519210.7374789156</v>
      </c>
      <c r="P107" s="68">
        <v>2025</v>
      </c>
      <c r="Q107" s="70">
        <f t="shared" si="61"/>
        <v>1016.7361573476218</v>
      </c>
      <c r="R107" s="70">
        <f t="shared" si="62"/>
        <v>932.05807816769754</v>
      </c>
      <c r="S107" s="70">
        <f t="shared" si="63"/>
        <v>249543.57022698488</v>
      </c>
      <c r="T107" s="70">
        <f t="shared" si="64"/>
        <v>0</v>
      </c>
      <c r="U107" s="69">
        <f t="shared" si="65"/>
        <v>251492.36446250021</v>
      </c>
    </row>
    <row r="108" spans="2:21" ht="15.75" thickTop="1" x14ac:dyDescent="0.25">
      <c r="U108" s="73"/>
    </row>
    <row r="109" spans="2:21" ht="15.75" thickBot="1" x14ac:dyDescent="0.3"/>
    <row r="110" spans="2:21" ht="16.5" thickTop="1" thickBot="1" x14ac:dyDescent="0.3">
      <c r="B110" s="55"/>
      <c r="C110" s="56" t="s">
        <v>49</v>
      </c>
      <c r="D110" s="56" t="s">
        <v>64</v>
      </c>
      <c r="E110" s="56"/>
      <c r="F110" s="56"/>
      <c r="G110" s="57"/>
    </row>
    <row r="111" spans="2:21" ht="15.75" thickBot="1" x14ac:dyDescent="0.3">
      <c r="B111" s="58" t="s">
        <v>12</v>
      </c>
      <c r="C111" s="59" t="s">
        <v>14</v>
      </c>
      <c r="D111" s="60" t="s">
        <v>39</v>
      </c>
      <c r="E111" s="60" t="s">
        <v>40</v>
      </c>
      <c r="F111" s="61" t="s">
        <v>41</v>
      </c>
      <c r="G111" s="62" t="s">
        <v>42</v>
      </c>
    </row>
    <row r="112" spans="2:21" x14ac:dyDescent="0.25">
      <c r="B112" s="13">
        <v>2019</v>
      </c>
      <c r="C112" s="63">
        <f t="shared" ref="C112:F118" si="66">C101+J101+Q101</f>
        <v>31231335.184410781</v>
      </c>
      <c r="D112" s="63">
        <f t="shared" si="66"/>
        <v>58073346.937094629</v>
      </c>
      <c r="E112" s="63">
        <f t="shared" si="66"/>
        <v>25975103.029227786</v>
      </c>
      <c r="F112" s="63">
        <f t="shared" si="66"/>
        <v>17351624.327855162</v>
      </c>
      <c r="G112" s="66">
        <f t="shared" ref="G112:G118" si="67">SUM(C112:F112)</f>
        <v>132631409.47858837</v>
      </c>
    </row>
    <row r="113" spans="2:17" x14ac:dyDescent="0.25">
      <c r="B113" s="13">
        <v>2020</v>
      </c>
      <c r="C113" s="63">
        <f t="shared" si="66"/>
        <v>1670667.2767369119</v>
      </c>
      <c r="D113" s="63">
        <f t="shared" si="66"/>
        <v>4234767.139212016</v>
      </c>
      <c r="E113" s="63">
        <f t="shared" si="66"/>
        <v>2145749.4893309241</v>
      </c>
      <c r="F113" s="63">
        <f t="shared" si="66"/>
        <v>1164553.9157777685</v>
      </c>
      <c r="G113" s="66">
        <f t="shared" si="67"/>
        <v>9215737.8210576195</v>
      </c>
    </row>
    <row r="114" spans="2:17" x14ac:dyDescent="0.25">
      <c r="B114" s="13">
        <v>2021</v>
      </c>
      <c r="C114" s="63">
        <f t="shared" si="66"/>
        <v>1409391.8790383961</v>
      </c>
      <c r="D114" s="63">
        <f t="shared" si="66"/>
        <v>4008044.972775952</v>
      </c>
      <c r="E114" s="63">
        <f t="shared" si="66"/>
        <v>2499155.6431954484</v>
      </c>
      <c r="F114" s="63">
        <f t="shared" si="66"/>
        <v>511593.75256949471</v>
      </c>
      <c r="G114" s="66">
        <f t="shared" si="67"/>
        <v>8428186.2475792915</v>
      </c>
    </row>
    <row r="115" spans="2:17" x14ac:dyDescent="0.25">
      <c r="B115" s="13">
        <v>2022</v>
      </c>
      <c r="C115" s="63">
        <f t="shared" si="66"/>
        <v>1476123.1481864115</v>
      </c>
      <c r="D115" s="63">
        <f t="shared" si="66"/>
        <v>5040055.7390627824</v>
      </c>
      <c r="E115" s="63">
        <f t="shared" si="66"/>
        <v>12892579.697030809</v>
      </c>
      <c r="F115" s="63">
        <f t="shared" si="66"/>
        <v>646450.9715441782</v>
      </c>
      <c r="G115" s="66">
        <f t="shared" si="67"/>
        <v>20055209.555824183</v>
      </c>
    </row>
    <row r="116" spans="2:17" x14ac:dyDescent="0.25">
      <c r="B116" s="13">
        <v>2023</v>
      </c>
      <c r="C116" s="63">
        <f t="shared" si="66"/>
        <v>1112478.8378840485</v>
      </c>
      <c r="D116" s="63">
        <f t="shared" si="66"/>
        <v>636564.72469334747</v>
      </c>
      <c r="E116" s="63">
        <f t="shared" si="66"/>
        <v>4306524.6556104906</v>
      </c>
      <c r="F116" s="63">
        <f t="shared" si="66"/>
        <v>346041.5985417699</v>
      </c>
      <c r="G116" s="66">
        <f t="shared" si="67"/>
        <v>6401609.8167296564</v>
      </c>
    </row>
    <row r="117" spans="2:17" x14ac:dyDescent="0.25">
      <c r="B117" s="67">
        <v>2024</v>
      </c>
      <c r="C117" s="63">
        <f t="shared" si="66"/>
        <v>1007014.1497723627</v>
      </c>
      <c r="D117" s="63">
        <f t="shared" si="66"/>
        <v>607069.85963794542</v>
      </c>
      <c r="E117" s="63">
        <f t="shared" si="66"/>
        <v>4513143.7359361518</v>
      </c>
      <c r="F117" s="63">
        <f t="shared" si="66"/>
        <v>313205.2805592111</v>
      </c>
      <c r="G117" s="66">
        <f t="shared" si="67"/>
        <v>6440433.0259056715</v>
      </c>
    </row>
    <row r="118" spans="2:17" ht="15.75" thickBot="1" x14ac:dyDescent="0.3">
      <c r="B118" s="68">
        <v>2025</v>
      </c>
      <c r="C118" s="70">
        <f t="shared" si="66"/>
        <v>906298.38143604936</v>
      </c>
      <c r="D118" s="70">
        <f t="shared" si="66"/>
        <v>575825.09515701456</v>
      </c>
      <c r="E118" s="70">
        <f t="shared" si="66"/>
        <v>4698030.0358087607</v>
      </c>
      <c r="F118" s="70">
        <f t="shared" si="66"/>
        <v>280450.93172445538</v>
      </c>
      <c r="G118" s="69">
        <f t="shared" si="67"/>
        <v>6460604.44412628</v>
      </c>
    </row>
    <row r="119" spans="2:17" ht="15.75" thickTop="1" x14ac:dyDescent="0.25">
      <c r="B119" s="83"/>
      <c r="C119" s="17"/>
      <c r="D119" s="17"/>
      <c r="E119" s="17"/>
      <c r="F119" s="17"/>
      <c r="G119" s="17">
        <f>SUM(G112:G118)</f>
        <v>189633190.3898111</v>
      </c>
    </row>
    <row r="121" spans="2:17" ht="15.75" thickBot="1" x14ac:dyDescent="0.3">
      <c r="B121" t="s">
        <v>148</v>
      </c>
      <c r="G121" s="73"/>
      <c r="J121" t="s">
        <v>167</v>
      </c>
    </row>
    <row r="122" spans="2:17" ht="16.5" thickTop="1" thickBot="1" x14ac:dyDescent="0.3">
      <c r="B122" s="55"/>
      <c r="C122" s="56"/>
      <c r="D122" s="56" t="s">
        <v>180</v>
      </c>
      <c r="E122" s="56"/>
      <c r="F122" s="56"/>
      <c r="G122" s="56"/>
      <c r="H122" s="98"/>
      <c r="J122" s="116"/>
      <c r="K122" s="117" t="s">
        <v>113</v>
      </c>
      <c r="L122" s="117"/>
      <c r="M122" s="117"/>
      <c r="N122" s="117"/>
      <c r="O122" s="118"/>
    </row>
    <row r="123" spans="2:17" ht="15.75" thickBot="1" x14ac:dyDescent="0.3">
      <c r="B123" s="58" t="s">
        <v>12</v>
      </c>
      <c r="C123" s="59" t="s">
        <v>14</v>
      </c>
      <c r="D123" s="60" t="s">
        <v>39</v>
      </c>
      <c r="E123" s="60" t="s">
        <v>40</v>
      </c>
      <c r="F123" s="61" t="s">
        <v>41</v>
      </c>
      <c r="G123" s="104" t="s">
        <v>112</v>
      </c>
      <c r="H123" s="107" t="s">
        <v>73</v>
      </c>
      <c r="J123" s="119" t="s">
        <v>12</v>
      </c>
      <c r="K123" s="120" t="s">
        <v>14</v>
      </c>
      <c r="L123" s="121" t="s">
        <v>39</v>
      </c>
      <c r="M123" s="121" t="s">
        <v>40</v>
      </c>
      <c r="N123" s="122" t="s">
        <v>41</v>
      </c>
      <c r="O123" s="123" t="s">
        <v>42</v>
      </c>
      <c r="Q123" s="73"/>
    </row>
    <row r="124" spans="2:17" x14ac:dyDescent="0.25">
      <c r="B124" s="13">
        <v>2019</v>
      </c>
      <c r="C124" s="63">
        <f>C112*3/4</f>
        <v>23423501.388308086</v>
      </c>
      <c r="D124" s="63">
        <f>D112*3/4</f>
        <v>43555010.202820972</v>
      </c>
      <c r="E124" s="63">
        <f>E112*3/4</f>
        <v>19481327.271920837</v>
      </c>
      <c r="F124" s="63">
        <f>F112*3/4</f>
        <v>13013718.245891372</v>
      </c>
      <c r="G124" s="105">
        <f t="shared" ref="G124:G130" si="68">SUM(C124:F124)</f>
        <v>99473557.108941272</v>
      </c>
      <c r="H124" s="99">
        <v>99474000</v>
      </c>
      <c r="J124" s="38">
        <v>2019</v>
      </c>
      <c r="K124" s="63">
        <f>X66*3/4</f>
        <v>3159.19893346552</v>
      </c>
      <c r="L124" s="63">
        <f>Y66*3/4</f>
        <v>9866.6200469422602</v>
      </c>
      <c r="M124" s="63">
        <f>Z66*3/4</f>
        <v>4221.8732033167707</v>
      </c>
      <c r="N124" s="63">
        <f>AA66*3/4</f>
        <v>4005.4534459499446</v>
      </c>
      <c r="O124" s="66">
        <f>SUM(K124:N124)</f>
        <v>21253.145629674498</v>
      </c>
    </row>
    <row r="125" spans="2:17" x14ac:dyDescent="0.25">
      <c r="B125" s="13">
        <v>2020</v>
      </c>
      <c r="C125" s="63">
        <f>C113+C112/4</f>
        <v>9478501.0728396066</v>
      </c>
      <c r="D125" s="63">
        <f>D113+D112/4</f>
        <v>18753103.873485673</v>
      </c>
      <c r="E125" s="63">
        <f>E113+E112/4</f>
        <v>8639525.2466378696</v>
      </c>
      <c r="F125" s="63">
        <f>F113+F112/4</f>
        <v>5502459.9977415595</v>
      </c>
      <c r="G125" s="105">
        <f t="shared" si="68"/>
        <v>42373590.190704711</v>
      </c>
      <c r="H125" s="99">
        <v>42374000</v>
      </c>
      <c r="J125" s="38">
        <v>2020</v>
      </c>
      <c r="K125" s="63">
        <f>X67+X66/4</f>
        <v>1278.3942922860178</v>
      </c>
      <c r="L125" s="63">
        <f>Y67+Y66/4</f>
        <v>4248.1852204580646</v>
      </c>
      <c r="M125" s="63">
        <f>Z67+Z66/4</f>
        <v>1872.3046750891497</v>
      </c>
      <c r="N125" s="63">
        <f>AA67+AA66/4</f>
        <v>1693.5857179875525</v>
      </c>
      <c r="O125" s="66">
        <f t="shared" ref="O125:O130" si="69">SUM(K125:N125)</f>
        <v>9092.4699058207843</v>
      </c>
    </row>
    <row r="126" spans="2:17" x14ac:dyDescent="0.25">
      <c r="B126" s="13">
        <v>2021</v>
      </c>
      <c r="C126" s="63">
        <f t="shared" ref="C126:F130" si="70">C114+J114+Q114</f>
        <v>1409391.8790383961</v>
      </c>
      <c r="D126" s="63">
        <f t="shared" si="70"/>
        <v>4008044.972775952</v>
      </c>
      <c r="E126" s="63">
        <f t="shared" si="70"/>
        <v>2499155.6431954484</v>
      </c>
      <c r="F126" s="63">
        <f t="shared" si="70"/>
        <v>511593.75256949471</v>
      </c>
      <c r="G126" s="105">
        <f t="shared" si="68"/>
        <v>8428186.2475792915</v>
      </c>
      <c r="H126" s="99">
        <v>8428000</v>
      </c>
      <c r="J126" s="38">
        <v>2021</v>
      </c>
      <c r="K126" s="63">
        <f t="shared" ref="K126:N130" si="71">X68</f>
        <v>190.08897291997391</v>
      </c>
      <c r="L126" s="63">
        <f t="shared" si="71"/>
        <v>907.95195990738273</v>
      </c>
      <c r="M126" s="63">
        <f t="shared" si="71"/>
        <v>541.60161130974234</v>
      </c>
      <c r="N126" s="63">
        <f t="shared" si="71"/>
        <v>157.46191214819783</v>
      </c>
      <c r="O126" s="66">
        <f t="shared" si="69"/>
        <v>1797.1044562852969</v>
      </c>
    </row>
    <row r="127" spans="2:17" x14ac:dyDescent="0.25">
      <c r="B127" s="13">
        <v>2022</v>
      </c>
      <c r="C127" s="63">
        <f t="shared" si="70"/>
        <v>1476123.1481864115</v>
      </c>
      <c r="D127" s="63">
        <f t="shared" si="70"/>
        <v>5040055.7390627824</v>
      </c>
      <c r="E127" s="63">
        <f t="shared" si="70"/>
        <v>12892579.697030809</v>
      </c>
      <c r="F127" s="63">
        <f t="shared" si="70"/>
        <v>646450.9715441782</v>
      </c>
      <c r="G127" s="105">
        <f t="shared" si="68"/>
        <v>20055209.555824183</v>
      </c>
      <c r="H127" s="99">
        <v>20055000</v>
      </c>
      <c r="J127" s="38">
        <v>2022</v>
      </c>
      <c r="K127" s="63">
        <f t="shared" si="71"/>
        <v>199.08922232019555</v>
      </c>
      <c r="L127" s="63">
        <f t="shared" si="71"/>
        <v>1141.7358131975006</v>
      </c>
      <c r="M127" s="63">
        <f t="shared" si="71"/>
        <v>2794.0004284499346</v>
      </c>
      <c r="N127" s="63">
        <f t="shared" si="71"/>
        <v>198.96921254052882</v>
      </c>
      <c r="O127" s="66">
        <f t="shared" si="69"/>
        <v>4333.7946765081597</v>
      </c>
    </row>
    <row r="128" spans="2:17" x14ac:dyDescent="0.25">
      <c r="B128" s="13">
        <v>2023</v>
      </c>
      <c r="C128" s="63">
        <f t="shared" si="70"/>
        <v>1112478.8378840485</v>
      </c>
      <c r="D128" s="63">
        <f t="shared" si="70"/>
        <v>636564.72469334747</v>
      </c>
      <c r="E128" s="63">
        <f t="shared" si="70"/>
        <v>4306524.6556104906</v>
      </c>
      <c r="F128" s="63">
        <f t="shared" si="70"/>
        <v>346041.5985417699</v>
      </c>
      <c r="G128" s="105">
        <f t="shared" si="68"/>
        <v>6401609.8167296564</v>
      </c>
      <c r="H128" s="99">
        <v>6402000</v>
      </c>
      <c r="J128" s="38">
        <v>2023</v>
      </c>
      <c r="K128" s="63">
        <f t="shared" si="71"/>
        <v>150.04340725509732</v>
      </c>
      <c r="L128" s="63">
        <f t="shared" si="71"/>
        <v>144.20252100937105</v>
      </c>
      <c r="M128" s="63">
        <f t="shared" si="71"/>
        <v>933.28348675455652</v>
      </c>
      <c r="N128" s="63">
        <f t="shared" si="71"/>
        <v>106.50710943113879</v>
      </c>
      <c r="O128" s="66">
        <f t="shared" si="69"/>
        <v>1334.0365244501636</v>
      </c>
    </row>
    <row r="129" spans="2:15" x14ac:dyDescent="0.25">
      <c r="B129" s="67">
        <v>2024</v>
      </c>
      <c r="C129" s="63">
        <f t="shared" si="70"/>
        <v>1007014.1497723627</v>
      </c>
      <c r="D129" s="63">
        <f t="shared" si="70"/>
        <v>607069.85963794542</v>
      </c>
      <c r="E129" s="63">
        <f t="shared" si="70"/>
        <v>4513143.7359361518</v>
      </c>
      <c r="F129" s="63">
        <f t="shared" si="70"/>
        <v>313205.2805592111</v>
      </c>
      <c r="G129" s="105">
        <f t="shared" si="68"/>
        <v>6440433.0259056715</v>
      </c>
      <c r="H129" s="99">
        <v>6440000</v>
      </c>
      <c r="J129" s="124">
        <v>2024</v>
      </c>
      <c r="K129" s="63">
        <f t="shared" si="71"/>
        <v>135.81906373457559</v>
      </c>
      <c r="L129" s="63">
        <f t="shared" si="71"/>
        <v>137.52097908153476</v>
      </c>
      <c r="M129" s="63">
        <f t="shared" si="71"/>
        <v>978.0607006653446</v>
      </c>
      <c r="N129" s="63">
        <f t="shared" si="71"/>
        <v>96.400517254297029</v>
      </c>
      <c r="O129" s="66">
        <f t="shared" si="69"/>
        <v>1347.8012607357518</v>
      </c>
    </row>
    <row r="130" spans="2:15" ht="15.75" thickBot="1" x14ac:dyDescent="0.3">
      <c r="B130" s="68">
        <v>2025</v>
      </c>
      <c r="C130" s="70">
        <f t="shared" si="70"/>
        <v>906298.38143604936</v>
      </c>
      <c r="D130" s="70">
        <f t="shared" si="70"/>
        <v>575825.09515701456</v>
      </c>
      <c r="E130" s="70">
        <f t="shared" si="70"/>
        <v>4698030.0358087607</v>
      </c>
      <c r="F130" s="70">
        <f t="shared" si="70"/>
        <v>280450.93172445538</v>
      </c>
      <c r="G130" s="106">
        <f t="shared" si="68"/>
        <v>6460604.44412628</v>
      </c>
      <c r="H130" s="99">
        <v>6461000</v>
      </c>
      <c r="J130" s="125">
        <v>2025</v>
      </c>
      <c r="K130" s="70">
        <f t="shared" si="71"/>
        <v>122.23522147988764</v>
      </c>
      <c r="L130" s="70">
        <f t="shared" si="71"/>
        <v>130.44302827509514</v>
      </c>
      <c r="M130" s="70">
        <f t="shared" si="71"/>
        <v>1018.1281203127528</v>
      </c>
      <c r="N130" s="70">
        <f t="shared" si="71"/>
        <v>86.319154116483645</v>
      </c>
      <c r="O130" s="69">
        <f t="shared" si="69"/>
        <v>1357.1255241842191</v>
      </c>
    </row>
    <row r="131" spans="2:15" ht="16.5" thickTop="1" thickBot="1" x14ac:dyDescent="0.3">
      <c r="G131" s="73">
        <f>SUM(G124:G130)</f>
        <v>189633190.3898111</v>
      </c>
      <c r="H131" s="100">
        <f>SUM(H124:H130)</f>
        <v>189634000</v>
      </c>
    </row>
    <row r="132" spans="2:15" ht="15.75" thickTop="1" x14ac:dyDescent="0.25"/>
    <row r="134" spans="2:15" x14ac:dyDescent="0.25">
      <c r="B134" s="8" t="s">
        <v>68</v>
      </c>
    </row>
    <row r="135" spans="2:15" x14ac:dyDescent="0.25">
      <c r="B135" t="s">
        <v>70</v>
      </c>
      <c r="C135">
        <v>18000</v>
      </c>
      <c r="L135" s="73"/>
    </row>
    <row r="136" spans="2:15" x14ac:dyDescent="0.25">
      <c r="B136" t="s">
        <v>71</v>
      </c>
      <c r="C136">
        <v>300</v>
      </c>
    </row>
    <row r="137" spans="2:15" x14ac:dyDescent="0.25">
      <c r="B137" t="s">
        <v>12</v>
      </c>
      <c r="C137" t="s">
        <v>69</v>
      </c>
      <c r="D137" t="s">
        <v>72</v>
      </c>
      <c r="E137" t="s">
        <v>143</v>
      </c>
      <c r="F137" t="s">
        <v>53</v>
      </c>
      <c r="G137" t="s">
        <v>73</v>
      </c>
    </row>
    <row r="138" spans="2:15" x14ac:dyDescent="0.25">
      <c r="B138">
        <v>2019</v>
      </c>
      <c r="C138" s="84">
        <v>0.23</v>
      </c>
      <c r="D138">
        <f>C138*$C$135/4</f>
        <v>1035</v>
      </c>
      <c r="E138">
        <v>1035</v>
      </c>
      <c r="F138" s="73">
        <f>D138*$C$136</f>
        <v>310500</v>
      </c>
      <c r="G138" s="73">
        <v>311000</v>
      </c>
    </row>
    <row r="139" spans="2:15" x14ac:dyDescent="0.25">
      <c r="B139">
        <v>2020</v>
      </c>
      <c r="C139" s="85">
        <f>C138/2</f>
        <v>0.115</v>
      </c>
      <c r="D139">
        <f>C139*$C$135</f>
        <v>2070</v>
      </c>
      <c r="E139">
        <v>2070</v>
      </c>
      <c r="F139" s="73">
        <f t="shared" ref="F139:F144" si="72">D139*$C$136</f>
        <v>621000</v>
      </c>
      <c r="G139" s="73">
        <v>621000</v>
      </c>
    </row>
    <row r="140" spans="2:15" x14ac:dyDescent="0.25">
      <c r="B140">
        <v>2021</v>
      </c>
      <c r="C140" s="85">
        <f>C139/2</f>
        <v>5.7500000000000002E-2</v>
      </c>
      <c r="D140">
        <f t="shared" ref="D140:D144" si="73">C140*$C$135</f>
        <v>1035</v>
      </c>
      <c r="E140">
        <v>1035</v>
      </c>
      <c r="F140" s="73">
        <f t="shared" si="72"/>
        <v>310500</v>
      </c>
      <c r="G140" s="73">
        <v>311000</v>
      </c>
    </row>
    <row r="141" spans="2:15" x14ac:dyDescent="0.25">
      <c r="B141">
        <v>2022</v>
      </c>
      <c r="C141" s="85">
        <f>C140/2</f>
        <v>2.8750000000000001E-2</v>
      </c>
      <c r="D141">
        <f>C141*$C$135</f>
        <v>517.5</v>
      </c>
      <c r="E141">
        <v>518</v>
      </c>
      <c r="F141" s="73">
        <f t="shared" si="72"/>
        <v>155250</v>
      </c>
      <c r="G141" s="73">
        <v>155000</v>
      </c>
    </row>
    <row r="142" spans="2:15" x14ac:dyDescent="0.25">
      <c r="B142">
        <v>2023</v>
      </c>
      <c r="C142" s="85">
        <f>C141/2</f>
        <v>1.4375000000000001E-2</v>
      </c>
      <c r="D142">
        <f>C142*$C$135</f>
        <v>258.75</v>
      </c>
      <c r="E142">
        <v>259</v>
      </c>
      <c r="F142" s="73">
        <f t="shared" si="72"/>
        <v>77625</v>
      </c>
      <c r="G142" s="73">
        <v>78000</v>
      </c>
    </row>
    <row r="143" spans="2:15" x14ac:dyDescent="0.25">
      <c r="B143">
        <v>2024</v>
      </c>
      <c r="C143" s="85">
        <v>0.01</v>
      </c>
      <c r="D143">
        <f t="shared" si="73"/>
        <v>180</v>
      </c>
      <c r="E143">
        <v>180</v>
      </c>
      <c r="F143" s="73">
        <f t="shared" si="72"/>
        <v>54000</v>
      </c>
      <c r="G143" s="73">
        <v>54000</v>
      </c>
    </row>
    <row r="144" spans="2:15" x14ac:dyDescent="0.25">
      <c r="B144">
        <v>2025</v>
      </c>
      <c r="C144" s="85">
        <v>0.01</v>
      </c>
      <c r="D144">
        <f t="shared" si="73"/>
        <v>180</v>
      </c>
      <c r="E144">
        <v>180</v>
      </c>
      <c r="F144" s="73">
        <f t="shared" si="72"/>
        <v>54000</v>
      </c>
      <c r="G144" s="73">
        <v>54000</v>
      </c>
    </row>
    <row r="145" spans="2:9" x14ac:dyDescent="0.25">
      <c r="D145">
        <f>SUM(D138:D144)</f>
        <v>5276.25</v>
      </c>
      <c r="E145">
        <f>SUM(E138:E144)</f>
        <v>5277</v>
      </c>
      <c r="F145" s="73">
        <f>SUM(F138:F144)</f>
        <v>1582875</v>
      </c>
      <c r="G145" s="73">
        <f>SUM(G138:G144)</f>
        <v>1584000</v>
      </c>
    </row>
    <row r="146" spans="2:9" x14ac:dyDescent="0.25">
      <c r="D146" t="s">
        <v>191</v>
      </c>
    </row>
    <row r="148" spans="2:9" x14ac:dyDescent="0.25">
      <c r="B148" s="8" t="s">
        <v>74</v>
      </c>
    </row>
    <row r="149" spans="2:9" x14ac:dyDescent="0.25">
      <c r="B149" s="87" t="s">
        <v>77</v>
      </c>
      <c r="G149" s="87" t="s">
        <v>78</v>
      </c>
    </row>
    <row r="150" spans="2:9" x14ac:dyDescent="0.25">
      <c r="B150" t="s">
        <v>189</v>
      </c>
      <c r="G150" t="s">
        <v>84</v>
      </c>
    </row>
    <row r="151" spans="2:9" x14ac:dyDescent="0.25">
      <c r="B151" t="s">
        <v>75</v>
      </c>
      <c r="G151" t="s">
        <v>85</v>
      </c>
    </row>
    <row r="152" spans="2:9" x14ac:dyDescent="0.25">
      <c r="B152" t="s">
        <v>187</v>
      </c>
      <c r="C152">
        <v>2516</v>
      </c>
      <c r="G152" t="s">
        <v>86</v>
      </c>
      <c r="I152">
        <v>316</v>
      </c>
    </row>
    <row r="153" spans="2:9" x14ac:dyDescent="0.25">
      <c r="B153" t="s">
        <v>188</v>
      </c>
      <c r="C153" s="73">
        <v>237000</v>
      </c>
      <c r="D153" s="86"/>
    </row>
    <row r="154" spans="2:9" x14ac:dyDescent="0.25">
      <c r="B154" t="s">
        <v>76</v>
      </c>
      <c r="C154">
        <f>C153/20</f>
        <v>11850</v>
      </c>
      <c r="G154" s="87" t="s">
        <v>87</v>
      </c>
    </row>
    <row r="155" spans="2:9" x14ac:dyDescent="0.25">
      <c r="G155" t="s">
        <v>53</v>
      </c>
      <c r="H155">
        <v>175</v>
      </c>
    </row>
    <row r="156" spans="2:9" x14ac:dyDescent="0.25">
      <c r="B156" s="87" t="s">
        <v>79</v>
      </c>
      <c r="G156" t="s">
        <v>80</v>
      </c>
      <c r="H156">
        <v>6</v>
      </c>
      <c r="I156" t="s">
        <v>88</v>
      </c>
    </row>
    <row r="157" spans="2:9" x14ac:dyDescent="0.25">
      <c r="B157" t="s">
        <v>53</v>
      </c>
      <c r="C157">
        <v>0</v>
      </c>
      <c r="G157" t="s">
        <v>81</v>
      </c>
      <c r="H157">
        <v>67</v>
      </c>
      <c r="I157" t="s">
        <v>82</v>
      </c>
    </row>
    <row r="158" spans="2:9" x14ac:dyDescent="0.25">
      <c r="B158" t="s">
        <v>80</v>
      </c>
      <c r="C158">
        <v>1</v>
      </c>
      <c r="D158" t="s">
        <v>83</v>
      </c>
      <c r="G158" t="s">
        <v>11</v>
      </c>
      <c r="H158">
        <f>H155+H156*H157</f>
        <v>577</v>
      </c>
    </row>
    <row r="159" spans="2:9" ht="15.75" thickBot="1" x14ac:dyDescent="0.3">
      <c r="B159" t="s">
        <v>81</v>
      </c>
      <c r="C159">
        <v>67</v>
      </c>
      <c r="D159" t="s">
        <v>82</v>
      </c>
    </row>
    <row r="160" spans="2:9" ht="15.75" thickTop="1" x14ac:dyDescent="0.25">
      <c r="B160" t="s">
        <v>11</v>
      </c>
      <c r="C160">
        <v>67</v>
      </c>
      <c r="G160" s="92" t="s">
        <v>12</v>
      </c>
      <c r="H160" s="93" t="s">
        <v>53</v>
      </c>
    </row>
    <row r="161" spans="2:8" ht="15.75" thickBot="1" x14ac:dyDescent="0.3">
      <c r="G161" s="13">
        <v>2019</v>
      </c>
      <c r="H161" s="35">
        <f>H158*I152</f>
        <v>182332</v>
      </c>
    </row>
    <row r="162" spans="2:8" ht="15.75" thickTop="1" x14ac:dyDescent="0.25">
      <c r="B162" s="88" t="s">
        <v>12</v>
      </c>
      <c r="C162" s="89" t="s">
        <v>53</v>
      </c>
      <c r="G162" s="13">
        <v>2020</v>
      </c>
      <c r="H162" s="35">
        <v>0</v>
      </c>
    </row>
    <row r="163" spans="2:8" x14ac:dyDescent="0.25">
      <c r="B163" s="38">
        <v>2019</v>
      </c>
      <c r="C163" s="35">
        <f>C160*C154</f>
        <v>793950</v>
      </c>
      <c r="G163" s="13">
        <v>2021</v>
      </c>
      <c r="H163" s="35">
        <v>0</v>
      </c>
    </row>
    <row r="164" spans="2:8" x14ac:dyDescent="0.25">
      <c r="B164" s="38">
        <v>2020</v>
      </c>
      <c r="C164" s="35">
        <v>0</v>
      </c>
      <c r="G164" s="13">
        <v>2022</v>
      </c>
      <c r="H164" s="35">
        <v>0</v>
      </c>
    </row>
    <row r="165" spans="2:8" x14ac:dyDescent="0.25">
      <c r="B165" s="38">
        <v>2021</v>
      </c>
      <c r="C165" s="35">
        <v>0</v>
      </c>
      <c r="G165" s="13">
        <v>2023</v>
      </c>
      <c r="H165" s="35">
        <f>H158*I152</f>
        <v>182332</v>
      </c>
    </row>
    <row r="166" spans="2:8" x14ac:dyDescent="0.25">
      <c r="B166" s="38">
        <v>2022</v>
      </c>
      <c r="C166" s="35">
        <v>0</v>
      </c>
      <c r="G166" s="13">
        <v>2024</v>
      </c>
      <c r="H166" s="35">
        <v>0</v>
      </c>
    </row>
    <row r="167" spans="2:8" ht="15.75" thickBot="1" x14ac:dyDescent="0.3">
      <c r="B167" s="38">
        <v>2023</v>
      </c>
      <c r="C167" s="35">
        <v>0</v>
      </c>
      <c r="G167" s="94">
        <v>2025</v>
      </c>
      <c r="H167" s="91">
        <v>0</v>
      </c>
    </row>
    <row r="168" spans="2:8" ht="15.75" thickTop="1" x14ac:dyDescent="0.25">
      <c r="B168" s="38">
        <v>2024</v>
      </c>
      <c r="C168" s="35">
        <v>0</v>
      </c>
      <c r="G168" s="142"/>
      <c r="H168" s="17"/>
    </row>
    <row r="169" spans="2:8" ht="15.75" thickBot="1" x14ac:dyDescent="0.3">
      <c r="B169" s="90">
        <v>2025</v>
      </c>
      <c r="C169" s="91">
        <v>0</v>
      </c>
    </row>
    <row r="170" spans="2:8" ht="15.75" thickTop="1" x14ac:dyDescent="0.25"/>
    <row r="171" spans="2:8" ht="15.75" thickBot="1" x14ac:dyDescent="0.3">
      <c r="E171" s="87" t="s">
        <v>89</v>
      </c>
    </row>
    <row r="172" spans="2:8" ht="15.75" thickTop="1" x14ac:dyDescent="0.25">
      <c r="E172" s="92" t="s">
        <v>12</v>
      </c>
      <c r="F172" s="93" t="s">
        <v>53</v>
      </c>
      <c r="G172" s="101" t="s">
        <v>73</v>
      </c>
    </row>
    <row r="173" spans="2:8" x14ac:dyDescent="0.25">
      <c r="E173" s="13">
        <v>2019</v>
      </c>
      <c r="F173" s="35">
        <f t="shared" ref="F173:F179" si="74">C163+H161</f>
        <v>976282</v>
      </c>
      <c r="G173" s="99">
        <v>976000</v>
      </c>
    </row>
    <row r="174" spans="2:8" x14ac:dyDescent="0.25">
      <c r="E174" s="13">
        <v>2020</v>
      </c>
      <c r="F174" s="35">
        <f t="shared" si="74"/>
        <v>0</v>
      </c>
      <c r="G174" s="102">
        <v>0</v>
      </c>
    </row>
    <row r="175" spans="2:8" x14ac:dyDescent="0.25">
      <c r="E175" s="13">
        <v>2021</v>
      </c>
      <c r="F175" s="35">
        <f t="shared" si="74"/>
        <v>0</v>
      </c>
      <c r="G175" s="102">
        <v>0</v>
      </c>
    </row>
    <row r="176" spans="2:8" x14ac:dyDescent="0.25">
      <c r="E176" s="13">
        <v>2022</v>
      </c>
      <c r="F176" s="35">
        <f t="shared" si="74"/>
        <v>0</v>
      </c>
      <c r="G176" s="102">
        <v>0</v>
      </c>
    </row>
    <row r="177" spans="2:7" x14ac:dyDescent="0.25">
      <c r="E177" s="13">
        <v>2023</v>
      </c>
      <c r="F177" s="35">
        <f t="shared" si="74"/>
        <v>182332</v>
      </c>
      <c r="G177" s="99">
        <v>182000</v>
      </c>
    </row>
    <row r="178" spans="2:7" x14ac:dyDescent="0.25">
      <c r="E178" s="13">
        <v>2024</v>
      </c>
      <c r="F178" s="35">
        <f t="shared" si="74"/>
        <v>0</v>
      </c>
      <c r="G178" s="102">
        <v>0</v>
      </c>
    </row>
    <row r="179" spans="2:7" x14ac:dyDescent="0.25">
      <c r="E179" s="13">
        <v>2025</v>
      </c>
      <c r="F179" s="35">
        <f t="shared" si="74"/>
        <v>0</v>
      </c>
      <c r="G179" s="102">
        <v>0</v>
      </c>
    </row>
    <row r="180" spans="2:7" ht="15.75" thickBot="1" x14ac:dyDescent="0.3">
      <c r="E180" s="94" t="s">
        <v>11</v>
      </c>
      <c r="F180" s="91">
        <f>SUM(F173:F179)</f>
        <v>1158614</v>
      </c>
      <c r="G180" s="100">
        <f>SUM(G173:G179)</f>
        <v>1158000</v>
      </c>
    </row>
    <row r="181" spans="2:7" ht="15.75" thickTop="1" x14ac:dyDescent="0.25"/>
    <row r="182" spans="2:7" x14ac:dyDescent="0.25">
      <c r="B182" s="8" t="s">
        <v>149</v>
      </c>
    </row>
    <row r="184" spans="2:7" x14ac:dyDescent="0.25">
      <c r="B184" t="s">
        <v>150</v>
      </c>
      <c r="C184">
        <v>50</v>
      </c>
    </row>
    <row r="186" spans="2:7" x14ac:dyDescent="0.25">
      <c r="B186" t="s">
        <v>151</v>
      </c>
    </row>
    <row r="187" spans="2:7" x14ac:dyDescent="0.25">
      <c r="B187" t="s">
        <v>152</v>
      </c>
      <c r="C187">
        <v>8</v>
      </c>
      <c r="D187" t="s">
        <v>88</v>
      </c>
    </row>
    <row r="188" spans="2:7" x14ac:dyDescent="0.25">
      <c r="B188" t="s">
        <v>153</v>
      </c>
      <c r="C188">
        <v>4</v>
      </c>
      <c r="D188" t="s">
        <v>88</v>
      </c>
    </row>
    <row r="189" spans="2:7" x14ac:dyDescent="0.25">
      <c r="B189" t="s">
        <v>210</v>
      </c>
      <c r="C189">
        <v>2</v>
      </c>
      <c r="D189" t="s">
        <v>88</v>
      </c>
    </row>
    <row r="191" spans="2:7" x14ac:dyDescent="0.25">
      <c r="B191" t="s">
        <v>154</v>
      </c>
    </row>
    <row r="192" spans="2:7" x14ac:dyDescent="0.25">
      <c r="B192" t="str">
        <f>B187</f>
        <v>50+ vehicle fleet</v>
      </c>
      <c r="C192">
        <v>4</v>
      </c>
      <c r="D192" t="str">
        <f>D187</f>
        <v>hours</v>
      </c>
    </row>
    <row r="193" spans="2:11" x14ac:dyDescent="0.25">
      <c r="B193" t="str">
        <f t="shared" ref="B193:B194" si="75">B188</f>
        <v>20-49 vehicle fleet</v>
      </c>
      <c r="C193">
        <v>2</v>
      </c>
      <c r="D193" t="str">
        <f t="shared" ref="D193:D194" si="76">D188</f>
        <v>hours</v>
      </c>
    </row>
    <row r="194" spans="2:11" x14ac:dyDescent="0.25">
      <c r="B194" t="str">
        <f t="shared" si="75"/>
        <v>&lt;20 vehicle fleet</v>
      </c>
      <c r="C194">
        <v>1</v>
      </c>
      <c r="D194" t="str">
        <f t="shared" si="76"/>
        <v>hours</v>
      </c>
    </row>
    <row r="196" spans="2:11" ht="15.75" thickBot="1" x14ac:dyDescent="0.3">
      <c r="D196" s="41" t="s">
        <v>155</v>
      </c>
    </row>
    <row r="197" spans="2:11" ht="15.75" thickTop="1" x14ac:dyDescent="0.25">
      <c r="B197" s="146"/>
      <c r="C197" s="147">
        <v>2018</v>
      </c>
      <c r="D197" s="147">
        <v>2019</v>
      </c>
      <c r="E197" s="147">
        <v>2020</v>
      </c>
      <c r="F197" s="147">
        <v>2021</v>
      </c>
      <c r="G197" s="147">
        <v>2022</v>
      </c>
      <c r="H197" s="147">
        <v>2023</v>
      </c>
      <c r="I197" s="147">
        <v>2024</v>
      </c>
      <c r="J197" s="148">
        <v>2025</v>
      </c>
    </row>
    <row r="198" spans="2:11" x14ac:dyDescent="0.25">
      <c r="B198" s="13" t="s">
        <v>156</v>
      </c>
      <c r="C198" s="149">
        <v>0</v>
      </c>
      <c r="D198" s="149">
        <v>0</v>
      </c>
      <c r="E198" s="149">
        <v>0</v>
      </c>
      <c r="F198" s="149">
        <v>0</v>
      </c>
      <c r="G198" s="149">
        <v>0</v>
      </c>
      <c r="H198" s="149">
        <v>400</v>
      </c>
      <c r="I198" s="149">
        <v>200</v>
      </c>
      <c r="J198" s="150">
        <f>C184*C192</f>
        <v>200</v>
      </c>
    </row>
    <row r="199" spans="2:11" x14ac:dyDescent="0.25">
      <c r="B199" s="13" t="s">
        <v>157</v>
      </c>
      <c r="C199" s="151">
        <v>0</v>
      </c>
      <c r="D199" s="151">
        <v>0</v>
      </c>
      <c r="E199" s="152">
        <v>0</v>
      </c>
      <c r="F199" s="152">
        <v>0</v>
      </c>
      <c r="G199" s="152">
        <v>0</v>
      </c>
      <c r="H199" s="152">
        <v>200</v>
      </c>
      <c r="I199" s="152">
        <v>100</v>
      </c>
      <c r="J199" s="150">
        <f>C184*C193</f>
        <v>100</v>
      </c>
    </row>
    <row r="200" spans="2:11" ht="15.75" thickBot="1" x14ac:dyDescent="0.3">
      <c r="B200" s="94" t="s">
        <v>192</v>
      </c>
      <c r="C200" s="153">
        <v>0</v>
      </c>
      <c r="D200" s="153">
        <v>0</v>
      </c>
      <c r="E200" s="153">
        <v>0</v>
      </c>
      <c r="F200" s="153">
        <v>0</v>
      </c>
      <c r="G200" s="153">
        <v>0</v>
      </c>
      <c r="H200" s="153">
        <v>100</v>
      </c>
      <c r="I200" s="153">
        <v>50</v>
      </c>
      <c r="J200" s="154">
        <f>C184*C194</f>
        <v>50</v>
      </c>
    </row>
    <row r="201" spans="2:11" ht="16.5" thickTop="1" thickBot="1" x14ac:dyDescent="0.3">
      <c r="B201" s="142"/>
      <c r="C201" s="155"/>
      <c r="D201" s="155"/>
      <c r="E201" s="155"/>
      <c r="F201" s="155"/>
      <c r="G201" s="155"/>
      <c r="H201" s="155"/>
      <c r="I201" s="155"/>
      <c r="J201" s="155"/>
    </row>
    <row r="202" spans="2:11" ht="16.5" thickTop="1" thickBot="1" x14ac:dyDescent="0.3">
      <c r="B202" s="55" t="s">
        <v>158</v>
      </c>
      <c r="C202" s="56" t="s">
        <v>177</v>
      </c>
      <c r="D202" s="43" t="s">
        <v>178</v>
      </c>
      <c r="E202" s="155"/>
      <c r="F202" s="155"/>
      <c r="G202" s="155"/>
      <c r="H202" s="155"/>
      <c r="I202" s="155"/>
      <c r="J202" s="155"/>
    </row>
    <row r="203" spans="2:11" x14ac:dyDescent="0.25">
      <c r="B203" s="44" t="s">
        <v>156</v>
      </c>
      <c r="C203" s="48">
        <v>764</v>
      </c>
      <c r="D203" s="175">
        <v>0.37</v>
      </c>
      <c r="E203" s="155"/>
      <c r="F203" s="155"/>
      <c r="G203" s="155"/>
      <c r="H203" s="155"/>
      <c r="I203" s="155"/>
      <c r="J203" s="155"/>
    </row>
    <row r="204" spans="2:11" x14ac:dyDescent="0.25">
      <c r="B204" s="44" t="s">
        <v>157</v>
      </c>
      <c r="C204" s="48">
        <v>1752</v>
      </c>
      <c r="D204" s="45">
        <v>0.13</v>
      </c>
      <c r="E204" s="155"/>
      <c r="F204" s="186"/>
      <c r="G204" s="187"/>
      <c r="H204" s="155"/>
      <c r="I204" s="155"/>
      <c r="J204" s="155"/>
    </row>
    <row r="205" spans="2:11" ht="15.75" thickBot="1" x14ac:dyDescent="0.3">
      <c r="B205" s="46" t="s">
        <v>192</v>
      </c>
      <c r="C205" s="74">
        <v>47078</v>
      </c>
      <c r="D205" s="47">
        <v>0.5</v>
      </c>
    </row>
    <row r="206" spans="2:11" ht="15.75" thickTop="1" x14ac:dyDescent="0.25"/>
    <row r="207" spans="2:11" ht="15.75" thickBot="1" x14ac:dyDescent="0.3">
      <c r="D207" s="41" t="s">
        <v>159</v>
      </c>
    </row>
    <row r="208" spans="2:11" ht="15.75" thickTop="1" x14ac:dyDescent="0.25">
      <c r="B208" s="146"/>
      <c r="C208" s="156">
        <v>2018</v>
      </c>
      <c r="D208" s="156">
        <v>2019</v>
      </c>
      <c r="E208" s="156">
        <v>2020</v>
      </c>
      <c r="F208" s="156">
        <v>2021</v>
      </c>
      <c r="G208" s="156">
        <v>2022</v>
      </c>
      <c r="H208" s="156">
        <v>2023</v>
      </c>
      <c r="I208" s="156">
        <v>2024</v>
      </c>
      <c r="J208" s="147">
        <v>2025</v>
      </c>
      <c r="K208" s="157" t="s">
        <v>11</v>
      </c>
    </row>
    <row r="209" spans="2:11" x14ac:dyDescent="0.25">
      <c r="B209" s="13" t="s">
        <v>156</v>
      </c>
      <c r="C209" s="158">
        <f>$C$33*C194</f>
        <v>0</v>
      </c>
      <c r="D209" s="158">
        <v>0</v>
      </c>
      <c r="E209" s="158">
        <f t="shared" ref="E209:G209" si="77">$C$33*E194</f>
        <v>0</v>
      </c>
      <c r="F209" s="158">
        <f t="shared" si="77"/>
        <v>0</v>
      </c>
      <c r="G209" s="158">
        <f t="shared" si="77"/>
        <v>0</v>
      </c>
      <c r="H209" s="158">
        <f>H198*C203</f>
        <v>305600</v>
      </c>
      <c r="I209" s="158">
        <f>I198*C203</f>
        <v>152800</v>
      </c>
      <c r="J209" s="161">
        <f>J198*C203</f>
        <v>152800</v>
      </c>
      <c r="K209" s="159">
        <f>SUM(C209:J209)</f>
        <v>611200</v>
      </c>
    </row>
    <row r="210" spans="2:11" x14ac:dyDescent="0.25">
      <c r="B210" s="13" t="s">
        <v>157</v>
      </c>
      <c r="C210" s="64">
        <f>$C$34*C195</f>
        <v>0</v>
      </c>
      <c r="D210" s="64">
        <f t="shared" ref="D210:G210" si="78">$C$34*D195</f>
        <v>0</v>
      </c>
      <c r="E210" s="64">
        <f t="shared" si="78"/>
        <v>0</v>
      </c>
      <c r="F210" s="64">
        <f t="shared" si="78"/>
        <v>0</v>
      </c>
      <c r="G210" s="64">
        <f t="shared" si="78"/>
        <v>0</v>
      </c>
      <c r="H210" s="64">
        <f>H199*C204</f>
        <v>350400</v>
      </c>
      <c r="I210" s="64">
        <f>I199*C204</f>
        <v>175200</v>
      </c>
      <c r="J210" s="162">
        <f>J199*C204</f>
        <v>175200</v>
      </c>
      <c r="K210" s="159">
        <f t="shared" ref="K210:K211" si="79">SUM(C210:J210)</f>
        <v>700800</v>
      </c>
    </row>
    <row r="211" spans="2:11" ht="15.75" thickBot="1" x14ac:dyDescent="0.3">
      <c r="B211" s="94" t="s">
        <v>160</v>
      </c>
      <c r="C211" s="71">
        <f>$C$35*C196</f>
        <v>0</v>
      </c>
      <c r="D211" s="71">
        <v>0</v>
      </c>
      <c r="E211" s="71">
        <f t="shared" ref="E211:G211" si="80">$C$35*E196</f>
        <v>0</v>
      </c>
      <c r="F211" s="71">
        <f t="shared" si="80"/>
        <v>0</v>
      </c>
      <c r="G211" s="71">
        <f t="shared" si="80"/>
        <v>0</v>
      </c>
      <c r="H211" s="71">
        <f>H200*C205</f>
        <v>4707800</v>
      </c>
      <c r="I211" s="71">
        <f>I200*C205</f>
        <v>2353900</v>
      </c>
      <c r="J211" s="163">
        <f>J200*C205</f>
        <v>2353900</v>
      </c>
      <c r="K211" s="160">
        <f t="shared" si="79"/>
        <v>9415600</v>
      </c>
    </row>
    <row r="212" spans="2:11" ht="15.75" thickTop="1" x14ac:dyDescent="0.25">
      <c r="B212" s="83" t="s">
        <v>11</v>
      </c>
      <c r="C212" s="73">
        <f>SUM(C209:C211)</f>
        <v>0</v>
      </c>
      <c r="D212" s="73">
        <f t="shared" ref="D212:K212" si="81">SUM(D209:D211)</f>
        <v>0</v>
      </c>
      <c r="E212" s="73">
        <f t="shared" si="81"/>
        <v>0</v>
      </c>
      <c r="F212" s="73">
        <f t="shared" si="81"/>
        <v>0</v>
      </c>
      <c r="G212" s="73">
        <f t="shared" si="81"/>
        <v>0</v>
      </c>
      <c r="H212" s="73">
        <f t="shared" si="81"/>
        <v>5363800</v>
      </c>
      <c r="I212" s="73">
        <f t="shared" si="81"/>
        <v>2681900</v>
      </c>
      <c r="J212" s="73">
        <f t="shared" si="81"/>
        <v>2681900</v>
      </c>
      <c r="K212" s="73">
        <f t="shared" si="81"/>
        <v>10727600</v>
      </c>
    </row>
    <row r="213" spans="2:11" x14ac:dyDescent="0.25">
      <c r="E213" s="87" t="s">
        <v>161</v>
      </c>
    </row>
    <row r="214" spans="2:11" x14ac:dyDescent="0.25">
      <c r="E214" s="95">
        <f>SUM(K209:K211)</f>
        <v>10727600</v>
      </c>
    </row>
    <row r="215" spans="2:11" x14ac:dyDescent="0.25">
      <c r="E215" s="95"/>
    </row>
    <row r="216" spans="2:11" ht="15.75" thickBot="1" x14ac:dyDescent="0.3">
      <c r="B216" t="s">
        <v>163</v>
      </c>
      <c r="E216" s="95"/>
    </row>
    <row r="217" spans="2:11" ht="15.75" thickTop="1" x14ac:dyDescent="0.25">
      <c r="B217" s="42"/>
      <c r="C217" s="53" t="s">
        <v>190</v>
      </c>
      <c r="D217" s="53" t="s">
        <v>164</v>
      </c>
      <c r="E217" s="53" t="s">
        <v>165</v>
      </c>
      <c r="F217" s="54" t="s">
        <v>11</v>
      </c>
      <c r="G217" s="95"/>
    </row>
    <row r="218" spans="2:11" x14ac:dyDescent="0.25">
      <c r="B218" s="13" t="s">
        <v>156</v>
      </c>
      <c r="C218" s="17">
        <v>306000</v>
      </c>
      <c r="D218" s="166">
        <v>153000</v>
      </c>
      <c r="E218" s="166">
        <v>153000</v>
      </c>
      <c r="F218" s="144">
        <f>SUM(C218:E218)</f>
        <v>612000</v>
      </c>
      <c r="G218" s="95"/>
    </row>
    <row r="219" spans="2:11" x14ac:dyDescent="0.25">
      <c r="B219" s="13" t="s">
        <v>157</v>
      </c>
      <c r="C219" s="17">
        <v>350000</v>
      </c>
      <c r="D219" s="166">
        <v>175000</v>
      </c>
      <c r="E219" s="166">
        <v>175000</v>
      </c>
      <c r="F219" s="144">
        <f>SUM(C219:E219)</f>
        <v>700000</v>
      </c>
      <c r="G219" s="95"/>
    </row>
    <row r="220" spans="2:11" ht="15.75" thickBot="1" x14ac:dyDescent="0.3">
      <c r="B220" s="94" t="s">
        <v>160</v>
      </c>
      <c r="C220" s="190">
        <v>4708000</v>
      </c>
      <c r="D220" s="167">
        <v>2354000</v>
      </c>
      <c r="E220" s="167">
        <v>2354000</v>
      </c>
      <c r="F220" s="145">
        <f>SUM(C220:E220)</f>
        <v>9416000</v>
      </c>
    </row>
    <row r="221" spans="2:11" ht="16.5" thickTop="1" thickBot="1" x14ac:dyDescent="0.3">
      <c r="B221" s="165" t="s">
        <v>166</v>
      </c>
      <c r="C221" s="191">
        <f>SUM(C218:C220)</f>
        <v>5364000</v>
      </c>
      <c r="D221" s="168">
        <f>SUM(D218:D220)</f>
        <v>2682000</v>
      </c>
      <c r="E221" s="168">
        <f t="shared" ref="E221:F221" si="82">SUM(E218:E220)</f>
        <v>2682000</v>
      </c>
      <c r="F221" s="169">
        <f t="shared" si="82"/>
        <v>10728000</v>
      </c>
    </row>
    <row r="222" spans="2:11" ht="15.75" thickTop="1" x14ac:dyDescent="0.25">
      <c r="B222" s="83"/>
      <c r="C222" s="166"/>
      <c r="D222" s="166"/>
      <c r="E222" s="166"/>
    </row>
    <row r="223" spans="2:11" x14ac:dyDescent="0.25">
      <c r="B223" s="172" t="s">
        <v>172</v>
      </c>
      <c r="C223" s="166"/>
      <c r="D223" s="166"/>
      <c r="E223" s="166"/>
    </row>
    <row r="224" spans="2:11" x14ac:dyDescent="0.25">
      <c r="B224" s="83"/>
      <c r="C224" s="166"/>
      <c r="D224" s="166"/>
      <c r="E224" s="166"/>
    </row>
    <row r="225" spans="2:6" x14ac:dyDescent="0.25">
      <c r="B225" s="83" t="s">
        <v>173</v>
      </c>
      <c r="C225" s="166">
        <v>5000</v>
      </c>
      <c r="D225" s="166"/>
      <c r="E225" s="166"/>
    </row>
    <row r="226" spans="2:6" x14ac:dyDescent="0.25">
      <c r="B226" s="83" t="s">
        <v>174</v>
      </c>
      <c r="C226" s="166">
        <v>65</v>
      </c>
      <c r="D226" s="166"/>
      <c r="E226" s="166"/>
    </row>
    <row r="227" spans="2:6" ht="15.75" thickBot="1" x14ac:dyDescent="0.3">
      <c r="B227" s="83"/>
      <c r="C227" s="166"/>
      <c r="D227" s="166"/>
      <c r="E227" s="166"/>
    </row>
    <row r="228" spans="2:6" x14ac:dyDescent="0.25">
      <c r="B228" s="182" t="s">
        <v>12</v>
      </c>
      <c r="C228" s="183" t="s">
        <v>175</v>
      </c>
      <c r="D228" s="183" t="s">
        <v>176</v>
      </c>
      <c r="E228" s="184" t="s">
        <v>11</v>
      </c>
      <c r="F228" s="185" t="s">
        <v>179</v>
      </c>
    </row>
    <row r="229" spans="2:6" x14ac:dyDescent="0.25">
      <c r="B229" s="177">
        <v>2019</v>
      </c>
      <c r="C229" s="166">
        <v>0</v>
      </c>
      <c r="D229" s="166">
        <v>0</v>
      </c>
      <c r="E229" s="166">
        <f>SUM(C229:D229)</f>
        <v>0</v>
      </c>
      <c r="F229" s="178">
        <v>0</v>
      </c>
    </row>
    <row r="230" spans="2:6" x14ac:dyDescent="0.25">
      <c r="B230" s="177">
        <v>2020</v>
      </c>
      <c r="C230" s="166">
        <v>0</v>
      </c>
      <c r="D230" s="166">
        <v>0</v>
      </c>
      <c r="E230" s="166">
        <f t="shared" ref="E230:E235" si="83">SUM(C230:D230)</f>
        <v>0</v>
      </c>
      <c r="F230" s="178">
        <v>0</v>
      </c>
    </row>
    <row r="231" spans="2:6" x14ac:dyDescent="0.25">
      <c r="B231" s="177">
        <v>2021</v>
      </c>
      <c r="C231" s="166">
        <v>0</v>
      </c>
      <c r="D231" s="166">
        <v>0</v>
      </c>
      <c r="E231" s="166">
        <f t="shared" si="83"/>
        <v>0</v>
      </c>
      <c r="F231" s="178">
        <v>0</v>
      </c>
    </row>
    <row r="232" spans="2:6" x14ac:dyDescent="0.25">
      <c r="B232" s="177">
        <v>2022</v>
      </c>
      <c r="C232" s="166">
        <f>C226*G11*(C50-C49)*G49*D205</f>
        <v>3316187.8688368029</v>
      </c>
      <c r="D232" s="166">
        <f>C225*(C203+C204)*(C50-C49)</f>
        <v>2515999.9999999995</v>
      </c>
      <c r="E232" s="166">
        <f>SUM(C232:D232)</f>
        <v>5832187.8688368024</v>
      </c>
      <c r="F232" s="178">
        <v>5832000</v>
      </c>
    </row>
    <row r="233" spans="2:6" x14ac:dyDescent="0.25">
      <c r="B233" s="177">
        <v>2023</v>
      </c>
      <c r="C233" s="166">
        <f>C226*H11*(C50-C49)*G49*D205</f>
        <v>3331835.3153295848</v>
      </c>
      <c r="D233" s="176">
        <v>0</v>
      </c>
      <c r="E233" s="166">
        <f>SUM(C233:D233)</f>
        <v>3331835.3153295848</v>
      </c>
      <c r="F233" s="178">
        <v>3332000</v>
      </c>
    </row>
    <row r="234" spans="2:6" x14ac:dyDescent="0.25">
      <c r="B234" s="177">
        <v>2024</v>
      </c>
      <c r="C234" s="166">
        <f>C226*I11*(C50-C49)*G49*D205</f>
        <v>3457114.695269756</v>
      </c>
      <c r="D234" s="176">
        <v>0</v>
      </c>
      <c r="E234" s="166">
        <f t="shared" si="83"/>
        <v>3457114.695269756</v>
      </c>
      <c r="F234" s="178">
        <v>3457000</v>
      </c>
    </row>
    <row r="235" spans="2:6" ht="15.75" thickBot="1" x14ac:dyDescent="0.3">
      <c r="B235" s="179">
        <v>2025</v>
      </c>
      <c r="C235" s="180">
        <f>C226*J11*(C50-C49)*G49*D205</f>
        <v>3567228.6443462106</v>
      </c>
      <c r="D235" s="180">
        <v>0</v>
      </c>
      <c r="E235" s="180">
        <f t="shared" si="83"/>
        <v>3567228.6443462106</v>
      </c>
      <c r="F235" s="181">
        <v>3567000</v>
      </c>
    </row>
    <row r="236" spans="2:6" x14ac:dyDescent="0.25">
      <c r="C236" s="73">
        <f>SUM(C232:C235)</f>
        <v>13672366.523782354</v>
      </c>
      <c r="E236" s="95"/>
      <c r="F236" s="73">
        <f>SUM(F229:F235)</f>
        <v>16188000</v>
      </c>
    </row>
    <row r="237" spans="2:6" x14ac:dyDescent="0.25">
      <c r="E237" s="95"/>
    </row>
    <row r="238" spans="2:6" x14ac:dyDescent="0.25">
      <c r="B238" s="8" t="s">
        <v>162</v>
      </c>
      <c r="E238" s="95"/>
    </row>
    <row r="239" spans="2:6" x14ac:dyDescent="0.25">
      <c r="B239" s="8"/>
      <c r="E239" s="95"/>
    </row>
    <row r="240" spans="2:6" x14ac:dyDescent="0.25">
      <c r="B240" s="87" t="s">
        <v>91</v>
      </c>
    </row>
    <row r="241" spans="2:30" x14ac:dyDescent="0.25">
      <c r="B241" t="s">
        <v>14</v>
      </c>
      <c r="C241" s="84">
        <v>0</v>
      </c>
    </row>
    <row r="242" spans="2:30" x14ac:dyDescent="0.25">
      <c r="B242" t="s">
        <v>39</v>
      </c>
      <c r="C242" s="85">
        <v>6.0000000000000001E-3</v>
      </c>
    </row>
    <row r="243" spans="2:30" x14ac:dyDescent="0.25">
      <c r="B243" t="s">
        <v>40</v>
      </c>
      <c r="C243" s="84">
        <v>0</v>
      </c>
    </row>
    <row r="244" spans="2:30" x14ac:dyDescent="0.25">
      <c r="B244" t="s">
        <v>93</v>
      </c>
      <c r="C244" s="85">
        <v>8.9999999999999993E-3</v>
      </c>
    </row>
    <row r="245" spans="2:30" x14ac:dyDescent="0.25">
      <c r="B245" t="s">
        <v>105</v>
      </c>
      <c r="C245" s="85">
        <v>2.1999999999999999E-2</v>
      </c>
    </row>
    <row r="246" spans="2:30" x14ac:dyDescent="0.25">
      <c r="B246" t="s">
        <v>95</v>
      </c>
      <c r="C246" s="85"/>
    </row>
    <row r="248" spans="2:30" x14ac:dyDescent="0.25">
      <c r="B248" s="87" t="s">
        <v>92</v>
      </c>
    </row>
    <row r="249" spans="2:30" x14ac:dyDescent="0.25">
      <c r="B249" s="95">
        <v>659</v>
      </c>
      <c r="G249" s="73">
        <f>D262+N262+X262</f>
        <v>672.44092201391027</v>
      </c>
    </row>
    <row r="251" spans="2:30" x14ac:dyDescent="0.25">
      <c r="B251" s="87" t="s">
        <v>32</v>
      </c>
      <c r="C251" t="s">
        <v>96</v>
      </c>
      <c r="L251" s="87" t="s">
        <v>97</v>
      </c>
      <c r="M251" t="s">
        <v>96</v>
      </c>
      <c r="V251" s="87" t="s">
        <v>98</v>
      </c>
      <c r="W251" t="s">
        <v>96</v>
      </c>
    </row>
    <row r="252" spans="2:30" x14ac:dyDescent="0.25">
      <c r="C252">
        <v>2018</v>
      </c>
      <c r="D252">
        <v>2019</v>
      </c>
      <c r="E252">
        <v>2020</v>
      </c>
      <c r="F252">
        <v>2021</v>
      </c>
      <c r="G252">
        <v>2022</v>
      </c>
      <c r="H252">
        <v>2023</v>
      </c>
      <c r="I252">
        <v>2024</v>
      </c>
      <c r="J252">
        <v>2025</v>
      </c>
      <c r="M252">
        <v>2018</v>
      </c>
      <c r="N252">
        <v>2019</v>
      </c>
      <c r="O252">
        <v>2020</v>
      </c>
      <c r="P252">
        <v>2021</v>
      </c>
      <c r="Q252">
        <v>2022</v>
      </c>
      <c r="R252">
        <v>2023</v>
      </c>
      <c r="S252">
        <v>2024</v>
      </c>
      <c r="T252">
        <v>2025</v>
      </c>
      <c r="W252">
        <v>2018</v>
      </c>
      <c r="X252">
        <v>2019</v>
      </c>
      <c r="Y252">
        <v>2020</v>
      </c>
      <c r="Z252">
        <v>2021</v>
      </c>
      <c r="AA252">
        <v>2022</v>
      </c>
      <c r="AB252">
        <v>2023</v>
      </c>
      <c r="AC252">
        <v>2024</v>
      </c>
      <c r="AD252">
        <v>2025</v>
      </c>
    </row>
    <row r="253" spans="2:30" x14ac:dyDescent="0.25">
      <c r="B253" t="s">
        <v>15</v>
      </c>
      <c r="C253" s="86">
        <f>$G$48*C7</f>
        <v>21682.111981119699</v>
      </c>
      <c r="D253" s="86">
        <f t="shared" ref="D253:J253" si="84">$G$48*D7</f>
        <v>21233.724853959899</v>
      </c>
      <c r="E253" s="86">
        <f t="shared" si="84"/>
        <v>20364.023233680306</v>
      </c>
      <c r="F253" s="86">
        <f t="shared" si="84"/>
        <v>19351.809843178831</v>
      </c>
      <c r="G253" s="86">
        <f>$G$48*G7</f>
        <v>18364.580993334192</v>
      </c>
      <c r="H253" s="86">
        <f>$G$48*H7</f>
        <v>2363.0816436908867</v>
      </c>
      <c r="I253" s="86">
        <f t="shared" si="84"/>
        <v>2254.6407004662337</v>
      </c>
      <c r="J253" s="86">
        <f t="shared" si="84"/>
        <v>2139.4874856167066</v>
      </c>
      <c r="L253" t="s">
        <v>15</v>
      </c>
      <c r="M253" s="86">
        <f t="shared" ref="M253:T253" si="85">C7*$G$49</f>
        <v>86728.447924478794</v>
      </c>
      <c r="N253" s="86">
        <f t="shared" si="85"/>
        <v>84934.899415839594</v>
      </c>
      <c r="O253" s="86">
        <f t="shared" si="85"/>
        <v>81456.092934721222</v>
      </c>
      <c r="P253" s="86">
        <f t="shared" si="85"/>
        <v>77407.239372715325</v>
      </c>
      <c r="Q253" s="86">
        <f t="shared" si="85"/>
        <v>73458.323973336766</v>
      </c>
      <c r="R253" s="86">
        <f t="shared" si="85"/>
        <v>9452.3265747635469</v>
      </c>
      <c r="S253" s="86">
        <f t="shared" si="85"/>
        <v>9018.562801864935</v>
      </c>
      <c r="T253" s="86">
        <f t="shared" si="85"/>
        <v>8557.9499424668265</v>
      </c>
      <c r="V253" t="s">
        <v>15</v>
      </c>
      <c r="W253" s="96">
        <f t="shared" ref="W253:AD253" si="86">C13</f>
        <v>6695.4560650107887</v>
      </c>
      <c r="X253" s="96">
        <f t="shared" si="86"/>
        <v>5904.8627325188818</v>
      </c>
      <c r="Y253" s="96">
        <f t="shared" si="86"/>
        <v>5108.8308843614041</v>
      </c>
      <c r="Z253" s="96">
        <f t="shared" si="86"/>
        <v>4311.3201045015767</v>
      </c>
      <c r="AA253" s="96">
        <f t="shared" si="86"/>
        <v>3529.6965113456804</v>
      </c>
      <c r="AB253" s="96">
        <f t="shared" si="86"/>
        <v>53.2754988481745</v>
      </c>
      <c r="AC253" s="96">
        <f t="shared" si="86"/>
        <v>41.347082787489555</v>
      </c>
      <c r="AD253" s="96">
        <f t="shared" si="86"/>
        <v>31.218223546701729</v>
      </c>
    </row>
    <row r="254" spans="2:30" x14ac:dyDescent="0.25">
      <c r="B254" t="s">
        <v>17</v>
      </c>
      <c r="C254" s="86">
        <f>$G$48*C9</f>
        <v>25402.454372696731</v>
      </c>
      <c r="D254" s="86">
        <f t="shared" ref="D254:J254" si="87">$G$48*D9</f>
        <v>22681.891161248699</v>
      </c>
      <c r="E254" s="86">
        <f t="shared" si="87"/>
        <v>15226.108003872048</v>
      </c>
      <c r="F254" s="86">
        <f t="shared" si="87"/>
        <v>6700.5068999233154</v>
      </c>
      <c r="G254" s="86">
        <f>$G$48*G9</f>
        <v>6316.4829377945607</v>
      </c>
      <c r="H254" s="86">
        <f>$G$48*H9</f>
        <v>3381.1780771790068</v>
      </c>
      <c r="I254" s="86">
        <f t="shared" si="87"/>
        <v>3060.3338810887922</v>
      </c>
      <c r="J254" s="86">
        <f t="shared" si="87"/>
        <v>2740.2906068724947</v>
      </c>
      <c r="L254" t="s">
        <v>17</v>
      </c>
      <c r="M254" s="86">
        <f t="shared" ref="M254:T254" si="88">C9*$G$49</f>
        <v>101609.81749078693</v>
      </c>
      <c r="N254" s="86">
        <f t="shared" si="88"/>
        <v>90727.564644994796</v>
      </c>
      <c r="O254" s="86">
        <f t="shared" si="88"/>
        <v>60904.432015488193</v>
      </c>
      <c r="P254" s="86">
        <f t="shared" si="88"/>
        <v>26802.027599693261</v>
      </c>
      <c r="Q254" s="86">
        <f t="shared" si="88"/>
        <v>25265.931751178243</v>
      </c>
      <c r="R254" s="86">
        <f t="shared" si="88"/>
        <v>13524.712308716027</v>
      </c>
      <c r="S254" s="86">
        <f t="shared" si="88"/>
        <v>12241.335524355169</v>
      </c>
      <c r="T254" s="86">
        <f t="shared" si="88"/>
        <v>10961.162427489979</v>
      </c>
      <c r="V254" t="s">
        <v>17</v>
      </c>
      <c r="W254" s="96">
        <f t="shared" ref="W254:AD254" si="89">C15</f>
        <v>418.64965863977062</v>
      </c>
      <c r="X254" s="96">
        <f t="shared" si="89"/>
        <v>296.00490589947208</v>
      </c>
      <c r="Y254" s="96">
        <f t="shared" si="89"/>
        <v>177.43749902232059</v>
      </c>
      <c r="Z254" s="96">
        <f t="shared" si="89"/>
        <v>0</v>
      </c>
      <c r="AA254" s="96">
        <f t="shared" si="89"/>
        <v>0</v>
      </c>
      <c r="AB254" s="96">
        <f t="shared" si="89"/>
        <v>0</v>
      </c>
      <c r="AC254" s="96">
        <f t="shared" si="89"/>
        <v>0</v>
      </c>
      <c r="AD254" s="96">
        <f t="shared" si="89"/>
        <v>0</v>
      </c>
    </row>
    <row r="255" spans="2:30" x14ac:dyDescent="0.25">
      <c r="B255" t="s">
        <v>94</v>
      </c>
      <c r="C255" s="86">
        <f>0.1*C254</f>
        <v>2540.2454372696734</v>
      </c>
      <c r="D255" s="86">
        <f t="shared" ref="D255:J255" si="90">0.1*D254</f>
        <v>2268.18911612487</v>
      </c>
      <c r="E255" s="86">
        <f t="shared" si="90"/>
        <v>1522.610800387205</v>
      </c>
      <c r="F255" s="86">
        <f t="shared" si="90"/>
        <v>670.05068999233163</v>
      </c>
      <c r="G255" s="86">
        <f t="shared" si="90"/>
        <v>631.64829377945614</v>
      </c>
      <c r="H255" s="86">
        <f t="shared" si="90"/>
        <v>338.11780771790069</v>
      </c>
      <c r="I255" s="86">
        <f t="shared" si="90"/>
        <v>306.03338810887925</v>
      </c>
      <c r="J255" s="86">
        <f t="shared" si="90"/>
        <v>274.02906068724945</v>
      </c>
      <c r="L255" t="s">
        <v>94</v>
      </c>
      <c r="M255" s="86">
        <f>0.1*M254</f>
        <v>10160.981749078694</v>
      </c>
      <c r="N255" s="86">
        <f t="shared" ref="N255" si="91">0.1*N254</f>
        <v>9072.75646449948</v>
      </c>
      <c r="O255" s="86">
        <f t="shared" ref="O255" si="92">0.1*O254</f>
        <v>6090.4432015488201</v>
      </c>
      <c r="P255" s="86">
        <f t="shared" ref="P255" si="93">0.1*P254</f>
        <v>2680.2027599693265</v>
      </c>
      <c r="Q255" s="86">
        <f t="shared" ref="Q255" si="94">0.1*Q254</f>
        <v>2526.5931751178246</v>
      </c>
      <c r="R255" s="86">
        <f t="shared" ref="R255" si="95">0.1*R254</f>
        <v>1352.4712308716028</v>
      </c>
      <c r="S255" s="86">
        <f t="shared" ref="S255" si="96">0.1*S254</f>
        <v>1224.133552435517</v>
      </c>
      <c r="T255" s="86">
        <f t="shared" ref="T255" si="97">0.1*T254</f>
        <v>1096.1162427489978</v>
      </c>
      <c r="V255" t="s">
        <v>94</v>
      </c>
      <c r="W255" s="96">
        <f>0.1*W254</f>
        <v>41.864965863977062</v>
      </c>
      <c r="X255" s="96">
        <f t="shared" ref="X255" si="98">0.1*X254</f>
        <v>29.60049058994721</v>
      </c>
      <c r="Y255" s="96">
        <f t="shared" ref="Y255" si="99">0.1*Y254</f>
        <v>17.743749902232061</v>
      </c>
      <c r="Z255" s="96">
        <f t="shared" ref="Z255" si="100">0.1*Z254</f>
        <v>0</v>
      </c>
      <c r="AA255" s="96">
        <f t="shared" ref="AA255" si="101">0.1*AA254</f>
        <v>0</v>
      </c>
      <c r="AB255" s="96">
        <f t="shared" ref="AB255" si="102">0.1*AB254</f>
        <v>0</v>
      </c>
      <c r="AC255" s="96">
        <f t="shared" ref="AC255" si="103">0.1*AC254</f>
        <v>0</v>
      </c>
      <c r="AD255" s="96">
        <f t="shared" ref="AD255" si="104">0.1*AD254</f>
        <v>0</v>
      </c>
    </row>
    <row r="256" spans="2:30" x14ac:dyDescent="0.25">
      <c r="B256" t="s">
        <v>106</v>
      </c>
      <c r="C256" s="86">
        <f>0.9*C254</f>
        <v>22862.208935427057</v>
      </c>
      <c r="D256" s="86">
        <f t="shared" ref="D256:J256" si="105">0.9*D254</f>
        <v>20413.702045123831</v>
      </c>
      <c r="E256" s="86">
        <f t="shared" si="105"/>
        <v>13703.497203484843</v>
      </c>
      <c r="F256" s="86">
        <f t="shared" si="105"/>
        <v>6030.4562099309842</v>
      </c>
      <c r="G256" s="86">
        <f t="shared" si="105"/>
        <v>5684.8346440151045</v>
      </c>
      <c r="H256" s="86">
        <f t="shared" si="105"/>
        <v>3043.0602694611061</v>
      </c>
      <c r="I256" s="86">
        <f t="shared" si="105"/>
        <v>2754.3004929799131</v>
      </c>
      <c r="J256" s="86">
        <f t="shared" si="105"/>
        <v>2466.2615461852452</v>
      </c>
      <c r="L256" t="s">
        <v>106</v>
      </c>
      <c r="M256" s="86">
        <f>0.9*M254</f>
        <v>91448.83574170823</v>
      </c>
      <c r="N256" s="86">
        <f t="shared" ref="N256:T256" si="106">0.9*N254</f>
        <v>81654.808180495325</v>
      </c>
      <c r="O256" s="86">
        <f t="shared" si="106"/>
        <v>54813.988813939373</v>
      </c>
      <c r="P256" s="86">
        <f t="shared" si="106"/>
        <v>24121.824839723937</v>
      </c>
      <c r="Q256" s="86">
        <f t="shared" si="106"/>
        <v>22739.338576060418</v>
      </c>
      <c r="R256" s="86">
        <f t="shared" si="106"/>
        <v>12172.241077844425</v>
      </c>
      <c r="S256" s="86">
        <f t="shared" si="106"/>
        <v>11017.201971919652</v>
      </c>
      <c r="T256" s="86">
        <f t="shared" si="106"/>
        <v>9865.0461847409806</v>
      </c>
      <c r="V256" t="s">
        <v>106</v>
      </c>
      <c r="W256" s="96">
        <f>0.9*W254</f>
        <v>376.78469277579359</v>
      </c>
      <c r="X256" s="96">
        <f t="shared" ref="X256:AD256" si="107">0.9*X254</f>
        <v>266.40441530952489</v>
      </c>
      <c r="Y256" s="96">
        <f t="shared" si="107"/>
        <v>159.69374912008854</v>
      </c>
      <c r="Z256" s="96">
        <f t="shared" si="107"/>
        <v>0</v>
      </c>
      <c r="AA256" s="96">
        <f t="shared" si="107"/>
        <v>0</v>
      </c>
      <c r="AB256" s="96">
        <f t="shared" si="107"/>
        <v>0</v>
      </c>
      <c r="AC256" s="96">
        <f t="shared" si="107"/>
        <v>0</v>
      </c>
      <c r="AD256" s="96">
        <f t="shared" si="107"/>
        <v>0</v>
      </c>
    </row>
    <row r="258" spans="2:30" x14ac:dyDescent="0.25">
      <c r="B258" s="87" t="s">
        <v>99</v>
      </c>
    </row>
    <row r="259" spans="2:30" x14ac:dyDescent="0.25">
      <c r="B259" s="87"/>
    </row>
    <row r="260" spans="2:30" x14ac:dyDescent="0.25">
      <c r="B260" s="87" t="s">
        <v>32</v>
      </c>
      <c r="L260" s="87" t="s">
        <v>97</v>
      </c>
      <c r="M260" t="s">
        <v>96</v>
      </c>
      <c r="V260" s="87" t="s">
        <v>98</v>
      </c>
      <c r="W260" t="s">
        <v>96</v>
      </c>
    </row>
    <row r="261" spans="2:30" x14ac:dyDescent="0.25">
      <c r="C261">
        <v>2018</v>
      </c>
      <c r="D261">
        <v>2019</v>
      </c>
      <c r="E261">
        <v>2020</v>
      </c>
      <c r="F261">
        <v>2021</v>
      </c>
      <c r="G261">
        <v>2022</v>
      </c>
      <c r="H261">
        <v>2023</v>
      </c>
      <c r="I261">
        <v>2024</v>
      </c>
      <c r="J261">
        <v>2025</v>
      </c>
      <c r="M261">
        <v>2018</v>
      </c>
      <c r="N261">
        <v>2019</v>
      </c>
      <c r="O261">
        <v>2020</v>
      </c>
      <c r="P261">
        <v>2021</v>
      </c>
      <c r="Q261">
        <v>2022</v>
      </c>
      <c r="R261">
        <v>2023</v>
      </c>
      <c r="S261">
        <v>2024</v>
      </c>
      <c r="T261">
        <v>2025</v>
      </c>
      <c r="W261">
        <v>2018</v>
      </c>
      <c r="X261">
        <v>2019</v>
      </c>
      <c r="Y261">
        <v>2020</v>
      </c>
      <c r="Z261">
        <v>2021</v>
      </c>
      <c r="AA261">
        <v>2022</v>
      </c>
      <c r="AB261">
        <v>2023</v>
      </c>
      <c r="AC261">
        <v>2024</v>
      </c>
      <c r="AD261">
        <v>2025</v>
      </c>
    </row>
    <row r="262" spans="2:30" x14ac:dyDescent="0.25">
      <c r="B262" t="s">
        <v>15</v>
      </c>
      <c r="C262" s="73">
        <f t="shared" ref="C262:J262" si="108">C253*$C$242</f>
        <v>130.09267188671819</v>
      </c>
      <c r="D262" s="73">
        <f t="shared" si="108"/>
        <v>127.40234912375939</v>
      </c>
      <c r="E262" s="73">
        <f t="shared" si="108"/>
        <v>122.18413940208184</v>
      </c>
      <c r="F262" s="73">
        <f t="shared" si="108"/>
        <v>116.11085905907299</v>
      </c>
      <c r="G262" s="73">
        <f t="shared" si="108"/>
        <v>110.18748596000515</v>
      </c>
      <c r="H262" s="73">
        <f t="shared" si="108"/>
        <v>14.178489862145321</v>
      </c>
      <c r="I262" s="73">
        <f t="shared" si="108"/>
        <v>13.527844202797402</v>
      </c>
      <c r="J262" s="73">
        <f t="shared" si="108"/>
        <v>12.836924913700241</v>
      </c>
      <c r="K262" s="73"/>
      <c r="L262" s="73" t="s">
        <v>15</v>
      </c>
      <c r="M262" s="73">
        <f t="shared" ref="M262:T262" si="109">M253*$C$242</f>
        <v>520.37068754687277</v>
      </c>
      <c r="N262" s="73">
        <f t="shared" si="109"/>
        <v>509.60939649503757</v>
      </c>
      <c r="O262" s="73">
        <f t="shared" si="109"/>
        <v>488.73655760832736</v>
      </c>
      <c r="P262" s="73">
        <f t="shared" si="109"/>
        <v>464.44343623629197</v>
      </c>
      <c r="Q262" s="73">
        <f t="shared" si="109"/>
        <v>440.74994384002059</v>
      </c>
      <c r="R262" s="73">
        <f t="shared" si="109"/>
        <v>56.713959448581285</v>
      </c>
      <c r="S262" s="73">
        <f t="shared" si="109"/>
        <v>54.111376811189608</v>
      </c>
      <c r="T262" s="73">
        <f t="shared" si="109"/>
        <v>51.347699654800962</v>
      </c>
      <c r="U262" s="73"/>
      <c r="V262" s="73" t="s">
        <v>15</v>
      </c>
      <c r="W262" s="73">
        <f t="shared" ref="W262:AD262" si="110">W253*$C$242</f>
        <v>40.172736390064735</v>
      </c>
      <c r="X262" s="73">
        <f t="shared" si="110"/>
        <v>35.429176395113295</v>
      </c>
      <c r="Y262" s="73">
        <f t="shared" si="110"/>
        <v>30.652985306168425</v>
      </c>
      <c r="Z262" s="73">
        <f t="shared" si="110"/>
        <v>25.867920627009461</v>
      </c>
      <c r="AA262" s="73">
        <f t="shared" si="110"/>
        <v>21.178179068074083</v>
      </c>
      <c r="AB262" s="73">
        <f t="shared" si="110"/>
        <v>0.31965299308904699</v>
      </c>
      <c r="AC262" s="73">
        <f t="shared" si="110"/>
        <v>0.24808249672493735</v>
      </c>
      <c r="AD262" s="73">
        <f t="shared" si="110"/>
        <v>0.18730934128021037</v>
      </c>
    </row>
    <row r="263" spans="2:30" x14ac:dyDescent="0.25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</row>
    <row r="264" spans="2:30" x14ac:dyDescent="0.25">
      <c r="B264" t="s">
        <v>94</v>
      </c>
      <c r="C264" s="73">
        <f t="shared" ref="C264:J264" si="111">C255*$C$244</f>
        <v>22.862208935427059</v>
      </c>
      <c r="D264" s="73">
        <f t="shared" si="111"/>
        <v>20.413702045123827</v>
      </c>
      <c r="E264" s="73">
        <f t="shared" si="111"/>
        <v>13.703497203484844</v>
      </c>
      <c r="F264" s="73">
        <f t="shared" si="111"/>
        <v>6.0304562099309837</v>
      </c>
      <c r="G264" s="73">
        <f t="shared" si="111"/>
        <v>5.6848346440151047</v>
      </c>
      <c r="H264" s="73">
        <f t="shared" si="111"/>
        <v>3.043060269461106</v>
      </c>
      <c r="I264" s="73">
        <f t="shared" si="111"/>
        <v>2.7543004929799131</v>
      </c>
      <c r="J264" s="73">
        <f t="shared" si="111"/>
        <v>2.4662615461852448</v>
      </c>
      <c r="K264" s="73"/>
      <c r="L264" s="73" t="s">
        <v>102</v>
      </c>
      <c r="M264" s="73">
        <f t="shared" ref="M264:T264" si="112">M255*$C$244</f>
        <v>91.448835741708237</v>
      </c>
      <c r="N264" s="73">
        <f t="shared" si="112"/>
        <v>81.654808180495309</v>
      </c>
      <c r="O264" s="73">
        <f t="shared" si="112"/>
        <v>54.813988813939375</v>
      </c>
      <c r="P264" s="73">
        <f t="shared" si="112"/>
        <v>24.121824839723935</v>
      </c>
      <c r="Q264" s="73">
        <f t="shared" si="112"/>
        <v>22.739338576060419</v>
      </c>
      <c r="R264" s="73">
        <f t="shared" si="112"/>
        <v>12.172241077844424</v>
      </c>
      <c r="S264" s="73">
        <f t="shared" si="112"/>
        <v>11.017201971919652</v>
      </c>
      <c r="T264" s="73">
        <f t="shared" si="112"/>
        <v>9.8650461847409794</v>
      </c>
      <c r="U264" s="73"/>
      <c r="V264" s="73" t="s">
        <v>100</v>
      </c>
      <c r="W264" s="73">
        <f t="shared" ref="W264:AD264" si="113">W255*$C$244</f>
        <v>0.37678469277579352</v>
      </c>
      <c r="X264" s="73">
        <f t="shared" si="113"/>
        <v>0.26640441530952486</v>
      </c>
      <c r="Y264" s="73">
        <f t="shared" si="113"/>
        <v>0.15969374912008855</v>
      </c>
      <c r="Z264" s="73">
        <f t="shared" si="113"/>
        <v>0</v>
      </c>
      <c r="AA264" s="73">
        <f t="shared" si="113"/>
        <v>0</v>
      </c>
      <c r="AB264" s="73">
        <f t="shared" si="113"/>
        <v>0</v>
      </c>
      <c r="AC264" s="73">
        <f t="shared" si="113"/>
        <v>0</v>
      </c>
      <c r="AD264" s="73">
        <f t="shared" si="113"/>
        <v>0</v>
      </c>
    </row>
    <row r="265" spans="2:30" x14ac:dyDescent="0.25">
      <c r="B265" t="s">
        <v>106</v>
      </c>
      <c r="C265" s="73">
        <f t="shared" ref="C265:J265" si="114">C256*$C$245</f>
        <v>502.96859657939524</v>
      </c>
      <c r="D265" s="73">
        <f t="shared" si="114"/>
        <v>449.10144499272428</v>
      </c>
      <c r="E265" s="73">
        <f t="shared" si="114"/>
        <v>301.47693847666653</v>
      </c>
      <c r="F265" s="73">
        <f t="shared" si="114"/>
        <v>132.67003661848165</v>
      </c>
      <c r="G265" s="73">
        <f t="shared" si="114"/>
        <v>125.06636216833229</v>
      </c>
      <c r="H265" s="73">
        <f t="shared" si="114"/>
        <v>66.947325928144338</v>
      </c>
      <c r="I265" s="73">
        <f t="shared" si="114"/>
        <v>60.594610845558087</v>
      </c>
      <c r="J265" s="73">
        <f t="shared" si="114"/>
        <v>54.257754016075388</v>
      </c>
      <c r="K265" s="73"/>
      <c r="L265" s="73" t="s">
        <v>103</v>
      </c>
      <c r="M265" s="73">
        <f t="shared" ref="M265:T265" si="115">M256*$C$245</f>
        <v>2011.874386317581</v>
      </c>
      <c r="N265" s="73">
        <f t="shared" si="115"/>
        <v>1796.4057799708971</v>
      </c>
      <c r="O265" s="73">
        <f t="shared" si="115"/>
        <v>1205.9077539066661</v>
      </c>
      <c r="P265" s="73">
        <f t="shared" si="115"/>
        <v>530.68014647392658</v>
      </c>
      <c r="Q265" s="73">
        <f t="shared" si="115"/>
        <v>500.26544867332916</v>
      </c>
      <c r="R265" s="73">
        <f t="shared" si="115"/>
        <v>267.78930371257735</v>
      </c>
      <c r="S265" s="73">
        <f t="shared" si="115"/>
        <v>242.37844338223235</v>
      </c>
      <c r="T265" s="73">
        <f t="shared" si="115"/>
        <v>217.03101606430155</v>
      </c>
      <c r="U265" s="73"/>
      <c r="V265" s="73" t="s">
        <v>101</v>
      </c>
      <c r="W265" s="73">
        <f t="shared" ref="W265:AD265" si="116">W256*$C$245</f>
        <v>8.2892632410674576</v>
      </c>
      <c r="X265" s="73">
        <f t="shared" si="116"/>
        <v>5.8608971368095473</v>
      </c>
      <c r="Y265" s="73">
        <f t="shared" si="116"/>
        <v>3.5132624806419477</v>
      </c>
      <c r="Z265" s="73">
        <f t="shared" si="116"/>
        <v>0</v>
      </c>
      <c r="AA265" s="73">
        <f t="shared" si="116"/>
        <v>0</v>
      </c>
      <c r="AB265" s="73">
        <f t="shared" si="116"/>
        <v>0</v>
      </c>
      <c r="AC265" s="73">
        <f t="shared" si="116"/>
        <v>0</v>
      </c>
      <c r="AD265" s="73">
        <f t="shared" si="116"/>
        <v>0</v>
      </c>
    </row>
    <row r="267" spans="2:30" x14ac:dyDescent="0.25">
      <c r="B267" s="87" t="s">
        <v>104</v>
      </c>
    </row>
    <row r="269" spans="2:30" x14ac:dyDescent="0.25">
      <c r="B269" s="87" t="s">
        <v>32</v>
      </c>
      <c r="L269" s="87" t="s">
        <v>97</v>
      </c>
      <c r="M269" t="s">
        <v>104</v>
      </c>
      <c r="V269" s="87" t="s">
        <v>98</v>
      </c>
      <c r="W269" t="s">
        <v>104</v>
      </c>
    </row>
    <row r="270" spans="2:30" x14ac:dyDescent="0.25">
      <c r="C270">
        <v>2018</v>
      </c>
      <c r="D270">
        <v>2019</v>
      </c>
      <c r="E270">
        <v>2020</v>
      </c>
      <c r="F270">
        <v>2021</v>
      </c>
      <c r="G270">
        <v>2022</v>
      </c>
      <c r="H270">
        <v>2023</v>
      </c>
      <c r="I270">
        <v>2024</v>
      </c>
      <c r="J270">
        <v>2025</v>
      </c>
      <c r="M270">
        <v>2018</v>
      </c>
      <c r="N270">
        <v>2019</v>
      </c>
      <c r="O270">
        <v>2020</v>
      </c>
      <c r="P270">
        <v>2021</v>
      </c>
      <c r="Q270">
        <v>2022</v>
      </c>
      <c r="R270">
        <v>2023</v>
      </c>
      <c r="S270">
        <v>2024</v>
      </c>
      <c r="T270">
        <v>2025</v>
      </c>
      <c r="W270">
        <v>2018</v>
      </c>
      <c r="X270">
        <v>2019</v>
      </c>
      <c r="Y270">
        <v>2020</v>
      </c>
      <c r="Z270">
        <v>2021</v>
      </c>
      <c r="AA270">
        <v>2022</v>
      </c>
      <c r="AB270">
        <v>2023</v>
      </c>
      <c r="AC270">
        <v>2024</v>
      </c>
      <c r="AD270">
        <v>2025</v>
      </c>
    </row>
    <row r="271" spans="2:30" x14ac:dyDescent="0.25">
      <c r="B271" t="s">
        <v>15</v>
      </c>
      <c r="C271" s="86">
        <f>C262*$C$48</f>
        <v>45.532435160351362</v>
      </c>
      <c r="D271" s="86">
        <f t="shared" ref="D271:AD271" si="117">D262*$C$48</f>
        <v>44.590822193315788</v>
      </c>
      <c r="E271" s="86">
        <f t="shared" si="117"/>
        <v>42.764448790728643</v>
      </c>
      <c r="F271" s="86">
        <f t="shared" si="117"/>
        <v>40.638800670675543</v>
      </c>
      <c r="G271" s="86">
        <f t="shared" si="117"/>
        <v>38.5656200860018</v>
      </c>
      <c r="H271" s="86">
        <f t="shared" si="117"/>
        <v>4.9624714517508624</v>
      </c>
      <c r="I271" s="86">
        <f t="shared" si="117"/>
        <v>4.7347454709790906</v>
      </c>
      <c r="J271" s="86">
        <f t="shared" si="117"/>
        <v>4.4929237197950842</v>
      </c>
      <c r="K271" s="86"/>
      <c r="L271" s="86" t="s">
        <v>15</v>
      </c>
      <c r="M271" s="73">
        <f>M262*$C$49</f>
        <v>260.18534377343639</v>
      </c>
      <c r="N271" s="73">
        <f t="shared" ref="N271:T271" si="118">N262*$C$49</f>
        <v>254.80469824751879</v>
      </c>
      <c r="O271" s="73">
        <f t="shared" si="118"/>
        <v>244.36827880416368</v>
      </c>
      <c r="P271" s="73">
        <f t="shared" si="118"/>
        <v>232.22171811814599</v>
      </c>
      <c r="Q271" s="73">
        <f t="shared" si="118"/>
        <v>220.3749719200103</v>
      </c>
      <c r="R271" s="73">
        <f t="shared" si="118"/>
        <v>28.356979724290643</v>
      </c>
      <c r="S271" s="73">
        <f t="shared" si="118"/>
        <v>27.055688405594804</v>
      </c>
      <c r="T271" s="73">
        <f t="shared" si="118"/>
        <v>25.673849827400481</v>
      </c>
      <c r="U271" s="73"/>
      <c r="V271" s="73" t="s">
        <v>15</v>
      </c>
      <c r="W271" s="73">
        <f t="shared" si="117"/>
        <v>14.060457736522656</v>
      </c>
      <c r="X271" s="73">
        <f t="shared" si="117"/>
        <v>12.400211738289652</v>
      </c>
      <c r="Y271" s="73">
        <f t="shared" si="117"/>
        <v>10.728544857158948</v>
      </c>
      <c r="Z271" s="73">
        <f t="shared" si="117"/>
        <v>9.053772219453311</v>
      </c>
      <c r="AA271" s="73">
        <f t="shared" si="117"/>
        <v>7.4123626738259283</v>
      </c>
      <c r="AB271" s="73">
        <f t="shared" si="117"/>
        <v>0.11187854758116644</v>
      </c>
      <c r="AC271" s="73">
        <f t="shared" si="117"/>
        <v>8.6828873853728061E-2</v>
      </c>
      <c r="AD271" s="73">
        <f t="shared" si="117"/>
        <v>6.5558269448073622E-2</v>
      </c>
    </row>
    <row r="272" spans="2:30" x14ac:dyDescent="0.25">
      <c r="C272" s="86"/>
      <c r="D272" s="86"/>
      <c r="E272" s="86"/>
      <c r="F272" s="86"/>
      <c r="G272" s="86"/>
      <c r="H272" s="86"/>
      <c r="I272" s="86"/>
      <c r="J272" s="86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</row>
    <row r="273" spans="2:30" x14ac:dyDescent="0.25">
      <c r="B273" t="s">
        <v>94</v>
      </c>
      <c r="C273" s="86">
        <f>C264*$C$48</f>
        <v>8.0017731273994706</v>
      </c>
      <c r="D273" s="86">
        <f t="shared" ref="D273:AD273" si="119">D264*$C$48</f>
        <v>7.1447957157933386</v>
      </c>
      <c r="E273" s="86">
        <f t="shared" si="119"/>
        <v>4.7962240212196949</v>
      </c>
      <c r="F273" s="86">
        <f t="shared" si="119"/>
        <v>2.110659673475844</v>
      </c>
      <c r="G273" s="86">
        <f t="shared" si="119"/>
        <v>1.9896921254052866</v>
      </c>
      <c r="H273" s="86">
        <f t="shared" si="119"/>
        <v>1.065071094311387</v>
      </c>
      <c r="I273" s="86">
        <f t="shared" si="119"/>
        <v>0.96400517254296947</v>
      </c>
      <c r="J273" s="86">
        <f t="shared" si="119"/>
        <v>0.86319154116483565</v>
      </c>
      <c r="K273" s="86"/>
      <c r="L273" s="86" t="s">
        <v>102</v>
      </c>
      <c r="M273" s="73">
        <f>M264*$C$49</f>
        <v>45.724417870854118</v>
      </c>
      <c r="N273" s="73">
        <f t="shared" ref="N273:T273" si="120">N264*$C$49</f>
        <v>40.827404090247654</v>
      </c>
      <c r="O273" s="73">
        <f t="shared" si="120"/>
        <v>27.406994406969687</v>
      </c>
      <c r="P273" s="73">
        <f t="shared" si="120"/>
        <v>12.060912419861967</v>
      </c>
      <c r="Q273" s="73">
        <f t="shared" si="120"/>
        <v>11.369669288030209</v>
      </c>
      <c r="R273" s="73">
        <f t="shared" si="120"/>
        <v>6.0861205389222119</v>
      </c>
      <c r="S273" s="73">
        <f t="shared" si="120"/>
        <v>5.5086009859598262</v>
      </c>
      <c r="T273" s="73">
        <f t="shared" si="120"/>
        <v>4.9325230923704897</v>
      </c>
      <c r="U273" s="73"/>
      <c r="V273" s="73" t="s">
        <v>100</v>
      </c>
      <c r="W273" s="73">
        <f t="shared" si="119"/>
        <v>0.13187464247152772</v>
      </c>
      <c r="X273" s="73">
        <f t="shared" si="119"/>
        <v>9.3241545358333691E-2</v>
      </c>
      <c r="Y273" s="73">
        <f t="shared" si="119"/>
        <v>5.5892812192030988E-2</v>
      </c>
      <c r="Z273" s="73">
        <f t="shared" si="119"/>
        <v>0</v>
      </c>
      <c r="AA273" s="73">
        <f t="shared" si="119"/>
        <v>0</v>
      </c>
      <c r="AB273" s="73">
        <f t="shared" si="119"/>
        <v>0</v>
      </c>
      <c r="AC273" s="73">
        <f t="shared" si="119"/>
        <v>0</v>
      </c>
      <c r="AD273" s="73">
        <f t="shared" si="119"/>
        <v>0</v>
      </c>
    </row>
    <row r="274" spans="2:30" x14ac:dyDescent="0.25">
      <c r="B274" t="s">
        <v>106</v>
      </c>
      <c r="C274" s="86">
        <f>C265*$C$48</f>
        <v>176.03900880278832</v>
      </c>
      <c r="D274" s="86">
        <f t="shared" ref="D274:AD274" si="121">D265*$C$48</f>
        <v>157.18550574745348</v>
      </c>
      <c r="E274" s="86">
        <f t="shared" si="121"/>
        <v>105.51692846683328</v>
      </c>
      <c r="F274" s="86">
        <f t="shared" si="121"/>
        <v>46.434512816468576</v>
      </c>
      <c r="G274" s="86">
        <f t="shared" si="121"/>
        <v>43.773226758916302</v>
      </c>
      <c r="H274" s="86">
        <f t="shared" si="121"/>
        <v>23.431564074850517</v>
      </c>
      <c r="I274" s="86">
        <f t="shared" si="121"/>
        <v>21.20811379594533</v>
      </c>
      <c r="J274" s="86">
        <f t="shared" si="121"/>
        <v>18.990213905626383</v>
      </c>
      <c r="K274" s="86"/>
      <c r="L274" s="86" t="s">
        <v>103</v>
      </c>
      <c r="M274" s="73">
        <f>M265*$C$49</f>
        <v>1005.9371931587905</v>
      </c>
      <c r="N274" s="73">
        <f t="shared" ref="N274:T274" si="122">N265*$C$49</f>
        <v>898.20288998544856</v>
      </c>
      <c r="O274" s="73">
        <f t="shared" si="122"/>
        <v>602.95387695333307</v>
      </c>
      <c r="P274" s="73">
        <f t="shared" si="122"/>
        <v>265.34007323696329</v>
      </c>
      <c r="Q274" s="73">
        <f t="shared" si="122"/>
        <v>250.13272433666458</v>
      </c>
      <c r="R274" s="73">
        <f t="shared" si="122"/>
        <v>133.89465185628868</v>
      </c>
      <c r="S274" s="73">
        <f t="shared" si="122"/>
        <v>121.18922169111617</v>
      </c>
      <c r="T274" s="73">
        <f t="shared" si="122"/>
        <v>108.51550803215078</v>
      </c>
      <c r="U274" s="73"/>
      <c r="V274" s="73" t="s">
        <v>101</v>
      </c>
      <c r="W274" s="73">
        <f t="shared" si="121"/>
        <v>2.9012421343736099</v>
      </c>
      <c r="X274" s="73">
        <f t="shared" si="121"/>
        <v>2.0513139978833412</v>
      </c>
      <c r="Y274" s="73">
        <f t="shared" si="121"/>
        <v>1.2296418682246817</v>
      </c>
      <c r="Z274" s="73">
        <f t="shared" si="121"/>
        <v>0</v>
      </c>
      <c r="AA274" s="73">
        <f t="shared" si="121"/>
        <v>0</v>
      </c>
      <c r="AB274" s="73">
        <f t="shared" si="121"/>
        <v>0</v>
      </c>
      <c r="AC274" s="73">
        <f t="shared" si="121"/>
        <v>0</v>
      </c>
      <c r="AD274" s="73">
        <f t="shared" si="121"/>
        <v>0</v>
      </c>
    </row>
    <row r="276" spans="2:30" x14ac:dyDescent="0.25">
      <c r="B276" s="87" t="s">
        <v>92</v>
      </c>
    </row>
    <row r="278" spans="2:30" x14ac:dyDescent="0.25">
      <c r="B278" s="87" t="s">
        <v>32</v>
      </c>
      <c r="L278" s="87" t="s">
        <v>97</v>
      </c>
      <c r="M278" t="s">
        <v>108</v>
      </c>
      <c r="V278" s="87" t="s">
        <v>98</v>
      </c>
      <c r="W278" t="s">
        <v>108</v>
      </c>
    </row>
    <row r="279" spans="2:30" x14ac:dyDescent="0.25">
      <c r="C279">
        <v>2018</v>
      </c>
      <c r="D279">
        <v>2019</v>
      </c>
      <c r="E279">
        <v>2020</v>
      </c>
      <c r="F279">
        <v>2021</v>
      </c>
      <c r="G279">
        <v>2022</v>
      </c>
      <c r="H279">
        <v>2023</v>
      </c>
      <c r="I279">
        <v>2024</v>
      </c>
      <c r="J279">
        <v>2025</v>
      </c>
      <c r="M279">
        <v>2018</v>
      </c>
      <c r="N279">
        <v>2019</v>
      </c>
      <c r="O279">
        <v>2020</v>
      </c>
      <c r="P279">
        <v>2021</v>
      </c>
      <c r="Q279">
        <v>2022</v>
      </c>
      <c r="R279">
        <v>2023</v>
      </c>
      <c r="S279">
        <v>2024</v>
      </c>
      <c r="T279">
        <v>2025</v>
      </c>
      <c r="W279">
        <v>2018</v>
      </c>
      <c r="X279">
        <v>2019</v>
      </c>
      <c r="Y279">
        <v>2020</v>
      </c>
      <c r="Z279">
        <v>2021</v>
      </c>
      <c r="AA279">
        <v>2022</v>
      </c>
      <c r="AB279">
        <v>2023</v>
      </c>
      <c r="AC279">
        <v>2024</v>
      </c>
      <c r="AD279">
        <v>2025</v>
      </c>
    </row>
    <row r="280" spans="2:30" x14ac:dyDescent="0.25">
      <c r="B280" s="73" t="s">
        <v>15</v>
      </c>
      <c r="C280" s="73">
        <f>C271*$B$249</f>
        <v>30005.874770671548</v>
      </c>
      <c r="D280" s="73">
        <f t="shared" ref="D280:AD280" si="123">D271*$B$249</f>
        <v>29385.351825395104</v>
      </c>
      <c r="E280" s="73">
        <f t="shared" si="123"/>
        <v>28181.771753090175</v>
      </c>
      <c r="F280" s="73">
        <f t="shared" si="123"/>
        <v>26780.969641975182</v>
      </c>
      <c r="G280" s="73">
        <f t="shared" si="123"/>
        <v>25414.743636675186</v>
      </c>
      <c r="H280" s="73">
        <f t="shared" si="123"/>
        <v>3270.2686867038183</v>
      </c>
      <c r="I280" s="73">
        <f t="shared" si="123"/>
        <v>3120.1972653752209</v>
      </c>
      <c r="J280" s="73">
        <f t="shared" si="123"/>
        <v>2960.8367313449603</v>
      </c>
      <c r="K280" s="73"/>
      <c r="L280" s="73" t="s">
        <v>15</v>
      </c>
      <c r="M280" s="73">
        <f t="shared" si="123"/>
        <v>171462.14154669459</v>
      </c>
      <c r="N280" s="73">
        <f t="shared" si="123"/>
        <v>167916.29614511487</v>
      </c>
      <c r="O280" s="73">
        <f t="shared" si="123"/>
        <v>161038.69573194385</v>
      </c>
      <c r="P280" s="73">
        <f t="shared" si="123"/>
        <v>153034.11223985819</v>
      </c>
      <c r="Q280" s="73">
        <f t="shared" si="123"/>
        <v>145227.10649528677</v>
      </c>
      <c r="R280" s="73">
        <f t="shared" si="123"/>
        <v>18687.249638307534</v>
      </c>
      <c r="S280" s="73">
        <f t="shared" si="123"/>
        <v>17829.698659286976</v>
      </c>
      <c r="T280" s="73">
        <f t="shared" si="123"/>
        <v>16919.067036256918</v>
      </c>
      <c r="U280" s="73"/>
      <c r="V280" s="73" t="s">
        <v>15</v>
      </c>
      <c r="W280" s="73">
        <f t="shared" si="123"/>
        <v>9265.8416483684305</v>
      </c>
      <c r="X280" s="73">
        <f t="shared" si="123"/>
        <v>8171.7395355328808</v>
      </c>
      <c r="Y280" s="73">
        <f t="shared" si="123"/>
        <v>7070.1110608677463</v>
      </c>
      <c r="Z280" s="73">
        <f t="shared" si="123"/>
        <v>5966.4358926197319</v>
      </c>
      <c r="AA280" s="73">
        <f t="shared" si="123"/>
        <v>4884.7470020512865</v>
      </c>
      <c r="AB280" s="73">
        <f t="shared" si="123"/>
        <v>73.727962855988693</v>
      </c>
      <c r="AC280" s="73">
        <f t="shared" si="123"/>
        <v>57.220227869606795</v>
      </c>
      <c r="AD280" s="73">
        <f t="shared" si="123"/>
        <v>43.202899566280514</v>
      </c>
    </row>
    <row r="281" spans="2:30" x14ac:dyDescent="0.2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</row>
    <row r="282" spans="2:30" x14ac:dyDescent="0.25">
      <c r="B282" s="73" t="s">
        <v>94</v>
      </c>
      <c r="C282" s="73">
        <f>C273*$B$249</f>
        <v>5273.1684909562509</v>
      </c>
      <c r="D282" s="73">
        <f t="shared" ref="D282:AD282" si="124">D273*$B$249</f>
        <v>4708.4203767078097</v>
      </c>
      <c r="E282" s="73">
        <f t="shared" si="124"/>
        <v>3160.7116299837789</v>
      </c>
      <c r="F282" s="73">
        <f t="shared" si="124"/>
        <v>1390.9247248205813</v>
      </c>
      <c r="G282" s="73">
        <f t="shared" si="124"/>
        <v>1311.207110642084</v>
      </c>
      <c r="H282" s="73">
        <f t="shared" si="124"/>
        <v>701.88185115120405</v>
      </c>
      <c r="I282" s="73">
        <f t="shared" si="124"/>
        <v>635.27940870581688</v>
      </c>
      <c r="J282" s="73">
        <f t="shared" si="124"/>
        <v>568.84322562762668</v>
      </c>
      <c r="K282" s="73"/>
      <c r="L282" s="73" t="s">
        <v>102</v>
      </c>
      <c r="M282" s="73">
        <f t="shared" si="124"/>
        <v>30132.391376892865</v>
      </c>
      <c r="N282" s="73">
        <f t="shared" si="124"/>
        <v>26905.259295473203</v>
      </c>
      <c r="O282" s="73">
        <f t="shared" si="124"/>
        <v>18061.209314193024</v>
      </c>
      <c r="P282" s="73">
        <f t="shared" si="124"/>
        <v>7948.1412846890362</v>
      </c>
      <c r="Q282" s="73">
        <f t="shared" si="124"/>
        <v>7492.6120608119081</v>
      </c>
      <c r="R282" s="73">
        <f t="shared" si="124"/>
        <v>4010.7534351497375</v>
      </c>
      <c r="S282" s="73">
        <f t="shared" si="124"/>
        <v>3630.1680497475254</v>
      </c>
      <c r="T282" s="73">
        <f t="shared" si="124"/>
        <v>3250.5327178721527</v>
      </c>
      <c r="U282" s="73"/>
      <c r="V282" s="73" t="s">
        <v>100</v>
      </c>
      <c r="W282" s="73">
        <f t="shared" si="124"/>
        <v>86.905389388736765</v>
      </c>
      <c r="X282" s="73">
        <f t="shared" si="124"/>
        <v>61.446178391141899</v>
      </c>
      <c r="Y282" s="73">
        <f t="shared" si="124"/>
        <v>36.833363234548422</v>
      </c>
      <c r="Z282" s="73">
        <f t="shared" si="124"/>
        <v>0</v>
      </c>
      <c r="AA282" s="73">
        <f t="shared" si="124"/>
        <v>0</v>
      </c>
      <c r="AB282" s="73">
        <f t="shared" si="124"/>
        <v>0</v>
      </c>
      <c r="AC282" s="73">
        <f t="shared" si="124"/>
        <v>0</v>
      </c>
      <c r="AD282" s="73">
        <f t="shared" si="124"/>
        <v>0</v>
      </c>
    </row>
    <row r="283" spans="2:30" x14ac:dyDescent="0.25">
      <c r="B283" s="73" t="s">
        <v>106</v>
      </c>
      <c r="C283" s="73">
        <f>C274*$B$249</f>
        <v>116009.70680103751</v>
      </c>
      <c r="D283" s="73">
        <f t="shared" ref="D283:AD283" si="125">D274*$B$249</f>
        <v>103585.24828757184</v>
      </c>
      <c r="E283" s="73">
        <f t="shared" si="125"/>
        <v>69535.655859643128</v>
      </c>
      <c r="F283" s="73">
        <f t="shared" si="125"/>
        <v>30600.343946052792</v>
      </c>
      <c r="G283" s="73">
        <f t="shared" si="125"/>
        <v>28846.556434125843</v>
      </c>
      <c r="H283" s="73">
        <f t="shared" si="125"/>
        <v>15441.40072532649</v>
      </c>
      <c r="I283" s="73">
        <f t="shared" si="125"/>
        <v>13976.146991527972</v>
      </c>
      <c r="J283" s="73">
        <f t="shared" si="125"/>
        <v>12514.550963807787</v>
      </c>
      <c r="K283" s="73"/>
      <c r="L283" s="73" t="s">
        <v>103</v>
      </c>
      <c r="M283" s="73">
        <f t="shared" si="125"/>
        <v>662912.61029164295</v>
      </c>
      <c r="N283" s="73">
        <f t="shared" si="125"/>
        <v>591915.70450041059</v>
      </c>
      <c r="O283" s="73">
        <f t="shared" si="125"/>
        <v>397346.60491224646</v>
      </c>
      <c r="P283" s="73">
        <f t="shared" si="125"/>
        <v>174859.10826315882</v>
      </c>
      <c r="Q283" s="73">
        <f t="shared" si="125"/>
        <v>164837.46533786197</v>
      </c>
      <c r="R283" s="73">
        <f t="shared" si="125"/>
        <v>88236.575573294234</v>
      </c>
      <c r="S283" s="73">
        <f t="shared" si="125"/>
        <v>79863.697094445553</v>
      </c>
      <c r="T283" s="73">
        <f t="shared" si="125"/>
        <v>71511.719793187367</v>
      </c>
      <c r="U283" s="73"/>
      <c r="V283" s="73" t="s">
        <v>101</v>
      </c>
      <c r="W283" s="73">
        <f t="shared" si="125"/>
        <v>1911.9185665522089</v>
      </c>
      <c r="X283" s="73">
        <f t="shared" si="125"/>
        <v>1351.8159246051218</v>
      </c>
      <c r="Y283" s="73">
        <f t="shared" si="125"/>
        <v>810.33399116006524</v>
      </c>
      <c r="Z283" s="73">
        <f t="shared" si="125"/>
        <v>0</v>
      </c>
      <c r="AA283" s="73">
        <f t="shared" si="125"/>
        <v>0</v>
      </c>
      <c r="AB283" s="73">
        <f t="shared" si="125"/>
        <v>0</v>
      </c>
      <c r="AC283" s="73">
        <f t="shared" si="125"/>
        <v>0</v>
      </c>
      <c r="AD283" s="73">
        <f t="shared" si="125"/>
        <v>0</v>
      </c>
    </row>
    <row r="284" spans="2:30" ht="15.75" thickBot="1" x14ac:dyDescent="0.3"/>
    <row r="285" spans="2:30" ht="15.75" thickTop="1" x14ac:dyDescent="0.25">
      <c r="B285" s="97" t="s">
        <v>107</v>
      </c>
      <c r="C285" s="93"/>
      <c r="D285" s="170" t="s">
        <v>73</v>
      </c>
    </row>
    <row r="286" spans="2:30" x14ac:dyDescent="0.25">
      <c r="B286" s="13">
        <v>2019</v>
      </c>
      <c r="C286" s="35">
        <f>D280+D282+D283+N280+N282+N283+X280+X282+X283</f>
        <v>934001.28206920251</v>
      </c>
      <c r="D286" s="99">
        <v>934000</v>
      </c>
      <c r="F286" s="73"/>
      <c r="G286" s="73"/>
    </row>
    <row r="287" spans="2:30" x14ac:dyDescent="0.25">
      <c r="B287" s="13">
        <v>2020</v>
      </c>
      <c r="C287" s="35">
        <f>E280+E282+E283+O280+O282+O283+Y280+Y282+Y283</f>
        <v>685241.92761636281</v>
      </c>
      <c r="D287" s="99">
        <v>685000</v>
      </c>
    </row>
    <row r="288" spans="2:30" x14ac:dyDescent="0.25">
      <c r="B288" s="13">
        <v>2021</v>
      </c>
      <c r="C288" s="35">
        <f>F280+F282+F283+P280+P282+P283+Z280+Z282+Z283</f>
        <v>400580.03599317436</v>
      </c>
      <c r="D288" s="99">
        <v>401000</v>
      </c>
    </row>
    <row r="289" spans="2:15" x14ac:dyDescent="0.25">
      <c r="B289" s="13">
        <v>2022</v>
      </c>
      <c r="C289" s="35">
        <f>G280+G282+G283+Q280+Q282+Q283+AA280+AA282+AA283</f>
        <v>378014.43807745504</v>
      </c>
      <c r="D289" s="99">
        <v>378000</v>
      </c>
    </row>
    <row r="290" spans="2:15" x14ac:dyDescent="0.25">
      <c r="B290" s="13">
        <v>2023</v>
      </c>
      <c r="C290" s="35">
        <f>H280+H282+H283+R280+R282+R283+AB280+AB282+AB283</f>
        <v>130421.85787278901</v>
      </c>
      <c r="D290" s="99">
        <v>130000</v>
      </c>
    </row>
    <row r="291" spans="2:15" x14ac:dyDescent="0.25">
      <c r="B291" s="13">
        <v>2024</v>
      </c>
      <c r="C291" s="35">
        <f>I280+I282+I283+S280+S282+S283+AC280+AC282+AC283</f>
        <v>119112.40769695866</v>
      </c>
      <c r="D291" s="99">
        <v>119000</v>
      </c>
    </row>
    <row r="292" spans="2:15" x14ac:dyDescent="0.25">
      <c r="B292" s="13">
        <v>2025</v>
      </c>
      <c r="C292" s="35">
        <f>J280+J282+J283+T280+T282+T283+AD280+AD282+AD283</f>
        <v>107768.7533676631</v>
      </c>
      <c r="D292" s="99">
        <v>108000</v>
      </c>
    </row>
    <row r="293" spans="2:15" ht="15.75" thickBot="1" x14ac:dyDescent="0.3">
      <c r="B293" s="94" t="s">
        <v>11</v>
      </c>
      <c r="C293" s="91">
        <f>SUM(C286:C292)</f>
        <v>2755140.7026936053</v>
      </c>
      <c r="D293" s="100">
        <f>SUM(D286:D292)</f>
        <v>2755000</v>
      </c>
    </row>
    <row r="294" spans="2:15" ht="15.75" thickTop="1" x14ac:dyDescent="0.25"/>
    <row r="295" spans="2:15" x14ac:dyDescent="0.25">
      <c r="M295" s="73"/>
    </row>
    <row r="296" spans="2:15" x14ac:dyDescent="0.25">
      <c r="B296" s="8" t="s">
        <v>109</v>
      </c>
    </row>
    <row r="297" spans="2:15" ht="15.75" thickBot="1" x14ac:dyDescent="0.3">
      <c r="N297" s="73"/>
    </row>
    <row r="298" spans="2:15" ht="15.75" thickTop="1" x14ac:dyDescent="0.25">
      <c r="B298" s="113" t="s">
        <v>12</v>
      </c>
      <c r="C298" s="114" t="s">
        <v>110</v>
      </c>
      <c r="D298" s="114" t="s">
        <v>90</v>
      </c>
      <c r="E298" s="114" t="s">
        <v>111</v>
      </c>
      <c r="F298" s="114" t="s">
        <v>68</v>
      </c>
      <c r="G298" s="114" t="s">
        <v>149</v>
      </c>
      <c r="H298" s="114" t="s">
        <v>172</v>
      </c>
      <c r="I298" s="115" t="s">
        <v>109</v>
      </c>
      <c r="J298" s="164"/>
      <c r="K298" s="164"/>
    </row>
    <row r="299" spans="2:15" x14ac:dyDescent="0.25">
      <c r="B299" s="108">
        <v>2019</v>
      </c>
      <c r="C299" s="17">
        <f t="shared" ref="C299:C305" si="126">H124</f>
        <v>99474000</v>
      </c>
      <c r="D299" s="17">
        <f t="shared" ref="D299:D305" si="127">D286</f>
        <v>934000</v>
      </c>
      <c r="E299" s="17">
        <f t="shared" ref="E299:E305" si="128">G173</f>
        <v>976000</v>
      </c>
      <c r="F299" s="17">
        <f t="shared" ref="F299:F305" si="129">G138</f>
        <v>311000</v>
      </c>
      <c r="G299" s="17">
        <v>0</v>
      </c>
      <c r="H299" s="17">
        <f t="shared" ref="H299:H305" si="130">F229</f>
        <v>0</v>
      </c>
      <c r="I299" s="109">
        <f t="shared" ref="I299:I306" si="131">C299-D299+E299+F299+G299+H299</f>
        <v>99827000</v>
      </c>
      <c r="J299" s="17"/>
      <c r="K299" s="17"/>
      <c r="L299" s="73"/>
      <c r="M299" s="73"/>
      <c r="N299" s="73"/>
      <c r="O299" s="73"/>
    </row>
    <row r="300" spans="2:15" x14ac:dyDescent="0.25">
      <c r="B300" s="108">
        <v>2020</v>
      </c>
      <c r="C300" s="17">
        <f t="shared" si="126"/>
        <v>42374000</v>
      </c>
      <c r="D300" s="17">
        <f t="shared" si="127"/>
        <v>685000</v>
      </c>
      <c r="E300" s="17">
        <f t="shared" si="128"/>
        <v>0</v>
      </c>
      <c r="F300" s="17">
        <f t="shared" si="129"/>
        <v>621000</v>
      </c>
      <c r="G300" s="17">
        <v>0</v>
      </c>
      <c r="H300" s="17">
        <f t="shared" si="130"/>
        <v>0</v>
      </c>
      <c r="I300" s="109">
        <f t="shared" si="131"/>
        <v>42310000</v>
      </c>
      <c r="J300" s="17"/>
      <c r="K300" s="17"/>
      <c r="L300" s="73"/>
      <c r="M300" s="73"/>
      <c r="N300" s="73"/>
      <c r="O300" s="73"/>
    </row>
    <row r="301" spans="2:15" x14ac:dyDescent="0.25">
      <c r="B301" s="108">
        <v>2021</v>
      </c>
      <c r="C301" s="17">
        <f t="shared" si="126"/>
        <v>8428000</v>
      </c>
      <c r="D301" s="17">
        <f t="shared" si="127"/>
        <v>401000</v>
      </c>
      <c r="E301" s="17">
        <f t="shared" si="128"/>
        <v>0</v>
      </c>
      <c r="F301" s="17">
        <f t="shared" si="129"/>
        <v>311000</v>
      </c>
      <c r="G301" s="17">
        <v>0</v>
      </c>
      <c r="H301" s="17">
        <f t="shared" si="130"/>
        <v>0</v>
      </c>
      <c r="I301" s="109">
        <f t="shared" si="131"/>
        <v>8338000</v>
      </c>
      <c r="J301" s="17"/>
      <c r="K301" s="17"/>
      <c r="L301" s="73"/>
      <c r="M301" s="73"/>
      <c r="N301" s="73"/>
      <c r="O301" s="73"/>
    </row>
    <row r="302" spans="2:15" x14ac:dyDescent="0.25">
      <c r="B302" s="108">
        <v>2022</v>
      </c>
      <c r="C302" s="17">
        <f t="shared" si="126"/>
        <v>20055000</v>
      </c>
      <c r="D302" s="17">
        <f t="shared" si="127"/>
        <v>378000</v>
      </c>
      <c r="E302" s="17">
        <f t="shared" si="128"/>
        <v>0</v>
      </c>
      <c r="F302" s="17">
        <f t="shared" si="129"/>
        <v>155000</v>
      </c>
      <c r="G302" s="17">
        <v>0</v>
      </c>
      <c r="H302" s="17">
        <f t="shared" si="130"/>
        <v>5832000</v>
      </c>
      <c r="I302" s="109">
        <f t="shared" si="131"/>
        <v>25664000</v>
      </c>
      <c r="J302" s="17"/>
      <c r="K302" s="17"/>
      <c r="L302" s="73"/>
      <c r="M302" s="73"/>
      <c r="N302" s="73"/>
      <c r="O302" s="73"/>
    </row>
    <row r="303" spans="2:15" x14ac:dyDescent="0.25">
      <c r="B303" s="108">
        <v>2023</v>
      </c>
      <c r="C303" s="17">
        <f t="shared" si="126"/>
        <v>6402000</v>
      </c>
      <c r="D303" s="17">
        <f t="shared" si="127"/>
        <v>130000</v>
      </c>
      <c r="E303" s="17">
        <f t="shared" si="128"/>
        <v>182000</v>
      </c>
      <c r="F303" s="17">
        <f t="shared" si="129"/>
        <v>78000</v>
      </c>
      <c r="G303" s="17">
        <f>C221</f>
        <v>5364000</v>
      </c>
      <c r="H303" s="17">
        <f t="shared" si="130"/>
        <v>3332000</v>
      </c>
      <c r="I303" s="109">
        <f t="shared" si="131"/>
        <v>15228000</v>
      </c>
      <c r="J303" s="17"/>
      <c r="K303" s="17"/>
      <c r="L303" s="73"/>
      <c r="M303" s="73"/>
      <c r="N303" s="73"/>
      <c r="O303" s="73"/>
    </row>
    <row r="304" spans="2:15" x14ac:dyDescent="0.25">
      <c r="B304" s="108">
        <v>2024</v>
      </c>
      <c r="C304" s="17">
        <f t="shared" si="126"/>
        <v>6440000</v>
      </c>
      <c r="D304" s="17">
        <f t="shared" si="127"/>
        <v>119000</v>
      </c>
      <c r="E304" s="17">
        <f t="shared" si="128"/>
        <v>0</v>
      </c>
      <c r="F304" s="17">
        <f t="shared" si="129"/>
        <v>54000</v>
      </c>
      <c r="G304" s="17">
        <f>D221</f>
        <v>2682000</v>
      </c>
      <c r="H304" s="17">
        <f t="shared" si="130"/>
        <v>3457000</v>
      </c>
      <c r="I304" s="109">
        <f t="shared" si="131"/>
        <v>12514000</v>
      </c>
      <c r="J304" s="17"/>
      <c r="K304" s="17"/>
      <c r="L304" s="73"/>
      <c r="M304" s="73"/>
      <c r="N304" s="73"/>
      <c r="O304" s="73"/>
    </row>
    <row r="305" spans="2:15" x14ac:dyDescent="0.25">
      <c r="B305" s="108">
        <v>2025</v>
      </c>
      <c r="C305" s="17">
        <f t="shared" si="126"/>
        <v>6461000</v>
      </c>
      <c r="D305" s="17">
        <f t="shared" si="127"/>
        <v>108000</v>
      </c>
      <c r="E305" s="17">
        <f t="shared" si="128"/>
        <v>0</v>
      </c>
      <c r="F305" s="17">
        <f t="shared" si="129"/>
        <v>54000</v>
      </c>
      <c r="G305" s="17">
        <f>E221</f>
        <v>2682000</v>
      </c>
      <c r="H305" s="17">
        <f t="shared" si="130"/>
        <v>3567000</v>
      </c>
      <c r="I305" s="109">
        <f t="shared" si="131"/>
        <v>12656000</v>
      </c>
      <c r="J305" s="17"/>
      <c r="K305" s="17"/>
      <c r="L305" s="73"/>
      <c r="M305" s="73"/>
      <c r="N305" s="73"/>
    </row>
    <row r="306" spans="2:15" ht="15.75" thickBot="1" x14ac:dyDescent="0.3">
      <c r="B306" s="110" t="s">
        <v>11</v>
      </c>
      <c r="C306" s="111">
        <f>SUM(C299:C305)</f>
        <v>189634000</v>
      </c>
      <c r="D306" s="111">
        <f>SUM(D299:D305)</f>
        <v>2755000</v>
      </c>
      <c r="E306" s="111">
        <f>SUM(E299:E305)</f>
        <v>1158000</v>
      </c>
      <c r="F306" s="111">
        <f>SUM(F299:F305)</f>
        <v>1584000</v>
      </c>
      <c r="G306" s="111">
        <f>F221</f>
        <v>10728000</v>
      </c>
      <c r="H306" s="111">
        <f>SUM(H299:H305)</f>
        <v>16188000</v>
      </c>
      <c r="I306" s="112">
        <f t="shared" si="131"/>
        <v>216537000</v>
      </c>
      <c r="J306" s="17"/>
      <c r="K306" s="17"/>
      <c r="L306" s="73"/>
      <c r="M306" s="73"/>
      <c r="N306" s="73"/>
      <c r="O306" s="73"/>
    </row>
    <row r="307" spans="2:15" ht="15.75" thickTop="1" x14ac:dyDescent="0.25"/>
    <row r="309" spans="2:15" x14ac:dyDescent="0.25">
      <c r="B309" s="8" t="s">
        <v>136</v>
      </c>
    </row>
    <row r="310" spans="2:15" x14ac:dyDescent="0.25">
      <c r="B310" s="87" t="s">
        <v>12</v>
      </c>
      <c r="C310" t="s">
        <v>137</v>
      </c>
      <c r="D310" t="s">
        <v>139</v>
      </c>
      <c r="E310" t="s">
        <v>138</v>
      </c>
      <c r="H310" t="s">
        <v>144</v>
      </c>
      <c r="I310" t="s">
        <v>146</v>
      </c>
      <c r="J310" t="s">
        <v>145</v>
      </c>
    </row>
    <row r="311" spans="2:15" x14ac:dyDescent="0.25">
      <c r="B311">
        <v>2019</v>
      </c>
      <c r="C311">
        <v>0.54900000000000004</v>
      </c>
      <c r="D311" s="73">
        <f t="shared" ref="D311:D317" si="132">C311*365</f>
        <v>200.38500000000002</v>
      </c>
      <c r="E311" s="73">
        <f t="shared" ref="E311:E317" si="133">C311*2000*365</f>
        <v>400770</v>
      </c>
      <c r="G311">
        <v>2019</v>
      </c>
      <c r="H311">
        <v>6.0679999999999996</v>
      </c>
      <c r="I311">
        <f t="shared" ref="I311:I317" si="134">H311-J311</f>
        <v>5.5189999999999992</v>
      </c>
      <c r="J311">
        <v>0.54900000000000004</v>
      </c>
    </row>
    <row r="312" spans="2:15" x14ac:dyDescent="0.25">
      <c r="B312">
        <v>2020</v>
      </c>
      <c r="C312">
        <v>0.61299999999999999</v>
      </c>
      <c r="D312" s="73">
        <f t="shared" si="132"/>
        <v>223.745</v>
      </c>
      <c r="E312" s="73">
        <f t="shared" si="133"/>
        <v>447490</v>
      </c>
      <c r="G312">
        <v>2020</v>
      </c>
      <c r="H312">
        <v>4.9329999999999998</v>
      </c>
      <c r="I312">
        <f t="shared" si="134"/>
        <v>4.32</v>
      </c>
      <c r="J312">
        <v>0.61299999999999999</v>
      </c>
    </row>
    <row r="313" spans="2:15" x14ac:dyDescent="0.25">
      <c r="B313">
        <v>2021</v>
      </c>
      <c r="C313">
        <v>0.57599999999999996</v>
      </c>
      <c r="D313" s="73">
        <f t="shared" si="132"/>
        <v>210.23999999999998</v>
      </c>
      <c r="E313" s="73">
        <f t="shared" si="133"/>
        <v>420480</v>
      </c>
      <c r="G313">
        <v>2021</v>
      </c>
      <c r="H313">
        <v>4.415</v>
      </c>
      <c r="I313">
        <f t="shared" si="134"/>
        <v>3.839</v>
      </c>
      <c r="J313">
        <v>0.57599999999999996</v>
      </c>
    </row>
    <row r="314" spans="2:15" x14ac:dyDescent="0.25">
      <c r="B314">
        <v>2022</v>
      </c>
      <c r="C314">
        <v>0.439</v>
      </c>
      <c r="D314" s="73">
        <f t="shared" si="132"/>
        <v>160.23500000000001</v>
      </c>
      <c r="E314" s="73">
        <f t="shared" si="133"/>
        <v>320470</v>
      </c>
      <c r="G314">
        <v>2022</v>
      </c>
      <c r="H314">
        <v>2.367</v>
      </c>
      <c r="I314">
        <f t="shared" si="134"/>
        <v>1.9279999999999999</v>
      </c>
      <c r="J314">
        <v>0.439</v>
      </c>
    </row>
    <row r="315" spans="2:15" x14ac:dyDescent="0.25">
      <c r="B315">
        <v>2023</v>
      </c>
      <c r="C315">
        <v>0.316</v>
      </c>
      <c r="D315" s="73">
        <f t="shared" si="132"/>
        <v>115.34</v>
      </c>
      <c r="E315" s="73">
        <f t="shared" si="133"/>
        <v>230680</v>
      </c>
      <c r="G315">
        <v>2023</v>
      </c>
      <c r="H315">
        <v>1.3879999999999999</v>
      </c>
      <c r="I315">
        <f t="shared" si="134"/>
        <v>1.0719999999999998</v>
      </c>
      <c r="J315">
        <v>0.316</v>
      </c>
    </row>
    <row r="316" spans="2:15" x14ac:dyDescent="0.25">
      <c r="B316">
        <v>2024</v>
      </c>
      <c r="C316">
        <v>0.34200000000000003</v>
      </c>
      <c r="D316" s="73">
        <f t="shared" si="132"/>
        <v>124.83000000000001</v>
      </c>
      <c r="E316" s="73">
        <f t="shared" si="133"/>
        <v>249660</v>
      </c>
      <c r="G316">
        <v>2024</v>
      </c>
      <c r="H316">
        <v>1.4179999999999999</v>
      </c>
      <c r="I316">
        <f t="shared" si="134"/>
        <v>1.0759999999999998</v>
      </c>
      <c r="J316">
        <v>0.34200000000000003</v>
      </c>
    </row>
    <row r="317" spans="2:15" x14ac:dyDescent="0.25">
      <c r="B317">
        <v>2025</v>
      </c>
      <c r="C317">
        <v>0.36299999999999999</v>
      </c>
      <c r="D317" s="73">
        <f t="shared" si="132"/>
        <v>132.495</v>
      </c>
      <c r="E317" s="73">
        <f t="shared" si="133"/>
        <v>264990</v>
      </c>
      <c r="G317">
        <v>2025</v>
      </c>
      <c r="H317">
        <v>1.4350000000000001</v>
      </c>
      <c r="I317">
        <f t="shared" si="134"/>
        <v>1.0720000000000001</v>
      </c>
      <c r="J317">
        <v>0.36299999999999999</v>
      </c>
    </row>
    <row r="318" spans="2:15" x14ac:dyDescent="0.25">
      <c r="B318" t="s">
        <v>11</v>
      </c>
      <c r="C318" s="143">
        <f>SUM(C311:C317)</f>
        <v>3.198</v>
      </c>
      <c r="D318" s="73">
        <f>SUM(D311:D317)</f>
        <v>1167.27</v>
      </c>
      <c r="E318" s="73">
        <f>SUM(E311:E317)</f>
        <v>2334540</v>
      </c>
    </row>
    <row r="320" spans="2:15" x14ac:dyDescent="0.25">
      <c r="B320" s="8" t="s">
        <v>140</v>
      </c>
    </row>
    <row r="321" spans="2:3" x14ac:dyDescent="0.25">
      <c r="B321" t="s">
        <v>141</v>
      </c>
      <c r="C321" s="141">
        <f>I306/D318</f>
        <v>185507.2091289933</v>
      </c>
    </row>
    <row r="322" spans="2:3" x14ac:dyDescent="0.25">
      <c r="B322" t="s">
        <v>142</v>
      </c>
      <c r="C322" s="141">
        <f>I306/E318</f>
        <v>92.753604564496641</v>
      </c>
    </row>
    <row r="338" spans="2:9" x14ac:dyDescent="0.25">
      <c r="B338" s="87"/>
    </row>
    <row r="343" spans="2:9" x14ac:dyDescent="0.25">
      <c r="B343" s="87" t="s">
        <v>193</v>
      </c>
    </row>
    <row r="346" spans="2:9" ht="15.75" thickBot="1" x14ac:dyDescent="0.3">
      <c r="B346" s="193"/>
      <c r="C346" s="193"/>
      <c r="D346" s="193"/>
      <c r="E346" s="193" t="s">
        <v>194</v>
      </c>
      <c r="F346" s="193"/>
      <c r="G346" s="193"/>
      <c r="H346" s="193"/>
      <c r="I346" s="193"/>
    </row>
    <row r="347" spans="2:9" ht="15.75" thickTop="1" x14ac:dyDescent="0.25">
      <c r="B347" s="194" t="s">
        <v>12</v>
      </c>
      <c r="C347" s="195" t="s">
        <v>195</v>
      </c>
      <c r="D347" s="195" t="s">
        <v>68</v>
      </c>
      <c r="E347" s="195" t="s">
        <v>196</v>
      </c>
      <c r="F347" s="195" t="s">
        <v>197</v>
      </c>
      <c r="G347" s="195" t="s">
        <v>198</v>
      </c>
      <c r="H347" s="195" t="s">
        <v>25</v>
      </c>
      <c r="I347" s="196" t="s">
        <v>73</v>
      </c>
    </row>
    <row r="348" spans="2:9" x14ac:dyDescent="0.25">
      <c r="B348" s="197">
        <v>2019</v>
      </c>
      <c r="C348" s="198">
        <v>3583789.3000000003</v>
      </c>
      <c r="D348" s="198">
        <v>311000</v>
      </c>
      <c r="E348" s="199" t="s">
        <v>199</v>
      </c>
      <c r="F348" s="198">
        <v>1090929.7666666668</v>
      </c>
      <c r="G348" s="198">
        <v>206000</v>
      </c>
      <c r="H348" s="198">
        <v>1296929.7666666668</v>
      </c>
      <c r="I348" s="200">
        <v>1297000</v>
      </c>
    </row>
    <row r="349" spans="2:9" x14ac:dyDescent="0.25">
      <c r="B349" s="197">
        <v>2020</v>
      </c>
      <c r="C349" s="198">
        <v>1518929</v>
      </c>
      <c r="D349" s="198">
        <v>621000</v>
      </c>
      <c r="E349" s="199" t="s">
        <v>200</v>
      </c>
      <c r="F349" s="198">
        <v>2630824.0333333337</v>
      </c>
      <c r="G349" s="198">
        <v>204000</v>
      </c>
      <c r="H349" s="198">
        <v>2834824.0333333337</v>
      </c>
      <c r="I349" s="200">
        <v>2835000</v>
      </c>
    </row>
    <row r="350" spans="2:9" x14ac:dyDescent="0.25">
      <c r="B350" s="197">
        <v>2021</v>
      </c>
      <c r="C350" s="198">
        <v>299334.2</v>
      </c>
      <c r="D350" s="198">
        <v>311000</v>
      </c>
      <c r="E350" s="199" t="s">
        <v>201</v>
      </c>
      <c r="F350" s="198">
        <v>443131.6</v>
      </c>
      <c r="G350" s="198">
        <v>204000</v>
      </c>
      <c r="H350" s="198">
        <v>647131.6</v>
      </c>
      <c r="I350" s="200">
        <v>647000</v>
      </c>
    </row>
    <row r="351" spans="2:9" x14ac:dyDescent="0.25">
      <c r="B351" s="197">
        <v>2022</v>
      </c>
      <c r="C351" s="198">
        <v>921337.6</v>
      </c>
      <c r="D351" s="198">
        <v>155000</v>
      </c>
      <c r="E351" s="199" t="s">
        <v>202</v>
      </c>
      <c r="F351" s="198">
        <v>377335.9</v>
      </c>
      <c r="G351" s="198">
        <v>204000</v>
      </c>
      <c r="H351" s="198">
        <v>581335.9</v>
      </c>
      <c r="I351" s="200">
        <v>581000</v>
      </c>
    </row>
    <row r="352" spans="2:9" x14ac:dyDescent="0.25">
      <c r="B352" s="197">
        <v>2023</v>
      </c>
      <c r="C352" s="198">
        <v>546685.20000000007</v>
      </c>
      <c r="D352" s="198">
        <v>78000</v>
      </c>
      <c r="E352" s="199" t="s">
        <v>203</v>
      </c>
      <c r="F352" s="198">
        <v>617511.4</v>
      </c>
      <c r="G352" s="198">
        <v>204000</v>
      </c>
      <c r="H352" s="198">
        <v>821511.4</v>
      </c>
      <c r="I352" s="200">
        <v>822000</v>
      </c>
    </row>
    <row r="353" spans="2:9" x14ac:dyDescent="0.25">
      <c r="B353" s="197">
        <v>2024</v>
      </c>
      <c r="C353" s="198">
        <v>449252.60000000003</v>
      </c>
      <c r="D353" s="198">
        <v>54000</v>
      </c>
      <c r="E353" s="199" t="s">
        <v>204</v>
      </c>
      <c r="F353" s="198">
        <v>431968.9</v>
      </c>
      <c r="G353" s="198">
        <v>204000</v>
      </c>
      <c r="H353" s="198">
        <v>635968.9</v>
      </c>
      <c r="I353" s="200">
        <v>636000</v>
      </c>
    </row>
    <row r="354" spans="2:9" ht="15.75" thickBot="1" x14ac:dyDescent="0.3">
      <c r="B354" s="197">
        <v>2025</v>
      </c>
      <c r="C354" s="198">
        <v>454350.4</v>
      </c>
      <c r="D354" s="198">
        <v>54000</v>
      </c>
      <c r="E354" s="199" t="s">
        <v>205</v>
      </c>
      <c r="F354" s="198">
        <v>397801.5</v>
      </c>
      <c r="G354" s="198">
        <v>204000</v>
      </c>
      <c r="H354" s="198">
        <v>601801.5</v>
      </c>
      <c r="I354" s="200">
        <v>602000</v>
      </c>
    </row>
    <row r="355" spans="2:9" ht="15.75" thickBot="1" x14ac:dyDescent="0.3">
      <c r="B355" s="201" t="s">
        <v>25</v>
      </c>
      <c r="C355" s="202">
        <v>7773678.3000000007</v>
      </c>
      <c r="D355" s="202">
        <v>2205000</v>
      </c>
      <c r="E355" s="203"/>
      <c r="F355" s="202"/>
      <c r="G355" s="202">
        <v>1430000</v>
      </c>
      <c r="H355" s="202">
        <v>7419503.1000000015</v>
      </c>
      <c r="I355" s="204">
        <v>7420000</v>
      </c>
    </row>
    <row r="356" spans="2:9" ht="15.75" thickTop="1" x14ac:dyDescent="0.25"/>
    <row r="358" spans="2:9" ht="15.75" thickBot="1" x14ac:dyDescent="0.3">
      <c r="B358" s="193"/>
      <c r="C358" s="205" t="s">
        <v>206</v>
      </c>
      <c r="D358" s="205"/>
      <c r="E358" s="205"/>
      <c r="F358" s="205"/>
    </row>
    <row r="359" spans="2:9" ht="15.75" thickTop="1" x14ac:dyDescent="0.25">
      <c r="B359" s="206" t="s">
        <v>207</v>
      </c>
      <c r="C359" s="207" t="s">
        <v>208</v>
      </c>
      <c r="D359" s="207" t="s">
        <v>209</v>
      </c>
      <c r="E359" s="207" t="s">
        <v>53</v>
      </c>
      <c r="F359" s="208" t="s">
        <v>73</v>
      </c>
    </row>
    <row r="360" spans="2:9" x14ac:dyDescent="0.25">
      <c r="B360" s="197">
        <v>2019</v>
      </c>
      <c r="C360" s="198">
        <v>9942769.1999999993</v>
      </c>
      <c r="D360" s="198" t="s">
        <v>199</v>
      </c>
      <c r="E360" s="198">
        <v>3314256.4</v>
      </c>
      <c r="F360" s="200">
        <v>3310000</v>
      </c>
    </row>
    <row r="361" spans="2:9" x14ac:dyDescent="0.25">
      <c r="B361" s="197">
        <v>2020</v>
      </c>
      <c r="C361" s="198">
        <v>4214076</v>
      </c>
      <c r="D361" s="198" t="s">
        <v>200</v>
      </c>
      <c r="E361" s="198">
        <v>8735550.8000000007</v>
      </c>
      <c r="F361" s="200">
        <v>8747000</v>
      </c>
    </row>
    <row r="362" spans="2:9" x14ac:dyDescent="0.25">
      <c r="B362" s="197">
        <v>2021</v>
      </c>
      <c r="C362" s="198">
        <v>830464.79999999993</v>
      </c>
      <c r="D362" s="198" t="s">
        <v>201</v>
      </c>
      <c r="E362" s="198">
        <v>2522270.4</v>
      </c>
      <c r="F362" s="200">
        <v>2522000</v>
      </c>
    </row>
    <row r="363" spans="2:9" x14ac:dyDescent="0.25">
      <c r="B363" s="197">
        <v>2022</v>
      </c>
      <c r="C363" s="198">
        <v>2556134.3999999999</v>
      </c>
      <c r="D363" s="198" t="s">
        <v>202</v>
      </c>
      <c r="E363" s="198">
        <v>1693299.5999999999</v>
      </c>
      <c r="F363" s="200">
        <v>1693000</v>
      </c>
    </row>
    <row r="364" spans="2:9" x14ac:dyDescent="0.25">
      <c r="B364" s="197">
        <v>2023</v>
      </c>
      <c r="C364" s="198">
        <v>1516708.7999999998</v>
      </c>
      <c r="D364" s="198" t="s">
        <v>203</v>
      </c>
      <c r="E364" s="198">
        <v>2036421.5999999999</v>
      </c>
      <c r="F364" s="200">
        <v>2036000</v>
      </c>
    </row>
    <row r="365" spans="2:9" x14ac:dyDescent="0.25">
      <c r="B365" s="197">
        <v>2024</v>
      </c>
      <c r="C365" s="198">
        <v>1246394.3999999999</v>
      </c>
      <c r="D365" s="198" t="s">
        <v>204</v>
      </c>
      <c r="E365" s="198">
        <v>1381551.5999999999</v>
      </c>
      <c r="F365" s="200">
        <v>1382000</v>
      </c>
    </row>
    <row r="366" spans="2:9" x14ac:dyDescent="0.25">
      <c r="B366" s="197">
        <v>2025</v>
      </c>
      <c r="C366" s="198">
        <v>1260537.5999999999</v>
      </c>
      <c r="D366" s="198" t="s">
        <v>205</v>
      </c>
      <c r="E366" s="198">
        <v>1253466</v>
      </c>
      <c r="F366" s="200">
        <v>1253000</v>
      </c>
    </row>
    <row r="367" spans="2:9" ht="15.75" thickBot="1" x14ac:dyDescent="0.3">
      <c r="B367" s="209" t="s">
        <v>11</v>
      </c>
      <c r="C367" s="210">
        <v>21567085.199999999</v>
      </c>
      <c r="D367" s="210"/>
      <c r="E367" s="210">
        <v>20936816.400000002</v>
      </c>
      <c r="F367" s="211">
        <v>20943000</v>
      </c>
    </row>
    <row r="368" spans="2:9" ht="15.75" thickTop="1" x14ac:dyDescent="0.25"/>
  </sheetData>
  <pageMargins left="0.7" right="0.7" top="0.75" bottom="0.75" header="0.3" footer="0.3"/>
  <pageSetup paperSize="5"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42"/>
  <sheetViews>
    <sheetView topLeftCell="A154" zoomScale="89" zoomScaleNormal="89" workbookViewId="0">
      <selection activeCell="D51" sqref="D51"/>
    </sheetView>
  </sheetViews>
  <sheetFormatPr defaultRowHeight="15" x14ac:dyDescent="0.25"/>
  <cols>
    <col min="2" max="2" width="23.42578125" customWidth="1"/>
    <col min="3" max="3" width="25.28515625" customWidth="1"/>
    <col min="4" max="4" width="23.42578125" customWidth="1"/>
    <col min="5" max="5" width="17.7109375" customWidth="1"/>
    <col min="6" max="6" width="19.42578125" customWidth="1"/>
    <col min="7" max="7" width="21.85546875" customWidth="1"/>
    <col min="8" max="8" width="24.5703125" customWidth="1"/>
    <col min="9" max="9" width="25.140625" customWidth="1"/>
    <col min="10" max="10" width="15.140625" customWidth="1"/>
    <col min="11" max="11" width="17.7109375" customWidth="1"/>
    <col min="12" max="12" width="14.7109375" customWidth="1"/>
    <col min="13" max="13" width="15" customWidth="1"/>
    <col min="14" max="14" width="23.5703125" customWidth="1"/>
    <col min="15" max="15" width="23.28515625" customWidth="1"/>
    <col min="16" max="16" width="22.28515625" customWidth="1"/>
    <col min="17" max="17" width="14.85546875" customWidth="1"/>
    <col min="19" max="19" width="11.85546875" customWidth="1"/>
    <col min="20" max="20" width="15.42578125" customWidth="1"/>
    <col min="21" max="21" width="24" customWidth="1"/>
    <col min="22" max="22" width="18.7109375" customWidth="1"/>
    <col min="23" max="23" width="22.85546875" customWidth="1"/>
    <col min="24" max="24" width="22.42578125" customWidth="1"/>
    <col min="25" max="25" width="13.7109375" customWidth="1"/>
    <col min="26" max="26" width="14.42578125" customWidth="1"/>
    <col min="27" max="27" width="13" customWidth="1"/>
    <col min="28" max="28" width="14.140625" customWidth="1"/>
    <col min="29" max="29" width="13.85546875" customWidth="1"/>
    <col min="30" max="30" width="16.28515625" customWidth="1"/>
    <col min="31" max="31" width="21.5703125" customWidth="1"/>
    <col min="32" max="32" width="24.7109375" customWidth="1"/>
  </cols>
  <sheetData>
    <row r="1" spans="2:17" x14ac:dyDescent="0.25">
      <c r="O1" s="8" t="s">
        <v>67</v>
      </c>
    </row>
    <row r="2" spans="2:17" ht="15.75" thickBot="1" x14ac:dyDescent="0.3"/>
    <row r="3" spans="2:17" ht="15.75" thickTop="1" x14ac:dyDescent="0.25">
      <c r="B3" s="1" t="s">
        <v>0</v>
      </c>
      <c r="C3" t="s">
        <v>1</v>
      </c>
      <c r="N3" s="42" t="s">
        <v>12</v>
      </c>
      <c r="O3" s="50" t="s">
        <v>14</v>
      </c>
      <c r="P3" s="80" t="s">
        <v>15</v>
      </c>
      <c r="Q3" s="43" t="s">
        <v>16</v>
      </c>
    </row>
    <row r="4" spans="2:17" x14ac:dyDescent="0.25">
      <c r="C4" t="s">
        <v>2</v>
      </c>
      <c r="E4" t="s">
        <v>3</v>
      </c>
      <c r="N4" s="44">
        <v>2011</v>
      </c>
      <c r="O4" s="48" t="s">
        <v>65</v>
      </c>
      <c r="P4" s="48">
        <v>11.32</v>
      </c>
      <c r="Q4" s="77">
        <v>1.68</v>
      </c>
    </row>
    <row r="5" spans="2:17" x14ac:dyDescent="0.25">
      <c r="B5" s="2" t="s">
        <v>12</v>
      </c>
      <c r="C5" s="2">
        <v>2018</v>
      </c>
      <c r="D5" s="2">
        <v>2019</v>
      </c>
      <c r="E5" s="2">
        <v>2020</v>
      </c>
      <c r="F5" s="2">
        <v>2021</v>
      </c>
      <c r="G5" s="2">
        <v>2022</v>
      </c>
      <c r="H5" s="2">
        <v>2023</v>
      </c>
      <c r="I5" s="2">
        <v>2024</v>
      </c>
      <c r="J5" s="2">
        <v>2025</v>
      </c>
      <c r="N5" s="44">
        <v>2014</v>
      </c>
      <c r="O5" s="48">
        <v>10.19</v>
      </c>
      <c r="P5" s="48">
        <v>11.88</v>
      </c>
      <c r="Q5" s="77">
        <v>2.04</v>
      </c>
    </row>
    <row r="6" spans="2:17" ht="19.5" thickBot="1" x14ac:dyDescent="0.35">
      <c r="B6" s="3" t="s">
        <v>4</v>
      </c>
      <c r="C6" s="4"/>
      <c r="D6" s="4"/>
      <c r="E6" s="4"/>
      <c r="F6" s="4"/>
      <c r="G6" s="4"/>
      <c r="H6" s="4"/>
      <c r="I6" s="4"/>
      <c r="J6" s="4"/>
      <c r="N6" s="46">
        <v>2016</v>
      </c>
      <c r="O6" s="74">
        <v>11.86</v>
      </c>
      <c r="P6" s="74">
        <v>21.73</v>
      </c>
      <c r="Q6" s="78">
        <v>2.93</v>
      </c>
    </row>
    <row r="7" spans="2:17" ht="16.5" thickTop="1" thickBot="1" x14ac:dyDescent="0.3">
      <c r="B7" s="5" t="s">
        <v>5</v>
      </c>
      <c r="C7" s="6">
        <v>108410.55990559849</v>
      </c>
      <c r="D7" s="6">
        <v>106168.62426979949</v>
      </c>
      <c r="E7" s="6">
        <v>101820.11616840152</v>
      </c>
      <c r="F7" s="6">
        <v>96759.049215894149</v>
      </c>
      <c r="G7" s="6">
        <v>91822.904966670962</v>
      </c>
      <c r="H7" s="6">
        <v>11815.408218454433</v>
      </c>
      <c r="I7" s="6">
        <v>11273.203502331169</v>
      </c>
      <c r="J7" s="6">
        <v>10697.437428083533</v>
      </c>
    </row>
    <row r="8" spans="2:17" ht="15.75" thickTop="1" x14ac:dyDescent="0.25">
      <c r="B8" s="5" t="s">
        <v>6</v>
      </c>
      <c r="C8" s="6">
        <v>273459.60099555581</v>
      </c>
      <c r="D8" s="6">
        <v>312784.51056735357</v>
      </c>
      <c r="E8" s="6">
        <v>373639.80119887122</v>
      </c>
      <c r="F8" s="6">
        <v>439524.7837783256</v>
      </c>
      <c r="G8" s="6">
        <v>476536.1203578097</v>
      </c>
      <c r="H8" s="6">
        <v>583537.20867161872</v>
      </c>
      <c r="I8" s="6">
        <v>612469.32223807357</v>
      </c>
      <c r="J8" s="6">
        <v>638396.25951051654</v>
      </c>
      <c r="N8" s="42"/>
      <c r="O8" s="81">
        <v>2019</v>
      </c>
      <c r="P8" s="82" t="s">
        <v>66</v>
      </c>
    </row>
    <row r="9" spans="2:17" x14ac:dyDescent="0.25">
      <c r="B9" s="5" t="s">
        <v>7</v>
      </c>
      <c r="C9" s="6">
        <v>127012.27186348365</v>
      </c>
      <c r="D9" s="6">
        <v>113409.4558062435</v>
      </c>
      <c r="E9" s="6">
        <v>76130.54001936024</v>
      </c>
      <c r="F9" s="6">
        <v>33502.534499616573</v>
      </c>
      <c r="G9" s="6">
        <v>31582.4146889728</v>
      </c>
      <c r="H9" s="6">
        <v>16905.890385895033</v>
      </c>
      <c r="I9" s="6">
        <v>15301.669405443959</v>
      </c>
      <c r="J9" s="6">
        <v>13701.453034362472</v>
      </c>
      <c r="N9" s="44" t="s">
        <v>14</v>
      </c>
      <c r="O9" s="48">
        <f>2019*0.835-1671.5</f>
        <v>14.365000000000009</v>
      </c>
      <c r="P9" s="77">
        <v>0.83499999999999996</v>
      </c>
    </row>
    <row r="10" spans="2:17" x14ac:dyDescent="0.25">
      <c r="B10" s="5" t="s">
        <v>8</v>
      </c>
      <c r="C10" s="6">
        <v>64792.995768826258</v>
      </c>
      <c r="D10" s="6">
        <v>60341.297649762419</v>
      </c>
      <c r="E10" s="6">
        <v>55476.671967986877</v>
      </c>
      <c r="F10" s="6">
        <v>47428.04526372601</v>
      </c>
      <c r="G10" s="6">
        <v>37786.996301316489</v>
      </c>
      <c r="H10" s="6">
        <v>28479.05336433656</v>
      </c>
      <c r="I10" s="6">
        <v>25785.553944489166</v>
      </c>
      <c r="J10" s="6">
        <v>23210.35855515482</v>
      </c>
      <c r="N10" s="44" t="s">
        <v>15</v>
      </c>
      <c r="O10" s="48">
        <f>2019*1.9324-3876.2</f>
        <v>25.315599999999904</v>
      </c>
      <c r="P10" s="77">
        <v>1.93</v>
      </c>
    </row>
    <row r="11" spans="2:17" ht="15.75" thickBot="1" x14ac:dyDescent="0.3">
      <c r="B11" s="5" t="s">
        <v>9</v>
      </c>
      <c r="C11" s="6">
        <f t="shared" ref="C11:J11" si="0">SUM(C7:C10)</f>
        <v>573675.4285334642</v>
      </c>
      <c r="D11" s="6">
        <f t="shared" si="0"/>
        <v>592703.88829315896</v>
      </c>
      <c r="E11" s="6">
        <f t="shared" si="0"/>
        <v>607067.12935461989</v>
      </c>
      <c r="F11" s="6">
        <f t="shared" si="0"/>
        <v>617214.41275756236</v>
      </c>
      <c r="G11" s="6">
        <f t="shared" si="0"/>
        <v>637728.4363147699</v>
      </c>
      <c r="H11" s="6">
        <f t="shared" si="0"/>
        <v>640737.56064030482</v>
      </c>
      <c r="I11" s="6">
        <f t="shared" si="0"/>
        <v>664829.74909033789</v>
      </c>
      <c r="J11" s="6">
        <f t="shared" si="0"/>
        <v>686005.50852811744</v>
      </c>
      <c r="N11" s="46" t="s">
        <v>16</v>
      </c>
      <c r="O11" s="74">
        <f>2019*0.2397-480.53</f>
        <v>3.4243000000000166</v>
      </c>
      <c r="P11" s="78">
        <v>0.24</v>
      </c>
    </row>
    <row r="12" spans="2:17" ht="19.5" thickTop="1" x14ac:dyDescent="0.3">
      <c r="B12" s="3" t="s">
        <v>10</v>
      </c>
      <c r="C12" s="7"/>
      <c r="D12" s="7"/>
      <c r="E12" s="7"/>
      <c r="F12" s="7"/>
      <c r="G12" s="7"/>
      <c r="H12" s="7"/>
      <c r="I12" s="7"/>
      <c r="J12" s="7"/>
    </row>
    <row r="13" spans="2:17" x14ac:dyDescent="0.25">
      <c r="B13" s="5" t="s">
        <v>5</v>
      </c>
      <c r="C13" s="6">
        <v>6695.4560650107887</v>
      </c>
      <c r="D13" s="6">
        <v>5904.8627325188818</v>
      </c>
      <c r="E13" s="6">
        <v>5108.8308843614041</v>
      </c>
      <c r="F13" s="6">
        <v>4311.3201045015767</v>
      </c>
      <c r="G13" s="6">
        <v>3529.6965113456804</v>
      </c>
      <c r="H13" s="6">
        <v>53.2754988481745</v>
      </c>
      <c r="I13" s="6">
        <v>41.347082787489555</v>
      </c>
      <c r="J13" s="6">
        <v>31.218223546701729</v>
      </c>
    </row>
    <row r="14" spans="2:17" x14ac:dyDescent="0.25">
      <c r="B14" s="5" t="s">
        <v>6</v>
      </c>
      <c r="C14" s="6">
        <v>46491.361131278652</v>
      </c>
      <c r="D14" s="6">
        <v>49657.254101634382</v>
      </c>
      <c r="E14" s="6">
        <v>52535.602460458977</v>
      </c>
      <c r="F14" s="6">
        <v>55351.791111490784</v>
      </c>
      <c r="G14" s="6">
        <v>58173.653791756362</v>
      </c>
      <c r="H14" s="6">
        <v>62075.347240682582</v>
      </c>
      <c r="I14" s="6">
        <v>63370.466011437573</v>
      </c>
      <c r="J14" s="6">
        <v>64460.98678521008</v>
      </c>
    </row>
    <row r="15" spans="2:17" x14ac:dyDescent="0.25">
      <c r="B15" s="5" t="s">
        <v>7</v>
      </c>
      <c r="C15" s="6">
        <v>418.64965863977062</v>
      </c>
      <c r="D15" s="6">
        <v>296.00490589947208</v>
      </c>
      <c r="E15" s="6">
        <v>177.43749902232059</v>
      </c>
      <c r="F15" s="6"/>
      <c r="G15" s="6"/>
      <c r="H15" s="6"/>
      <c r="I15" s="6"/>
      <c r="J15" s="6"/>
    </row>
    <row r="16" spans="2:17" x14ac:dyDescent="0.25">
      <c r="B16" s="5" t="s">
        <v>8</v>
      </c>
      <c r="C16" s="6">
        <v>3448.3865853810748</v>
      </c>
      <c r="D16" s="6">
        <v>2750.5815354414281</v>
      </c>
      <c r="E16" s="6">
        <v>2157.7691022185973</v>
      </c>
      <c r="F16" s="6">
        <v>1354.1862386734415</v>
      </c>
      <c r="G16" s="6">
        <v>106.32276376788423</v>
      </c>
      <c r="H16" s="6">
        <v>78.476315482777522</v>
      </c>
      <c r="I16" s="6">
        <v>59.591859566995936</v>
      </c>
      <c r="J16" s="6">
        <v>46.922258508151167</v>
      </c>
    </row>
    <row r="17" spans="2:23" x14ac:dyDescent="0.25">
      <c r="B17" s="5" t="s">
        <v>11</v>
      </c>
      <c r="C17" s="6">
        <f t="shared" ref="C17:J17" si="1">SUM(C13:C16)</f>
        <v>57053.853440310282</v>
      </c>
      <c r="D17" s="6">
        <f t="shared" si="1"/>
        <v>58608.703275494161</v>
      </c>
      <c r="E17" s="6">
        <f t="shared" si="1"/>
        <v>59979.639946061303</v>
      </c>
      <c r="F17" s="6">
        <f t="shared" si="1"/>
        <v>61017.297454665801</v>
      </c>
      <c r="G17" s="6">
        <f t="shared" si="1"/>
        <v>61809.673066869931</v>
      </c>
      <c r="H17" s="6">
        <f t="shared" si="1"/>
        <v>62207.099055013532</v>
      </c>
      <c r="I17" s="6">
        <f t="shared" si="1"/>
        <v>63471.404953792058</v>
      </c>
      <c r="J17" s="6">
        <f t="shared" si="1"/>
        <v>64539.127267264936</v>
      </c>
    </row>
    <row r="21" spans="2:23" x14ac:dyDescent="0.25">
      <c r="D21" s="41" t="s">
        <v>26</v>
      </c>
      <c r="E21" t="s">
        <v>13</v>
      </c>
    </row>
    <row r="22" spans="2:23" ht="15.75" thickBot="1" x14ac:dyDescent="0.3">
      <c r="D22" s="8" t="s">
        <v>14</v>
      </c>
      <c r="J22" s="8" t="s">
        <v>15</v>
      </c>
      <c r="P22" s="8" t="s">
        <v>16</v>
      </c>
      <c r="V22" s="8" t="s">
        <v>17</v>
      </c>
    </row>
    <row r="23" spans="2:23" ht="16.5" thickTop="1" thickBot="1" x14ac:dyDescent="0.3">
      <c r="B23" s="9" t="s">
        <v>12</v>
      </c>
      <c r="C23" s="10" t="s">
        <v>18</v>
      </c>
      <c r="D23" s="11" t="s">
        <v>19</v>
      </c>
      <c r="E23" s="11" t="s">
        <v>20</v>
      </c>
      <c r="F23" s="11" t="s">
        <v>21</v>
      </c>
      <c r="G23" s="39"/>
      <c r="H23" s="11" t="s">
        <v>18</v>
      </c>
      <c r="I23" s="11" t="s">
        <v>22</v>
      </c>
      <c r="J23" s="11" t="s">
        <v>20</v>
      </c>
      <c r="K23" s="11" t="s">
        <v>21</v>
      </c>
      <c r="L23" s="39"/>
      <c r="M23" s="11" t="s">
        <v>18</v>
      </c>
      <c r="N23" s="11" t="s">
        <v>23</v>
      </c>
      <c r="O23" s="11" t="s">
        <v>20</v>
      </c>
      <c r="P23" s="11" t="s">
        <v>21</v>
      </c>
      <c r="Q23" s="37"/>
      <c r="S23" s="9" t="s">
        <v>12</v>
      </c>
      <c r="T23" s="12" t="s">
        <v>18</v>
      </c>
      <c r="U23" s="12" t="s">
        <v>24</v>
      </c>
      <c r="V23" s="12" t="s">
        <v>20</v>
      </c>
      <c r="W23" s="34" t="s">
        <v>21</v>
      </c>
    </row>
    <row r="24" spans="2:23" x14ac:dyDescent="0.25">
      <c r="B24" s="13">
        <v>2019</v>
      </c>
      <c r="C24" s="18">
        <f t="shared" ref="C24:C30" si="2">(0.835*B24-1671.5)/100</f>
        <v>0.14365000000000008</v>
      </c>
      <c r="D24" s="19">
        <f>C24</f>
        <v>0.14365000000000008</v>
      </c>
      <c r="E24" s="20">
        <f>D10</f>
        <v>60341.297649762419</v>
      </c>
      <c r="F24" s="21">
        <f t="shared" ref="F24:F30" si="3">E24*D24</f>
        <v>8668.0274073883757</v>
      </c>
      <c r="G24" s="40"/>
      <c r="H24" s="139">
        <f t="shared" ref="H24:H30" si="4">(1.9324*B24-3876.2)/100</f>
        <v>0.25315599999999905</v>
      </c>
      <c r="I24" s="19">
        <f>H24</f>
        <v>0.25315599999999905</v>
      </c>
      <c r="J24" s="20">
        <f>D7</f>
        <v>106168.62426979949</v>
      </c>
      <c r="K24" s="21">
        <f t="shared" ref="K24:K30" si="5">J24*I24</f>
        <v>26877.224245645259</v>
      </c>
      <c r="L24" s="40"/>
      <c r="M24" s="22">
        <f t="shared" ref="M24:M30" si="6">(B24*0.2397-480.53)/100</f>
        <v>3.4243000000000162E-2</v>
      </c>
      <c r="N24" s="19">
        <f>M24</f>
        <v>3.4243000000000162E-2</v>
      </c>
      <c r="O24" s="20">
        <f>D8</f>
        <v>312784.51056735357</v>
      </c>
      <c r="P24" s="21">
        <f t="shared" ref="P24:P30" si="7">O24*N24</f>
        <v>10710.679995357939</v>
      </c>
      <c r="Q24" s="38"/>
      <c r="S24" s="13">
        <v>2019</v>
      </c>
      <c r="T24" s="16">
        <v>0.1148</v>
      </c>
      <c r="U24" s="16">
        <f>T24</f>
        <v>0.1148</v>
      </c>
      <c r="V24" s="17">
        <f>D9</f>
        <v>113409.4558062435</v>
      </c>
      <c r="W24" s="35">
        <f t="shared" ref="W24:W30" si="8">V24*U24</f>
        <v>13019.405526556753</v>
      </c>
    </row>
    <row r="25" spans="2:23" x14ac:dyDescent="0.25">
      <c r="B25" s="13">
        <v>2020</v>
      </c>
      <c r="C25" s="18">
        <f t="shared" si="2"/>
        <v>0.15199999999999819</v>
      </c>
      <c r="D25" s="19">
        <f t="shared" ref="D25:D30" si="9">C25-C24</f>
        <v>8.3499999999981089E-3</v>
      </c>
      <c r="E25" s="20">
        <f>E10</f>
        <v>55476.671967986877</v>
      </c>
      <c r="F25" s="21">
        <f t="shared" si="3"/>
        <v>463.23021093258552</v>
      </c>
      <c r="G25" s="40"/>
      <c r="H25" s="139">
        <f t="shared" si="4"/>
        <v>0.2724800000000005</v>
      </c>
      <c r="I25" s="19">
        <f t="shared" ref="I25:I30" si="10">H25-H24</f>
        <v>1.9324000000001451E-2</v>
      </c>
      <c r="J25" s="20">
        <f>E7</f>
        <v>101820.11616840152</v>
      </c>
      <c r="K25" s="21">
        <f t="shared" si="5"/>
        <v>1967.5719248383389</v>
      </c>
      <c r="L25" s="40"/>
      <c r="M25" s="22">
        <f t="shared" si="6"/>
        <v>3.6640000000000443E-2</v>
      </c>
      <c r="N25" s="19">
        <f t="shared" ref="N25:N30" si="11">M25-M24</f>
        <v>2.3970000000002809E-3</v>
      </c>
      <c r="O25" s="20">
        <f>E8</f>
        <v>373639.80119887122</v>
      </c>
      <c r="P25" s="21">
        <f t="shared" si="7"/>
        <v>895.61460347379921</v>
      </c>
      <c r="Q25" s="38"/>
      <c r="S25" s="13">
        <v>2020</v>
      </c>
      <c r="T25" s="16">
        <f t="shared" ref="T25:T30" si="12">T24+0.01</f>
        <v>0.12479999999999999</v>
      </c>
      <c r="U25" s="16">
        <f t="shared" ref="U25:U30" si="13">T25-T24</f>
        <v>9.999999999999995E-3</v>
      </c>
      <c r="V25" s="17">
        <f>E9</f>
        <v>76130.54001936024</v>
      </c>
      <c r="W25" s="35">
        <f t="shared" si="8"/>
        <v>761.30540019360205</v>
      </c>
    </row>
    <row r="26" spans="2:23" x14ac:dyDescent="0.25">
      <c r="B26" s="13">
        <v>2021</v>
      </c>
      <c r="C26" s="18">
        <f t="shared" si="2"/>
        <v>0.16034999999999855</v>
      </c>
      <c r="D26" s="19">
        <f t="shared" si="9"/>
        <v>8.3500000000003571E-3</v>
      </c>
      <c r="E26" s="20">
        <f>F10</f>
        <v>47428.04526372601</v>
      </c>
      <c r="F26" s="21">
        <f t="shared" si="3"/>
        <v>396.02417795212909</v>
      </c>
      <c r="G26" s="40"/>
      <c r="H26" s="139">
        <f t="shared" si="4"/>
        <v>0.2918040000000019</v>
      </c>
      <c r="I26" s="19">
        <f t="shared" si="10"/>
        <v>1.9324000000001396E-2</v>
      </c>
      <c r="J26" s="20">
        <f>F7</f>
        <v>96759.049215894149</v>
      </c>
      <c r="K26" s="21">
        <f t="shared" si="5"/>
        <v>1869.7718670480735</v>
      </c>
      <c r="L26" s="40"/>
      <c r="M26" s="22">
        <f t="shared" si="6"/>
        <v>3.9037000000000148E-2</v>
      </c>
      <c r="N26" s="19">
        <f t="shared" si="11"/>
        <v>2.3969999999997049E-3</v>
      </c>
      <c r="O26" s="20">
        <f>F8</f>
        <v>439524.7837783256</v>
      </c>
      <c r="P26" s="21">
        <f t="shared" si="7"/>
        <v>1053.5409067165167</v>
      </c>
      <c r="Q26" s="38"/>
      <c r="S26" s="13">
        <v>2021</v>
      </c>
      <c r="T26" s="16">
        <f t="shared" si="12"/>
        <v>0.1348</v>
      </c>
      <c r="U26" s="16">
        <f t="shared" si="13"/>
        <v>1.0000000000000009E-2</v>
      </c>
      <c r="V26" s="17">
        <f>F9</f>
        <v>33502.534499616573</v>
      </c>
      <c r="W26" s="35">
        <f t="shared" si="8"/>
        <v>335.02534499616604</v>
      </c>
    </row>
    <row r="27" spans="2:23" x14ac:dyDescent="0.25">
      <c r="B27" s="13">
        <v>2022</v>
      </c>
      <c r="C27" s="18">
        <f t="shared" si="2"/>
        <v>0.16869999999999891</v>
      </c>
      <c r="D27" s="19">
        <f t="shared" si="9"/>
        <v>8.3500000000003571E-3</v>
      </c>
      <c r="E27" s="20">
        <f>G10</f>
        <v>37786.996301316489</v>
      </c>
      <c r="F27" s="21">
        <f t="shared" si="3"/>
        <v>315.5214191160062</v>
      </c>
      <c r="G27" s="40"/>
      <c r="H27" s="139">
        <f t="shared" si="4"/>
        <v>0.31112799999999879</v>
      </c>
      <c r="I27" s="19">
        <f t="shared" si="10"/>
        <v>1.9323999999996899E-2</v>
      </c>
      <c r="J27" s="20">
        <f>G7</f>
        <v>91822.904966670962</v>
      </c>
      <c r="K27" s="21">
        <f t="shared" si="5"/>
        <v>1774.385815575665</v>
      </c>
      <c r="L27" s="40"/>
      <c r="M27" s="22">
        <f t="shared" si="6"/>
        <v>4.1434000000000422E-2</v>
      </c>
      <c r="N27" s="19">
        <f t="shared" si="11"/>
        <v>2.3970000000002739E-3</v>
      </c>
      <c r="O27" s="20">
        <f>G8</f>
        <v>476536.1203578097</v>
      </c>
      <c r="P27" s="21">
        <f t="shared" si="7"/>
        <v>1142.2570804978004</v>
      </c>
      <c r="Q27" s="38"/>
      <c r="S27" s="13">
        <v>2022</v>
      </c>
      <c r="T27" s="16">
        <f t="shared" si="12"/>
        <v>0.14480000000000001</v>
      </c>
      <c r="U27" s="16">
        <f t="shared" si="13"/>
        <v>1.0000000000000009E-2</v>
      </c>
      <c r="V27" s="17">
        <f>G9</f>
        <v>31582.4146889728</v>
      </c>
      <c r="W27" s="35">
        <f t="shared" si="8"/>
        <v>315.8241468897283</v>
      </c>
    </row>
    <row r="28" spans="2:23" x14ac:dyDescent="0.25">
      <c r="B28" s="13">
        <v>2023</v>
      </c>
      <c r="C28" s="18">
        <f t="shared" si="2"/>
        <v>0.17704999999999926</v>
      </c>
      <c r="D28" s="19">
        <f t="shared" si="9"/>
        <v>8.3500000000003571E-3</v>
      </c>
      <c r="E28" s="20">
        <f>H10</f>
        <v>28479.05336433656</v>
      </c>
      <c r="F28" s="21">
        <f t="shared" si="3"/>
        <v>237.80009559222046</v>
      </c>
      <c r="G28" s="40"/>
      <c r="H28" s="139">
        <f t="shared" si="4"/>
        <v>0.33045200000000025</v>
      </c>
      <c r="I28" s="19">
        <f t="shared" si="10"/>
        <v>1.9324000000001451E-2</v>
      </c>
      <c r="J28" s="20">
        <f>H7</f>
        <v>11815.408218454433</v>
      </c>
      <c r="K28" s="21">
        <f t="shared" si="5"/>
        <v>228.32094841343061</v>
      </c>
      <c r="L28" s="40"/>
      <c r="M28" s="22">
        <f t="shared" si="6"/>
        <v>4.3831000000000134E-2</v>
      </c>
      <c r="N28" s="19">
        <f t="shared" si="11"/>
        <v>2.3969999999997119E-3</v>
      </c>
      <c r="O28" s="20">
        <f>H8</f>
        <v>583537.20867161872</v>
      </c>
      <c r="P28" s="21">
        <f t="shared" si="7"/>
        <v>1398.738689185702</v>
      </c>
      <c r="Q28" s="38"/>
      <c r="S28" s="13">
        <v>2023</v>
      </c>
      <c r="T28" s="16">
        <f t="shared" si="12"/>
        <v>0.15480000000000002</v>
      </c>
      <c r="U28" s="16">
        <f t="shared" si="13"/>
        <v>1.0000000000000009E-2</v>
      </c>
      <c r="V28" s="17">
        <f>H9</f>
        <v>16905.890385895033</v>
      </c>
      <c r="W28" s="35">
        <f t="shared" si="8"/>
        <v>169.05890385895049</v>
      </c>
    </row>
    <row r="29" spans="2:23" x14ac:dyDescent="0.25">
      <c r="B29" s="13">
        <v>2024</v>
      </c>
      <c r="C29" s="18">
        <f t="shared" si="2"/>
        <v>0.18539999999999965</v>
      </c>
      <c r="D29" s="19">
        <f t="shared" si="9"/>
        <v>8.3500000000003849E-3</v>
      </c>
      <c r="E29" s="20">
        <f>I10</f>
        <v>25785.553944489166</v>
      </c>
      <c r="F29" s="21">
        <f t="shared" si="3"/>
        <v>215.30937543649446</v>
      </c>
      <c r="G29" s="40"/>
      <c r="H29" s="139">
        <f t="shared" si="4"/>
        <v>0.34977600000000164</v>
      </c>
      <c r="I29" s="19">
        <f t="shared" si="10"/>
        <v>1.9324000000001396E-2</v>
      </c>
      <c r="J29" s="20">
        <f>I7</f>
        <v>11273.203502331169</v>
      </c>
      <c r="K29" s="21">
        <f t="shared" si="5"/>
        <v>217.84338447906325</v>
      </c>
      <c r="L29" s="40"/>
      <c r="M29" s="16">
        <f t="shared" si="6"/>
        <v>4.6228000000000408E-2</v>
      </c>
      <c r="N29" s="19">
        <f t="shared" si="11"/>
        <v>2.3970000000002739E-3</v>
      </c>
      <c r="O29" s="20">
        <f>I8</f>
        <v>612469.32223807357</v>
      </c>
      <c r="P29" s="21">
        <f t="shared" si="7"/>
        <v>1468.0889654048301</v>
      </c>
      <c r="Q29" s="38"/>
      <c r="S29" s="13">
        <v>2024</v>
      </c>
      <c r="T29" s="16">
        <f t="shared" si="12"/>
        <v>0.16480000000000003</v>
      </c>
      <c r="U29" s="16">
        <f t="shared" si="13"/>
        <v>1.0000000000000009E-2</v>
      </c>
      <c r="V29" s="17">
        <f>I9</f>
        <v>15301.669405443959</v>
      </c>
      <c r="W29" s="35">
        <f t="shared" si="8"/>
        <v>153.01669405443974</v>
      </c>
    </row>
    <row r="30" spans="2:23" ht="15.75" thickBot="1" x14ac:dyDescent="0.3">
      <c r="B30" s="13">
        <v>2025</v>
      </c>
      <c r="C30" s="137">
        <f t="shared" si="2"/>
        <v>0.19375000000000001</v>
      </c>
      <c r="D30" s="19">
        <f t="shared" si="9"/>
        <v>8.3500000000003571E-3</v>
      </c>
      <c r="E30" s="23">
        <f>J10</f>
        <v>23210.35855515482</v>
      </c>
      <c r="F30" s="21">
        <f t="shared" si="3"/>
        <v>193.80649393555103</v>
      </c>
      <c r="G30" s="40"/>
      <c r="H30" s="140">
        <f t="shared" si="4"/>
        <v>0.36909999999999854</v>
      </c>
      <c r="I30" s="19">
        <f t="shared" si="10"/>
        <v>1.9323999999996899E-2</v>
      </c>
      <c r="J30" s="23">
        <f>J7</f>
        <v>10697.437428083533</v>
      </c>
      <c r="K30" s="24">
        <f t="shared" si="5"/>
        <v>206.71728086025303</v>
      </c>
      <c r="L30" s="40"/>
      <c r="M30" s="16">
        <f t="shared" si="6"/>
        <v>4.8625000000000113E-2</v>
      </c>
      <c r="N30" s="19">
        <f t="shared" si="11"/>
        <v>2.3969999999997049E-3</v>
      </c>
      <c r="O30" s="23">
        <f>J8</f>
        <v>638396.25951051654</v>
      </c>
      <c r="P30" s="21">
        <f t="shared" si="7"/>
        <v>1530.2358340465198</v>
      </c>
      <c r="Q30" s="38"/>
      <c r="S30" s="13">
        <v>2025</v>
      </c>
      <c r="T30" s="16">
        <f t="shared" si="12"/>
        <v>0.17480000000000004</v>
      </c>
      <c r="U30" s="16">
        <f t="shared" si="13"/>
        <v>1.0000000000000009E-2</v>
      </c>
      <c r="V30" s="17">
        <f>J9</f>
        <v>13701.453034362472</v>
      </c>
      <c r="W30" s="35">
        <f t="shared" si="8"/>
        <v>137.01453034362484</v>
      </c>
    </row>
    <row r="31" spans="2:23" ht="15.75" thickBot="1" x14ac:dyDescent="0.3">
      <c r="B31" s="25" t="s">
        <v>25</v>
      </c>
      <c r="C31" s="26"/>
      <c r="D31" s="27"/>
      <c r="E31" s="28"/>
      <c r="F31" s="29">
        <f>SUM(F24:F30)</f>
        <v>10489.719180353362</v>
      </c>
      <c r="G31" s="40"/>
      <c r="H31" s="30"/>
      <c r="I31" s="30"/>
      <c r="J31" s="31"/>
      <c r="K31" s="29">
        <f>SUM(K24:K30)</f>
        <v>33141.835466860088</v>
      </c>
      <c r="L31" s="40"/>
      <c r="M31" s="30"/>
      <c r="N31" s="30"/>
      <c r="O31" s="31"/>
      <c r="P31" s="29">
        <f>SUM(P24:P30)</f>
        <v>18199.156074683109</v>
      </c>
      <c r="Q31" s="38"/>
      <c r="S31" s="32" t="s">
        <v>25</v>
      </c>
      <c r="T31" s="30"/>
      <c r="U31" s="30"/>
      <c r="V31" s="33"/>
      <c r="W31" s="36">
        <f>SUM(W24:W30)</f>
        <v>14890.650546893265</v>
      </c>
    </row>
    <row r="32" spans="2:23" ht="15.75" thickTop="1" x14ac:dyDescent="0.25"/>
    <row r="34" spans="2:23" x14ac:dyDescent="0.25">
      <c r="D34" s="41" t="s">
        <v>27</v>
      </c>
      <c r="E34" t="s">
        <v>13</v>
      </c>
    </row>
    <row r="35" spans="2:23" ht="15.75" thickBot="1" x14ac:dyDescent="0.3">
      <c r="D35" s="8" t="s">
        <v>14</v>
      </c>
      <c r="J35" s="8" t="s">
        <v>15</v>
      </c>
      <c r="P35" s="8" t="s">
        <v>16</v>
      </c>
      <c r="V35" s="8" t="s">
        <v>17</v>
      </c>
    </row>
    <row r="36" spans="2:23" ht="16.5" thickTop="1" thickBot="1" x14ac:dyDescent="0.3">
      <c r="B36" s="9" t="s">
        <v>12</v>
      </c>
      <c r="C36" s="10" t="s">
        <v>18</v>
      </c>
      <c r="D36" s="11" t="s">
        <v>19</v>
      </c>
      <c r="E36" s="11" t="s">
        <v>20</v>
      </c>
      <c r="F36" s="11" t="s">
        <v>21</v>
      </c>
      <c r="G36" s="39"/>
      <c r="H36" s="11" t="s">
        <v>18</v>
      </c>
      <c r="I36" s="11" t="s">
        <v>22</v>
      </c>
      <c r="J36" s="11" t="s">
        <v>20</v>
      </c>
      <c r="K36" s="11" t="s">
        <v>21</v>
      </c>
      <c r="L36" s="39"/>
      <c r="M36" s="11" t="s">
        <v>18</v>
      </c>
      <c r="N36" s="11" t="s">
        <v>23</v>
      </c>
      <c r="O36" s="11" t="s">
        <v>20</v>
      </c>
      <c r="P36" s="11" t="s">
        <v>21</v>
      </c>
      <c r="Q36" s="37"/>
      <c r="S36" s="9" t="s">
        <v>12</v>
      </c>
      <c r="T36" s="12" t="s">
        <v>18</v>
      </c>
      <c r="U36" s="12" t="s">
        <v>24</v>
      </c>
      <c r="V36" s="12" t="s">
        <v>20</v>
      </c>
      <c r="W36" s="34" t="s">
        <v>21</v>
      </c>
    </row>
    <row r="37" spans="2:23" x14ac:dyDescent="0.25">
      <c r="B37" s="13">
        <v>2019</v>
      </c>
      <c r="C37" s="18">
        <f t="shared" ref="C37:C43" si="14">(0.835*B37-1671.5)/100</f>
        <v>0.14365000000000008</v>
      </c>
      <c r="D37" s="19">
        <f>C37</f>
        <v>0.14365000000000008</v>
      </c>
      <c r="E37" s="20">
        <f>D16</f>
        <v>2750.5815354414281</v>
      </c>
      <c r="F37" s="21">
        <f t="shared" ref="F37:F43" si="15">E37*D37</f>
        <v>395.12103756616136</v>
      </c>
      <c r="G37" s="40"/>
      <c r="H37" s="139">
        <f t="shared" ref="H37:H43" si="16">(1.9324*B37-3876.2)/100</f>
        <v>0.25315599999999905</v>
      </c>
      <c r="I37" s="19">
        <f>H37</f>
        <v>0.25315599999999905</v>
      </c>
      <c r="J37" s="20">
        <f>D13</f>
        <v>5904.8627325188818</v>
      </c>
      <c r="K37" s="21">
        <f t="shared" ref="K37:K43" si="17">J37*I37</f>
        <v>1494.8514299135445</v>
      </c>
      <c r="L37" s="40"/>
      <c r="M37" s="22">
        <f t="shared" ref="M37:M43" si="18">(B37*0.2397-480.53)/100</f>
        <v>3.4243000000000162E-2</v>
      </c>
      <c r="N37" s="19">
        <f>M37</f>
        <v>3.4243000000000162E-2</v>
      </c>
      <c r="O37" s="20">
        <f>D14</f>
        <v>49657.254101634382</v>
      </c>
      <c r="P37" s="21">
        <f t="shared" ref="P37:P43" si="19">O37*N37</f>
        <v>1700.4133522022742</v>
      </c>
      <c r="Q37" s="38"/>
      <c r="S37" s="13">
        <v>2019</v>
      </c>
      <c r="T37" s="16">
        <f>T24</f>
        <v>0.1148</v>
      </c>
      <c r="U37" s="16">
        <f>U24</f>
        <v>0.1148</v>
      </c>
      <c r="V37" s="17">
        <f>D15</f>
        <v>296.00490589947208</v>
      </c>
      <c r="W37" s="35">
        <f t="shared" ref="W37:W43" si="20">V37*U37</f>
        <v>33.981363197259391</v>
      </c>
    </row>
    <row r="38" spans="2:23" x14ac:dyDescent="0.25">
      <c r="B38" s="13">
        <v>2020</v>
      </c>
      <c r="C38" s="18">
        <f t="shared" si="14"/>
        <v>0.15199999999999819</v>
      </c>
      <c r="D38" s="19">
        <f t="shared" ref="D38:D43" si="21">C38-C37</f>
        <v>8.3499999999981089E-3</v>
      </c>
      <c r="E38" s="20">
        <f>E16</f>
        <v>2157.7691022185973</v>
      </c>
      <c r="F38" s="21">
        <f t="shared" si="15"/>
        <v>18.017372003521206</v>
      </c>
      <c r="G38" s="40"/>
      <c r="H38" s="139">
        <f t="shared" si="16"/>
        <v>0.2724800000000005</v>
      </c>
      <c r="I38" s="19">
        <f t="shared" ref="I38:I43" si="22">H38-H37</f>
        <v>1.9324000000001451E-2</v>
      </c>
      <c r="J38" s="20">
        <f>E13</f>
        <v>5108.8308843614041</v>
      </c>
      <c r="K38" s="21">
        <f t="shared" si="17"/>
        <v>98.723048009407179</v>
      </c>
      <c r="L38" s="40"/>
      <c r="M38" s="22">
        <f t="shared" si="18"/>
        <v>3.6640000000000443E-2</v>
      </c>
      <c r="N38" s="19">
        <f t="shared" ref="N38:N43" si="23">M38-M37</f>
        <v>2.3970000000002809E-3</v>
      </c>
      <c r="O38" s="20">
        <f>E14</f>
        <v>52535.602460458977</v>
      </c>
      <c r="P38" s="21">
        <f t="shared" si="19"/>
        <v>125.92783909773492</v>
      </c>
      <c r="Q38" s="38"/>
      <c r="S38" s="13">
        <v>2020</v>
      </c>
      <c r="T38" s="16">
        <f t="shared" ref="T38:T43" si="24">T37+0.01</f>
        <v>0.12479999999999999</v>
      </c>
      <c r="U38" s="16">
        <f t="shared" ref="U38:U43" si="25">T38-T37</f>
        <v>9.999999999999995E-3</v>
      </c>
      <c r="V38" s="17">
        <f>E15</f>
        <v>177.43749902232059</v>
      </c>
      <c r="W38" s="35">
        <f t="shared" si="20"/>
        <v>1.7743749902232051</v>
      </c>
    </row>
    <row r="39" spans="2:23" x14ac:dyDescent="0.25">
      <c r="B39" s="13">
        <v>2021</v>
      </c>
      <c r="C39" s="18">
        <f t="shared" si="14"/>
        <v>0.16034999999999855</v>
      </c>
      <c r="D39" s="19">
        <f t="shared" si="21"/>
        <v>8.3500000000003571E-3</v>
      </c>
      <c r="E39" s="20">
        <f>F16</f>
        <v>1354.1862386734415</v>
      </c>
      <c r="F39" s="21">
        <f t="shared" si="15"/>
        <v>11.307455092923719</v>
      </c>
      <c r="G39" s="40"/>
      <c r="H39" s="139">
        <f t="shared" si="16"/>
        <v>0.2918040000000019</v>
      </c>
      <c r="I39" s="19">
        <f t="shared" si="22"/>
        <v>1.9324000000001396E-2</v>
      </c>
      <c r="J39" s="20">
        <f>F13</f>
        <v>4311.3201045015767</v>
      </c>
      <c r="K39" s="21">
        <f t="shared" si="17"/>
        <v>83.311949699394489</v>
      </c>
      <c r="L39" s="40"/>
      <c r="M39" s="22">
        <f t="shared" si="18"/>
        <v>3.9037000000000148E-2</v>
      </c>
      <c r="N39" s="19">
        <f t="shared" si="23"/>
        <v>2.3969999999997049E-3</v>
      </c>
      <c r="O39" s="20">
        <f>F14</f>
        <v>55351.791111490784</v>
      </c>
      <c r="P39" s="21">
        <f t="shared" si="19"/>
        <v>132.67824329422709</v>
      </c>
      <c r="Q39" s="38"/>
      <c r="S39" s="13">
        <v>2021</v>
      </c>
      <c r="T39" s="16">
        <f t="shared" si="24"/>
        <v>0.1348</v>
      </c>
      <c r="U39" s="16">
        <f t="shared" si="25"/>
        <v>1.0000000000000009E-2</v>
      </c>
      <c r="V39" s="17">
        <v>0</v>
      </c>
      <c r="W39" s="35">
        <f t="shared" si="20"/>
        <v>0</v>
      </c>
    </row>
    <row r="40" spans="2:23" x14ac:dyDescent="0.25">
      <c r="B40" s="13">
        <v>2022</v>
      </c>
      <c r="C40" s="18">
        <f t="shared" si="14"/>
        <v>0.16869999999999891</v>
      </c>
      <c r="D40" s="19">
        <f t="shared" si="21"/>
        <v>8.3500000000003571E-3</v>
      </c>
      <c r="E40" s="20">
        <f>G16</f>
        <v>106.32276376788423</v>
      </c>
      <c r="F40" s="21">
        <f t="shared" si="15"/>
        <v>0.88779507746187125</v>
      </c>
      <c r="G40" s="40"/>
      <c r="H40" s="139">
        <f t="shared" si="16"/>
        <v>0.31112799999999879</v>
      </c>
      <c r="I40" s="19">
        <f t="shared" si="22"/>
        <v>1.9323999999996899E-2</v>
      </c>
      <c r="J40" s="20">
        <f>G13</f>
        <v>3529.6965113456804</v>
      </c>
      <c r="K40" s="21">
        <f t="shared" si="17"/>
        <v>68.207855385232989</v>
      </c>
      <c r="L40" s="40"/>
      <c r="M40" s="22">
        <f t="shared" si="18"/>
        <v>4.1434000000000422E-2</v>
      </c>
      <c r="N40" s="19">
        <f t="shared" si="23"/>
        <v>2.3970000000002739E-3</v>
      </c>
      <c r="O40" s="20">
        <f>G14</f>
        <v>58173.653791756362</v>
      </c>
      <c r="P40" s="21">
        <f t="shared" si="19"/>
        <v>139.44224813885594</v>
      </c>
      <c r="Q40" s="38"/>
      <c r="S40" s="13">
        <v>2022</v>
      </c>
      <c r="T40" s="16">
        <f t="shared" si="24"/>
        <v>0.14480000000000001</v>
      </c>
      <c r="U40" s="16">
        <f t="shared" si="25"/>
        <v>1.0000000000000009E-2</v>
      </c>
      <c r="V40" s="17">
        <v>0</v>
      </c>
      <c r="W40" s="35">
        <f t="shared" si="20"/>
        <v>0</v>
      </c>
    </row>
    <row r="41" spans="2:23" x14ac:dyDescent="0.25">
      <c r="B41" s="13">
        <v>2023</v>
      </c>
      <c r="C41" s="18">
        <f t="shared" si="14"/>
        <v>0.17704999999999926</v>
      </c>
      <c r="D41" s="19">
        <f t="shared" si="21"/>
        <v>8.3500000000003571E-3</v>
      </c>
      <c r="E41" s="20">
        <f>H16</f>
        <v>78.476315482777522</v>
      </c>
      <c r="F41" s="21">
        <f t="shared" si="15"/>
        <v>0.65527723428122031</v>
      </c>
      <c r="G41" s="40"/>
      <c r="H41" s="139">
        <f t="shared" si="16"/>
        <v>0.33045200000000025</v>
      </c>
      <c r="I41" s="19">
        <f t="shared" si="22"/>
        <v>1.9324000000001451E-2</v>
      </c>
      <c r="J41" s="20">
        <f>H13</f>
        <v>53.2754988481745</v>
      </c>
      <c r="K41" s="21">
        <f t="shared" si="17"/>
        <v>1.0294957397422013</v>
      </c>
      <c r="L41" s="40"/>
      <c r="M41" s="22">
        <f t="shared" si="18"/>
        <v>4.3831000000000134E-2</v>
      </c>
      <c r="N41" s="19">
        <f t="shared" si="23"/>
        <v>2.3969999999997119E-3</v>
      </c>
      <c r="O41" s="20">
        <f>H14</f>
        <v>62075.347240682582</v>
      </c>
      <c r="P41" s="21">
        <f t="shared" si="19"/>
        <v>148.79460733589826</v>
      </c>
      <c r="Q41" s="38"/>
      <c r="S41" s="13">
        <v>2023</v>
      </c>
      <c r="T41" s="16">
        <f t="shared" si="24"/>
        <v>0.15480000000000002</v>
      </c>
      <c r="U41" s="16">
        <f t="shared" si="25"/>
        <v>1.0000000000000009E-2</v>
      </c>
      <c r="V41" s="17">
        <v>0</v>
      </c>
      <c r="W41" s="35">
        <f t="shared" si="20"/>
        <v>0</v>
      </c>
    </row>
    <row r="42" spans="2:23" x14ac:dyDescent="0.25">
      <c r="B42" s="13">
        <v>2024</v>
      </c>
      <c r="C42" s="18">
        <f t="shared" si="14"/>
        <v>0.18539999999999965</v>
      </c>
      <c r="D42" s="19">
        <f t="shared" si="21"/>
        <v>8.3500000000003849E-3</v>
      </c>
      <c r="E42" s="20">
        <f>I16</f>
        <v>59.591859566995936</v>
      </c>
      <c r="F42" s="21">
        <f t="shared" si="15"/>
        <v>0.49759202738443903</v>
      </c>
      <c r="G42" s="40"/>
      <c r="H42" s="139">
        <f t="shared" si="16"/>
        <v>0.34977600000000164</v>
      </c>
      <c r="I42" s="19">
        <f t="shared" si="22"/>
        <v>1.9324000000001396E-2</v>
      </c>
      <c r="J42" s="20">
        <f>I13</f>
        <v>41.347082787489555</v>
      </c>
      <c r="K42" s="21">
        <f t="shared" si="17"/>
        <v>0.7989910277855059</v>
      </c>
      <c r="L42" s="40"/>
      <c r="M42" s="16">
        <f t="shared" si="18"/>
        <v>4.6228000000000408E-2</v>
      </c>
      <c r="N42" s="19">
        <f t="shared" si="23"/>
        <v>2.3970000000002739E-3</v>
      </c>
      <c r="O42" s="20">
        <f>I14</f>
        <v>63370.466011437573</v>
      </c>
      <c r="P42" s="21">
        <f t="shared" si="19"/>
        <v>151.89900702943322</v>
      </c>
      <c r="Q42" s="38"/>
      <c r="S42" s="13">
        <v>2024</v>
      </c>
      <c r="T42" s="16">
        <f t="shared" si="24"/>
        <v>0.16480000000000003</v>
      </c>
      <c r="U42" s="16">
        <f t="shared" si="25"/>
        <v>1.0000000000000009E-2</v>
      </c>
      <c r="V42" s="17">
        <v>0</v>
      </c>
      <c r="W42" s="35">
        <f t="shared" si="20"/>
        <v>0</v>
      </c>
    </row>
    <row r="43" spans="2:23" ht="15.75" thickBot="1" x14ac:dyDescent="0.3">
      <c r="B43" s="13">
        <v>2025</v>
      </c>
      <c r="C43" s="137">
        <f t="shared" si="14"/>
        <v>0.19375000000000001</v>
      </c>
      <c r="D43" s="19">
        <f t="shared" si="21"/>
        <v>8.3500000000003571E-3</v>
      </c>
      <c r="E43" s="23">
        <f>J16</f>
        <v>46.922258508151167</v>
      </c>
      <c r="F43" s="21">
        <f t="shared" si="15"/>
        <v>0.391800858543079</v>
      </c>
      <c r="G43" s="40"/>
      <c r="H43" s="140">
        <f t="shared" si="16"/>
        <v>0.36909999999999854</v>
      </c>
      <c r="I43" s="19">
        <f t="shared" si="22"/>
        <v>1.9323999999996899E-2</v>
      </c>
      <c r="J43" s="23">
        <f>J13</f>
        <v>31.218223546701729</v>
      </c>
      <c r="K43" s="24">
        <f t="shared" si="17"/>
        <v>0.60326095181636741</v>
      </c>
      <c r="L43" s="40"/>
      <c r="M43" s="16">
        <f t="shared" si="18"/>
        <v>4.8625000000000113E-2</v>
      </c>
      <c r="N43" s="19">
        <f t="shared" si="23"/>
        <v>2.3969999999997049E-3</v>
      </c>
      <c r="O43" s="23">
        <f>J14</f>
        <v>64460.98678521008</v>
      </c>
      <c r="P43" s="21">
        <f t="shared" si="19"/>
        <v>154.51298532412955</v>
      </c>
      <c r="Q43" s="38"/>
      <c r="S43" s="13">
        <v>2025</v>
      </c>
      <c r="T43" s="16">
        <f t="shared" si="24"/>
        <v>0.17480000000000004</v>
      </c>
      <c r="U43" s="16">
        <f t="shared" si="25"/>
        <v>1.0000000000000009E-2</v>
      </c>
      <c r="V43" s="17">
        <v>0</v>
      </c>
      <c r="W43" s="35">
        <f t="shared" si="20"/>
        <v>0</v>
      </c>
    </row>
    <row r="44" spans="2:23" ht="15.75" thickBot="1" x14ac:dyDescent="0.3">
      <c r="B44" s="25" t="s">
        <v>25</v>
      </c>
      <c r="C44" s="26"/>
      <c r="D44" s="27"/>
      <c r="E44" s="28"/>
      <c r="F44" s="29">
        <f>SUM(F37:F43)</f>
        <v>426.87832986027689</v>
      </c>
      <c r="G44" s="40"/>
      <c r="H44" s="30"/>
      <c r="I44" s="30"/>
      <c r="J44" s="31"/>
      <c r="K44" s="29">
        <f>SUM(K37:K43)</f>
        <v>1747.5260307269232</v>
      </c>
      <c r="L44" s="40"/>
      <c r="M44" s="30"/>
      <c r="N44" s="30"/>
      <c r="O44" s="31"/>
      <c r="P44" s="29">
        <f>SUM(P37:P43)</f>
        <v>2553.6682824225527</v>
      </c>
      <c r="Q44" s="38"/>
      <c r="S44" s="32" t="s">
        <v>25</v>
      </c>
      <c r="T44" s="30"/>
      <c r="U44" s="30"/>
      <c r="V44" s="33"/>
      <c r="W44" s="36">
        <f>SUM(W37:W43)</f>
        <v>35.755738187482599</v>
      </c>
    </row>
    <row r="45" spans="2:23" ht="15.75" thickTop="1" x14ac:dyDescent="0.25"/>
    <row r="46" spans="2:23" ht="15.75" thickBot="1" x14ac:dyDescent="0.3">
      <c r="C46" s="41" t="s">
        <v>28</v>
      </c>
    </row>
    <row r="47" spans="2:23" ht="15.75" thickTop="1" x14ac:dyDescent="0.25">
      <c r="B47" s="52" t="s">
        <v>38</v>
      </c>
      <c r="C47" s="53" t="s">
        <v>37</v>
      </c>
      <c r="D47" s="54" t="s">
        <v>34</v>
      </c>
      <c r="F47" s="52" t="s">
        <v>31</v>
      </c>
      <c r="G47" s="54"/>
    </row>
    <row r="48" spans="2:23" x14ac:dyDescent="0.25">
      <c r="B48" s="44" t="s">
        <v>29</v>
      </c>
      <c r="C48" s="49">
        <v>0.35</v>
      </c>
      <c r="D48" s="45" t="s">
        <v>35</v>
      </c>
      <c r="F48" s="44" t="s">
        <v>32</v>
      </c>
      <c r="G48" s="45">
        <v>0.2</v>
      </c>
    </row>
    <row r="49" spans="2:28" ht="15.75" thickBot="1" x14ac:dyDescent="0.3">
      <c r="B49" s="44" t="s">
        <v>30</v>
      </c>
      <c r="C49" s="49">
        <v>0.5</v>
      </c>
      <c r="D49" s="45" t="s">
        <v>36</v>
      </c>
      <c r="F49" s="46" t="s">
        <v>33</v>
      </c>
      <c r="G49" s="47">
        <v>0.8</v>
      </c>
    </row>
    <row r="50" spans="2:28" ht="16.5" thickTop="1" thickBot="1" x14ac:dyDescent="0.3">
      <c r="B50" s="171" t="s">
        <v>147</v>
      </c>
      <c r="C50" s="51">
        <v>0.7</v>
      </c>
      <c r="D50" s="78" t="s">
        <v>212</v>
      </c>
    </row>
    <row r="51" spans="2:28" ht="15.75" thickTop="1" x14ac:dyDescent="0.25"/>
    <row r="52" spans="2:28" ht="15.75" thickBot="1" x14ac:dyDescent="0.3">
      <c r="B52" t="s">
        <v>32</v>
      </c>
      <c r="I52" t="s">
        <v>36</v>
      </c>
      <c r="P52" t="s">
        <v>45</v>
      </c>
    </row>
    <row r="53" spans="2:28" ht="16.5" thickTop="1" thickBot="1" x14ac:dyDescent="0.3">
      <c r="B53" s="55"/>
      <c r="C53" s="56" t="s">
        <v>43</v>
      </c>
      <c r="D53" s="56"/>
      <c r="E53" s="56"/>
      <c r="F53" s="56"/>
      <c r="G53" s="57"/>
      <c r="I53" s="55"/>
      <c r="J53" s="56" t="s">
        <v>44</v>
      </c>
      <c r="K53" s="56"/>
      <c r="L53" s="56"/>
      <c r="M53" s="56"/>
      <c r="N53" s="57"/>
      <c r="P53" s="55"/>
      <c r="Q53" s="56" t="s">
        <v>46</v>
      </c>
      <c r="R53" s="56"/>
      <c r="S53" s="56"/>
      <c r="T53" s="56"/>
      <c r="U53" s="57"/>
    </row>
    <row r="54" spans="2:28" ht="15.75" thickBot="1" x14ac:dyDescent="0.3">
      <c r="B54" s="58" t="s">
        <v>12</v>
      </c>
      <c r="C54" s="59" t="s">
        <v>14</v>
      </c>
      <c r="D54" s="60" t="s">
        <v>39</v>
      </c>
      <c r="E54" s="60" t="s">
        <v>40</v>
      </c>
      <c r="F54" s="61" t="s">
        <v>41</v>
      </c>
      <c r="G54" s="62" t="s">
        <v>42</v>
      </c>
      <c r="I54" s="58" t="s">
        <v>12</v>
      </c>
      <c r="J54" s="59" t="s">
        <v>14</v>
      </c>
      <c r="K54" s="60" t="s">
        <v>39</v>
      </c>
      <c r="L54" s="60" t="s">
        <v>40</v>
      </c>
      <c r="M54" s="61" t="s">
        <v>41</v>
      </c>
      <c r="N54" s="62" t="s">
        <v>42</v>
      </c>
      <c r="P54" s="58" t="s">
        <v>12</v>
      </c>
      <c r="Q54" s="59" t="s">
        <v>14</v>
      </c>
      <c r="R54" s="60" t="s">
        <v>39</v>
      </c>
      <c r="S54" s="60" t="s">
        <v>40</v>
      </c>
      <c r="T54" s="61" t="s">
        <v>41</v>
      </c>
      <c r="U54" s="62" t="s">
        <v>42</v>
      </c>
    </row>
    <row r="55" spans="2:28" x14ac:dyDescent="0.25">
      <c r="B55" s="13">
        <v>2019</v>
      </c>
      <c r="C55" s="63">
        <f t="shared" ref="C55:C61" si="26">F24*$G$48</f>
        <v>1733.6054814776753</v>
      </c>
      <c r="D55" s="64">
        <f t="shared" ref="D55:D61" si="27">K24*$G$48</f>
        <v>5375.4448491290523</v>
      </c>
      <c r="E55" s="64">
        <f t="shared" ref="E55:E61" si="28">P24*$G$48</f>
        <v>2142.1359990715878</v>
      </c>
      <c r="F55" s="65">
        <f t="shared" ref="F55:F61" si="29">W24*$G$48</f>
        <v>2603.8811053113509</v>
      </c>
      <c r="G55" s="66">
        <f t="shared" ref="G55:G61" si="30">SUM(C55:F55)</f>
        <v>11855.067434989667</v>
      </c>
      <c r="I55" s="13">
        <v>2019</v>
      </c>
      <c r="J55" s="63">
        <f t="shared" ref="J55:J61" si="31">F24*$G$49</f>
        <v>6934.4219259107012</v>
      </c>
      <c r="K55" s="64">
        <f t="shared" ref="K55:K61" si="32">K24*$G$49</f>
        <v>21501.779396516209</v>
      </c>
      <c r="L55" s="64">
        <f t="shared" ref="L55:L61" si="33">P24*$G$49</f>
        <v>8568.5439962863511</v>
      </c>
      <c r="M55" s="65">
        <f t="shared" ref="M55:M61" si="34">W24*$G$49</f>
        <v>10415.524421245404</v>
      </c>
      <c r="N55" s="66">
        <f t="shared" ref="N55:N61" si="35">SUM(J55:M55)</f>
        <v>47420.269739958669</v>
      </c>
      <c r="P55" s="13">
        <v>2019</v>
      </c>
      <c r="Q55" s="63">
        <f t="shared" ref="Q55:Q61" si="36">F37</f>
        <v>395.12103756616136</v>
      </c>
      <c r="R55" s="64">
        <f t="shared" ref="R55:R61" si="37">K37</f>
        <v>1494.8514299135445</v>
      </c>
      <c r="S55" s="64">
        <f t="shared" ref="S55:S61" si="38">P37</f>
        <v>1700.4133522022742</v>
      </c>
      <c r="T55" s="65">
        <f t="shared" ref="T55:T61" si="39">W37</f>
        <v>33.981363197259391</v>
      </c>
      <c r="U55" s="66">
        <f t="shared" ref="U55:U61" si="40">SUM(Q55:T55)</f>
        <v>3624.3671828792394</v>
      </c>
    </row>
    <row r="56" spans="2:28" x14ac:dyDescent="0.25">
      <c r="B56" s="13">
        <v>2020</v>
      </c>
      <c r="C56" s="63">
        <f t="shared" si="26"/>
        <v>92.646042186517107</v>
      </c>
      <c r="D56" s="64">
        <f t="shared" si="27"/>
        <v>393.51438496766781</v>
      </c>
      <c r="E56" s="64">
        <f t="shared" si="28"/>
        <v>179.12292069475984</v>
      </c>
      <c r="F56" s="65">
        <f t="shared" si="29"/>
        <v>152.26108003872042</v>
      </c>
      <c r="G56" s="66">
        <f t="shared" si="30"/>
        <v>817.54442788766505</v>
      </c>
      <c r="I56" s="13">
        <v>2020</v>
      </c>
      <c r="J56" s="63">
        <f t="shared" si="31"/>
        <v>370.58416874606843</v>
      </c>
      <c r="K56" s="64">
        <f t="shared" si="32"/>
        <v>1574.0575398706712</v>
      </c>
      <c r="L56" s="64">
        <f t="shared" si="33"/>
        <v>716.49168277903937</v>
      </c>
      <c r="M56" s="65">
        <f t="shared" si="34"/>
        <v>609.04432015488169</v>
      </c>
      <c r="N56" s="66">
        <f t="shared" si="35"/>
        <v>3270.1777115506602</v>
      </c>
      <c r="P56" s="13">
        <v>2020</v>
      </c>
      <c r="Q56" s="63">
        <f t="shared" si="36"/>
        <v>18.017372003521206</v>
      </c>
      <c r="R56" s="64">
        <f t="shared" si="37"/>
        <v>98.723048009407179</v>
      </c>
      <c r="S56" s="64">
        <f t="shared" si="38"/>
        <v>125.92783909773492</v>
      </c>
      <c r="T56" s="65">
        <f t="shared" si="39"/>
        <v>1.7743749902232051</v>
      </c>
      <c r="U56" s="66">
        <f t="shared" si="40"/>
        <v>244.44263410088652</v>
      </c>
    </row>
    <row r="57" spans="2:28" x14ac:dyDescent="0.25">
      <c r="B57" s="13">
        <v>2021</v>
      </c>
      <c r="C57" s="63">
        <f t="shared" si="26"/>
        <v>79.20483559042583</v>
      </c>
      <c r="D57" s="64">
        <f t="shared" si="27"/>
        <v>373.95437340961473</v>
      </c>
      <c r="E57" s="64">
        <f t="shared" si="28"/>
        <v>210.70818134330335</v>
      </c>
      <c r="F57" s="65">
        <f t="shared" si="29"/>
        <v>67.005068999233217</v>
      </c>
      <c r="G57" s="66">
        <f t="shared" si="30"/>
        <v>730.87245934257714</v>
      </c>
      <c r="I57" s="13">
        <v>2021</v>
      </c>
      <c r="J57" s="63">
        <f t="shared" si="31"/>
        <v>316.81934236170332</v>
      </c>
      <c r="K57" s="64">
        <f t="shared" si="32"/>
        <v>1495.8174936384589</v>
      </c>
      <c r="L57" s="64">
        <f t="shared" si="33"/>
        <v>842.83272537321341</v>
      </c>
      <c r="M57" s="65">
        <f t="shared" si="34"/>
        <v>268.02027599693287</v>
      </c>
      <c r="N57" s="66">
        <f t="shared" si="35"/>
        <v>2923.4898373703086</v>
      </c>
      <c r="P57" s="13">
        <v>2021</v>
      </c>
      <c r="Q57" s="63">
        <f t="shared" si="36"/>
        <v>11.307455092923719</v>
      </c>
      <c r="R57" s="64">
        <f t="shared" si="37"/>
        <v>83.311949699394489</v>
      </c>
      <c r="S57" s="64">
        <f t="shared" si="38"/>
        <v>132.67824329422709</v>
      </c>
      <c r="T57" s="65">
        <f t="shared" si="39"/>
        <v>0</v>
      </c>
      <c r="U57" s="66">
        <f t="shared" si="40"/>
        <v>227.29764808654528</v>
      </c>
    </row>
    <row r="58" spans="2:28" x14ac:dyDescent="0.25">
      <c r="B58" s="13">
        <v>2022</v>
      </c>
      <c r="C58" s="63">
        <f t="shared" si="26"/>
        <v>63.104283823201243</v>
      </c>
      <c r="D58" s="64">
        <f t="shared" si="27"/>
        <v>354.87716311513304</v>
      </c>
      <c r="E58" s="64">
        <f t="shared" si="28"/>
        <v>228.45141609956011</v>
      </c>
      <c r="F58" s="65">
        <f t="shared" si="29"/>
        <v>63.164829377945665</v>
      </c>
      <c r="G58" s="66">
        <f t="shared" si="30"/>
        <v>709.59769241584002</v>
      </c>
      <c r="I58" s="13">
        <v>2022</v>
      </c>
      <c r="J58" s="63">
        <f t="shared" si="31"/>
        <v>252.41713529280497</v>
      </c>
      <c r="K58" s="64">
        <f t="shared" si="32"/>
        <v>1419.5086524605322</v>
      </c>
      <c r="L58" s="64">
        <f t="shared" si="33"/>
        <v>913.80566439824042</v>
      </c>
      <c r="M58" s="65">
        <f t="shared" si="34"/>
        <v>252.65931751178266</v>
      </c>
      <c r="N58" s="66">
        <f t="shared" si="35"/>
        <v>2838.3907696633601</v>
      </c>
      <c r="P58" s="13">
        <v>2022</v>
      </c>
      <c r="Q58" s="63">
        <f t="shared" si="36"/>
        <v>0.88779507746187125</v>
      </c>
      <c r="R58" s="64">
        <f t="shared" si="37"/>
        <v>68.207855385232989</v>
      </c>
      <c r="S58" s="64">
        <f t="shared" si="38"/>
        <v>139.44224813885594</v>
      </c>
      <c r="T58" s="65">
        <f t="shared" si="39"/>
        <v>0</v>
      </c>
      <c r="U58" s="66">
        <f t="shared" si="40"/>
        <v>208.53789860155081</v>
      </c>
    </row>
    <row r="59" spans="2:28" x14ac:dyDescent="0.25">
      <c r="B59" s="13">
        <v>2023</v>
      </c>
      <c r="C59" s="63">
        <f t="shared" si="26"/>
        <v>47.560019118444096</v>
      </c>
      <c r="D59" s="64">
        <f t="shared" si="27"/>
        <v>45.664189682686128</v>
      </c>
      <c r="E59" s="64">
        <f t="shared" si="28"/>
        <v>279.74773783714039</v>
      </c>
      <c r="F59" s="65">
        <f t="shared" si="29"/>
        <v>33.811780771790097</v>
      </c>
      <c r="G59" s="66">
        <f t="shared" si="30"/>
        <v>406.78372741006075</v>
      </c>
      <c r="I59" s="13">
        <v>2023</v>
      </c>
      <c r="J59" s="63">
        <f t="shared" si="31"/>
        <v>190.24007647377638</v>
      </c>
      <c r="K59" s="64">
        <f t="shared" si="32"/>
        <v>182.65675873074451</v>
      </c>
      <c r="L59" s="64">
        <f t="shared" si="33"/>
        <v>1118.9909513485616</v>
      </c>
      <c r="M59" s="65">
        <f t="shared" si="34"/>
        <v>135.24712308716039</v>
      </c>
      <c r="N59" s="66">
        <f t="shared" si="35"/>
        <v>1627.134909640243</v>
      </c>
      <c r="P59" s="13">
        <v>2023</v>
      </c>
      <c r="Q59" s="63">
        <f t="shared" si="36"/>
        <v>0.65527723428122031</v>
      </c>
      <c r="R59" s="64">
        <f t="shared" si="37"/>
        <v>1.0294957397422013</v>
      </c>
      <c r="S59" s="64">
        <f t="shared" si="38"/>
        <v>148.79460733589826</v>
      </c>
      <c r="T59" s="65">
        <f t="shared" si="39"/>
        <v>0</v>
      </c>
      <c r="U59" s="66">
        <f t="shared" si="40"/>
        <v>150.47938030992168</v>
      </c>
    </row>
    <row r="60" spans="2:28" x14ac:dyDescent="0.25">
      <c r="B60" s="67">
        <v>2024</v>
      </c>
      <c r="C60" s="63">
        <f t="shared" si="26"/>
        <v>43.061875087298894</v>
      </c>
      <c r="D60" s="64">
        <f t="shared" si="27"/>
        <v>43.568676895812651</v>
      </c>
      <c r="E60" s="64">
        <f t="shared" si="28"/>
        <v>293.61779308096601</v>
      </c>
      <c r="F60" s="65">
        <f t="shared" si="29"/>
        <v>30.603338810887948</v>
      </c>
      <c r="G60" s="66">
        <f t="shared" si="30"/>
        <v>410.85168387496549</v>
      </c>
      <c r="I60" s="67">
        <v>2024</v>
      </c>
      <c r="J60" s="63">
        <f t="shared" si="31"/>
        <v>172.24750034919558</v>
      </c>
      <c r="K60" s="64">
        <f t="shared" si="32"/>
        <v>174.2747075832506</v>
      </c>
      <c r="L60" s="64">
        <f t="shared" si="33"/>
        <v>1174.471172323864</v>
      </c>
      <c r="M60" s="65">
        <f t="shared" si="34"/>
        <v>122.41335524355179</v>
      </c>
      <c r="N60" s="66">
        <f t="shared" si="35"/>
        <v>1643.406735499862</v>
      </c>
      <c r="P60" s="67">
        <v>2024</v>
      </c>
      <c r="Q60" s="63">
        <f t="shared" si="36"/>
        <v>0.49759202738443903</v>
      </c>
      <c r="R60" s="64">
        <f t="shared" si="37"/>
        <v>0.7989910277855059</v>
      </c>
      <c r="S60" s="64">
        <f t="shared" si="38"/>
        <v>151.89900702943322</v>
      </c>
      <c r="T60" s="65">
        <f t="shared" si="39"/>
        <v>0</v>
      </c>
      <c r="U60" s="66">
        <f t="shared" si="40"/>
        <v>153.19559008460317</v>
      </c>
    </row>
    <row r="61" spans="2:28" ht="15.75" thickBot="1" x14ac:dyDescent="0.3">
      <c r="B61" s="68">
        <v>2025</v>
      </c>
      <c r="C61" s="70">
        <f t="shared" si="26"/>
        <v>38.761298787110206</v>
      </c>
      <c r="D61" s="71">
        <f t="shared" si="27"/>
        <v>41.343456172050608</v>
      </c>
      <c r="E61" s="71">
        <f t="shared" si="28"/>
        <v>306.04716680930397</v>
      </c>
      <c r="F61" s="72">
        <f t="shared" si="29"/>
        <v>27.40290606872497</v>
      </c>
      <c r="G61" s="69">
        <f t="shared" si="30"/>
        <v>413.55482783718975</v>
      </c>
      <c r="I61" s="68">
        <v>2025</v>
      </c>
      <c r="J61" s="70">
        <f t="shared" si="31"/>
        <v>155.04519514844083</v>
      </c>
      <c r="K61" s="71">
        <f t="shared" si="32"/>
        <v>165.37382468820243</v>
      </c>
      <c r="L61" s="71">
        <f t="shared" si="33"/>
        <v>1224.1886672372159</v>
      </c>
      <c r="M61" s="72">
        <f t="shared" si="34"/>
        <v>109.61162427489988</v>
      </c>
      <c r="N61" s="69">
        <f t="shared" si="35"/>
        <v>1654.219311348759</v>
      </c>
      <c r="P61" s="68">
        <v>2025</v>
      </c>
      <c r="Q61" s="70">
        <f t="shared" si="36"/>
        <v>0.391800858543079</v>
      </c>
      <c r="R61" s="71">
        <f t="shared" si="37"/>
        <v>0.60326095181636741</v>
      </c>
      <c r="S61" s="71">
        <f t="shared" si="38"/>
        <v>154.51298532412955</v>
      </c>
      <c r="T61" s="72">
        <f t="shared" si="39"/>
        <v>0</v>
      </c>
      <c r="U61" s="69">
        <f t="shared" si="40"/>
        <v>155.508047134489</v>
      </c>
    </row>
    <row r="62" spans="2:28" ht="15.75" thickTop="1" x14ac:dyDescent="0.25"/>
    <row r="63" spans="2:28" ht="15.75" thickBot="1" x14ac:dyDescent="0.3"/>
    <row r="64" spans="2:28" ht="16.5" thickTop="1" thickBot="1" x14ac:dyDescent="0.3">
      <c r="B64" s="55"/>
      <c r="C64" s="56" t="s">
        <v>47</v>
      </c>
      <c r="D64" s="56"/>
      <c r="E64" s="56"/>
      <c r="F64" s="56"/>
      <c r="G64" s="57"/>
      <c r="I64" s="55"/>
      <c r="J64" s="56" t="s">
        <v>49</v>
      </c>
      <c r="K64" s="56"/>
      <c r="L64" s="56"/>
      <c r="M64" s="56"/>
      <c r="N64" s="57"/>
      <c r="P64" s="55"/>
      <c r="Q64" s="56" t="s">
        <v>48</v>
      </c>
      <c r="R64" s="56"/>
      <c r="S64" s="56"/>
      <c r="T64" s="56"/>
      <c r="U64" s="57"/>
      <c r="W64" s="116"/>
      <c r="X64" s="117" t="s">
        <v>113</v>
      </c>
      <c r="Y64" s="117"/>
      <c r="Z64" s="117"/>
      <c r="AA64" s="117"/>
      <c r="AB64" s="118"/>
    </row>
    <row r="65" spans="2:28" ht="15.75" thickBot="1" x14ac:dyDescent="0.3">
      <c r="B65" s="58" t="s">
        <v>12</v>
      </c>
      <c r="C65" s="59" t="s">
        <v>14</v>
      </c>
      <c r="D65" s="60" t="s">
        <v>39</v>
      </c>
      <c r="E65" s="60" t="s">
        <v>40</v>
      </c>
      <c r="F65" s="61" t="s">
        <v>41</v>
      </c>
      <c r="G65" s="62" t="s">
        <v>42</v>
      </c>
      <c r="I65" s="58" t="s">
        <v>12</v>
      </c>
      <c r="J65" s="59" t="s">
        <v>14</v>
      </c>
      <c r="K65" s="60" t="s">
        <v>39</v>
      </c>
      <c r="L65" s="60" t="s">
        <v>40</v>
      </c>
      <c r="M65" s="61" t="s">
        <v>41</v>
      </c>
      <c r="N65" s="62" t="s">
        <v>42</v>
      </c>
      <c r="P65" s="58" t="s">
        <v>12</v>
      </c>
      <c r="Q65" s="59" t="s">
        <v>14</v>
      </c>
      <c r="R65" s="60" t="s">
        <v>39</v>
      </c>
      <c r="S65" s="60" t="s">
        <v>40</v>
      </c>
      <c r="T65" s="61" t="s">
        <v>41</v>
      </c>
      <c r="U65" s="62" t="s">
        <v>42</v>
      </c>
      <c r="W65" s="119" t="s">
        <v>12</v>
      </c>
      <c r="X65" s="120" t="s">
        <v>14</v>
      </c>
      <c r="Y65" s="121" t="s">
        <v>39</v>
      </c>
      <c r="Z65" s="121" t="s">
        <v>40</v>
      </c>
      <c r="AA65" s="122" t="s">
        <v>41</v>
      </c>
      <c r="AB65" s="123" t="s">
        <v>42</v>
      </c>
    </row>
    <row r="66" spans="2:28" x14ac:dyDescent="0.25">
      <c r="B66" s="13">
        <v>2019</v>
      </c>
      <c r="C66" s="63">
        <f t="shared" ref="C66:F72" si="41">C55*$C$48</f>
        <v>606.76191851718636</v>
      </c>
      <c r="D66" s="63">
        <f t="shared" si="41"/>
        <v>1881.4056971951682</v>
      </c>
      <c r="E66" s="63">
        <f t="shared" si="41"/>
        <v>749.74759967505565</v>
      </c>
      <c r="F66" s="63">
        <f t="shared" si="41"/>
        <v>911.35838685897272</v>
      </c>
      <c r="G66" s="66">
        <f t="shared" ref="G66:G72" si="42">SUM(C66:F66)</f>
        <v>4149.2736022463832</v>
      </c>
      <c r="I66" s="13">
        <v>2019</v>
      </c>
      <c r="J66" s="63">
        <f t="shared" ref="J66:M68" si="43">J55*$C$49</f>
        <v>3467.2109629553506</v>
      </c>
      <c r="K66" s="63">
        <f t="shared" si="43"/>
        <v>10750.889698258105</v>
      </c>
      <c r="L66" s="63">
        <f t="shared" si="43"/>
        <v>4284.2719981431756</v>
      </c>
      <c r="M66" s="63">
        <f t="shared" si="43"/>
        <v>5207.7622106227018</v>
      </c>
      <c r="N66" s="66">
        <f t="shared" ref="N66:N72" si="44">SUM(J66:M66)</f>
        <v>23710.134869979334</v>
      </c>
      <c r="P66" s="13">
        <v>2019</v>
      </c>
      <c r="Q66" s="63">
        <f t="shared" ref="Q66:T72" si="45">Q55*$C$48</f>
        <v>138.29236314815645</v>
      </c>
      <c r="R66" s="63">
        <f t="shared" si="45"/>
        <v>523.19800046974058</v>
      </c>
      <c r="S66" s="63">
        <f t="shared" si="45"/>
        <v>595.14467327079592</v>
      </c>
      <c r="T66" s="63">
        <f t="shared" si="45"/>
        <v>11.893477119040787</v>
      </c>
      <c r="U66" s="66">
        <f t="shared" ref="U66:U72" si="46">SUM(Q66:T66)</f>
        <v>1268.5285140077337</v>
      </c>
      <c r="W66" s="38">
        <v>2019</v>
      </c>
      <c r="X66" s="63">
        <f t="shared" ref="X66:X72" si="47">Q66+J66+C66</f>
        <v>4212.265244620693</v>
      </c>
      <c r="Y66" s="63">
        <f t="shared" ref="Y66:AA72" si="48">R66+K66+D66</f>
        <v>13155.493395923013</v>
      </c>
      <c r="Z66" s="63">
        <f t="shared" si="48"/>
        <v>5629.1642710890274</v>
      </c>
      <c r="AA66" s="63">
        <f t="shared" si="48"/>
        <v>6131.0140746007155</v>
      </c>
      <c r="AB66" s="66">
        <f t="shared" ref="AB66:AB72" si="49">SUM(X66:AA66)</f>
        <v>29127.93698623345</v>
      </c>
    </row>
    <row r="67" spans="2:28" x14ac:dyDescent="0.25">
      <c r="B67" s="13">
        <v>2020</v>
      </c>
      <c r="C67" s="63">
        <f t="shared" si="41"/>
        <v>32.426114765280985</v>
      </c>
      <c r="D67" s="63">
        <f t="shared" si="41"/>
        <v>137.73003473868371</v>
      </c>
      <c r="E67" s="63">
        <f t="shared" si="41"/>
        <v>62.693022243165942</v>
      </c>
      <c r="F67" s="63">
        <f t="shared" si="41"/>
        <v>53.291378013552148</v>
      </c>
      <c r="G67" s="66">
        <f t="shared" si="42"/>
        <v>286.1405497606828</v>
      </c>
      <c r="I67" s="13">
        <v>2020</v>
      </c>
      <c r="J67" s="63">
        <f t="shared" si="43"/>
        <v>185.29208437303421</v>
      </c>
      <c r="K67" s="63">
        <f t="shared" si="43"/>
        <v>787.02876993533562</v>
      </c>
      <c r="L67" s="63">
        <f t="shared" si="43"/>
        <v>358.24584138951968</v>
      </c>
      <c r="M67" s="63">
        <f t="shared" si="43"/>
        <v>304.52216007744084</v>
      </c>
      <c r="N67" s="66">
        <f t="shared" si="44"/>
        <v>1635.0888557753301</v>
      </c>
      <c r="P67" s="13">
        <v>2020</v>
      </c>
      <c r="Q67" s="63">
        <f t="shared" si="45"/>
        <v>6.3060802012324215</v>
      </c>
      <c r="R67" s="63">
        <f t="shared" si="45"/>
        <v>34.553066803292509</v>
      </c>
      <c r="S67" s="63">
        <f t="shared" si="45"/>
        <v>44.07474368420722</v>
      </c>
      <c r="T67" s="63">
        <f t="shared" si="45"/>
        <v>0.6210312465781217</v>
      </c>
      <c r="U67" s="66">
        <f t="shared" si="46"/>
        <v>85.554921935310276</v>
      </c>
      <c r="W67" s="38">
        <v>2020</v>
      </c>
      <c r="X67" s="63">
        <f t="shared" si="47"/>
        <v>224.0242793395476</v>
      </c>
      <c r="Y67" s="63">
        <f t="shared" si="48"/>
        <v>959.3118714773118</v>
      </c>
      <c r="Z67" s="63">
        <f t="shared" si="48"/>
        <v>465.01360731689283</v>
      </c>
      <c r="AA67" s="63">
        <f t="shared" si="48"/>
        <v>358.43456933757113</v>
      </c>
      <c r="AB67" s="66">
        <f t="shared" si="49"/>
        <v>2006.7843274713232</v>
      </c>
    </row>
    <row r="68" spans="2:28" x14ac:dyDescent="0.25">
      <c r="B68" s="13">
        <v>2021</v>
      </c>
      <c r="C68" s="63">
        <f t="shared" si="41"/>
        <v>27.721692456649038</v>
      </c>
      <c r="D68" s="63">
        <f t="shared" si="41"/>
        <v>130.88403069336516</v>
      </c>
      <c r="E68" s="63">
        <f t="shared" si="41"/>
        <v>73.747863470156162</v>
      </c>
      <c r="F68" s="63">
        <f t="shared" si="41"/>
        <v>23.451774149731623</v>
      </c>
      <c r="G68" s="66">
        <f t="shared" si="42"/>
        <v>255.80536076990197</v>
      </c>
      <c r="I68" s="13">
        <v>2021</v>
      </c>
      <c r="J68" s="63">
        <f t="shared" si="43"/>
        <v>158.40967118085166</v>
      </c>
      <c r="K68" s="63">
        <f t="shared" si="43"/>
        <v>747.90874681922946</v>
      </c>
      <c r="L68" s="63">
        <f t="shared" si="43"/>
        <v>421.4163626866067</v>
      </c>
      <c r="M68" s="63">
        <f t="shared" si="43"/>
        <v>134.01013799846643</v>
      </c>
      <c r="N68" s="66">
        <f t="shared" si="44"/>
        <v>1461.7449186851543</v>
      </c>
      <c r="P68" s="13">
        <v>2021</v>
      </c>
      <c r="Q68" s="63">
        <f t="shared" si="45"/>
        <v>3.9576092825233014</v>
      </c>
      <c r="R68" s="63">
        <f t="shared" si="45"/>
        <v>29.159182394788068</v>
      </c>
      <c r="S68" s="63">
        <f t="shared" si="45"/>
        <v>46.437385152979481</v>
      </c>
      <c r="T68" s="63">
        <f t="shared" si="45"/>
        <v>0</v>
      </c>
      <c r="U68" s="66">
        <f t="shared" si="46"/>
        <v>79.554176830290857</v>
      </c>
      <c r="W68" s="38">
        <v>2021</v>
      </c>
      <c r="X68" s="63">
        <f t="shared" si="47"/>
        <v>190.08897292002399</v>
      </c>
      <c r="Y68" s="63">
        <f t="shared" si="48"/>
        <v>907.95195990738273</v>
      </c>
      <c r="Z68" s="63">
        <f t="shared" si="48"/>
        <v>541.60161130974234</v>
      </c>
      <c r="AA68" s="63">
        <f t="shared" si="48"/>
        <v>157.46191214819805</v>
      </c>
      <c r="AB68" s="66">
        <f t="shared" si="49"/>
        <v>1797.1044562853472</v>
      </c>
    </row>
    <row r="69" spans="2:28" x14ac:dyDescent="0.25">
      <c r="B69" s="13">
        <v>2022</v>
      </c>
      <c r="C69" s="63">
        <f t="shared" si="41"/>
        <v>22.086499338120433</v>
      </c>
      <c r="D69" s="63">
        <f t="shared" si="41"/>
        <v>124.20700709029656</v>
      </c>
      <c r="E69" s="63">
        <f t="shared" si="41"/>
        <v>79.957995634846029</v>
      </c>
      <c r="F69" s="63">
        <f t="shared" si="41"/>
        <v>22.107690282280981</v>
      </c>
      <c r="G69" s="66">
        <f t="shared" si="42"/>
        <v>248.35919234554402</v>
      </c>
      <c r="I69" s="13">
        <v>2022</v>
      </c>
      <c r="J69" s="63">
        <f t="shared" ref="J69:K72" si="50">J58*$C$50</f>
        <v>176.69199470496346</v>
      </c>
      <c r="K69" s="63">
        <f t="shared" si="50"/>
        <v>993.65605672237245</v>
      </c>
      <c r="L69" s="63">
        <f>L58*$C$50+L55*(C50-C49)+L56*(C50-C49)+L57*(C50-C49)</f>
        <v>2665.2376459664888</v>
      </c>
      <c r="M69" s="63">
        <f>M58*$C$50</f>
        <v>176.86152225824785</v>
      </c>
      <c r="N69" s="66">
        <f t="shared" si="44"/>
        <v>4012.4472196520728</v>
      </c>
      <c r="P69" s="13">
        <v>2022</v>
      </c>
      <c r="Q69" s="63">
        <f t="shared" si="45"/>
        <v>0.3107282771116549</v>
      </c>
      <c r="R69" s="63">
        <f t="shared" si="45"/>
        <v>23.872749384831543</v>
      </c>
      <c r="S69" s="63">
        <f t="shared" si="45"/>
        <v>48.804786848599576</v>
      </c>
      <c r="T69" s="63">
        <f t="shared" si="45"/>
        <v>0</v>
      </c>
      <c r="U69" s="66">
        <f t="shared" si="46"/>
        <v>72.988264510542777</v>
      </c>
      <c r="W69" s="38">
        <v>2022</v>
      </c>
      <c r="X69" s="63">
        <f t="shared" si="47"/>
        <v>199.08922232019555</v>
      </c>
      <c r="Y69" s="63">
        <f t="shared" si="48"/>
        <v>1141.7358131975006</v>
      </c>
      <c r="Z69" s="63">
        <f t="shared" si="48"/>
        <v>2794.0004284499346</v>
      </c>
      <c r="AA69" s="63">
        <f t="shared" si="48"/>
        <v>198.96921254052882</v>
      </c>
      <c r="AB69" s="66">
        <f t="shared" si="49"/>
        <v>4333.7946765081597</v>
      </c>
    </row>
    <row r="70" spans="2:28" x14ac:dyDescent="0.25">
      <c r="B70" s="13">
        <v>2023</v>
      </c>
      <c r="C70" s="63">
        <f t="shared" si="41"/>
        <v>16.646006691455433</v>
      </c>
      <c r="D70" s="63">
        <f t="shared" si="41"/>
        <v>15.982466388940145</v>
      </c>
      <c r="E70" s="63">
        <f t="shared" si="41"/>
        <v>97.911708242999126</v>
      </c>
      <c r="F70" s="63">
        <f t="shared" si="41"/>
        <v>11.834123270126533</v>
      </c>
      <c r="G70" s="66">
        <f t="shared" si="42"/>
        <v>142.37430459352123</v>
      </c>
      <c r="I70" s="13">
        <v>2023</v>
      </c>
      <c r="J70" s="63">
        <f t="shared" si="50"/>
        <v>133.16805353164347</v>
      </c>
      <c r="K70" s="63">
        <f t="shared" si="50"/>
        <v>127.85973111152116</v>
      </c>
      <c r="L70" s="63">
        <f>L59*$C$50</f>
        <v>783.29366594399301</v>
      </c>
      <c r="M70" s="63">
        <f>M59*$C$50</f>
        <v>94.672986161012261</v>
      </c>
      <c r="N70" s="66">
        <f t="shared" si="44"/>
        <v>1138.9944367481698</v>
      </c>
      <c r="P70" s="13">
        <v>2023</v>
      </c>
      <c r="Q70" s="63">
        <f t="shared" si="45"/>
        <v>0.2293470319984271</v>
      </c>
      <c r="R70" s="63">
        <f t="shared" si="45"/>
        <v>0.36032350890977044</v>
      </c>
      <c r="S70" s="63">
        <f t="shared" si="45"/>
        <v>52.078112567564389</v>
      </c>
      <c r="T70" s="63">
        <f t="shared" si="45"/>
        <v>0</v>
      </c>
      <c r="U70" s="66">
        <f t="shared" si="46"/>
        <v>52.667783108472584</v>
      </c>
      <c r="W70" s="38">
        <v>2023</v>
      </c>
      <c r="X70" s="63">
        <f t="shared" si="47"/>
        <v>150.04340725509732</v>
      </c>
      <c r="Y70" s="63">
        <f t="shared" si="48"/>
        <v>144.20252100937105</v>
      </c>
      <c r="Z70" s="63">
        <f t="shared" si="48"/>
        <v>933.28348675455652</v>
      </c>
      <c r="AA70" s="63">
        <f t="shared" si="48"/>
        <v>106.50710943113879</v>
      </c>
      <c r="AB70" s="66">
        <f t="shared" si="49"/>
        <v>1334.0365244501636</v>
      </c>
    </row>
    <row r="71" spans="2:28" x14ac:dyDescent="0.25">
      <c r="B71" s="67">
        <v>2024</v>
      </c>
      <c r="C71" s="63">
        <f t="shared" si="41"/>
        <v>15.071656280554611</v>
      </c>
      <c r="D71" s="63">
        <f t="shared" si="41"/>
        <v>15.249036913534427</v>
      </c>
      <c r="E71" s="63">
        <f t="shared" si="41"/>
        <v>102.7662275783381</v>
      </c>
      <c r="F71" s="63">
        <f t="shared" si="41"/>
        <v>10.711168583810782</v>
      </c>
      <c r="G71" s="66">
        <f t="shared" si="42"/>
        <v>143.79808935623791</v>
      </c>
      <c r="I71" s="67">
        <v>2024</v>
      </c>
      <c r="J71" s="63">
        <f t="shared" si="50"/>
        <v>120.57325024443689</v>
      </c>
      <c r="K71" s="63">
        <f t="shared" si="50"/>
        <v>121.99229530827542</v>
      </c>
      <c r="L71" s="63">
        <f>L60*$C$50</f>
        <v>822.12982062670483</v>
      </c>
      <c r="M71" s="63">
        <f>M60*$C$50</f>
        <v>85.689348670486254</v>
      </c>
      <c r="N71" s="66">
        <f t="shared" si="44"/>
        <v>1150.3847148499033</v>
      </c>
      <c r="P71" s="67">
        <v>2024</v>
      </c>
      <c r="Q71" s="63">
        <f t="shared" si="45"/>
        <v>0.17415720958455366</v>
      </c>
      <c r="R71" s="63">
        <f t="shared" si="45"/>
        <v>0.27964685972492703</v>
      </c>
      <c r="S71" s="63">
        <f t="shared" si="45"/>
        <v>53.164652460301625</v>
      </c>
      <c r="T71" s="63">
        <f t="shared" si="45"/>
        <v>0</v>
      </c>
      <c r="U71" s="66">
        <f t="shared" si="46"/>
        <v>53.618456529611109</v>
      </c>
      <c r="W71" s="124">
        <v>2024</v>
      </c>
      <c r="X71" s="63">
        <f t="shared" si="47"/>
        <v>135.81906373457605</v>
      </c>
      <c r="Y71" s="63">
        <f t="shared" si="48"/>
        <v>137.52097908153476</v>
      </c>
      <c r="Z71" s="63">
        <f t="shared" si="48"/>
        <v>978.0607006653446</v>
      </c>
      <c r="AA71" s="63">
        <f t="shared" si="48"/>
        <v>96.400517254297029</v>
      </c>
      <c r="AB71" s="66">
        <f t="shared" si="49"/>
        <v>1347.8012607357523</v>
      </c>
    </row>
    <row r="72" spans="2:28" ht="15.75" thickBot="1" x14ac:dyDescent="0.3">
      <c r="B72" s="68">
        <v>2025</v>
      </c>
      <c r="C72" s="70">
        <f t="shared" si="41"/>
        <v>13.566454575488571</v>
      </c>
      <c r="D72" s="70">
        <f t="shared" si="41"/>
        <v>14.470209660217712</v>
      </c>
      <c r="E72" s="70">
        <f t="shared" si="41"/>
        <v>107.11650838325639</v>
      </c>
      <c r="F72" s="70">
        <f t="shared" si="41"/>
        <v>9.5910171240537387</v>
      </c>
      <c r="G72" s="69">
        <f t="shared" si="42"/>
        <v>144.74418974301642</v>
      </c>
      <c r="I72" s="68">
        <v>2025</v>
      </c>
      <c r="J72" s="70">
        <f t="shared" si="50"/>
        <v>108.53163660390857</v>
      </c>
      <c r="K72" s="70">
        <f t="shared" si="50"/>
        <v>115.7616772817417</v>
      </c>
      <c r="L72" s="70">
        <f>L61*$C$50</f>
        <v>856.9320670660511</v>
      </c>
      <c r="M72" s="70">
        <f>M61*$C$50</f>
        <v>76.72813699242991</v>
      </c>
      <c r="N72" s="69">
        <f t="shared" si="44"/>
        <v>1157.9535179441314</v>
      </c>
      <c r="P72" s="68">
        <v>2025</v>
      </c>
      <c r="Q72" s="70">
        <f t="shared" si="45"/>
        <v>0.13713030049007763</v>
      </c>
      <c r="R72" s="70">
        <f t="shared" si="45"/>
        <v>0.21114133313572858</v>
      </c>
      <c r="S72" s="70">
        <f t="shared" si="45"/>
        <v>54.079544863445335</v>
      </c>
      <c r="T72" s="70">
        <f t="shared" si="45"/>
        <v>0</v>
      </c>
      <c r="U72" s="69">
        <f t="shared" si="46"/>
        <v>54.427816497071142</v>
      </c>
      <c r="W72" s="125">
        <v>2025</v>
      </c>
      <c r="X72" s="70">
        <f t="shared" si="47"/>
        <v>122.2352214798872</v>
      </c>
      <c r="Y72" s="70">
        <f t="shared" si="48"/>
        <v>130.44302827509514</v>
      </c>
      <c r="Z72" s="70">
        <f t="shared" si="48"/>
        <v>1018.1281203127528</v>
      </c>
      <c r="AA72" s="70">
        <f t="shared" si="48"/>
        <v>86.319154116483645</v>
      </c>
      <c r="AB72" s="69">
        <f t="shared" si="49"/>
        <v>1357.1255241842186</v>
      </c>
    </row>
    <row r="73" spans="2:28" ht="15.75" thickTop="1" x14ac:dyDescent="0.25">
      <c r="B73" s="83"/>
      <c r="C73" s="17"/>
      <c r="D73" s="17"/>
      <c r="E73" s="17"/>
      <c r="F73" s="17"/>
      <c r="G73" s="17"/>
      <c r="I73" s="83"/>
      <c r="J73" s="17"/>
      <c r="K73" s="17"/>
      <c r="L73" s="17"/>
      <c r="M73" s="17"/>
      <c r="N73" s="17"/>
      <c r="P73" s="83"/>
      <c r="Q73" s="17"/>
      <c r="R73" s="17"/>
      <c r="S73" s="17"/>
      <c r="T73" s="17"/>
      <c r="U73" s="17"/>
      <c r="W73" s="129"/>
      <c r="X73" s="17"/>
      <c r="Y73" s="17"/>
      <c r="Z73" s="17"/>
      <c r="AA73" s="17"/>
      <c r="AB73" s="17"/>
    </row>
    <row r="74" spans="2:28" x14ac:dyDescent="0.25">
      <c r="B74" s="126" t="s">
        <v>114</v>
      </c>
      <c r="C74" s="17"/>
      <c r="D74" s="17"/>
      <c r="E74" s="17"/>
      <c r="F74" s="17"/>
      <c r="G74" s="17"/>
      <c r="I74" s="83"/>
      <c r="J74" s="17"/>
      <c r="K74" s="17"/>
      <c r="L74" s="17"/>
      <c r="M74" s="17"/>
      <c r="N74" s="17"/>
      <c r="P74" s="83"/>
      <c r="Q74" s="17"/>
      <c r="R74" s="17"/>
      <c r="S74" s="17"/>
      <c r="T74" s="17"/>
      <c r="U74" s="17"/>
      <c r="W74" s="129"/>
      <c r="X74" s="17"/>
      <c r="Y74" s="17"/>
      <c r="Z74" s="17"/>
      <c r="AA74" s="17"/>
      <c r="AB74" s="17"/>
    </row>
    <row r="75" spans="2:28" x14ac:dyDescent="0.25">
      <c r="B75" s="126" t="s">
        <v>122</v>
      </c>
      <c r="C75" s="17"/>
      <c r="D75" s="17">
        <v>40000</v>
      </c>
      <c r="E75" s="17"/>
      <c r="F75" s="17"/>
      <c r="G75" s="17"/>
      <c r="I75" s="83"/>
      <c r="J75" s="17"/>
      <c r="K75" s="17"/>
      <c r="L75" s="17"/>
      <c r="M75" s="17"/>
      <c r="N75" s="17"/>
      <c r="P75" s="83"/>
      <c r="Q75" s="17"/>
      <c r="R75" s="17"/>
      <c r="S75" s="17"/>
      <c r="T75" s="17"/>
      <c r="U75" s="17"/>
      <c r="W75" s="129"/>
      <c r="X75" s="17"/>
      <c r="Y75" s="17"/>
      <c r="Z75" s="17"/>
      <c r="AA75" s="17"/>
      <c r="AB75" s="17"/>
    </row>
    <row r="76" spans="2:28" x14ac:dyDescent="0.25">
      <c r="B76" s="127" t="s">
        <v>168</v>
      </c>
      <c r="C76" s="17"/>
      <c r="D76" s="17"/>
      <c r="E76" s="17"/>
      <c r="F76" s="17"/>
      <c r="G76" s="17"/>
      <c r="I76" s="83"/>
      <c r="J76" s="17"/>
      <c r="K76" s="17"/>
      <c r="L76" s="17"/>
      <c r="M76" s="17"/>
      <c r="N76" s="17"/>
      <c r="P76" s="83"/>
      <c r="Q76" s="17"/>
      <c r="R76" s="17"/>
      <c r="S76" s="17"/>
      <c r="T76" s="17"/>
      <c r="U76" s="17"/>
      <c r="W76" s="129"/>
      <c r="X76" s="17"/>
      <c r="Y76" s="17"/>
      <c r="Z76" s="17"/>
      <c r="AA76" s="17"/>
      <c r="AB76" s="17"/>
    </row>
    <row r="77" spans="2:28" x14ac:dyDescent="0.25">
      <c r="B77" s="127" t="s">
        <v>115</v>
      </c>
      <c r="C77" s="128" t="s">
        <v>116</v>
      </c>
      <c r="D77" s="128" t="s">
        <v>117</v>
      </c>
      <c r="E77" s="128" t="s">
        <v>119</v>
      </c>
      <c r="F77" s="128" t="s">
        <v>121</v>
      </c>
      <c r="G77" s="128"/>
      <c r="I77" s="83"/>
      <c r="J77" s="17"/>
      <c r="K77" s="17"/>
      <c r="L77" s="17"/>
      <c r="M77" s="17"/>
      <c r="N77" s="17"/>
      <c r="P77" s="83"/>
      <c r="Q77" s="17"/>
      <c r="R77" s="17"/>
      <c r="S77" s="17"/>
      <c r="T77" s="17"/>
      <c r="U77" s="17"/>
      <c r="W77" s="129"/>
      <c r="X77" s="17"/>
      <c r="Y77" s="17"/>
      <c r="Z77" s="17"/>
      <c r="AA77" s="17"/>
      <c r="AB77" s="17"/>
    </row>
    <row r="78" spans="2:28" x14ac:dyDescent="0.25">
      <c r="B78" s="83" t="s">
        <v>120</v>
      </c>
      <c r="C78" s="17">
        <v>20945</v>
      </c>
      <c r="D78" s="17">
        <f>C78*T24</f>
        <v>2404.4859999999999</v>
      </c>
      <c r="E78" s="17">
        <f>SUM(E79:E81)</f>
        <v>1130.2289599999999</v>
      </c>
      <c r="F78" s="17">
        <f>E78*0.5</f>
        <v>565.11447999999996</v>
      </c>
      <c r="G78" s="17"/>
      <c r="I78" s="83"/>
      <c r="J78" s="17"/>
      <c r="K78" s="17"/>
      <c r="L78" s="17"/>
      <c r="M78" s="17"/>
      <c r="N78" s="17"/>
      <c r="P78" s="83"/>
      <c r="Q78" s="17"/>
      <c r="R78" s="17"/>
      <c r="S78" s="17"/>
      <c r="T78" s="17"/>
      <c r="U78" s="17"/>
      <c r="W78" s="129"/>
      <c r="X78" s="17"/>
      <c r="Y78" s="17"/>
      <c r="Z78" s="17"/>
      <c r="AA78" s="17"/>
      <c r="AB78" s="17"/>
    </row>
    <row r="79" spans="2:28" x14ac:dyDescent="0.25">
      <c r="B79" s="83" t="s">
        <v>32</v>
      </c>
      <c r="C79" s="17">
        <f>C78*G48</f>
        <v>4189</v>
      </c>
      <c r="D79" s="17">
        <f>C79*T24</f>
        <v>480.8972</v>
      </c>
      <c r="E79" s="17">
        <f>D79*C48</f>
        <v>168.31402</v>
      </c>
      <c r="F79" s="17">
        <f>E79*0.5</f>
        <v>84.15701</v>
      </c>
      <c r="G79" s="17"/>
      <c r="I79" s="83"/>
      <c r="J79" s="17"/>
      <c r="K79" s="17"/>
      <c r="L79" s="17"/>
      <c r="M79" s="17"/>
      <c r="N79" s="17"/>
      <c r="P79" s="83"/>
      <c r="Q79" s="17"/>
      <c r="R79" s="17"/>
      <c r="S79" s="17"/>
      <c r="T79" s="17"/>
      <c r="U79" s="17"/>
      <c r="W79" s="129"/>
      <c r="X79" s="17"/>
      <c r="Y79" s="17"/>
      <c r="Z79" s="17"/>
      <c r="AA79" s="17"/>
      <c r="AB79" s="17"/>
    </row>
    <row r="80" spans="2:28" x14ac:dyDescent="0.25">
      <c r="B80" s="83" t="s">
        <v>36</v>
      </c>
      <c r="C80" s="17">
        <f>C78*G49</f>
        <v>16756</v>
      </c>
      <c r="D80" s="17">
        <f>C80*T24</f>
        <v>1923.5888</v>
      </c>
      <c r="E80" s="17">
        <f>D80*C49</f>
        <v>961.7944</v>
      </c>
      <c r="F80" s="17">
        <f>E80*0.5</f>
        <v>480.8972</v>
      </c>
      <c r="G80" s="17"/>
      <c r="I80" s="83"/>
      <c r="J80" s="17"/>
      <c r="K80" s="17"/>
      <c r="L80" s="17"/>
      <c r="M80" s="17"/>
      <c r="N80" s="17"/>
      <c r="P80" s="83"/>
      <c r="Q80" s="17"/>
      <c r="R80" s="17"/>
      <c r="S80" s="17"/>
      <c r="T80" s="17"/>
      <c r="U80" s="17"/>
      <c r="W80" s="129"/>
      <c r="X80" s="17"/>
      <c r="Y80" s="17"/>
      <c r="Z80" s="17"/>
      <c r="AA80" s="17"/>
      <c r="AB80" s="17"/>
    </row>
    <row r="81" spans="2:32" x14ac:dyDescent="0.25">
      <c r="B81" s="83" t="s">
        <v>118</v>
      </c>
      <c r="C81" s="17">
        <v>3</v>
      </c>
      <c r="D81" s="17">
        <f>C81*T37</f>
        <v>0.34439999999999998</v>
      </c>
      <c r="E81" s="17">
        <f>D81*C48</f>
        <v>0.12053999999999998</v>
      </c>
      <c r="F81" s="17">
        <f t="shared" ref="F81" si="51">E81*0.5</f>
        <v>6.026999999999999E-2</v>
      </c>
      <c r="G81" s="17"/>
      <c r="I81" s="83"/>
      <c r="J81" s="17"/>
      <c r="K81" s="17"/>
      <c r="L81" s="17"/>
      <c r="M81" s="17"/>
      <c r="N81" s="17"/>
      <c r="P81" s="83"/>
      <c r="Q81" s="17"/>
      <c r="R81" s="17"/>
      <c r="S81" s="17"/>
      <c r="T81" s="17"/>
      <c r="U81" s="17"/>
      <c r="W81" s="129"/>
      <c r="X81" s="17"/>
      <c r="Y81" s="17"/>
      <c r="Z81" s="17"/>
      <c r="AA81" s="17"/>
      <c r="AB81" s="17"/>
    </row>
    <row r="82" spans="2:32" ht="15.75" thickBot="1" x14ac:dyDescent="0.3">
      <c r="B82" s="83"/>
      <c r="C82" s="17"/>
      <c r="D82" s="17"/>
      <c r="E82" s="17"/>
      <c r="F82" s="17"/>
      <c r="G82" s="17"/>
      <c r="I82" s="83"/>
      <c r="J82" s="17"/>
      <c r="K82" s="17"/>
      <c r="L82" s="17"/>
      <c r="M82" s="17"/>
      <c r="N82" s="17"/>
      <c r="P82" s="83"/>
      <c r="Q82" s="17"/>
      <c r="R82" s="17"/>
      <c r="S82" s="17"/>
      <c r="T82" s="17"/>
      <c r="U82" s="17"/>
      <c r="W82" s="129"/>
      <c r="X82" s="17"/>
      <c r="Y82" s="17"/>
      <c r="Z82" s="17"/>
      <c r="AA82" s="17"/>
      <c r="AB82" s="17"/>
    </row>
    <row r="83" spans="2:32" ht="16.5" thickTop="1" thickBot="1" x14ac:dyDescent="0.3">
      <c r="B83" s="116"/>
      <c r="C83" s="117" t="s">
        <v>126</v>
      </c>
      <c r="D83" s="117"/>
      <c r="E83" s="117"/>
      <c r="F83" s="117"/>
      <c r="G83" s="118"/>
      <c r="H83" s="98"/>
      <c r="I83" s="83"/>
      <c r="J83" s="116"/>
      <c r="K83" s="117" t="s">
        <v>127</v>
      </c>
      <c r="L83" s="117"/>
      <c r="M83" s="117"/>
      <c r="N83" s="117"/>
      <c r="O83" s="118"/>
      <c r="P83" s="98"/>
      <c r="Q83" s="17"/>
      <c r="R83" s="116"/>
      <c r="S83" s="117" t="s">
        <v>128</v>
      </c>
      <c r="T83" s="117"/>
      <c r="U83" s="117"/>
      <c r="V83" s="117"/>
      <c r="W83" s="118"/>
      <c r="X83" s="98"/>
      <c r="Y83" s="17"/>
      <c r="Z83" s="116"/>
      <c r="AA83" s="117" t="s">
        <v>129</v>
      </c>
      <c r="AB83" s="117"/>
      <c r="AC83" s="117"/>
      <c r="AD83" s="117"/>
      <c r="AE83" s="118"/>
      <c r="AF83" s="98"/>
    </row>
    <row r="84" spans="2:32" ht="15.75" thickBot="1" x14ac:dyDescent="0.3">
      <c r="B84" s="119" t="s">
        <v>12</v>
      </c>
      <c r="C84" s="120" t="s">
        <v>14</v>
      </c>
      <c r="D84" s="121" t="s">
        <v>39</v>
      </c>
      <c r="E84" s="121" t="s">
        <v>40</v>
      </c>
      <c r="F84" s="122" t="s">
        <v>123</v>
      </c>
      <c r="G84" s="123" t="s">
        <v>124</v>
      </c>
      <c r="H84" s="130" t="s">
        <v>125</v>
      </c>
      <c r="I84" s="83"/>
      <c r="J84" s="119" t="s">
        <v>12</v>
      </c>
      <c r="K84" s="120" t="s">
        <v>14</v>
      </c>
      <c r="L84" s="121" t="s">
        <v>39</v>
      </c>
      <c r="M84" s="121" t="s">
        <v>40</v>
      </c>
      <c r="N84" s="122" t="s">
        <v>123</v>
      </c>
      <c r="O84" s="123" t="s">
        <v>124</v>
      </c>
      <c r="P84" s="130" t="s">
        <v>125</v>
      </c>
      <c r="Q84" s="17"/>
      <c r="R84" s="119" t="s">
        <v>12</v>
      </c>
      <c r="S84" s="120" t="s">
        <v>14</v>
      </c>
      <c r="T84" s="121" t="s">
        <v>39</v>
      </c>
      <c r="U84" s="121" t="s">
        <v>40</v>
      </c>
      <c r="V84" s="122" t="s">
        <v>123</v>
      </c>
      <c r="W84" s="123" t="s">
        <v>124</v>
      </c>
      <c r="X84" s="130" t="s">
        <v>125</v>
      </c>
      <c r="Y84" s="17"/>
      <c r="Z84" s="119" t="s">
        <v>12</v>
      </c>
      <c r="AA84" s="120" t="s">
        <v>14</v>
      </c>
      <c r="AB84" s="121" t="s">
        <v>39</v>
      </c>
      <c r="AC84" s="121" t="s">
        <v>40</v>
      </c>
      <c r="AD84" s="122" t="s">
        <v>123</v>
      </c>
      <c r="AE84" s="123" t="s">
        <v>124</v>
      </c>
      <c r="AF84" s="130" t="s">
        <v>125</v>
      </c>
    </row>
    <row r="85" spans="2:32" x14ac:dyDescent="0.25">
      <c r="B85" s="38">
        <v>2019</v>
      </c>
      <c r="C85" s="63">
        <f t="shared" ref="C85:E91" si="52">C66</f>
        <v>606.76191851718636</v>
      </c>
      <c r="D85" s="63">
        <f t="shared" si="52"/>
        <v>1881.4056971951682</v>
      </c>
      <c r="E85" s="63">
        <f t="shared" si="52"/>
        <v>749.74759967505565</v>
      </c>
      <c r="F85" s="63">
        <f>F66-F79</f>
        <v>827.20137685897271</v>
      </c>
      <c r="G85" s="66">
        <f t="shared" ref="G85:G91" si="53">SUM(C85:F85)</f>
        <v>4065.1165922463829</v>
      </c>
      <c r="H85" s="131">
        <f>F79</f>
        <v>84.15701</v>
      </c>
      <c r="I85" s="83"/>
      <c r="J85" s="38">
        <v>2019</v>
      </c>
      <c r="K85" s="63">
        <f t="shared" ref="K85:M91" si="54">J66</f>
        <v>3467.2109629553506</v>
      </c>
      <c r="L85" s="63">
        <f t="shared" si="54"/>
        <v>10750.889698258105</v>
      </c>
      <c r="M85" s="63">
        <f t="shared" si="54"/>
        <v>4284.2719981431756</v>
      </c>
      <c r="N85" s="63">
        <f>M66-F80</f>
        <v>4726.8650106227014</v>
      </c>
      <c r="O85" s="66">
        <f t="shared" ref="O85:O91" si="55">SUM(K85:N85)</f>
        <v>23229.237669979331</v>
      </c>
      <c r="P85" s="131">
        <f>F80</f>
        <v>480.8972</v>
      </c>
      <c r="Q85" s="17"/>
      <c r="R85" s="38">
        <v>2019</v>
      </c>
      <c r="S85" s="63">
        <f t="shared" ref="S85:V91" si="56">Q66</f>
        <v>138.29236314815645</v>
      </c>
      <c r="T85" s="63">
        <f t="shared" si="56"/>
        <v>523.19800046974058</v>
      </c>
      <c r="U85" s="63">
        <f t="shared" si="56"/>
        <v>595.14467327079592</v>
      </c>
      <c r="V85" s="63">
        <f t="shared" si="56"/>
        <v>11.893477119040787</v>
      </c>
      <c r="W85" s="66">
        <f t="shared" ref="W85:W91" si="57">SUM(S85:V85)</f>
        <v>1268.5285140077337</v>
      </c>
      <c r="X85" s="132">
        <v>0</v>
      </c>
      <c r="Y85" s="17"/>
      <c r="Z85" s="38">
        <v>2019</v>
      </c>
      <c r="AA85" s="63">
        <f t="shared" ref="AA85:AA91" si="58">SUM(C85,K85,S85)</f>
        <v>4212.265244620693</v>
      </c>
      <c r="AB85" s="63">
        <f t="shared" ref="AB85:AB91" si="59">SUM(D85,L85,T85)</f>
        <v>13155.493395923013</v>
      </c>
      <c r="AC85" s="63">
        <f t="shared" ref="AC85:AC91" si="60">SUM(E85,M85,U85)</f>
        <v>5629.1642710890264</v>
      </c>
      <c r="AD85" s="63">
        <f>SUM(F85,N85,V85)</f>
        <v>5565.9598646007153</v>
      </c>
      <c r="AE85" s="66">
        <f t="shared" ref="AE85:AE91" si="61">SUM(AA85:AD85)</f>
        <v>28562.882776233448</v>
      </c>
      <c r="AF85" s="131">
        <f>F78</f>
        <v>565.11447999999996</v>
      </c>
    </row>
    <row r="86" spans="2:32" x14ac:dyDescent="0.25">
      <c r="B86" s="38">
        <v>2020</v>
      </c>
      <c r="C86" s="63">
        <f t="shared" si="52"/>
        <v>32.426114765280985</v>
      </c>
      <c r="D86" s="63">
        <f t="shared" si="52"/>
        <v>137.73003473868371</v>
      </c>
      <c r="E86" s="63">
        <f t="shared" si="52"/>
        <v>62.693022243165942</v>
      </c>
      <c r="F86" s="63">
        <f t="shared" ref="F86:F91" si="62">F67</f>
        <v>53.291378013552148</v>
      </c>
      <c r="G86" s="66">
        <f t="shared" si="53"/>
        <v>286.1405497606828</v>
      </c>
      <c r="H86" s="132">
        <v>0</v>
      </c>
      <c r="I86" s="83"/>
      <c r="J86" s="38">
        <v>2020</v>
      </c>
      <c r="K86" s="63">
        <f t="shared" si="54"/>
        <v>185.29208437303421</v>
      </c>
      <c r="L86" s="63">
        <f t="shared" si="54"/>
        <v>787.02876993533562</v>
      </c>
      <c r="M86" s="63">
        <f t="shared" si="54"/>
        <v>358.24584138951968</v>
      </c>
      <c r="N86" s="63">
        <f t="shared" ref="N86:N91" si="63">M67</f>
        <v>304.52216007744084</v>
      </c>
      <c r="O86" s="66">
        <f t="shared" si="55"/>
        <v>1635.0888557753301</v>
      </c>
      <c r="P86" s="132">
        <v>0</v>
      </c>
      <c r="Q86" s="17"/>
      <c r="R86" s="38">
        <v>2020</v>
      </c>
      <c r="S86" s="63">
        <f t="shared" si="56"/>
        <v>6.3060802012324215</v>
      </c>
      <c r="T86" s="63">
        <f t="shared" si="56"/>
        <v>34.553066803292509</v>
      </c>
      <c r="U86" s="63">
        <f t="shared" si="56"/>
        <v>44.07474368420722</v>
      </c>
      <c r="V86" s="63">
        <f t="shared" si="56"/>
        <v>0.6210312465781217</v>
      </c>
      <c r="W86" s="66">
        <f t="shared" si="57"/>
        <v>85.554921935310276</v>
      </c>
      <c r="X86" s="132">
        <v>0</v>
      </c>
      <c r="Y86" s="17"/>
      <c r="Z86" s="38">
        <v>2020</v>
      </c>
      <c r="AA86" s="63">
        <f t="shared" si="58"/>
        <v>224.0242793395476</v>
      </c>
      <c r="AB86" s="63">
        <f t="shared" si="59"/>
        <v>959.3118714773118</v>
      </c>
      <c r="AC86" s="63">
        <f t="shared" si="60"/>
        <v>465.01360731689283</v>
      </c>
      <c r="AD86" s="63">
        <f t="shared" ref="AD86:AD91" si="64">SUM(F86,N86,V86)</f>
        <v>358.43456933757113</v>
      </c>
      <c r="AE86" s="66">
        <f t="shared" si="61"/>
        <v>2006.7843274713232</v>
      </c>
      <c r="AF86" s="131">
        <f t="shared" ref="AF86:AF91" si="65">SUM(X86,P86,H86)</f>
        <v>0</v>
      </c>
    </row>
    <row r="87" spans="2:32" x14ac:dyDescent="0.25">
      <c r="B87" s="38">
        <v>2021</v>
      </c>
      <c r="C87" s="63">
        <f t="shared" si="52"/>
        <v>27.721692456649038</v>
      </c>
      <c r="D87" s="63">
        <f t="shared" si="52"/>
        <v>130.88403069336516</v>
      </c>
      <c r="E87" s="63">
        <f t="shared" si="52"/>
        <v>73.747863470156162</v>
      </c>
      <c r="F87" s="63">
        <f t="shared" si="62"/>
        <v>23.451774149731623</v>
      </c>
      <c r="G87" s="66">
        <f t="shared" si="53"/>
        <v>255.80536076990197</v>
      </c>
      <c r="H87" s="132">
        <v>0</v>
      </c>
      <c r="I87" s="83"/>
      <c r="J87" s="38">
        <v>2021</v>
      </c>
      <c r="K87" s="63">
        <f t="shared" si="54"/>
        <v>158.40967118085166</v>
      </c>
      <c r="L87" s="63">
        <f t="shared" si="54"/>
        <v>747.90874681922946</v>
      </c>
      <c r="M87" s="63">
        <f t="shared" si="54"/>
        <v>421.4163626866067</v>
      </c>
      <c r="N87" s="63">
        <f t="shared" si="63"/>
        <v>134.01013799846643</v>
      </c>
      <c r="O87" s="66">
        <f t="shared" si="55"/>
        <v>1461.7449186851543</v>
      </c>
      <c r="P87" s="132">
        <v>0</v>
      </c>
      <c r="Q87" s="17"/>
      <c r="R87" s="38">
        <v>2021</v>
      </c>
      <c r="S87" s="63">
        <f t="shared" si="56"/>
        <v>3.9576092825233014</v>
      </c>
      <c r="T87" s="63">
        <f t="shared" si="56"/>
        <v>29.159182394788068</v>
      </c>
      <c r="U87" s="63">
        <f t="shared" si="56"/>
        <v>46.437385152979481</v>
      </c>
      <c r="V87" s="63">
        <f t="shared" si="56"/>
        <v>0</v>
      </c>
      <c r="W87" s="66">
        <f t="shared" si="57"/>
        <v>79.554176830290857</v>
      </c>
      <c r="X87" s="132">
        <v>0</v>
      </c>
      <c r="Y87" s="17"/>
      <c r="Z87" s="38">
        <v>2021</v>
      </c>
      <c r="AA87" s="63">
        <f t="shared" si="58"/>
        <v>190.08897292002399</v>
      </c>
      <c r="AB87" s="63">
        <f t="shared" si="59"/>
        <v>907.95195990738273</v>
      </c>
      <c r="AC87" s="63">
        <f t="shared" si="60"/>
        <v>541.60161130974234</v>
      </c>
      <c r="AD87" s="63">
        <f t="shared" si="64"/>
        <v>157.46191214819805</v>
      </c>
      <c r="AE87" s="66">
        <f t="shared" si="61"/>
        <v>1797.1044562853472</v>
      </c>
      <c r="AF87" s="131">
        <f t="shared" si="65"/>
        <v>0</v>
      </c>
    </row>
    <row r="88" spans="2:32" x14ac:dyDescent="0.25">
      <c r="B88" s="38">
        <v>2022</v>
      </c>
      <c r="C88" s="63">
        <f t="shared" si="52"/>
        <v>22.086499338120433</v>
      </c>
      <c r="D88" s="63">
        <f t="shared" si="52"/>
        <v>124.20700709029656</v>
      </c>
      <c r="E88" s="63">
        <f t="shared" si="52"/>
        <v>79.957995634846029</v>
      </c>
      <c r="F88" s="63">
        <f t="shared" si="62"/>
        <v>22.107690282280981</v>
      </c>
      <c r="G88" s="66">
        <f t="shared" si="53"/>
        <v>248.35919234554402</v>
      </c>
      <c r="H88" s="132">
        <v>0</v>
      </c>
      <c r="I88" s="83"/>
      <c r="J88" s="38">
        <v>2022</v>
      </c>
      <c r="K88" s="63">
        <f t="shared" si="54"/>
        <v>176.69199470496346</v>
      </c>
      <c r="L88" s="63">
        <f t="shared" si="54"/>
        <v>993.65605672237245</v>
      </c>
      <c r="M88" s="63">
        <f t="shared" si="54"/>
        <v>2665.2376459664888</v>
      </c>
      <c r="N88" s="63">
        <f t="shared" si="63"/>
        <v>176.86152225824785</v>
      </c>
      <c r="O88" s="66">
        <f t="shared" si="55"/>
        <v>4012.4472196520728</v>
      </c>
      <c r="P88" s="132">
        <v>0</v>
      </c>
      <c r="Q88" s="17"/>
      <c r="R88" s="38">
        <v>2022</v>
      </c>
      <c r="S88" s="63">
        <f t="shared" si="56"/>
        <v>0.3107282771116549</v>
      </c>
      <c r="T88" s="63">
        <f t="shared" si="56"/>
        <v>23.872749384831543</v>
      </c>
      <c r="U88" s="63">
        <f t="shared" si="56"/>
        <v>48.804786848599576</v>
      </c>
      <c r="V88" s="63">
        <f t="shared" si="56"/>
        <v>0</v>
      </c>
      <c r="W88" s="66">
        <f t="shared" si="57"/>
        <v>72.988264510542777</v>
      </c>
      <c r="X88" s="132">
        <v>0</v>
      </c>
      <c r="Y88" s="17"/>
      <c r="Z88" s="38">
        <v>2022</v>
      </c>
      <c r="AA88" s="63">
        <f t="shared" si="58"/>
        <v>199.08922232019555</v>
      </c>
      <c r="AB88" s="63">
        <f t="shared" si="59"/>
        <v>1141.7358131975006</v>
      </c>
      <c r="AC88" s="63">
        <f t="shared" si="60"/>
        <v>2794.0004284499346</v>
      </c>
      <c r="AD88" s="63">
        <f t="shared" si="64"/>
        <v>198.96921254052882</v>
      </c>
      <c r="AE88" s="66">
        <f t="shared" si="61"/>
        <v>4333.7946765081597</v>
      </c>
      <c r="AF88" s="131">
        <f t="shared" si="65"/>
        <v>0</v>
      </c>
    </row>
    <row r="89" spans="2:32" x14ac:dyDescent="0.25">
      <c r="B89" s="38">
        <v>2023</v>
      </c>
      <c r="C89" s="63">
        <f t="shared" si="52"/>
        <v>16.646006691455433</v>
      </c>
      <c r="D89" s="63">
        <f t="shared" si="52"/>
        <v>15.982466388940145</v>
      </c>
      <c r="E89" s="63">
        <f t="shared" si="52"/>
        <v>97.911708242999126</v>
      </c>
      <c r="F89" s="63">
        <f t="shared" si="62"/>
        <v>11.834123270126533</v>
      </c>
      <c r="G89" s="66">
        <f t="shared" si="53"/>
        <v>142.37430459352123</v>
      </c>
      <c r="H89" s="132">
        <v>0</v>
      </c>
      <c r="I89" s="83"/>
      <c r="J89" s="38">
        <v>2023</v>
      </c>
      <c r="K89" s="63">
        <f t="shared" si="54"/>
        <v>133.16805353164347</v>
      </c>
      <c r="L89" s="63">
        <f t="shared" si="54"/>
        <v>127.85973111152116</v>
      </c>
      <c r="M89" s="63">
        <f t="shared" si="54"/>
        <v>783.29366594399301</v>
      </c>
      <c r="N89" s="63">
        <f t="shared" si="63"/>
        <v>94.672986161012261</v>
      </c>
      <c r="O89" s="66">
        <f t="shared" si="55"/>
        <v>1138.9944367481698</v>
      </c>
      <c r="P89" s="132">
        <v>0</v>
      </c>
      <c r="Q89" s="17"/>
      <c r="R89" s="38">
        <v>2023</v>
      </c>
      <c r="S89" s="63">
        <f t="shared" si="56"/>
        <v>0.2293470319984271</v>
      </c>
      <c r="T89" s="63">
        <f t="shared" si="56"/>
        <v>0.36032350890977044</v>
      </c>
      <c r="U89" s="63">
        <f t="shared" si="56"/>
        <v>52.078112567564389</v>
      </c>
      <c r="V89" s="63">
        <f t="shared" si="56"/>
        <v>0</v>
      </c>
      <c r="W89" s="66">
        <f t="shared" si="57"/>
        <v>52.667783108472584</v>
      </c>
      <c r="X89" s="132">
        <v>0</v>
      </c>
      <c r="Y89" s="17"/>
      <c r="Z89" s="38">
        <v>2023</v>
      </c>
      <c r="AA89" s="63">
        <f t="shared" si="58"/>
        <v>150.04340725509732</v>
      </c>
      <c r="AB89" s="63">
        <f t="shared" si="59"/>
        <v>144.20252100937108</v>
      </c>
      <c r="AC89" s="63">
        <f t="shared" si="60"/>
        <v>933.28348675455652</v>
      </c>
      <c r="AD89" s="63">
        <f t="shared" si="64"/>
        <v>106.50710943113879</v>
      </c>
      <c r="AE89" s="66">
        <f t="shared" si="61"/>
        <v>1334.0365244501636</v>
      </c>
      <c r="AF89" s="131">
        <f t="shared" si="65"/>
        <v>0</v>
      </c>
    </row>
    <row r="90" spans="2:32" x14ac:dyDescent="0.25">
      <c r="B90" s="124">
        <v>2024</v>
      </c>
      <c r="C90" s="63">
        <f t="shared" si="52"/>
        <v>15.071656280554611</v>
      </c>
      <c r="D90" s="63">
        <f t="shared" si="52"/>
        <v>15.249036913534427</v>
      </c>
      <c r="E90" s="63">
        <f t="shared" si="52"/>
        <v>102.7662275783381</v>
      </c>
      <c r="F90" s="63">
        <f t="shared" si="62"/>
        <v>10.711168583810782</v>
      </c>
      <c r="G90" s="66">
        <f t="shared" si="53"/>
        <v>143.79808935623791</v>
      </c>
      <c r="H90" s="132">
        <v>0</v>
      </c>
      <c r="I90" s="83"/>
      <c r="J90" s="124">
        <v>2024</v>
      </c>
      <c r="K90" s="63">
        <f t="shared" si="54"/>
        <v>120.57325024443689</v>
      </c>
      <c r="L90" s="63">
        <f t="shared" si="54"/>
        <v>121.99229530827542</v>
      </c>
      <c r="M90" s="63">
        <f t="shared" si="54"/>
        <v>822.12982062670483</v>
      </c>
      <c r="N90" s="63">
        <f t="shared" si="63"/>
        <v>85.689348670486254</v>
      </c>
      <c r="O90" s="66">
        <f t="shared" si="55"/>
        <v>1150.3847148499033</v>
      </c>
      <c r="P90" s="132">
        <v>0</v>
      </c>
      <c r="Q90" s="17"/>
      <c r="R90" s="124">
        <v>2024</v>
      </c>
      <c r="S90" s="63">
        <f t="shared" si="56"/>
        <v>0.17415720958455366</v>
      </c>
      <c r="T90" s="63">
        <f t="shared" si="56"/>
        <v>0.27964685972492703</v>
      </c>
      <c r="U90" s="63">
        <f t="shared" si="56"/>
        <v>53.164652460301625</v>
      </c>
      <c r="V90" s="63">
        <f t="shared" si="56"/>
        <v>0</v>
      </c>
      <c r="W90" s="66">
        <f t="shared" si="57"/>
        <v>53.618456529611109</v>
      </c>
      <c r="X90" s="132">
        <v>0</v>
      </c>
      <c r="Y90" s="17"/>
      <c r="Z90" s="124">
        <v>2024</v>
      </c>
      <c r="AA90" s="63">
        <f t="shared" si="58"/>
        <v>135.81906373457608</v>
      </c>
      <c r="AB90" s="63">
        <f t="shared" si="59"/>
        <v>137.52097908153476</v>
      </c>
      <c r="AC90" s="63">
        <f t="shared" si="60"/>
        <v>978.06070066534448</v>
      </c>
      <c r="AD90" s="63">
        <f t="shared" si="64"/>
        <v>96.400517254297029</v>
      </c>
      <c r="AE90" s="66">
        <f t="shared" si="61"/>
        <v>1347.8012607357523</v>
      </c>
      <c r="AF90" s="131">
        <f t="shared" si="65"/>
        <v>0</v>
      </c>
    </row>
    <row r="91" spans="2:32" ht="15.75" thickBot="1" x14ac:dyDescent="0.3">
      <c r="B91" s="125">
        <v>2025</v>
      </c>
      <c r="C91" s="70">
        <f t="shared" si="52"/>
        <v>13.566454575488571</v>
      </c>
      <c r="D91" s="70">
        <f t="shared" si="52"/>
        <v>14.470209660217712</v>
      </c>
      <c r="E91" s="70">
        <f t="shared" si="52"/>
        <v>107.11650838325639</v>
      </c>
      <c r="F91" s="70">
        <f t="shared" si="62"/>
        <v>9.5910171240537387</v>
      </c>
      <c r="G91" s="69">
        <f t="shared" si="53"/>
        <v>144.74418974301642</v>
      </c>
      <c r="H91" s="133">
        <v>0</v>
      </c>
      <c r="J91" s="125">
        <v>2025</v>
      </c>
      <c r="K91" s="70">
        <f t="shared" si="54"/>
        <v>108.53163660390857</v>
      </c>
      <c r="L91" s="70">
        <f t="shared" si="54"/>
        <v>115.7616772817417</v>
      </c>
      <c r="M91" s="70">
        <f t="shared" si="54"/>
        <v>856.9320670660511</v>
      </c>
      <c r="N91" s="70">
        <f t="shared" si="63"/>
        <v>76.72813699242991</v>
      </c>
      <c r="O91" s="69">
        <f t="shared" si="55"/>
        <v>1157.9535179441314</v>
      </c>
      <c r="P91" s="133">
        <v>0</v>
      </c>
      <c r="R91" s="125">
        <v>2025</v>
      </c>
      <c r="S91" s="70">
        <f t="shared" si="56"/>
        <v>0.13713030049007763</v>
      </c>
      <c r="T91" s="70">
        <f t="shared" si="56"/>
        <v>0.21114133313572858</v>
      </c>
      <c r="U91" s="70">
        <f t="shared" si="56"/>
        <v>54.079544863445335</v>
      </c>
      <c r="V91" s="70">
        <f t="shared" si="56"/>
        <v>0</v>
      </c>
      <c r="W91" s="69">
        <f t="shared" si="57"/>
        <v>54.427816497071142</v>
      </c>
      <c r="X91" s="133">
        <v>0</v>
      </c>
      <c r="Z91" s="125">
        <v>2025</v>
      </c>
      <c r="AA91" s="70">
        <f t="shared" si="58"/>
        <v>122.2352214798872</v>
      </c>
      <c r="AB91" s="70">
        <f t="shared" si="59"/>
        <v>130.44302827509514</v>
      </c>
      <c r="AC91" s="70">
        <f t="shared" si="60"/>
        <v>1018.1281203127528</v>
      </c>
      <c r="AD91" s="70">
        <f t="shared" si="64"/>
        <v>86.319154116483645</v>
      </c>
      <c r="AE91" s="69">
        <f t="shared" si="61"/>
        <v>1357.1255241842186</v>
      </c>
      <c r="AF91" s="136">
        <f t="shared" si="65"/>
        <v>0</v>
      </c>
    </row>
    <row r="92" spans="2:32" ht="15.75" thickTop="1" x14ac:dyDescent="0.25">
      <c r="AB92" s="73"/>
    </row>
    <row r="93" spans="2:32" ht="15.75" thickBot="1" x14ac:dyDescent="0.3">
      <c r="B93" t="s">
        <v>50</v>
      </c>
    </row>
    <row r="94" spans="2:32" ht="15.75" thickTop="1" x14ac:dyDescent="0.25">
      <c r="B94" s="42" t="s">
        <v>51</v>
      </c>
      <c r="C94" s="50" t="s">
        <v>53</v>
      </c>
      <c r="D94" s="43" t="s">
        <v>54</v>
      </c>
      <c r="E94" s="73"/>
    </row>
    <row r="95" spans="2:32" x14ac:dyDescent="0.25">
      <c r="B95" s="44" t="s">
        <v>52</v>
      </c>
      <c r="C95" s="48">
        <v>3800</v>
      </c>
      <c r="D95" s="45">
        <v>0.45</v>
      </c>
    </row>
    <row r="96" spans="2:32" x14ac:dyDescent="0.25">
      <c r="B96" s="44" t="s">
        <v>55</v>
      </c>
      <c r="C96" s="48">
        <v>1300</v>
      </c>
      <c r="D96" s="45">
        <v>0.21</v>
      </c>
    </row>
    <row r="97" spans="2:28" x14ac:dyDescent="0.25">
      <c r="B97" s="44" t="s">
        <v>56</v>
      </c>
      <c r="C97" s="48">
        <v>3100</v>
      </c>
      <c r="D97" s="45">
        <v>0.09</v>
      </c>
      <c r="AB97" s="73"/>
    </row>
    <row r="98" spans="2:28" x14ac:dyDescent="0.25">
      <c r="B98" s="44" t="s">
        <v>57</v>
      </c>
      <c r="C98" s="48">
        <v>5100</v>
      </c>
      <c r="D98" s="45">
        <v>0.16</v>
      </c>
    </row>
    <row r="99" spans="2:28" x14ac:dyDescent="0.25">
      <c r="B99" s="44" t="s">
        <v>58</v>
      </c>
      <c r="C99" s="48">
        <v>1900</v>
      </c>
      <c r="D99" s="45">
        <v>0.09</v>
      </c>
    </row>
    <row r="100" spans="2:28" ht="15.75" thickBot="1" x14ac:dyDescent="0.3">
      <c r="B100" s="75" t="s">
        <v>59</v>
      </c>
      <c r="C100" s="76">
        <f>C95*D95+C96*D96+C97*D97+C98*D98+C99*D99</f>
        <v>3249</v>
      </c>
      <c r="D100" s="47"/>
    </row>
    <row r="101" spans="2:28" ht="15.75" thickTop="1" x14ac:dyDescent="0.25"/>
    <row r="102" spans="2:28" ht="15.75" thickBot="1" x14ac:dyDescent="0.3">
      <c r="B102" t="s">
        <v>60</v>
      </c>
    </row>
    <row r="103" spans="2:28" ht="15.75" thickTop="1" x14ac:dyDescent="0.25">
      <c r="B103" s="42" t="s">
        <v>8</v>
      </c>
      <c r="C103" s="43">
        <v>5400</v>
      </c>
    </row>
    <row r="104" spans="2:28" x14ac:dyDescent="0.25">
      <c r="B104" s="44" t="s">
        <v>15</v>
      </c>
      <c r="C104" s="77">
        <v>2400</v>
      </c>
    </row>
    <row r="105" spans="2:28" ht="15.75" thickBot="1" x14ac:dyDescent="0.3">
      <c r="B105" s="46" t="s">
        <v>16</v>
      </c>
      <c r="C105" s="78">
        <v>2600</v>
      </c>
    </row>
    <row r="106" spans="2:28" ht="15.75" thickTop="1" x14ac:dyDescent="0.25"/>
    <row r="107" spans="2:28" x14ac:dyDescent="0.25">
      <c r="B107" t="s">
        <v>62</v>
      </c>
    </row>
    <row r="108" spans="2:28" ht="15.75" thickBot="1" x14ac:dyDescent="0.3"/>
    <row r="109" spans="2:28" ht="16.5" thickTop="1" thickBot="1" x14ac:dyDescent="0.3">
      <c r="B109" s="79" t="s">
        <v>61</v>
      </c>
      <c r="C109" s="57"/>
    </row>
    <row r="110" spans="2:28" x14ac:dyDescent="0.25">
      <c r="B110" s="44" t="s">
        <v>8</v>
      </c>
      <c r="C110" s="77">
        <f>C100*0.62+C103</f>
        <v>7414.38</v>
      </c>
    </row>
    <row r="111" spans="2:28" x14ac:dyDescent="0.25">
      <c r="B111" s="44" t="s">
        <v>15</v>
      </c>
      <c r="C111" s="77">
        <f>C100*0.62+C104</f>
        <v>4414.38</v>
      </c>
    </row>
    <row r="112" spans="2:28" x14ac:dyDescent="0.25">
      <c r="B112" s="44" t="s">
        <v>16</v>
      </c>
      <c r="C112" s="77">
        <f>C100*0.62+C105</f>
        <v>4614.38</v>
      </c>
    </row>
    <row r="113" spans="2:24" ht="15.75" thickBot="1" x14ac:dyDescent="0.3">
      <c r="B113" s="46" t="s">
        <v>17</v>
      </c>
      <c r="C113" s="78">
        <f>C100</f>
        <v>3249</v>
      </c>
    </row>
    <row r="114" spans="2:24" ht="15.75" thickTop="1" x14ac:dyDescent="0.25"/>
    <row r="116" spans="2:24" ht="15.75" thickBot="1" x14ac:dyDescent="0.3"/>
    <row r="117" spans="2:24" ht="16.5" thickTop="1" thickBot="1" x14ac:dyDescent="0.3">
      <c r="B117" s="55"/>
      <c r="C117" s="56" t="s">
        <v>131</v>
      </c>
      <c r="D117" s="56"/>
      <c r="E117" s="56"/>
      <c r="F117" s="56"/>
      <c r="G117" s="56"/>
      <c r="H117" s="57"/>
      <c r="J117" s="55"/>
      <c r="K117" s="56" t="s">
        <v>132</v>
      </c>
      <c r="L117" s="56"/>
      <c r="M117" s="56"/>
      <c r="N117" s="56"/>
      <c r="O117" s="56"/>
      <c r="P117" s="57"/>
      <c r="R117" s="55"/>
      <c r="S117" s="56" t="s">
        <v>133</v>
      </c>
      <c r="T117" s="56"/>
      <c r="U117" s="56"/>
      <c r="V117" s="56"/>
      <c r="W117" s="56"/>
      <c r="X117" s="57"/>
    </row>
    <row r="118" spans="2:24" ht="15.75" thickBot="1" x14ac:dyDescent="0.3">
      <c r="B118" s="58" t="s">
        <v>12</v>
      </c>
      <c r="C118" s="59" t="s">
        <v>14</v>
      </c>
      <c r="D118" s="60" t="s">
        <v>39</v>
      </c>
      <c r="E118" s="60" t="s">
        <v>40</v>
      </c>
      <c r="F118" s="61" t="s">
        <v>123</v>
      </c>
      <c r="G118" s="134" t="s">
        <v>125</v>
      </c>
      <c r="H118" s="62" t="s">
        <v>42</v>
      </c>
      <c r="J118" s="58" t="s">
        <v>12</v>
      </c>
      <c r="K118" s="59" t="s">
        <v>14</v>
      </c>
      <c r="L118" s="60" t="s">
        <v>39</v>
      </c>
      <c r="M118" s="60" t="s">
        <v>40</v>
      </c>
      <c r="N118" s="61" t="s">
        <v>123</v>
      </c>
      <c r="O118" s="134" t="s">
        <v>125</v>
      </c>
      <c r="P118" s="62" t="s">
        <v>42</v>
      </c>
      <c r="R118" s="58" t="s">
        <v>12</v>
      </c>
      <c r="S118" s="59" t="s">
        <v>14</v>
      </c>
      <c r="T118" s="60" t="s">
        <v>39</v>
      </c>
      <c r="U118" s="60" t="s">
        <v>40</v>
      </c>
      <c r="V118" s="61" t="s">
        <v>123</v>
      </c>
      <c r="W118" s="134" t="s">
        <v>125</v>
      </c>
      <c r="X118" s="62" t="s">
        <v>42</v>
      </c>
    </row>
    <row r="119" spans="2:24" x14ac:dyDescent="0.25">
      <c r="B119" s="13">
        <v>2019</v>
      </c>
      <c r="C119" s="63">
        <f t="shared" ref="C119:C125" si="66">C85*$C$110</f>
        <v>4498763.4334154567</v>
      </c>
      <c r="D119" s="63">
        <f t="shared" ref="D119:D125" si="67">D85*$C$111</f>
        <v>8305239.6815844066</v>
      </c>
      <c r="E119" s="63">
        <f t="shared" ref="E119:E125" si="68">E85*$C$112</f>
        <v>3459620.3289885833</v>
      </c>
      <c r="F119" s="63">
        <f>F85*$C$113</f>
        <v>2687577.2734148023</v>
      </c>
      <c r="G119" s="105">
        <f>D75*F79</f>
        <v>3366280.4</v>
      </c>
      <c r="H119" s="66">
        <f t="shared" ref="H119:H125" si="69">SUM(C119:G119)</f>
        <v>22317481.11740325</v>
      </c>
      <c r="J119" s="13">
        <v>2019</v>
      </c>
      <c r="K119" s="63">
        <f t="shared" ref="K119:K125" si="70">K85*$C$110</f>
        <v>25707219.619516894</v>
      </c>
      <c r="L119" s="63">
        <f t="shared" ref="L119:L125" si="71">L85*$C$111</f>
        <v>47458512.466196612</v>
      </c>
      <c r="M119" s="63">
        <f t="shared" ref="M119:M125" si="72">M85*$C$112</f>
        <v>19769259.022791907</v>
      </c>
      <c r="N119" s="63">
        <f t="shared" ref="N119:N125" si="73">N85*$C$113</f>
        <v>15357584.419513157</v>
      </c>
      <c r="O119" s="63">
        <f>D75*F80</f>
        <v>19235888</v>
      </c>
      <c r="P119" s="66">
        <f t="shared" ref="P119:P125" si="74">SUM(K119:N119)</f>
        <v>108292575.52801856</v>
      </c>
      <c r="R119" s="13">
        <v>2019</v>
      </c>
      <c r="S119" s="63">
        <f t="shared" ref="S119:S125" si="75">S85*$C$110</f>
        <v>1025352.1314784283</v>
      </c>
      <c r="T119" s="63">
        <f t="shared" ref="T119:T125" si="76">T85*$C$111</f>
        <v>2309594.7893136134</v>
      </c>
      <c r="U119" s="63">
        <f t="shared" ref="U119:U125" si="77">U85*$C$112</f>
        <v>2746223.6774472953</v>
      </c>
      <c r="V119" s="63">
        <f t="shared" ref="V119:V125" si="78">V85*$C$113</f>
        <v>38641.907159763519</v>
      </c>
      <c r="W119" s="105">
        <f t="shared" ref="W119:W125" si="79">X85*$D$75</f>
        <v>0</v>
      </c>
      <c r="X119" s="66">
        <f t="shared" ref="X119:X125" si="80">SUM(S119:V119)</f>
        <v>6119812.5053991005</v>
      </c>
    </row>
    <row r="120" spans="2:24" x14ac:dyDescent="0.25">
      <c r="B120" s="13">
        <v>2020</v>
      </c>
      <c r="C120" s="63">
        <f t="shared" si="66"/>
        <v>240419.53679340403</v>
      </c>
      <c r="D120" s="63">
        <f t="shared" si="67"/>
        <v>607992.71074975061</v>
      </c>
      <c r="E120" s="63">
        <f t="shared" si="68"/>
        <v>289289.42797842005</v>
      </c>
      <c r="F120" s="63">
        <f>F86*$C$113</f>
        <v>173143.68716603093</v>
      </c>
      <c r="G120" s="105">
        <f t="shared" ref="G120:G125" si="81">H86*$D$75</f>
        <v>0</v>
      </c>
      <c r="H120" s="66">
        <f t="shared" si="69"/>
        <v>1310845.3626876057</v>
      </c>
      <c r="J120" s="13">
        <v>2020</v>
      </c>
      <c r="K120" s="63">
        <f t="shared" si="70"/>
        <v>1373825.9245337374</v>
      </c>
      <c r="L120" s="63">
        <f t="shared" si="71"/>
        <v>3474244.0614271471</v>
      </c>
      <c r="M120" s="63">
        <f t="shared" si="72"/>
        <v>1653082.445590972</v>
      </c>
      <c r="N120" s="63">
        <f t="shared" si="73"/>
        <v>989392.49809160526</v>
      </c>
      <c r="O120" s="63">
        <f t="shared" ref="O120:O125" si="82">P86*$D$75</f>
        <v>0</v>
      </c>
      <c r="P120" s="66">
        <f t="shared" si="74"/>
        <v>7490544.9296434615</v>
      </c>
      <c r="R120" s="13">
        <v>2020</v>
      </c>
      <c r="S120" s="63">
        <f t="shared" si="75"/>
        <v>46755.674922413644</v>
      </c>
      <c r="T120" s="63">
        <f t="shared" si="76"/>
        <v>152530.3670351184</v>
      </c>
      <c r="U120" s="63">
        <f t="shared" si="77"/>
        <v>203377.61576153213</v>
      </c>
      <c r="V120" s="63">
        <f t="shared" si="78"/>
        <v>2017.7305201323175</v>
      </c>
      <c r="W120" s="105">
        <f t="shared" si="79"/>
        <v>0</v>
      </c>
      <c r="X120" s="66">
        <f t="shared" si="80"/>
        <v>404681.38823919644</v>
      </c>
    </row>
    <row r="121" spans="2:24" x14ac:dyDescent="0.25">
      <c r="B121" s="13">
        <v>2021</v>
      </c>
      <c r="C121" s="63">
        <f t="shared" si="66"/>
        <v>205539.16211672951</v>
      </c>
      <c r="D121" s="63">
        <f t="shared" si="67"/>
        <v>577771.84741217736</v>
      </c>
      <c r="E121" s="63">
        <f t="shared" si="68"/>
        <v>340300.6662394192</v>
      </c>
      <c r="F121" s="63">
        <f>F87*$C$113</f>
        <v>76194.814212478042</v>
      </c>
      <c r="G121" s="105">
        <f t="shared" si="81"/>
        <v>0</v>
      </c>
      <c r="H121" s="66">
        <f t="shared" si="69"/>
        <v>1199806.489980804</v>
      </c>
      <c r="J121" s="13">
        <v>2021</v>
      </c>
      <c r="K121" s="63">
        <f t="shared" si="70"/>
        <v>1174509.497809883</v>
      </c>
      <c r="L121" s="63">
        <f t="shared" si="71"/>
        <v>3301553.4137838702</v>
      </c>
      <c r="M121" s="63">
        <f t="shared" si="72"/>
        <v>1944575.2356538242</v>
      </c>
      <c r="N121" s="63">
        <f t="shared" si="73"/>
        <v>435398.93835701747</v>
      </c>
      <c r="O121" s="63">
        <f t="shared" si="82"/>
        <v>0</v>
      </c>
      <c r="P121" s="66">
        <f t="shared" si="74"/>
        <v>6856037.085604595</v>
      </c>
      <c r="R121" s="13">
        <v>2021</v>
      </c>
      <c r="S121" s="63">
        <f t="shared" si="75"/>
        <v>29343.219112155115</v>
      </c>
      <c r="T121" s="63">
        <f t="shared" si="76"/>
        <v>128719.71157990456</v>
      </c>
      <c r="U121" s="63">
        <f t="shared" si="77"/>
        <v>214279.74130220545</v>
      </c>
      <c r="V121" s="63">
        <f t="shared" si="78"/>
        <v>0</v>
      </c>
      <c r="W121" s="105">
        <f t="shared" si="79"/>
        <v>0</v>
      </c>
      <c r="X121" s="66">
        <f t="shared" si="80"/>
        <v>372342.67199426517</v>
      </c>
    </row>
    <row r="122" spans="2:24" x14ac:dyDescent="0.25">
      <c r="B122" s="13">
        <v>2022</v>
      </c>
      <c r="C122" s="63">
        <f t="shared" si="66"/>
        <v>163757.69896257337</v>
      </c>
      <c r="D122" s="63">
        <f t="shared" si="67"/>
        <v>548296.92795926332</v>
      </c>
      <c r="E122" s="63">
        <f t="shared" si="68"/>
        <v>368956.57589752082</v>
      </c>
      <c r="F122" s="63">
        <f>F88*$C$113</f>
        <v>71827.88572713091</v>
      </c>
      <c r="G122" s="105">
        <f t="shared" si="81"/>
        <v>0</v>
      </c>
      <c r="H122" s="66">
        <f t="shared" si="69"/>
        <v>1152839.0885464884</v>
      </c>
      <c r="J122" s="13">
        <v>2022</v>
      </c>
      <c r="K122" s="63">
        <f t="shared" si="70"/>
        <v>1310061.591700587</v>
      </c>
      <c r="L122" s="63">
        <f t="shared" si="71"/>
        <v>4386375.4236741066</v>
      </c>
      <c r="M122" s="63">
        <f t="shared" si="72"/>
        <v>12298419.288794847</v>
      </c>
      <c r="N122" s="63">
        <f t="shared" si="73"/>
        <v>574623.08581704728</v>
      </c>
      <c r="O122" s="63">
        <f t="shared" si="82"/>
        <v>0</v>
      </c>
      <c r="P122" s="66">
        <f t="shared" si="74"/>
        <v>18569479.38998659</v>
      </c>
      <c r="R122" s="13">
        <v>2022</v>
      </c>
      <c r="S122" s="63">
        <f t="shared" si="75"/>
        <v>2303.8575232511121</v>
      </c>
      <c r="T122" s="63">
        <f t="shared" si="76"/>
        <v>105383.38742941267</v>
      </c>
      <c r="U122" s="63">
        <f t="shared" si="77"/>
        <v>225203.83233844093</v>
      </c>
      <c r="V122" s="63">
        <f t="shared" si="78"/>
        <v>0</v>
      </c>
      <c r="W122" s="105">
        <f t="shared" si="79"/>
        <v>0</v>
      </c>
      <c r="X122" s="66">
        <f t="shared" si="80"/>
        <v>332891.07729110471</v>
      </c>
    </row>
    <row r="123" spans="2:24" x14ac:dyDescent="0.25">
      <c r="B123" s="13">
        <v>2023</v>
      </c>
      <c r="C123" s="63">
        <f t="shared" si="66"/>
        <v>123419.81909299333</v>
      </c>
      <c r="D123" s="63">
        <f t="shared" si="67"/>
        <v>70552.679978009604</v>
      </c>
      <c r="E123" s="63">
        <f t="shared" si="68"/>
        <v>451801.8282823303</v>
      </c>
      <c r="F123" s="63">
        <f>F70*$C$113</f>
        <v>38449.066504641101</v>
      </c>
      <c r="G123" s="105">
        <f t="shared" si="81"/>
        <v>0</v>
      </c>
      <c r="H123" s="66">
        <f t="shared" si="69"/>
        <v>684223.39385797433</v>
      </c>
      <c r="J123" s="13">
        <v>2023</v>
      </c>
      <c r="K123" s="63">
        <f t="shared" si="70"/>
        <v>987358.55274394667</v>
      </c>
      <c r="L123" s="63">
        <f t="shared" si="71"/>
        <v>564421.43982407684</v>
      </c>
      <c r="M123" s="63">
        <f t="shared" si="72"/>
        <v>3614414.6262586424</v>
      </c>
      <c r="N123" s="63">
        <f t="shared" si="73"/>
        <v>307592.53203712881</v>
      </c>
      <c r="O123" s="63">
        <f t="shared" si="82"/>
        <v>0</v>
      </c>
      <c r="P123" s="66">
        <f t="shared" si="74"/>
        <v>5473787.1508637946</v>
      </c>
      <c r="R123" s="13">
        <v>2023</v>
      </c>
      <c r="S123" s="63">
        <f t="shared" si="75"/>
        <v>1700.4660471084978</v>
      </c>
      <c r="T123" s="63">
        <f t="shared" si="76"/>
        <v>1590.6048912611125</v>
      </c>
      <c r="U123" s="63">
        <f t="shared" si="77"/>
        <v>240308.20106951776</v>
      </c>
      <c r="V123" s="63">
        <f t="shared" si="78"/>
        <v>0</v>
      </c>
      <c r="W123" s="105">
        <f t="shared" si="79"/>
        <v>0</v>
      </c>
      <c r="X123" s="66">
        <f t="shared" si="80"/>
        <v>243599.27200788737</v>
      </c>
    </row>
    <row r="124" spans="2:24" x14ac:dyDescent="0.25">
      <c r="B124" s="67">
        <v>2024</v>
      </c>
      <c r="C124" s="63">
        <f t="shared" si="66"/>
        <v>111746.98689341851</v>
      </c>
      <c r="D124" s="63">
        <f t="shared" si="67"/>
        <v>67315.0435703681</v>
      </c>
      <c r="E124" s="63">
        <f t="shared" si="68"/>
        <v>474202.42521293176</v>
      </c>
      <c r="F124" s="63">
        <f>F71*$C$113</f>
        <v>34800.58672880123</v>
      </c>
      <c r="G124" s="105">
        <f t="shared" si="81"/>
        <v>0</v>
      </c>
      <c r="H124" s="66">
        <f t="shared" si="69"/>
        <v>688065.04240551963</v>
      </c>
      <c r="J124" s="67">
        <v>2024</v>
      </c>
      <c r="K124" s="63">
        <f t="shared" si="70"/>
        <v>893975.89514734806</v>
      </c>
      <c r="L124" s="63">
        <f t="shared" si="71"/>
        <v>538520.3485629448</v>
      </c>
      <c r="M124" s="63">
        <f t="shared" si="72"/>
        <v>3793619.4017034541</v>
      </c>
      <c r="N124" s="63">
        <f t="shared" si="73"/>
        <v>278404.69383040984</v>
      </c>
      <c r="O124" s="63">
        <f t="shared" si="82"/>
        <v>0</v>
      </c>
      <c r="P124" s="66">
        <f t="shared" si="74"/>
        <v>5504520.3392441571</v>
      </c>
      <c r="R124" s="67">
        <v>2024</v>
      </c>
      <c r="S124" s="63">
        <f t="shared" si="75"/>
        <v>1291.2677315995229</v>
      </c>
      <c r="T124" s="63">
        <f t="shared" si="76"/>
        <v>1234.4675046325235</v>
      </c>
      <c r="U124" s="63">
        <f t="shared" si="77"/>
        <v>245321.90901976661</v>
      </c>
      <c r="V124" s="63">
        <f t="shared" si="78"/>
        <v>0</v>
      </c>
      <c r="W124" s="105">
        <f t="shared" si="79"/>
        <v>0</v>
      </c>
      <c r="X124" s="66">
        <f t="shared" si="80"/>
        <v>247847.64425599866</v>
      </c>
    </row>
    <row r="125" spans="2:24" ht="15.75" thickBot="1" x14ac:dyDescent="0.3">
      <c r="B125" s="68">
        <v>2025</v>
      </c>
      <c r="C125" s="70">
        <f t="shared" si="66"/>
        <v>100586.84947541096</v>
      </c>
      <c r="D125" s="70">
        <f t="shared" si="67"/>
        <v>63877.004119871868</v>
      </c>
      <c r="E125" s="70">
        <f t="shared" si="68"/>
        <v>494276.27395353065</v>
      </c>
      <c r="F125" s="70">
        <f>F72*$C$113</f>
        <v>31161.214636050598</v>
      </c>
      <c r="G125" s="106">
        <f t="shared" si="81"/>
        <v>0</v>
      </c>
      <c r="H125" s="69">
        <f t="shared" si="69"/>
        <v>689901.3421848641</v>
      </c>
      <c r="J125" s="68">
        <v>2025</v>
      </c>
      <c r="K125" s="70">
        <f t="shared" si="70"/>
        <v>804694.79580328765</v>
      </c>
      <c r="L125" s="70">
        <f t="shared" si="71"/>
        <v>511016.03295897495</v>
      </c>
      <c r="M125" s="70">
        <f t="shared" si="72"/>
        <v>3954210.1916282452</v>
      </c>
      <c r="N125" s="70">
        <f t="shared" si="73"/>
        <v>249289.71708840478</v>
      </c>
      <c r="O125" s="70">
        <f t="shared" si="82"/>
        <v>0</v>
      </c>
      <c r="P125" s="69">
        <f t="shared" si="74"/>
        <v>5519210.7374789128</v>
      </c>
      <c r="R125" s="68">
        <v>2025</v>
      </c>
      <c r="S125" s="70">
        <f t="shared" si="75"/>
        <v>1016.7361573476218</v>
      </c>
      <c r="T125" s="70">
        <f t="shared" si="76"/>
        <v>932.05807816769754</v>
      </c>
      <c r="U125" s="70">
        <f t="shared" si="77"/>
        <v>249543.57022698488</v>
      </c>
      <c r="V125" s="70">
        <f t="shared" si="78"/>
        <v>0</v>
      </c>
      <c r="W125" s="106">
        <f t="shared" si="79"/>
        <v>0</v>
      </c>
      <c r="X125" s="69">
        <f t="shared" si="80"/>
        <v>251492.36446250021</v>
      </c>
    </row>
    <row r="126" spans="2:24" ht="15.75" thickTop="1" x14ac:dyDescent="0.25">
      <c r="B126" s="83"/>
      <c r="C126" s="17"/>
      <c r="D126" s="17"/>
      <c r="E126" s="17"/>
      <c r="F126" s="17"/>
      <c r="G126" s="17"/>
      <c r="I126" s="83"/>
      <c r="J126" s="17"/>
      <c r="K126" s="17"/>
      <c r="L126" s="17"/>
      <c r="M126" s="17"/>
      <c r="N126" s="17"/>
      <c r="P126" s="83"/>
      <c r="Q126" s="17"/>
      <c r="R126" s="17"/>
      <c r="S126" s="17"/>
      <c r="T126" s="17"/>
      <c r="U126" s="17"/>
    </row>
    <row r="127" spans="2:24" ht="15.75" thickBot="1" x14ac:dyDescent="0.3"/>
    <row r="128" spans="2:24" ht="16.5" thickTop="1" thickBot="1" x14ac:dyDescent="0.3">
      <c r="B128" s="55"/>
      <c r="C128" s="56" t="s">
        <v>181</v>
      </c>
      <c r="D128" s="56" t="s">
        <v>130</v>
      </c>
      <c r="E128" s="56"/>
      <c r="F128" s="56"/>
      <c r="G128" s="56"/>
      <c r="H128" s="57"/>
    </row>
    <row r="129" spans="2:17" ht="15.75" thickBot="1" x14ac:dyDescent="0.3">
      <c r="B129" s="58" t="s">
        <v>12</v>
      </c>
      <c r="C129" s="59" t="s">
        <v>14</v>
      </c>
      <c r="D129" s="60" t="s">
        <v>39</v>
      </c>
      <c r="E129" s="60" t="s">
        <v>40</v>
      </c>
      <c r="F129" s="61" t="s">
        <v>41</v>
      </c>
      <c r="G129" s="134" t="s">
        <v>125</v>
      </c>
      <c r="H129" s="62" t="s">
        <v>42</v>
      </c>
    </row>
    <row r="130" spans="2:17" x14ac:dyDescent="0.25">
      <c r="B130" s="13">
        <v>2019</v>
      </c>
      <c r="C130" s="63">
        <f t="shared" ref="C130:E136" si="83">C119+K119+S119</f>
        <v>31231335.184410781</v>
      </c>
      <c r="D130" s="63">
        <f t="shared" si="83"/>
        <v>58073346.937094629</v>
      </c>
      <c r="E130" s="63">
        <f t="shared" si="83"/>
        <v>25975103.029227786</v>
      </c>
      <c r="F130" s="63">
        <f>F119+N119+V119</f>
        <v>18083803.600087725</v>
      </c>
      <c r="G130" s="105">
        <f>G119+O119+W119</f>
        <v>22602168.399999999</v>
      </c>
      <c r="H130" s="66">
        <f>SUM(C130:G130)</f>
        <v>155965757.15082094</v>
      </c>
    </row>
    <row r="131" spans="2:17" x14ac:dyDescent="0.25">
      <c r="B131" s="13">
        <v>2020</v>
      </c>
      <c r="C131" s="63">
        <f t="shared" si="83"/>
        <v>1661001.136249555</v>
      </c>
      <c r="D131" s="63">
        <f t="shared" si="83"/>
        <v>4234767.139212016</v>
      </c>
      <c r="E131" s="63">
        <f t="shared" si="83"/>
        <v>2145749.4893309241</v>
      </c>
      <c r="F131" s="63">
        <f t="shared" ref="F131:F136" si="84">F120+N120+V120+G120+O120+W120</f>
        <v>1164553.9157777685</v>
      </c>
      <c r="G131" s="105">
        <v>0</v>
      </c>
      <c r="H131" s="66">
        <f t="shared" ref="H131:H136" si="85">SUM(C131:F131)</f>
        <v>9206071.6805702634</v>
      </c>
    </row>
    <row r="132" spans="2:17" x14ac:dyDescent="0.25">
      <c r="B132" s="13">
        <v>2021</v>
      </c>
      <c r="C132" s="63">
        <f t="shared" si="83"/>
        <v>1409391.8790387674</v>
      </c>
      <c r="D132" s="63">
        <f t="shared" si="83"/>
        <v>4008044.972775952</v>
      </c>
      <c r="E132" s="63">
        <f t="shared" si="83"/>
        <v>2499155.6431954484</v>
      </c>
      <c r="F132" s="63">
        <f t="shared" si="84"/>
        <v>511593.75256949553</v>
      </c>
      <c r="G132" s="105">
        <v>0</v>
      </c>
      <c r="H132" s="66">
        <f t="shared" si="85"/>
        <v>8428186.2475796621</v>
      </c>
    </row>
    <row r="133" spans="2:17" x14ac:dyDescent="0.25">
      <c r="B133" s="13">
        <v>2022</v>
      </c>
      <c r="C133" s="63">
        <f t="shared" si="83"/>
        <v>1476123.1481864115</v>
      </c>
      <c r="D133" s="63">
        <f t="shared" si="83"/>
        <v>5040055.7390627824</v>
      </c>
      <c r="E133" s="63">
        <f t="shared" si="83"/>
        <v>12892579.697030809</v>
      </c>
      <c r="F133" s="63">
        <f t="shared" si="84"/>
        <v>646450.9715441782</v>
      </c>
      <c r="G133" s="105">
        <v>0</v>
      </c>
      <c r="H133" s="66">
        <f t="shared" si="85"/>
        <v>20055209.555824183</v>
      </c>
    </row>
    <row r="134" spans="2:17" x14ac:dyDescent="0.25">
      <c r="B134" s="13">
        <v>2023</v>
      </c>
      <c r="C134" s="63">
        <f t="shared" si="83"/>
        <v>1112478.8378840485</v>
      </c>
      <c r="D134" s="63">
        <f t="shared" si="83"/>
        <v>636564.72469334747</v>
      </c>
      <c r="E134" s="63">
        <f t="shared" si="83"/>
        <v>4306524.6556104906</v>
      </c>
      <c r="F134" s="63">
        <f t="shared" si="84"/>
        <v>346041.5985417699</v>
      </c>
      <c r="G134" s="105">
        <v>0</v>
      </c>
      <c r="H134" s="66">
        <f t="shared" si="85"/>
        <v>6401609.8167296564</v>
      </c>
    </row>
    <row r="135" spans="2:17" x14ac:dyDescent="0.25">
      <c r="B135" s="67">
        <v>2024</v>
      </c>
      <c r="C135" s="63">
        <f t="shared" si="83"/>
        <v>1007014.149772366</v>
      </c>
      <c r="D135" s="63">
        <f t="shared" si="83"/>
        <v>607069.85963794542</v>
      </c>
      <c r="E135" s="63">
        <f t="shared" si="83"/>
        <v>4513143.7359361518</v>
      </c>
      <c r="F135" s="63">
        <f t="shared" si="84"/>
        <v>313205.2805592111</v>
      </c>
      <c r="G135" s="105">
        <v>0</v>
      </c>
      <c r="H135" s="66">
        <f t="shared" si="85"/>
        <v>6440433.0259056743</v>
      </c>
    </row>
    <row r="136" spans="2:17" ht="15.75" thickBot="1" x14ac:dyDescent="0.3">
      <c r="B136" s="68">
        <v>2025</v>
      </c>
      <c r="C136" s="70">
        <f t="shared" si="83"/>
        <v>906298.38143604621</v>
      </c>
      <c r="D136" s="70">
        <f t="shared" si="83"/>
        <v>575825.09515701456</v>
      </c>
      <c r="E136" s="70">
        <f t="shared" si="83"/>
        <v>4698030.0358087607</v>
      </c>
      <c r="F136" s="70">
        <f t="shared" si="84"/>
        <v>280450.93172445538</v>
      </c>
      <c r="G136" s="106">
        <v>0</v>
      </c>
      <c r="H136" s="69">
        <f t="shared" si="85"/>
        <v>6460604.4441262763</v>
      </c>
    </row>
    <row r="137" spans="2:17" ht="15.75" thickTop="1" x14ac:dyDescent="0.25">
      <c r="B137" s="83"/>
      <c r="C137" s="17"/>
      <c r="D137" s="17"/>
      <c r="E137" s="17"/>
      <c r="F137" s="17"/>
      <c r="G137" s="17">
        <f>SUM(H130:H136)</f>
        <v>212957871.92155668</v>
      </c>
    </row>
    <row r="139" spans="2:17" ht="15.75" thickBot="1" x14ac:dyDescent="0.3">
      <c r="B139" t="s">
        <v>169</v>
      </c>
      <c r="H139" s="73"/>
      <c r="K139" t="s">
        <v>167</v>
      </c>
    </row>
    <row r="140" spans="2:17" ht="16.5" thickTop="1" thickBot="1" x14ac:dyDescent="0.3">
      <c r="B140" s="55"/>
      <c r="C140" s="56" t="s">
        <v>182</v>
      </c>
      <c r="D140" s="56" t="s">
        <v>184</v>
      </c>
      <c r="E140" s="56"/>
      <c r="F140" s="56"/>
      <c r="G140" s="56"/>
      <c r="H140" s="56"/>
      <c r="I140" s="98"/>
      <c r="K140" s="116"/>
      <c r="L140" s="117" t="s">
        <v>134</v>
      </c>
      <c r="M140" s="117"/>
      <c r="N140" s="117"/>
      <c r="O140" s="117"/>
      <c r="P140" s="117"/>
      <c r="Q140" s="118"/>
    </row>
    <row r="141" spans="2:17" ht="15.75" thickBot="1" x14ac:dyDescent="0.3">
      <c r="B141" s="58" t="s">
        <v>12</v>
      </c>
      <c r="C141" s="59" t="s">
        <v>14</v>
      </c>
      <c r="D141" s="60" t="s">
        <v>39</v>
      </c>
      <c r="E141" s="60" t="s">
        <v>40</v>
      </c>
      <c r="F141" s="61" t="s">
        <v>41</v>
      </c>
      <c r="G141" s="134" t="s">
        <v>183</v>
      </c>
      <c r="H141" s="104" t="s">
        <v>112</v>
      </c>
      <c r="I141" s="107" t="s">
        <v>73</v>
      </c>
      <c r="K141" s="119" t="s">
        <v>12</v>
      </c>
      <c r="L141" s="120" t="s">
        <v>14</v>
      </c>
      <c r="M141" s="121" t="s">
        <v>39</v>
      </c>
      <c r="N141" s="121" t="s">
        <v>40</v>
      </c>
      <c r="O141" s="122" t="s">
        <v>123</v>
      </c>
      <c r="P141" s="135" t="s">
        <v>125</v>
      </c>
      <c r="Q141" s="123" t="s">
        <v>42</v>
      </c>
    </row>
    <row r="142" spans="2:17" x14ac:dyDescent="0.25">
      <c r="B142" s="13">
        <v>2019</v>
      </c>
      <c r="C142" s="63">
        <f>C130*3/4</f>
        <v>23423501.388308086</v>
      </c>
      <c r="D142" s="63">
        <f>D130*3/4</f>
        <v>43555010.202820972</v>
      </c>
      <c r="E142" s="63">
        <f>3/4*E130</f>
        <v>19481327.271920837</v>
      </c>
      <c r="F142" s="63">
        <f>3/4*F130</f>
        <v>13562852.700065793</v>
      </c>
      <c r="G142" s="105">
        <f>G130*3/4</f>
        <v>16951626.299999997</v>
      </c>
      <c r="H142" s="105">
        <f>SUM(C142:G142)</f>
        <v>116974317.86311568</v>
      </c>
      <c r="I142" s="99">
        <v>116974000</v>
      </c>
      <c r="K142" s="38">
        <v>2019</v>
      </c>
      <c r="L142" s="63">
        <f>AA85*3/4</f>
        <v>3159.19893346552</v>
      </c>
      <c r="M142" s="63">
        <f>AB85*3/4</f>
        <v>9866.6200469422602</v>
      </c>
      <c r="N142" s="63">
        <f>AC85*3/4</f>
        <v>4221.8732033167698</v>
      </c>
      <c r="O142" s="63">
        <f>AD85*3/4</f>
        <v>4174.4698984505367</v>
      </c>
      <c r="P142" s="105">
        <f t="shared" ref="P142:P148" si="86">AF85</f>
        <v>565.11447999999996</v>
      </c>
      <c r="Q142" s="66">
        <f t="shared" ref="Q142:Q148" si="87">SUM(L142:P142)</f>
        <v>21987.276562175088</v>
      </c>
    </row>
    <row r="143" spans="2:17" x14ac:dyDescent="0.25">
      <c r="B143" s="13">
        <v>2020</v>
      </c>
      <c r="C143" s="63">
        <f>C131+C130*1/4</f>
        <v>9468834.9323522504</v>
      </c>
      <c r="D143" s="63">
        <f>D131+D130/4</f>
        <v>18753103.873485673</v>
      </c>
      <c r="E143" s="63">
        <f>E131+E130/4</f>
        <v>8639525.2466378696</v>
      </c>
      <c r="F143" s="63">
        <f>F131+F130/4</f>
        <v>5685504.8157997001</v>
      </c>
      <c r="G143" s="105">
        <f>G130*1/4</f>
        <v>5650542.0999999996</v>
      </c>
      <c r="H143" s="105">
        <f t="shared" ref="H143:H148" si="88">SUM(C143:G143)</f>
        <v>48197510.968275495</v>
      </c>
      <c r="I143" s="99">
        <v>48198000</v>
      </c>
      <c r="K143" s="38">
        <v>2020</v>
      </c>
      <c r="L143" s="63">
        <f>AA86+AA85/4</f>
        <v>1277.0905904947208</v>
      </c>
      <c r="M143" s="63">
        <f>AB86+AB85/4</f>
        <v>4248.1852204580646</v>
      </c>
      <c r="N143" s="63">
        <f>AC86+AC85/4</f>
        <v>1872.3046750891494</v>
      </c>
      <c r="O143" s="63">
        <f>AD86+AD85/4</f>
        <v>1749.9245354877498</v>
      </c>
      <c r="P143" s="105">
        <f t="shared" si="86"/>
        <v>0</v>
      </c>
      <c r="Q143" s="66">
        <f t="shared" si="87"/>
        <v>9147.5050215296851</v>
      </c>
    </row>
    <row r="144" spans="2:17" x14ac:dyDescent="0.25">
      <c r="B144" s="13">
        <v>2021</v>
      </c>
      <c r="C144" s="63">
        <f t="shared" ref="C144:F148" si="89">C132+K132+R132</f>
        <v>1409391.8790387674</v>
      </c>
      <c r="D144" s="63">
        <f t="shared" si="89"/>
        <v>4008044.972775952</v>
      </c>
      <c r="E144" s="63">
        <f t="shared" si="89"/>
        <v>2499155.6431954484</v>
      </c>
      <c r="F144" s="63">
        <f t="shared" si="89"/>
        <v>511593.75256949553</v>
      </c>
      <c r="G144" s="105">
        <f t="shared" ref="G144:G148" si="90">G132</f>
        <v>0</v>
      </c>
      <c r="H144" s="105">
        <f t="shared" si="88"/>
        <v>8428186.2475796621</v>
      </c>
      <c r="I144" s="99">
        <v>8428000</v>
      </c>
      <c r="K144" s="38">
        <v>2021</v>
      </c>
      <c r="L144" s="63">
        <f t="shared" ref="L144:O148" si="91">AA87</f>
        <v>190.08897292002399</v>
      </c>
      <c r="M144" s="63">
        <f t="shared" si="91"/>
        <v>907.95195990738273</v>
      </c>
      <c r="N144" s="63">
        <f t="shared" si="91"/>
        <v>541.60161130974234</v>
      </c>
      <c r="O144" s="63">
        <f t="shared" si="91"/>
        <v>157.46191214819805</v>
      </c>
      <c r="P144" s="105">
        <f t="shared" si="86"/>
        <v>0</v>
      </c>
      <c r="Q144" s="66">
        <f t="shared" si="87"/>
        <v>1797.1044562853472</v>
      </c>
    </row>
    <row r="145" spans="2:17" x14ac:dyDescent="0.25">
      <c r="B145" s="13">
        <v>2022</v>
      </c>
      <c r="C145" s="63">
        <f t="shared" si="89"/>
        <v>1476123.1481864115</v>
      </c>
      <c r="D145" s="63">
        <f t="shared" si="89"/>
        <v>5040055.7390627824</v>
      </c>
      <c r="E145" s="63">
        <f t="shared" si="89"/>
        <v>12892579.697030809</v>
      </c>
      <c r="F145" s="63">
        <f t="shared" si="89"/>
        <v>646450.9715441782</v>
      </c>
      <c r="G145" s="105">
        <f t="shared" si="90"/>
        <v>0</v>
      </c>
      <c r="H145" s="105">
        <f t="shared" si="88"/>
        <v>20055209.555824183</v>
      </c>
      <c r="I145" s="99">
        <v>20055000</v>
      </c>
      <c r="K145" s="38">
        <v>2022</v>
      </c>
      <c r="L145" s="63">
        <f t="shared" si="91"/>
        <v>199.08922232019555</v>
      </c>
      <c r="M145" s="63">
        <f t="shared" si="91"/>
        <v>1141.7358131975006</v>
      </c>
      <c r="N145" s="63">
        <f t="shared" si="91"/>
        <v>2794.0004284499346</v>
      </c>
      <c r="O145" s="63">
        <f t="shared" si="91"/>
        <v>198.96921254052882</v>
      </c>
      <c r="P145" s="105">
        <f t="shared" si="86"/>
        <v>0</v>
      </c>
      <c r="Q145" s="66">
        <f t="shared" si="87"/>
        <v>4333.7946765081597</v>
      </c>
    </row>
    <row r="146" spans="2:17" x14ac:dyDescent="0.25">
      <c r="B146" s="13">
        <v>2023</v>
      </c>
      <c r="C146" s="63">
        <f t="shared" si="89"/>
        <v>1112478.8378840485</v>
      </c>
      <c r="D146" s="63">
        <f t="shared" si="89"/>
        <v>636564.72469334747</v>
      </c>
      <c r="E146" s="63">
        <f t="shared" si="89"/>
        <v>4306524.6556104906</v>
      </c>
      <c r="F146" s="63">
        <f t="shared" si="89"/>
        <v>346041.5985417699</v>
      </c>
      <c r="G146" s="105">
        <f t="shared" si="90"/>
        <v>0</v>
      </c>
      <c r="H146" s="105">
        <f t="shared" si="88"/>
        <v>6401609.8167296564</v>
      </c>
      <c r="I146" s="99">
        <v>6402000</v>
      </c>
      <c r="K146" s="38">
        <v>2023</v>
      </c>
      <c r="L146" s="63">
        <f t="shared" si="91"/>
        <v>150.04340725509732</v>
      </c>
      <c r="M146" s="63">
        <f t="shared" si="91"/>
        <v>144.20252100937108</v>
      </c>
      <c r="N146" s="63">
        <f t="shared" si="91"/>
        <v>933.28348675455652</v>
      </c>
      <c r="O146" s="63">
        <f t="shared" si="91"/>
        <v>106.50710943113879</v>
      </c>
      <c r="P146" s="105">
        <f t="shared" si="86"/>
        <v>0</v>
      </c>
      <c r="Q146" s="66">
        <f t="shared" si="87"/>
        <v>1334.0365244501636</v>
      </c>
    </row>
    <row r="147" spans="2:17" x14ac:dyDescent="0.25">
      <c r="B147" s="67">
        <v>2024</v>
      </c>
      <c r="C147" s="63">
        <f t="shared" si="89"/>
        <v>1007014.149772366</v>
      </c>
      <c r="D147" s="63">
        <f t="shared" si="89"/>
        <v>607069.85963794542</v>
      </c>
      <c r="E147" s="63">
        <f t="shared" si="89"/>
        <v>4513143.7359361518</v>
      </c>
      <c r="F147" s="63">
        <f t="shared" si="89"/>
        <v>313205.2805592111</v>
      </c>
      <c r="G147" s="105">
        <f t="shared" si="90"/>
        <v>0</v>
      </c>
      <c r="H147" s="105">
        <f t="shared" si="88"/>
        <v>6440433.0259056743</v>
      </c>
      <c r="I147" s="99">
        <v>6440000</v>
      </c>
      <c r="K147" s="124">
        <v>2024</v>
      </c>
      <c r="L147" s="63">
        <f t="shared" si="91"/>
        <v>135.81906373457608</v>
      </c>
      <c r="M147" s="63">
        <f t="shared" si="91"/>
        <v>137.52097908153476</v>
      </c>
      <c r="N147" s="63">
        <f t="shared" si="91"/>
        <v>978.06070066534448</v>
      </c>
      <c r="O147" s="63">
        <f t="shared" si="91"/>
        <v>96.400517254297029</v>
      </c>
      <c r="P147" s="105">
        <f t="shared" si="86"/>
        <v>0</v>
      </c>
      <c r="Q147" s="66">
        <f t="shared" si="87"/>
        <v>1347.8012607357523</v>
      </c>
    </row>
    <row r="148" spans="2:17" ht="15.75" thickBot="1" x14ac:dyDescent="0.3">
      <c r="B148" s="68">
        <v>2025</v>
      </c>
      <c r="C148" s="70">
        <f t="shared" si="89"/>
        <v>906298.38143604621</v>
      </c>
      <c r="D148" s="70">
        <f t="shared" si="89"/>
        <v>575825.09515701456</v>
      </c>
      <c r="E148" s="70">
        <f t="shared" si="89"/>
        <v>4698030.0358087607</v>
      </c>
      <c r="F148" s="70">
        <f t="shared" si="89"/>
        <v>280450.93172445538</v>
      </c>
      <c r="G148" s="106">
        <f t="shared" si="90"/>
        <v>0</v>
      </c>
      <c r="H148" s="69">
        <f t="shared" si="88"/>
        <v>6460604.4441262763</v>
      </c>
      <c r="I148" s="99">
        <v>6461000</v>
      </c>
      <c r="K148" s="125">
        <v>2025</v>
      </c>
      <c r="L148" s="70">
        <f t="shared" si="91"/>
        <v>122.2352214798872</v>
      </c>
      <c r="M148" s="70">
        <f t="shared" si="91"/>
        <v>130.44302827509514</v>
      </c>
      <c r="N148" s="70">
        <f t="shared" si="91"/>
        <v>1018.1281203127528</v>
      </c>
      <c r="O148" s="70">
        <f t="shared" si="91"/>
        <v>86.319154116483645</v>
      </c>
      <c r="P148" s="106">
        <f t="shared" si="86"/>
        <v>0</v>
      </c>
      <c r="Q148" s="69">
        <f t="shared" si="87"/>
        <v>1357.1255241842186</v>
      </c>
    </row>
    <row r="149" spans="2:17" ht="16.5" thickTop="1" thickBot="1" x14ac:dyDescent="0.3">
      <c r="H149" s="73">
        <f>SUM(H142:H148)</f>
        <v>212957871.92155665</v>
      </c>
      <c r="I149" s="100">
        <f>SUM(I142:I148)</f>
        <v>212958000</v>
      </c>
    </row>
    <row r="150" spans="2:17" ht="15.75" thickTop="1" x14ac:dyDescent="0.25">
      <c r="L150" s="73"/>
    </row>
    <row r="152" spans="2:17" x14ac:dyDescent="0.25">
      <c r="B152" s="8" t="s">
        <v>68</v>
      </c>
    </row>
    <row r="153" spans="2:17" x14ac:dyDescent="0.25">
      <c r="B153" t="s">
        <v>70</v>
      </c>
      <c r="C153">
        <v>18000</v>
      </c>
      <c r="L153" s="73"/>
    </row>
    <row r="154" spans="2:17" x14ac:dyDescent="0.25">
      <c r="B154" t="s">
        <v>71</v>
      </c>
      <c r="C154">
        <v>300</v>
      </c>
    </row>
    <row r="155" spans="2:17" x14ac:dyDescent="0.25">
      <c r="B155" t="s">
        <v>12</v>
      </c>
      <c r="C155" t="s">
        <v>69</v>
      </c>
      <c r="D155" t="s">
        <v>72</v>
      </c>
      <c r="E155" t="s">
        <v>143</v>
      </c>
      <c r="F155" t="s">
        <v>53</v>
      </c>
      <c r="G155" t="s">
        <v>73</v>
      </c>
    </row>
    <row r="156" spans="2:17" x14ac:dyDescent="0.25">
      <c r="B156">
        <v>2019</v>
      </c>
      <c r="C156" s="84">
        <v>0.23</v>
      </c>
      <c r="D156">
        <f>C156*$C$153/4</f>
        <v>1035</v>
      </c>
      <c r="E156">
        <v>1035</v>
      </c>
      <c r="F156" s="73">
        <f t="shared" ref="F156:F162" si="92">D156*$C$154</f>
        <v>310500</v>
      </c>
      <c r="G156" s="73">
        <v>311000</v>
      </c>
    </row>
    <row r="157" spans="2:17" x14ac:dyDescent="0.25">
      <c r="B157">
        <v>2020</v>
      </c>
      <c r="C157" s="85">
        <f>C156/2</f>
        <v>0.115</v>
      </c>
      <c r="D157">
        <f t="shared" ref="D157:D162" si="93">C157*$C$153</f>
        <v>2070</v>
      </c>
      <c r="E157">
        <v>2070</v>
      </c>
      <c r="F157" s="73">
        <f t="shared" si="92"/>
        <v>621000</v>
      </c>
      <c r="G157" s="73">
        <v>621000</v>
      </c>
    </row>
    <row r="158" spans="2:17" x14ac:dyDescent="0.25">
      <c r="B158">
        <v>2021</v>
      </c>
      <c r="C158" s="85">
        <f t="shared" ref="C158:C160" si="94">C157/2</f>
        <v>5.7500000000000002E-2</v>
      </c>
      <c r="D158">
        <f t="shared" si="93"/>
        <v>1035</v>
      </c>
      <c r="E158">
        <v>1035</v>
      </c>
      <c r="F158" s="73">
        <f t="shared" si="92"/>
        <v>310500</v>
      </c>
      <c r="G158" s="73">
        <v>311000</v>
      </c>
    </row>
    <row r="159" spans="2:17" x14ac:dyDescent="0.25">
      <c r="B159">
        <v>2022</v>
      </c>
      <c r="C159" s="85">
        <f t="shared" si="94"/>
        <v>2.8750000000000001E-2</v>
      </c>
      <c r="D159">
        <f t="shared" si="93"/>
        <v>517.5</v>
      </c>
      <c r="E159">
        <v>518</v>
      </c>
      <c r="F159" s="73">
        <f t="shared" si="92"/>
        <v>155250</v>
      </c>
      <c r="G159" s="73">
        <v>155000</v>
      </c>
    </row>
    <row r="160" spans="2:17" x14ac:dyDescent="0.25">
      <c r="B160">
        <v>2023</v>
      </c>
      <c r="C160" s="85">
        <f t="shared" si="94"/>
        <v>1.4375000000000001E-2</v>
      </c>
      <c r="D160">
        <f t="shared" si="93"/>
        <v>258.75</v>
      </c>
      <c r="E160">
        <v>259</v>
      </c>
      <c r="F160" s="73">
        <f t="shared" si="92"/>
        <v>77625</v>
      </c>
      <c r="G160" s="73">
        <v>78000</v>
      </c>
    </row>
    <row r="161" spans="2:9" x14ac:dyDescent="0.25">
      <c r="B161">
        <v>2024</v>
      </c>
      <c r="C161" s="85">
        <v>0.01</v>
      </c>
      <c r="D161">
        <f t="shared" si="93"/>
        <v>180</v>
      </c>
      <c r="E161">
        <v>180</v>
      </c>
      <c r="F161" s="73">
        <f t="shared" si="92"/>
        <v>54000</v>
      </c>
      <c r="G161" s="73">
        <v>54000</v>
      </c>
    </row>
    <row r="162" spans="2:9" x14ac:dyDescent="0.25">
      <c r="B162">
        <v>2025</v>
      </c>
      <c r="C162" s="85">
        <v>0.01</v>
      </c>
      <c r="D162">
        <f t="shared" si="93"/>
        <v>180</v>
      </c>
      <c r="E162">
        <v>180</v>
      </c>
      <c r="F162" s="73">
        <f t="shared" si="92"/>
        <v>54000</v>
      </c>
      <c r="G162" s="73">
        <v>54000</v>
      </c>
    </row>
    <row r="163" spans="2:9" x14ac:dyDescent="0.25">
      <c r="D163">
        <f>SUM(D156:D162)</f>
        <v>5276.25</v>
      </c>
      <c r="E163">
        <f>SUM(E156:E162)</f>
        <v>5277</v>
      </c>
      <c r="F163" s="73">
        <f>SUM(F156:F162)</f>
        <v>1582875</v>
      </c>
      <c r="G163" s="73">
        <f>SUM(G156:G162)</f>
        <v>1584000</v>
      </c>
    </row>
    <row r="164" spans="2:9" x14ac:dyDescent="0.25">
      <c r="D164" t="s">
        <v>191</v>
      </c>
    </row>
    <row r="166" spans="2:9" x14ac:dyDescent="0.25">
      <c r="B166" s="8" t="s">
        <v>74</v>
      </c>
    </row>
    <row r="167" spans="2:9" x14ac:dyDescent="0.25">
      <c r="B167" s="87" t="s">
        <v>77</v>
      </c>
      <c r="G167" s="87" t="s">
        <v>78</v>
      </c>
    </row>
    <row r="168" spans="2:9" x14ac:dyDescent="0.25">
      <c r="B168" t="s">
        <v>189</v>
      </c>
      <c r="G168" t="s">
        <v>84</v>
      </c>
    </row>
    <row r="169" spans="2:9" x14ac:dyDescent="0.25">
      <c r="B169" t="s">
        <v>75</v>
      </c>
      <c r="G169" t="s">
        <v>85</v>
      </c>
    </row>
    <row r="170" spans="2:9" x14ac:dyDescent="0.25">
      <c r="B170" t="s">
        <v>187</v>
      </c>
      <c r="C170">
        <v>2516</v>
      </c>
      <c r="G170" t="s">
        <v>86</v>
      </c>
      <c r="I170">
        <v>316</v>
      </c>
    </row>
    <row r="171" spans="2:9" x14ac:dyDescent="0.25">
      <c r="B171" t="s">
        <v>188</v>
      </c>
      <c r="C171" s="73">
        <v>237000</v>
      </c>
      <c r="D171" s="86"/>
    </row>
    <row r="172" spans="2:9" x14ac:dyDescent="0.25">
      <c r="B172" t="s">
        <v>76</v>
      </c>
      <c r="C172">
        <f>C171/20</f>
        <v>11850</v>
      </c>
      <c r="G172" s="87" t="s">
        <v>87</v>
      </c>
    </row>
    <row r="173" spans="2:9" x14ac:dyDescent="0.25">
      <c r="G173" t="s">
        <v>53</v>
      </c>
      <c r="H173">
        <v>175</v>
      </c>
    </row>
    <row r="174" spans="2:9" x14ac:dyDescent="0.25">
      <c r="B174" s="87" t="s">
        <v>79</v>
      </c>
      <c r="G174" t="s">
        <v>80</v>
      </c>
      <c r="H174">
        <v>6</v>
      </c>
      <c r="I174" t="s">
        <v>88</v>
      </c>
    </row>
    <row r="175" spans="2:9" x14ac:dyDescent="0.25">
      <c r="B175" t="s">
        <v>53</v>
      </c>
      <c r="C175">
        <v>0</v>
      </c>
      <c r="G175" t="s">
        <v>81</v>
      </c>
      <c r="H175">
        <v>67</v>
      </c>
      <c r="I175" t="s">
        <v>82</v>
      </c>
    </row>
    <row r="176" spans="2:9" x14ac:dyDescent="0.25">
      <c r="B176" t="s">
        <v>80</v>
      </c>
      <c r="C176">
        <v>1</v>
      </c>
      <c r="D176" t="s">
        <v>83</v>
      </c>
      <c r="G176" t="s">
        <v>11</v>
      </c>
      <c r="H176">
        <f>H173+H174*H175</f>
        <v>577</v>
      </c>
    </row>
    <row r="177" spans="2:8" ht="15.75" thickBot="1" x14ac:dyDescent="0.3">
      <c r="B177" t="s">
        <v>81</v>
      </c>
      <c r="C177">
        <v>67</v>
      </c>
      <c r="D177" t="s">
        <v>82</v>
      </c>
    </row>
    <row r="178" spans="2:8" ht="15.75" thickTop="1" x14ac:dyDescent="0.25">
      <c r="B178" t="s">
        <v>11</v>
      </c>
      <c r="C178">
        <v>67</v>
      </c>
      <c r="G178" s="92" t="s">
        <v>12</v>
      </c>
      <c r="H178" s="93" t="s">
        <v>53</v>
      </c>
    </row>
    <row r="179" spans="2:8" ht="15.75" thickBot="1" x14ac:dyDescent="0.3">
      <c r="G179" s="13">
        <v>2019</v>
      </c>
      <c r="H179" s="35">
        <f>H176*I170</f>
        <v>182332</v>
      </c>
    </row>
    <row r="180" spans="2:8" ht="15.75" thickTop="1" x14ac:dyDescent="0.25">
      <c r="B180" s="88" t="s">
        <v>12</v>
      </c>
      <c r="C180" s="89" t="s">
        <v>53</v>
      </c>
      <c r="G180" s="13">
        <v>2020</v>
      </c>
      <c r="H180" s="35">
        <v>0</v>
      </c>
    </row>
    <row r="181" spans="2:8" x14ac:dyDescent="0.25">
      <c r="B181" s="38">
        <v>2019</v>
      </c>
      <c r="C181" s="35">
        <f>C178*C172</f>
        <v>793950</v>
      </c>
      <c r="G181" s="13">
        <v>2021</v>
      </c>
      <c r="H181" s="35">
        <v>0</v>
      </c>
    </row>
    <row r="182" spans="2:8" x14ac:dyDescent="0.25">
      <c r="B182" s="38">
        <v>2020</v>
      </c>
      <c r="C182" s="35">
        <v>0</v>
      </c>
      <c r="G182" s="13">
        <v>2022</v>
      </c>
      <c r="H182" s="35">
        <v>0</v>
      </c>
    </row>
    <row r="183" spans="2:8" x14ac:dyDescent="0.25">
      <c r="B183" s="38">
        <v>2021</v>
      </c>
      <c r="C183" s="35">
        <v>0</v>
      </c>
      <c r="G183" s="13">
        <v>2023</v>
      </c>
      <c r="H183" s="35">
        <f>H176*I170</f>
        <v>182332</v>
      </c>
    </row>
    <row r="184" spans="2:8" x14ac:dyDescent="0.25">
      <c r="B184" s="38">
        <v>2022</v>
      </c>
      <c r="C184" s="35">
        <v>0</v>
      </c>
      <c r="G184" s="13">
        <v>2024</v>
      </c>
      <c r="H184" s="35">
        <v>0</v>
      </c>
    </row>
    <row r="185" spans="2:8" ht="15.75" thickBot="1" x14ac:dyDescent="0.3">
      <c r="B185" s="38">
        <v>2023</v>
      </c>
      <c r="C185" s="35">
        <v>0</v>
      </c>
      <c r="G185" s="94">
        <v>2025</v>
      </c>
      <c r="H185" s="91">
        <v>0</v>
      </c>
    </row>
    <row r="186" spans="2:8" ht="15.75" thickTop="1" x14ac:dyDescent="0.25">
      <c r="B186" s="38">
        <v>2024</v>
      </c>
      <c r="C186" s="35">
        <v>0</v>
      </c>
      <c r="G186" s="142"/>
      <c r="H186" s="17"/>
    </row>
    <row r="187" spans="2:8" ht="15.75" thickBot="1" x14ac:dyDescent="0.3">
      <c r="B187" s="90">
        <v>2025</v>
      </c>
      <c r="C187" s="91">
        <v>0</v>
      </c>
    </row>
    <row r="188" spans="2:8" ht="15.75" thickTop="1" x14ac:dyDescent="0.25"/>
    <row r="189" spans="2:8" ht="15.75" thickBot="1" x14ac:dyDescent="0.3">
      <c r="E189" s="87" t="s">
        <v>89</v>
      </c>
    </row>
    <row r="190" spans="2:8" ht="15.75" thickTop="1" x14ac:dyDescent="0.25">
      <c r="E190" s="92" t="s">
        <v>12</v>
      </c>
      <c r="F190" s="93" t="s">
        <v>53</v>
      </c>
      <c r="G190" s="101" t="s">
        <v>73</v>
      </c>
    </row>
    <row r="191" spans="2:8" x14ac:dyDescent="0.25">
      <c r="E191" s="13">
        <v>2019</v>
      </c>
      <c r="F191" s="35">
        <f t="shared" ref="F191:F197" si="95">C181+H179</f>
        <v>976282</v>
      </c>
      <c r="G191" s="99">
        <v>976000</v>
      </c>
    </row>
    <row r="192" spans="2:8" x14ac:dyDescent="0.25">
      <c r="E192" s="13">
        <v>2020</v>
      </c>
      <c r="F192" s="35">
        <f t="shared" si="95"/>
        <v>0</v>
      </c>
      <c r="G192" s="102">
        <v>0</v>
      </c>
    </row>
    <row r="193" spans="2:7" x14ac:dyDescent="0.25">
      <c r="E193" s="13">
        <v>2021</v>
      </c>
      <c r="F193" s="35">
        <f t="shared" si="95"/>
        <v>0</v>
      </c>
      <c r="G193" s="102">
        <v>0</v>
      </c>
    </row>
    <row r="194" spans="2:7" x14ac:dyDescent="0.25">
      <c r="E194" s="13">
        <v>2022</v>
      </c>
      <c r="F194" s="35">
        <f t="shared" si="95"/>
        <v>0</v>
      </c>
      <c r="G194" s="102">
        <v>0</v>
      </c>
    </row>
    <row r="195" spans="2:7" x14ac:dyDescent="0.25">
      <c r="E195" s="13">
        <v>2023</v>
      </c>
      <c r="F195" s="35">
        <f t="shared" si="95"/>
        <v>182332</v>
      </c>
      <c r="G195" s="99">
        <v>182000</v>
      </c>
    </row>
    <row r="196" spans="2:7" x14ac:dyDescent="0.25">
      <c r="E196" s="13">
        <v>2024</v>
      </c>
      <c r="F196" s="35">
        <f t="shared" si="95"/>
        <v>0</v>
      </c>
      <c r="G196" s="102">
        <v>0</v>
      </c>
    </row>
    <row r="197" spans="2:7" x14ac:dyDescent="0.25">
      <c r="E197" s="13">
        <v>2025</v>
      </c>
      <c r="F197" s="35">
        <f t="shared" si="95"/>
        <v>0</v>
      </c>
      <c r="G197" s="102">
        <v>0</v>
      </c>
    </row>
    <row r="198" spans="2:7" ht="15.75" thickBot="1" x14ac:dyDescent="0.3">
      <c r="E198" s="94" t="s">
        <v>11</v>
      </c>
      <c r="F198" s="91">
        <f>SUM(F191:F197)</f>
        <v>1158614</v>
      </c>
      <c r="G198" s="103">
        <f>SUM(G191:G197)</f>
        <v>1158000</v>
      </c>
    </row>
    <row r="199" spans="2:7" ht="15.75" thickTop="1" x14ac:dyDescent="0.25">
      <c r="E199" s="142"/>
      <c r="F199" s="17"/>
      <c r="G199" s="48"/>
    </row>
    <row r="200" spans="2:7" x14ac:dyDescent="0.25">
      <c r="E200" s="142"/>
      <c r="F200" s="17"/>
      <c r="G200" s="48"/>
    </row>
    <row r="201" spans="2:7" x14ac:dyDescent="0.25">
      <c r="E201" s="142"/>
      <c r="F201" s="17"/>
      <c r="G201" s="48"/>
    </row>
    <row r="202" spans="2:7" x14ac:dyDescent="0.25">
      <c r="B202" s="8" t="s">
        <v>149</v>
      </c>
    </row>
    <row r="204" spans="2:7" x14ac:dyDescent="0.25">
      <c r="B204" t="s">
        <v>150</v>
      </c>
      <c r="C204">
        <v>50</v>
      </c>
    </row>
    <row r="206" spans="2:7" x14ac:dyDescent="0.25">
      <c r="B206" t="s">
        <v>151</v>
      </c>
    </row>
    <row r="207" spans="2:7" x14ac:dyDescent="0.25">
      <c r="B207" t="s">
        <v>152</v>
      </c>
      <c r="C207">
        <v>8</v>
      </c>
      <c r="D207" t="s">
        <v>88</v>
      </c>
    </row>
    <row r="208" spans="2:7" x14ac:dyDescent="0.25">
      <c r="B208" t="s">
        <v>153</v>
      </c>
      <c r="C208">
        <v>4</v>
      </c>
      <c r="D208" t="s">
        <v>88</v>
      </c>
    </row>
    <row r="209" spans="2:10" x14ac:dyDescent="0.25">
      <c r="B209" t="s">
        <v>210</v>
      </c>
      <c r="C209">
        <v>2</v>
      </c>
      <c r="D209" t="s">
        <v>88</v>
      </c>
    </row>
    <row r="211" spans="2:10" x14ac:dyDescent="0.25">
      <c r="B211" t="s">
        <v>154</v>
      </c>
    </row>
    <row r="212" spans="2:10" x14ac:dyDescent="0.25">
      <c r="B212" t="str">
        <f>B207</f>
        <v>50+ vehicle fleet</v>
      </c>
      <c r="C212">
        <v>4</v>
      </c>
      <c r="D212" t="str">
        <f>D207</f>
        <v>hours</v>
      </c>
    </row>
    <row r="213" spans="2:10" x14ac:dyDescent="0.25">
      <c r="B213" t="str">
        <f t="shared" ref="B213:B214" si="96">B208</f>
        <v>20-49 vehicle fleet</v>
      </c>
      <c r="C213">
        <v>2</v>
      </c>
      <c r="D213" t="str">
        <f t="shared" ref="D213:D214" si="97">D208</f>
        <v>hours</v>
      </c>
    </row>
    <row r="214" spans="2:10" x14ac:dyDescent="0.25">
      <c r="B214" t="str">
        <f t="shared" si="96"/>
        <v>&lt;20 vehicle fleet</v>
      </c>
      <c r="C214">
        <v>1</v>
      </c>
      <c r="D214" t="str">
        <f t="shared" si="97"/>
        <v>hours</v>
      </c>
    </row>
    <row r="216" spans="2:10" ht="15.75" thickBot="1" x14ac:dyDescent="0.3">
      <c r="D216" s="41" t="s">
        <v>155</v>
      </c>
    </row>
    <row r="217" spans="2:10" ht="15.75" thickTop="1" x14ac:dyDescent="0.25">
      <c r="B217" s="146"/>
      <c r="C217" s="147">
        <v>2018</v>
      </c>
      <c r="D217" s="147">
        <v>2019</v>
      </c>
      <c r="E217" s="147">
        <v>2020</v>
      </c>
      <c r="F217" s="147">
        <v>2021</v>
      </c>
      <c r="G217" s="147">
        <v>2022</v>
      </c>
      <c r="H217" s="147">
        <v>2023</v>
      </c>
      <c r="I217" s="147">
        <v>2024</v>
      </c>
      <c r="J217" s="148">
        <v>2025</v>
      </c>
    </row>
    <row r="218" spans="2:10" x14ac:dyDescent="0.25">
      <c r="B218" s="13" t="s">
        <v>156</v>
      </c>
      <c r="C218" s="149">
        <v>0</v>
      </c>
      <c r="D218" s="149">
        <v>0</v>
      </c>
      <c r="E218" s="149">
        <v>0</v>
      </c>
      <c r="F218" s="149">
        <v>0</v>
      </c>
      <c r="G218" s="149">
        <v>0</v>
      </c>
      <c r="H218" s="149">
        <f>C204*C207</f>
        <v>400</v>
      </c>
      <c r="I218" s="149">
        <f>C204*C212</f>
        <v>200</v>
      </c>
      <c r="J218" s="150">
        <f>C204*C212</f>
        <v>200</v>
      </c>
    </row>
    <row r="219" spans="2:10" x14ac:dyDescent="0.25">
      <c r="B219" s="13" t="s">
        <v>157</v>
      </c>
      <c r="C219" s="151">
        <v>0</v>
      </c>
      <c r="D219" s="151">
        <v>0</v>
      </c>
      <c r="E219" s="152">
        <v>0</v>
      </c>
      <c r="F219" s="152">
        <v>0</v>
      </c>
      <c r="G219" s="152">
        <v>0</v>
      </c>
      <c r="H219" s="152">
        <f>C204*C208</f>
        <v>200</v>
      </c>
      <c r="I219" s="152">
        <f>C204*C213</f>
        <v>100</v>
      </c>
      <c r="J219" s="150">
        <f>C204*C213</f>
        <v>100</v>
      </c>
    </row>
    <row r="220" spans="2:10" ht="15.75" thickBot="1" x14ac:dyDescent="0.3">
      <c r="B220" s="94" t="s">
        <v>192</v>
      </c>
      <c r="C220" s="153">
        <v>0</v>
      </c>
      <c r="D220" s="153">
        <v>0</v>
      </c>
      <c r="E220" s="153">
        <v>0</v>
      </c>
      <c r="F220" s="153">
        <v>0</v>
      </c>
      <c r="G220" s="153">
        <v>0</v>
      </c>
      <c r="H220" s="153">
        <f>C204*C209</f>
        <v>100</v>
      </c>
      <c r="I220" s="153">
        <f>C204*C214</f>
        <v>50</v>
      </c>
      <c r="J220" s="154">
        <f>C204*C214</f>
        <v>50</v>
      </c>
    </row>
    <row r="221" spans="2:10" ht="16.5" thickTop="1" thickBot="1" x14ac:dyDescent="0.3">
      <c r="B221" s="142"/>
      <c r="C221" s="155"/>
      <c r="D221" s="155"/>
      <c r="E221" s="155"/>
      <c r="F221" s="155"/>
      <c r="G221" s="155"/>
      <c r="H221" s="155"/>
      <c r="I221" s="155"/>
      <c r="J221" s="155"/>
    </row>
    <row r="222" spans="2:10" ht="16.5" thickTop="1" thickBot="1" x14ac:dyDescent="0.3">
      <c r="B222" s="55" t="s">
        <v>158</v>
      </c>
      <c r="C222" s="56" t="s">
        <v>177</v>
      </c>
      <c r="D222" s="57" t="s">
        <v>178</v>
      </c>
      <c r="E222" s="155"/>
      <c r="F222" s="155"/>
      <c r="G222" s="155"/>
      <c r="H222" s="155"/>
      <c r="I222" s="155"/>
      <c r="J222" s="155"/>
    </row>
    <row r="223" spans="2:10" x14ac:dyDescent="0.25">
      <c r="B223" s="44" t="s">
        <v>156</v>
      </c>
      <c r="C223" s="48">
        <v>764</v>
      </c>
      <c r="D223" s="45">
        <v>0.37</v>
      </c>
      <c r="E223" s="155"/>
      <c r="F223" s="155"/>
      <c r="G223" s="155"/>
      <c r="H223" s="155"/>
      <c r="I223" s="155"/>
      <c r="J223" s="155"/>
    </row>
    <row r="224" spans="2:10" x14ac:dyDescent="0.25">
      <c r="B224" s="44" t="s">
        <v>157</v>
      </c>
      <c r="C224" s="48">
        <v>1752</v>
      </c>
      <c r="D224" s="45">
        <v>0.13</v>
      </c>
      <c r="E224" s="155"/>
      <c r="F224" s="155"/>
      <c r="G224" s="155"/>
      <c r="H224" s="155"/>
      <c r="I224" s="155"/>
      <c r="J224" s="155"/>
    </row>
    <row r="225" spans="2:11" ht="15.75" thickBot="1" x14ac:dyDescent="0.3">
      <c r="B225" s="46" t="s">
        <v>192</v>
      </c>
      <c r="C225" s="74">
        <v>47078</v>
      </c>
      <c r="D225" s="47">
        <v>0.5</v>
      </c>
    </row>
    <row r="226" spans="2:11" ht="15.75" thickTop="1" x14ac:dyDescent="0.25"/>
    <row r="227" spans="2:11" ht="15.75" thickBot="1" x14ac:dyDescent="0.3">
      <c r="D227" s="41" t="s">
        <v>159</v>
      </c>
    </row>
    <row r="228" spans="2:11" ht="15.75" thickTop="1" x14ac:dyDescent="0.25">
      <c r="B228" s="146"/>
      <c r="C228" s="156">
        <v>2018</v>
      </c>
      <c r="D228" s="156">
        <v>2019</v>
      </c>
      <c r="E228" s="156">
        <v>2020</v>
      </c>
      <c r="F228" s="156">
        <v>2021</v>
      </c>
      <c r="G228" s="156">
        <v>2022</v>
      </c>
      <c r="H228" s="156">
        <v>2023</v>
      </c>
      <c r="I228" s="156">
        <v>2024</v>
      </c>
      <c r="J228" s="147">
        <v>2025</v>
      </c>
      <c r="K228" s="157" t="s">
        <v>11</v>
      </c>
    </row>
    <row r="229" spans="2:11" x14ac:dyDescent="0.25">
      <c r="B229" s="13" t="s">
        <v>156</v>
      </c>
      <c r="C229" s="158">
        <f>$C$33*C214</f>
        <v>0</v>
      </c>
      <c r="D229" s="158">
        <v>0</v>
      </c>
      <c r="E229" s="158">
        <f t="shared" ref="E229:G229" si="98">$C$33*E214</f>
        <v>0</v>
      </c>
      <c r="F229" s="158">
        <f t="shared" si="98"/>
        <v>0</v>
      </c>
      <c r="G229" s="158">
        <f t="shared" si="98"/>
        <v>0</v>
      </c>
      <c r="H229" s="158">
        <f>H218*C223</f>
        <v>305600</v>
      </c>
      <c r="I229" s="158">
        <f>I218*C223</f>
        <v>152800</v>
      </c>
      <c r="J229" s="161">
        <f>J218*C223</f>
        <v>152800</v>
      </c>
      <c r="K229" s="159">
        <f>SUM(C229:J229)</f>
        <v>611200</v>
      </c>
    </row>
    <row r="230" spans="2:11" x14ac:dyDescent="0.25">
      <c r="B230" s="13" t="s">
        <v>157</v>
      </c>
      <c r="C230" s="64">
        <f>$C$34*C215</f>
        <v>0</v>
      </c>
      <c r="D230" s="64">
        <f t="shared" ref="D230:G230" si="99">$C$34*D215</f>
        <v>0</v>
      </c>
      <c r="E230" s="64">
        <f t="shared" si="99"/>
        <v>0</v>
      </c>
      <c r="F230" s="64">
        <f t="shared" si="99"/>
        <v>0</v>
      </c>
      <c r="G230" s="64">
        <f t="shared" si="99"/>
        <v>0</v>
      </c>
      <c r="H230" s="64">
        <f>H219*C224</f>
        <v>350400</v>
      </c>
      <c r="I230" s="64">
        <f>I219*C224</f>
        <v>175200</v>
      </c>
      <c r="J230" s="162">
        <f>J219*C224</f>
        <v>175200</v>
      </c>
      <c r="K230" s="159">
        <f t="shared" ref="K230:K231" si="100">SUM(C230:J230)</f>
        <v>700800</v>
      </c>
    </row>
    <row r="231" spans="2:11" ht="15.75" thickBot="1" x14ac:dyDescent="0.3">
      <c r="B231" s="94" t="s">
        <v>160</v>
      </c>
      <c r="C231" s="71">
        <f>$C$35*C216</f>
        <v>0</v>
      </c>
      <c r="D231" s="71">
        <v>0</v>
      </c>
      <c r="E231" s="71">
        <f t="shared" ref="E231:G231" si="101">$C$35*E216</f>
        <v>0</v>
      </c>
      <c r="F231" s="71">
        <f t="shared" si="101"/>
        <v>0</v>
      </c>
      <c r="G231" s="71">
        <f t="shared" si="101"/>
        <v>0</v>
      </c>
      <c r="H231" s="71">
        <f>H220*C225</f>
        <v>4707800</v>
      </c>
      <c r="I231" s="71">
        <f>I220*C225</f>
        <v>2353900</v>
      </c>
      <c r="J231" s="163">
        <f>J220*C225</f>
        <v>2353900</v>
      </c>
      <c r="K231" s="160">
        <f t="shared" si="100"/>
        <v>9415600</v>
      </c>
    </row>
    <row r="232" spans="2:11" ht="15.75" thickTop="1" x14ac:dyDescent="0.25">
      <c r="B232" s="83" t="s">
        <v>11</v>
      </c>
      <c r="C232" s="73">
        <f>SUM(C229:C231)</f>
        <v>0</v>
      </c>
      <c r="D232" s="73">
        <f t="shared" ref="D232:K232" si="102">SUM(D229:D231)</f>
        <v>0</v>
      </c>
      <c r="E232" s="73">
        <f t="shared" si="102"/>
        <v>0</v>
      </c>
      <c r="F232" s="73">
        <f t="shared" si="102"/>
        <v>0</v>
      </c>
      <c r="G232" s="73">
        <f t="shared" si="102"/>
        <v>0</v>
      </c>
      <c r="H232" s="73">
        <f t="shared" si="102"/>
        <v>5363800</v>
      </c>
      <c r="I232" s="73">
        <f t="shared" si="102"/>
        <v>2681900</v>
      </c>
      <c r="J232" s="73">
        <f t="shared" si="102"/>
        <v>2681900</v>
      </c>
      <c r="K232" s="73">
        <f t="shared" si="102"/>
        <v>10727600</v>
      </c>
    </row>
    <row r="233" spans="2:11" x14ac:dyDescent="0.25">
      <c r="E233" s="87" t="s">
        <v>161</v>
      </c>
    </row>
    <row r="234" spans="2:11" x14ac:dyDescent="0.25">
      <c r="E234" s="95">
        <f>SUM(K229:K231)</f>
        <v>10727600</v>
      </c>
    </row>
    <row r="235" spans="2:11" x14ac:dyDescent="0.25">
      <c r="E235" s="95"/>
    </row>
    <row r="236" spans="2:11" ht="15.75" thickBot="1" x14ac:dyDescent="0.3">
      <c r="B236" t="s">
        <v>163</v>
      </c>
      <c r="E236" s="95"/>
    </row>
    <row r="237" spans="2:11" ht="15.75" thickTop="1" x14ac:dyDescent="0.25">
      <c r="B237" s="42"/>
      <c r="C237" s="50" t="s">
        <v>190</v>
      </c>
      <c r="D237" s="53" t="s">
        <v>164</v>
      </c>
      <c r="E237" s="53" t="s">
        <v>165</v>
      </c>
      <c r="F237" s="54" t="s">
        <v>11</v>
      </c>
      <c r="G237" s="95"/>
    </row>
    <row r="238" spans="2:11" x14ac:dyDescent="0.25">
      <c r="B238" s="13" t="s">
        <v>156</v>
      </c>
      <c r="C238" s="142">
        <v>306000</v>
      </c>
      <c r="D238" s="166">
        <v>153000</v>
      </c>
      <c r="E238" s="166">
        <v>153000</v>
      </c>
      <c r="F238" s="144">
        <f>SUM(C238:E238)</f>
        <v>612000</v>
      </c>
      <c r="G238" s="95"/>
    </row>
    <row r="239" spans="2:11" x14ac:dyDescent="0.25">
      <c r="B239" s="13" t="s">
        <v>157</v>
      </c>
      <c r="C239" s="142">
        <v>350000</v>
      </c>
      <c r="D239" s="166">
        <v>175000</v>
      </c>
      <c r="E239" s="166">
        <v>175000</v>
      </c>
      <c r="F239" s="144">
        <f>SUM(C239:E239)</f>
        <v>700000</v>
      </c>
      <c r="G239" s="95"/>
    </row>
    <row r="240" spans="2:11" ht="15.75" thickBot="1" x14ac:dyDescent="0.3">
      <c r="B240" s="94" t="s">
        <v>160</v>
      </c>
      <c r="C240" s="188">
        <v>4708000</v>
      </c>
      <c r="D240" s="167">
        <v>2354000</v>
      </c>
      <c r="E240" s="167">
        <v>2354000</v>
      </c>
      <c r="F240" s="145">
        <f>SUM(C240:E240)</f>
        <v>9416000</v>
      </c>
    </row>
    <row r="241" spans="2:6" ht="16.5" thickTop="1" thickBot="1" x14ac:dyDescent="0.3">
      <c r="B241" s="165" t="s">
        <v>166</v>
      </c>
      <c r="C241" s="189">
        <f>SUM(C238:C240)</f>
        <v>5364000</v>
      </c>
      <c r="D241" s="168">
        <f>SUM(D238:D240)</f>
        <v>2682000</v>
      </c>
      <c r="E241" s="168">
        <f t="shared" ref="E241:F241" si="103">SUM(E238:E240)</f>
        <v>2682000</v>
      </c>
      <c r="F241" s="169">
        <f t="shared" si="103"/>
        <v>10728000</v>
      </c>
    </row>
    <row r="242" spans="2:6" ht="15.75" thickTop="1" x14ac:dyDescent="0.25">
      <c r="B242" s="83"/>
      <c r="C242" s="166"/>
      <c r="D242" s="166"/>
      <c r="E242" s="166"/>
    </row>
    <row r="243" spans="2:6" x14ac:dyDescent="0.25">
      <c r="B243" s="172" t="s">
        <v>172</v>
      </c>
      <c r="C243" s="166"/>
      <c r="D243" s="166"/>
      <c r="E243" s="166"/>
    </row>
    <row r="244" spans="2:6" x14ac:dyDescent="0.25">
      <c r="B244" s="83"/>
      <c r="C244" s="166"/>
      <c r="D244" s="166"/>
      <c r="E244" s="166"/>
    </row>
    <row r="245" spans="2:6" x14ac:dyDescent="0.25">
      <c r="B245" s="83" t="s">
        <v>173</v>
      </c>
      <c r="C245" s="166">
        <v>5000</v>
      </c>
      <c r="D245" s="166"/>
      <c r="E245" s="166"/>
    </row>
    <row r="246" spans="2:6" x14ac:dyDescent="0.25">
      <c r="B246" s="83" t="s">
        <v>174</v>
      </c>
      <c r="C246" s="166">
        <v>65</v>
      </c>
      <c r="D246" s="166"/>
      <c r="E246" s="166"/>
    </row>
    <row r="247" spans="2:6" x14ac:dyDescent="0.25">
      <c r="B247" s="83"/>
      <c r="C247" s="166"/>
      <c r="D247" s="166"/>
      <c r="E247" s="166"/>
    </row>
    <row r="248" spans="2:6" x14ac:dyDescent="0.25">
      <c r="B248" s="173" t="s">
        <v>12</v>
      </c>
      <c r="C248" s="174" t="s">
        <v>175</v>
      </c>
      <c r="D248" s="174" t="s">
        <v>176</v>
      </c>
      <c r="E248" s="166" t="s">
        <v>11</v>
      </c>
      <c r="F248" t="s">
        <v>179</v>
      </c>
    </row>
    <row r="249" spans="2:6" x14ac:dyDescent="0.25">
      <c r="B249" s="83">
        <v>2019</v>
      </c>
      <c r="C249" s="166">
        <v>0</v>
      </c>
      <c r="D249" s="166">
        <v>0</v>
      </c>
      <c r="E249" s="166">
        <f t="shared" ref="E249:E255" si="104">SUM(C249:D249)</f>
        <v>0</v>
      </c>
      <c r="F249" s="176">
        <v>0</v>
      </c>
    </row>
    <row r="250" spans="2:6" x14ac:dyDescent="0.25">
      <c r="B250" s="83">
        <v>2020</v>
      </c>
      <c r="C250" s="166">
        <v>0</v>
      </c>
      <c r="D250" s="166">
        <v>0</v>
      </c>
      <c r="E250" s="166">
        <f t="shared" si="104"/>
        <v>0</v>
      </c>
      <c r="F250" s="176">
        <v>0</v>
      </c>
    </row>
    <row r="251" spans="2:6" x14ac:dyDescent="0.25">
      <c r="B251" s="83">
        <v>2021</v>
      </c>
      <c r="C251" s="166">
        <v>0</v>
      </c>
      <c r="D251" s="166">
        <v>0</v>
      </c>
      <c r="E251" s="166">
        <f t="shared" si="104"/>
        <v>0</v>
      </c>
      <c r="F251" s="176">
        <v>0</v>
      </c>
    </row>
    <row r="252" spans="2:6" x14ac:dyDescent="0.25">
      <c r="B252" s="83">
        <v>2022</v>
      </c>
      <c r="C252" s="166">
        <f>C246*G11*G49*(C50-C49)*D225</f>
        <v>3316187.8688368029</v>
      </c>
      <c r="D252" s="166">
        <f>C245*(C223+C224)*(C50-C49)</f>
        <v>2515999.9999999995</v>
      </c>
      <c r="E252" s="166">
        <f t="shared" si="104"/>
        <v>5832187.8688368024</v>
      </c>
      <c r="F252" s="176">
        <v>5832000</v>
      </c>
    </row>
    <row r="253" spans="2:6" x14ac:dyDescent="0.25">
      <c r="B253" s="83">
        <v>2023</v>
      </c>
      <c r="C253" s="166">
        <f>C246*H11*G49*(C50-C49)*D225</f>
        <v>3331835.3153295843</v>
      </c>
      <c r="D253" s="166">
        <v>0</v>
      </c>
      <c r="E253" s="166">
        <f t="shared" si="104"/>
        <v>3331835.3153295843</v>
      </c>
      <c r="F253" s="176">
        <v>3332000</v>
      </c>
    </row>
    <row r="254" spans="2:6" x14ac:dyDescent="0.25">
      <c r="B254" s="83">
        <v>2024</v>
      </c>
      <c r="C254" s="166">
        <f>C246*I11*G49*(C50-C49)*D225</f>
        <v>3457114.695269756</v>
      </c>
      <c r="D254" s="176">
        <v>0</v>
      </c>
      <c r="E254" s="166">
        <f t="shared" si="104"/>
        <v>3457114.695269756</v>
      </c>
      <c r="F254" s="176">
        <v>3457000</v>
      </c>
    </row>
    <row r="255" spans="2:6" x14ac:dyDescent="0.25">
      <c r="B255" s="83">
        <v>2025</v>
      </c>
      <c r="C255" s="166">
        <f>C246*J11*G49*(C50-C49)*D225</f>
        <v>3567228.6443462102</v>
      </c>
      <c r="D255" s="166">
        <v>0</v>
      </c>
      <c r="E255" s="166">
        <f t="shared" si="104"/>
        <v>3567228.6443462102</v>
      </c>
      <c r="F255" s="176">
        <v>3567000</v>
      </c>
    </row>
    <row r="256" spans="2:6" x14ac:dyDescent="0.25">
      <c r="B256" s="83"/>
      <c r="C256" s="166"/>
      <c r="D256" s="166"/>
      <c r="E256" s="166"/>
    </row>
    <row r="257" spans="2:30" x14ac:dyDescent="0.25">
      <c r="F257" s="73"/>
    </row>
    <row r="258" spans="2:30" x14ac:dyDescent="0.25">
      <c r="B258" s="8" t="s">
        <v>90</v>
      </c>
    </row>
    <row r="260" spans="2:30" x14ac:dyDescent="0.25">
      <c r="B260" s="87" t="s">
        <v>91</v>
      </c>
    </row>
    <row r="261" spans="2:30" x14ac:dyDescent="0.25">
      <c r="B261" t="s">
        <v>14</v>
      </c>
      <c r="C261" s="84">
        <v>0</v>
      </c>
    </row>
    <row r="262" spans="2:30" x14ac:dyDescent="0.25">
      <c r="B262" t="s">
        <v>39</v>
      </c>
      <c r="C262" s="85">
        <v>6.0000000000000001E-3</v>
      </c>
    </row>
    <row r="263" spans="2:30" x14ac:dyDescent="0.25">
      <c r="B263" t="s">
        <v>40</v>
      </c>
      <c r="C263" s="84">
        <v>0</v>
      </c>
    </row>
    <row r="264" spans="2:30" x14ac:dyDescent="0.25">
      <c r="B264" t="s">
        <v>93</v>
      </c>
      <c r="C264" s="85">
        <v>8.9999999999999993E-3</v>
      </c>
    </row>
    <row r="265" spans="2:30" x14ac:dyDescent="0.25">
      <c r="B265" t="s">
        <v>105</v>
      </c>
      <c r="C265" s="85">
        <v>2.1999999999999999E-2</v>
      </c>
    </row>
    <row r="266" spans="2:30" x14ac:dyDescent="0.25">
      <c r="B266" t="s">
        <v>95</v>
      </c>
      <c r="C266" s="85"/>
    </row>
    <row r="268" spans="2:30" x14ac:dyDescent="0.25">
      <c r="B268" s="87" t="s">
        <v>92</v>
      </c>
    </row>
    <row r="269" spans="2:30" x14ac:dyDescent="0.25">
      <c r="B269" s="95">
        <v>659</v>
      </c>
    </row>
    <row r="271" spans="2:30" x14ac:dyDescent="0.25">
      <c r="B271" s="87" t="s">
        <v>32</v>
      </c>
      <c r="C271" t="s">
        <v>96</v>
      </c>
      <c r="L271" s="87" t="s">
        <v>97</v>
      </c>
      <c r="M271" t="s">
        <v>96</v>
      </c>
      <c r="V271" s="87" t="s">
        <v>98</v>
      </c>
      <c r="W271" t="s">
        <v>96</v>
      </c>
    </row>
    <row r="272" spans="2:30" x14ac:dyDescent="0.25">
      <c r="C272">
        <v>2018</v>
      </c>
      <c r="D272">
        <v>2019</v>
      </c>
      <c r="E272">
        <v>2020</v>
      </c>
      <c r="F272">
        <v>2021</v>
      </c>
      <c r="G272">
        <v>2022</v>
      </c>
      <c r="H272">
        <v>2023</v>
      </c>
      <c r="I272">
        <v>2024</v>
      </c>
      <c r="J272">
        <v>2025</v>
      </c>
      <c r="M272">
        <v>2018</v>
      </c>
      <c r="N272">
        <v>2019</v>
      </c>
      <c r="O272">
        <v>2020</v>
      </c>
      <c r="P272">
        <v>2021</v>
      </c>
      <c r="Q272">
        <v>2022</v>
      </c>
      <c r="R272">
        <v>2023</v>
      </c>
      <c r="S272">
        <v>2024</v>
      </c>
      <c r="T272">
        <v>2025</v>
      </c>
      <c r="W272">
        <v>2018</v>
      </c>
      <c r="X272">
        <v>2019</v>
      </c>
      <c r="Y272">
        <v>2020</v>
      </c>
      <c r="Z272">
        <v>2021</v>
      </c>
      <c r="AA272">
        <v>2022</v>
      </c>
      <c r="AB272">
        <v>2023</v>
      </c>
      <c r="AC272">
        <v>2024</v>
      </c>
      <c r="AD272">
        <v>2025</v>
      </c>
    </row>
    <row r="273" spans="2:30" x14ac:dyDescent="0.25">
      <c r="B273" t="s">
        <v>15</v>
      </c>
      <c r="C273" s="86">
        <f>$G$48*C7</f>
        <v>21682.111981119699</v>
      </c>
      <c r="D273" s="86">
        <f t="shared" ref="D273:J273" si="105">$G$48*D7</f>
        <v>21233.724853959899</v>
      </c>
      <c r="E273" s="86">
        <f>$G$48*E7</f>
        <v>20364.023233680306</v>
      </c>
      <c r="F273" s="86">
        <f>$G$48*F7</f>
        <v>19351.809843178831</v>
      </c>
      <c r="G273" s="86">
        <f>$G$48*G7</f>
        <v>18364.580993334192</v>
      </c>
      <c r="H273" s="86">
        <f>$G$48*H7</f>
        <v>2363.0816436908867</v>
      </c>
      <c r="I273" s="86">
        <f t="shared" si="105"/>
        <v>2254.6407004662337</v>
      </c>
      <c r="J273" s="86">
        <f t="shared" si="105"/>
        <v>2139.4874856167066</v>
      </c>
      <c r="L273" t="s">
        <v>15</v>
      </c>
      <c r="M273" s="86">
        <f t="shared" ref="M273:T273" si="106">C7*$G$49</f>
        <v>86728.447924478794</v>
      </c>
      <c r="N273" s="86">
        <f t="shared" si="106"/>
        <v>84934.899415839594</v>
      </c>
      <c r="O273" s="86">
        <f t="shared" si="106"/>
        <v>81456.092934721222</v>
      </c>
      <c r="P273" s="86">
        <f t="shared" si="106"/>
        <v>77407.239372715325</v>
      </c>
      <c r="Q273" s="86">
        <f t="shared" si="106"/>
        <v>73458.323973336766</v>
      </c>
      <c r="R273" s="86">
        <f t="shared" si="106"/>
        <v>9452.3265747635469</v>
      </c>
      <c r="S273" s="86">
        <f t="shared" si="106"/>
        <v>9018.562801864935</v>
      </c>
      <c r="T273" s="86">
        <f t="shared" si="106"/>
        <v>8557.9499424668265</v>
      </c>
      <c r="V273" t="s">
        <v>15</v>
      </c>
      <c r="W273" s="96">
        <f t="shared" ref="W273:AD273" si="107">C13</f>
        <v>6695.4560650107887</v>
      </c>
      <c r="X273" s="96">
        <f t="shared" si="107"/>
        <v>5904.8627325188818</v>
      </c>
      <c r="Y273" s="96">
        <f t="shared" si="107"/>
        <v>5108.8308843614041</v>
      </c>
      <c r="Z273" s="96">
        <f t="shared" si="107"/>
        <v>4311.3201045015767</v>
      </c>
      <c r="AA273" s="96">
        <f t="shared" si="107"/>
        <v>3529.6965113456804</v>
      </c>
      <c r="AB273" s="96">
        <f t="shared" si="107"/>
        <v>53.2754988481745</v>
      </c>
      <c r="AC273" s="96">
        <f t="shared" si="107"/>
        <v>41.347082787489555</v>
      </c>
      <c r="AD273" s="96">
        <f t="shared" si="107"/>
        <v>31.218223546701729</v>
      </c>
    </row>
    <row r="274" spans="2:30" x14ac:dyDescent="0.25">
      <c r="B274" t="s">
        <v>17</v>
      </c>
      <c r="C274" s="86">
        <f>$G$48*C9</f>
        <v>25402.454372696731</v>
      </c>
      <c r="D274" s="86">
        <f t="shared" ref="D274:J274" si="108">$G$48*D9</f>
        <v>22681.891161248699</v>
      </c>
      <c r="E274" s="86">
        <f>$G$48*E9</f>
        <v>15226.108003872048</v>
      </c>
      <c r="F274" s="86">
        <f>$G$48*F9</f>
        <v>6700.5068999233154</v>
      </c>
      <c r="G274" s="86">
        <f>$G$48*G9</f>
        <v>6316.4829377945607</v>
      </c>
      <c r="H274" s="86">
        <f>$G$48*H9</f>
        <v>3381.1780771790068</v>
      </c>
      <c r="I274" s="86">
        <f t="shared" si="108"/>
        <v>3060.3338810887922</v>
      </c>
      <c r="J274" s="86">
        <f t="shared" si="108"/>
        <v>2740.2906068724947</v>
      </c>
      <c r="L274" t="s">
        <v>17</v>
      </c>
      <c r="M274" s="86">
        <f t="shared" ref="M274:T274" si="109">C9*$G$49</f>
        <v>101609.81749078693</v>
      </c>
      <c r="N274" s="86">
        <f t="shared" si="109"/>
        <v>90727.564644994796</v>
      </c>
      <c r="O274" s="86">
        <f t="shared" si="109"/>
        <v>60904.432015488193</v>
      </c>
      <c r="P274" s="86">
        <f t="shared" si="109"/>
        <v>26802.027599693261</v>
      </c>
      <c r="Q274" s="86">
        <f t="shared" si="109"/>
        <v>25265.931751178243</v>
      </c>
      <c r="R274" s="86">
        <f t="shared" si="109"/>
        <v>13524.712308716027</v>
      </c>
      <c r="S274" s="86">
        <f t="shared" si="109"/>
        <v>12241.335524355169</v>
      </c>
      <c r="T274" s="86">
        <f t="shared" si="109"/>
        <v>10961.162427489979</v>
      </c>
      <c r="V274" t="s">
        <v>17</v>
      </c>
      <c r="W274" s="96">
        <f t="shared" ref="W274:AD274" si="110">C15</f>
        <v>418.64965863977062</v>
      </c>
      <c r="X274" s="96">
        <f t="shared" si="110"/>
        <v>296.00490589947208</v>
      </c>
      <c r="Y274" s="96">
        <f t="shared" si="110"/>
        <v>177.43749902232059</v>
      </c>
      <c r="Z274" s="96">
        <f t="shared" si="110"/>
        <v>0</v>
      </c>
      <c r="AA274" s="96">
        <f t="shared" si="110"/>
        <v>0</v>
      </c>
      <c r="AB274" s="96">
        <f t="shared" si="110"/>
        <v>0</v>
      </c>
      <c r="AC274" s="96">
        <f t="shared" si="110"/>
        <v>0</v>
      </c>
      <c r="AD274" s="96">
        <f t="shared" si="110"/>
        <v>0</v>
      </c>
    </row>
    <row r="275" spans="2:30" x14ac:dyDescent="0.25">
      <c r="B275" t="s">
        <v>94</v>
      </c>
      <c r="C275" s="86">
        <f>0.1*C274</f>
        <v>2540.2454372696734</v>
      </c>
      <c r="D275" s="86">
        <f t="shared" ref="D275:J275" si="111">0.1*D274</f>
        <v>2268.18911612487</v>
      </c>
      <c r="E275" s="86">
        <f t="shared" si="111"/>
        <v>1522.610800387205</v>
      </c>
      <c r="F275" s="86">
        <f t="shared" si="111"/>
        <v>670.05068999233163</v>
      </c>
      <c r="G275" s="86">
        <f t="shared" si="111"/>
        <v>631.64829377945614</v>
      </c>
      <c r="H275" s="86">
        <f t="shared" si="111"/>
        <v>338.11780771790069</v>
      </c>
      <c r="I275" s="86">
        <f t="shared" si="111"/>
        <v>306.03338810887925</v>
      </c>
      <c r="J275" s="86">
        <f t="shared" si="111"/>
        <v>274.02906068724945</v>
      </c>
      <c r="L275" t="s">
        <v>94</v>
      </c>
      <c r="M275" s="86">
        <f>0.1*M274</f>
        <v>10160.981749078694</v>
      </c>
      <c r="N275" s="86">
        <f t="shared" ref="N275:T275" si="112">0.1*N274</f>
        <v>9072.75646449948</v>
      </c>
      <c r="O275" s="86">
        <f t="shared" si="112"/>
        <v>6090.4432015488201</v>
      </c>
      <c r="P275" s="86">
        <f t="shared" si="112"/>
        <v>2680.2027599693265</v>
      </c>
      <c r="Q275" s="86">
        <f t="shared" si="112"/>
        <v>2526.5931751178246</v>
      </c>
      <c r="R275" s="86">
        <f t="shared" si="112"/>
        <v>1352.4712308716028</v>
      </c>
      <c r="S275" s="86">
        <f t="shared" si="112"/>
        <v>1224.133552435517</v>
      </c>
      <c r="T275" s="86">
        <f t="shared" si="112"/>
        <v>1096.1162427489978</v>
      </c>
      <c r="V275" t="s">
        <v>94</v>
      </c>
      <c r="W275" s="96">
        <f>0.1*W274</f>
        <v>41.864965863977062</v>
      </c>
      <c r="X275" s="96">
        <f t="shared" ref="X275:AD275" si="113">0.1*X274</f>
        <v>29.60049058994721</v>
      </c>
      <c r="Y275" s="96">
        <f t="shared" si="113"/>
        <v>17.743749902232061</v>
      </c>
      <c r="Z275" s="96">
        <f t="shared" si="113"/>
        <v>0</v>
      </c>
      <c r="AA275" s="96">
        <f t="shared" si="113"/>
        <v>0</v>
      </c>
      <c r="AB275" s="96">
        <f t="shared" si="113"/>
        <v>0</v>
      </c>
      <c r="AC275" s="96">
        <f t="shared" si="113"/>
        <v>0</v>
      </c>
      <c r="AD275" s="96">
        <f t="shared" si="113"/>
        <v>0</v>
      </c>
    </row>
    <row r="276" spans="2:30" x14ac:dyDescent="0.25">
      <c r="B276" t="s">
        <v>106</v>
      </c>
      <c r="C276" s="86">
        <f>0.9*C274</f>
        <v>22862.208935427057</v>
      </c>
      <c r="D276" s="86">
        <f t="shared" ref="D276:J276" si="114">0.9*D274</f>
        <v>20413.702045123831</v>
      </c>
      <c r="E276" s="86">
        <f t="shared" si="114"/>
        <v>13703.497203484843</v>
      </c>
      <c r="F276" s="86">
        <f t="shared" si="114"/>
        <v>6030.4562099309842</v>
      </c>
      <c r="G276" s="86">
        <f t="shared" si="114"/>
        <v>5684.8346440151045</v>
      </c>
      <c r="H276" s="86">
        <f t="shared" si="114"/>
        <v>3043.0602694611061</v>
      </c>
      <c r="I276" s="86">
        <f t="shared" si="114"/>
        <v>2754.3004929799131</v>
      </c>
      <c r="J276" s="86">
        <f t="shared" si="114"/>
        <v>2466.2615461852452</v>
      </c>
      <c r="L276" t="s">
        <v>106</v>
      </c>
      <c r="M276" s="86">
        <f>0.9*M274</f>
        <v>91448.83574170823</v>
      </c>
      <c r="N276" s="86">
        <f t="shared" ref="N276:T276" si="115">0.9*N274</f>
        <v>81654.808180495325</v>
      </c>
      <c r="O276" s="86">
        <f t="shared" si="115"/>
        <v>54813.988813939373</v>
      </c>
      <c r="P276" s="86">
        <f t="shared" si="115"/>
        <v>24121.824839723937</v>
      </c>
      <c r="Q276" s="86">
        <f t="shared" si="115"/>
        <v>22739.338576060418</v>
      </c>
      <c r="R276" s="86">
        <f t="shared" si="115"/>
        <v>12172.241077844425</v>
      </c>
      <c r="S276" s="86">
        <f t="shared" si="115"/>
        <v>11017.201971919652</v>
      </c>
      <c r="T276" s="86">
        <f t="shared" si="115"/>
        <v>9865.0461847409806</v>
      </c>
      <c r="V276" t="s">
        <v>106</v>
      </c>
      <c r="W276" s="96">
        <f>0.9*W274</f>
        <v>376.78469277579359</v>
      </c>
      <c r="X276" s="96">
        <f t="shared" ref="X276:AD276" si="116">0.9*X274</f>
        <v>266.40441530952489</v>
      </c>
      <c r="Y276" s="96">
        <f t="shared" si="116"/>
        <v>159.69374912008854</v>
      </c>
      <c r="Z276" s="96">
        <f t="shared" si="116"/>
        <v>0</v>
      </c>
      <c r="AA276" s="96">
        <f t="shared" si="116"/>
        <v>0</v>
      </c>
      <c r="AB276" s="96">
        <f t="shared" si="116"/>
        <v>0</v>
      </c>
      <c r="AC276" s="96">
        <f t="shared" si="116"/>
        <v>0</v>
      </c>
      <c r="AD276" s="96">
        <f t="shared" si="116"/>
        <v>0</v>
      </c>
    </row>
    <row r="278" spans="2:30" x14ac:dyDescent="0.25">
      <c r="B278" s="87" t="s">
        <v>99</v>
      </c>
    </row>
    <row r="279" spans="2:30" x14ac:dyDescent="0.25">
      <c r="B279" s="87"/>
    </row>
    <row r="280" spans="2:30" x14ac:dyDescent="0.25">
      <c r="B280" s="87" t="s">
        <v>32</v>
      </c>
      <c r="L280" s="87" t="s">
        <v>97</v>
      </c>
      <c r="M280" t="s">
        <v>96</v>
      </c>
      <c r="V280" s="87" t="s">
        <v>98</v>
      </c>
      <c r="W280" t="s">
        <v>96</v>
      </c>
    </row>
    <row r="281" spans="2:30" x14ac:dyDescent="0.25">
      <c r="C281">
        <v>2018</v>
      </c>
      <c r="D281">
        <v>2019</v>
      </c>
      <c r="E281">
        <v>2020</v>
      </c>
      <c r="F281">
        <v>2021</v>
      </c>
      <c r="G281">
        <v>2022</v>
      </c>
      <c r="H281">
        <v>2023</v>
      </c>
      <c r="I281">
        <v>2024</v>
      </c>
      <c r="J281">
        <v>2025</v>
      </c>
      <c r="M281">
        <v>2018</v>
      </c>
      <c r="N281">
        <v>2019</v>
      </c>
      <c r="O281">
        <v>2020</v>
      </c>
      <c r="P281">
        <v>2021</v>
      </c>
      <c r="Q281">
        <v>2022</v>
      </c>
      <c r="R281">
        <v>2023</v>
      </c>
      <c r="S281">
        <v>2024</v>
      </c>
      <c r="T281">
        <v>2025</v>
      </c>
      <c r="W281">
        <v>2018</v>
      </c>
      <c r="X281">
        <v>2019</v>
      </c>
      <c r="Y281">
        <v>2020</v>
      </c>
      <c r="Z281">
        <v>2021</v>
      </c>
      <c r="AA281">
        <v>2022</v>
      </c>
      <c r="AB281">
        <v>2023</v>
      </c>
      <c r="AC281">
        <v>2024</v>
      </c>
      <c r="AD281">
        <v>2025</v>
      </c>
    </row>
    <row r="282" spans="2:30" x14ac:dyDescent="0.25">
      <c r="B282" t="s">
        <v>15</v>
      </c>
      <c r="C282" s="73">
        <f t="shared" ref="C282:J282" si="117">C273*$C$262</f>
        <v>130.09267188671819</v>
      </c>
      <c r="D282" s="73">
        <f t="shared" si="117"/>
        <v>127.40234912375939</v>
      </c>
      <c r="E282" s="73">
        <f t="shared" si="117"/>
        <v>122.18413940208184</v>
      </c>
      <c r="F282" s="73">
        <f t="shared" si="117"/>
        <v>116.11085905907299</v>
      </c>
      <c r="G282" s="73">
        <f t="shared" si="117"/>
        <v>110.18748596000515</v>
      </c>
      <c r="H282" s="73">
        <f t="shared" si="117"/>
        <v>14.178489862145321</v>
      </c>
      <c r="I282" s="73">
        <f t="shared" si="117"/>
        <v>13.527844202797402</v>
      </c>
      <c r="J282" s="73">
        <f t="shared" si="117"/>
        <v>12.836924913700241</v>
      </c>
      <c r="K282" s="73"/>
      <c r="L282" s="73" t="s">
        <v>15</v>
      </c>
      <c r="M282" s="73">
        <f t="shared" ref="M282:T282" si="118">M273*$C$262</f>
        <v>520.37068754687277</v>
      </c>
      <c r="N282" s="73">
        <f t="shared" si="118"/>
        <v>509.60939649503757</v>
      </c>
      <c r="O282" s="73">
        <f t="shared" si="118"/>
        <v>488.73655760832736</v>
      </c>
      <c r="P282" s="73">
        <f t="shared" si="118"/>
        <v>464.44343623629197</v>
      </c>
      <c r="Q282" s="73">
        <f t="shared" si="118"/>
        <v>440.74994384002059</v>
      </c>
      <c r="R282" s="73">
        <f t="shared" si="118"/>
        <v>56.713959448581285</v>
      </c>
      <c r="S282" s="73">
        <f t="shared" si="118"/>
        <v>54.111376811189608</v>
      </c>
      <c r="T282" s="73">
        <f t="shared" si="118"/>
        <v>51.347699654800962</v>
      </c>
      <c r="U282" s="73"/>
      <c r="V282" s="73" t="s">
        <v>15</v>
      </c>
      <c r="W282" s="73">
        <f t="shared" ref="W282:AD282" si="119">W273*$C$262</f>
        <v>40.172736390064735</v>
      </c>
      <c r="X282" s="73">
        <f t="shared" si="119"/>
        <v>35.429176395113295</v>
      </c>
      <c r="Y282" s="73">
        <f t="shared" si="119"/>
        <v>30.652985306168425</v>
      </c>
      <c r="Z282" s="73">
        <f t="shared" si="119"/>
        <v>25.867920627009461</v>
      </c>
      <c r="AA282" s="73">
        <f t="shared" si="119"/>
        <v>21.178179068074083</v>
      </c>
      <c r="AB282" s="73">
        <f t="shared" si="119"/>
        <v>0.31965299308904699</v>
      </c>
      <c r="AC282" s="73">
        <f t="shared" si="119"/>
        <v>0.24808249672493735</v>
      </c>
      <c r="AD282" s="73">
        <f t="shared" si="119"/>
        <v>0.18730934128021037</v>
      </c>
    </row>
    <row r="283" spans="2:30" x14ac:dyDescent="0.25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</row>
    <row r="284" spans="2:30" x14ac:dyDescent="0.25">
      <c r="B284" t="s">
        <v>94</v>
      </c>
      <c r="C284" s="73">
        <f t="shared" ref="C284:J284" si="120">C275*$C$264</f>
        <v>22.862208935427059</v>
      </c>
      <c r="D284" s="73">
        <f t="shared" si="120"/>
        <v>20.413702045123827</v>
      </c>
      <c r="E284" s="73">
        <f t="shared" si="120"/>
        <v>13.703497203484844</v>
      </c>
      <c r="F284" s="73">
        <f t="shared" si="120"/>
        <v>6.0304562099309837</v>
      </c>
      <c r="G284" s="73">
        <f t="shared" si="120"/>
        <v>5.6848346440151047</v>
      </c>
      <c r="H284" s="73">
        <f t="shared" si="120"/>
        <v>3.043060269461106</v>
      </c>
      <c r="I284" s="73">
        <f t="shared" si="120"/>
        <v>2.7543004929799131</v>
      </c>
      <c r="J284" s="73">
        <f t="shared" si="120"/>
        <v>2.4662615461852448</v>
      </c>
      <c r="K284" s="73"/>
      <c r="L284" s="73" t="s">
        <v>102</v>
      </c>
      <c r="M284" s="73">
        <f t="shared" ref="M284:T284" si="121">M275*$C$264</f>
        <v>91.448835741708237</v>
      </c>
      <c r="N284" s="73">
        <f t="shared" si="121"/>
        <v>81.654808180495309</v>
      </c>
      <c r="O284" s="73">
        <f t="shared" si="121"/>
        <v>54.813988813939375</v>
      </c>
      <c r="P284" s="73">
        <f t="shared" si="121"/>
        <v>24.121824839723935</v>
      </c>
      <c r="Q284" s="73">
        <f t="shared" si="121"/>
        <v>22.739338576060419</v>
      </c>
      <c r="R284" s="73">
        <f t="shared" si="121"/>
        <v>12.172241077844424</v>
      </c>
      <c r="S284" s="73">
        <f t="shared" si="121"/>
        <v>11.017201971919652</v>
      </c>
      <c r="T284" s="73">
        <f t="shared" si="121"/>
        <v>9.8650461847409794</v>
      </c>
      <c r="U284" s="73"/>
      <c r="V284" s="73" t="s">
        <v>100</v>
      </c>
      <c r="W284" s="73">
        <f t="shared" ref="W284:AD284" si="122">W275*$C$264</f>
        <v>0.37678469277579352</v>
      </c>
      <c r="X284" s="73">
        <f t="shared" si="122"/>
        <v>0.26640441530952486</v>
      </c>
      <c r="Y284" s="73">
        <f t="shared" si="122"/>
        <v>0.15969374912008855</v>
      </c>
      <c r="Z284" s="73">
        <f t="shared" si="122"/>
        <v>0</v>
      </c>
      <c r="AA284" s="73">
        <f t="shared" si="122"/>
        <v>0</v>
      </c>
      <c r="AB284" s="73">
        <f t="shared" si="122"/>
        <v>0</v>
      </c>
      <c r="AC284" s="73">
        <f t="shared" si="122"/>
        <v>0</v>
      </c>
      <c r="AD284" s="73">
        <f t="shared" si="122"/>
        <v>0</v>
      </c>
    </row>
    <row r="285" spans="2:30" x14ac:dyDescent="0.25">
      <c r="B285" t="s">
        <v>106</v>
      </c>
      <c r="C285" s="73">
        <f t="shared" ref="C285:J285" si="123">C276*$C$265</f>
        <v>502.96859657939524</v>
      </c>
      <c r="D285" s="73">
        <f t="shared" si="123"/>
        <v>449.10144499272428</v>
      </c>
      <c r="E285" s="73">
        <f t="shared" si="123"/>
        <v>301.47693847666653</v>
      </c>
      <c r="F285" s="73">
        <f t="shared" si="123"/>
        <v>132.67003661848165</v>
      </c>
      <c r="G285" s="73">
        <f t="shared" si="123"/>
        <v>125.06636216833229</v>
      </c>
      <c r="H285" s="73">
        <f t="shared" si="123"/>
        <v>66.947325928144338</v>
      </c>
      <c r="I285" s="73">
        <f t="shared" si="123"/>
        <v>60.594610845558087</v>
      </c>
      <c r="J285" s="73">
        <f t="shared" si="123"/>
        <v>54.257754016075388</v>
      </c>
      <c r="K285" s="73"/>
      <c r="L285" s="73" t="s">
        <v>103</v>
      </c>
      <c r="M285" s="73">
        <f t="shared" ref="M285:T285" si="124">M276*$C$265</f>
        <v>2011.874386317581</v>
      </c>
      <c r="N285" s="73">
        <f t="shared" si="124"/>
        <v>1796.4057799708971</v>
      </c>
      <c r="O285" s="73">
        <f t="shared" si="124"/>
        <v>1205.9077539066661</v>
      </c>
      <c r="P285" s="73">
        <f t="shared" si="124"/>
        <v>530.68014647392658</v>
      </c>
      <c r="Q285" s="73">
        <f t="shared" si="124"/>
        <v>500.26544867332916</v>
      </c>
      <c r="R285" s="73">
        <f t="shared" si="124"/>
        <v>267.78930371257735</v>
      </c>
      <c r="S285" s="73">
        <f t="shared" si="124"/>
        <v>242.37844338223235</v>
      </c>
      <c r="T285" s="73">
        <f t="shared" si="124"/>
        <v>217.03101606430155</v>
      </c>
      <c r="U285" s="73"/>
      <c r="V285" s="73" t="s">
        <v>101</v>
      </c>
      <c r="W285" s="73">
        <f t="shared" ref="W285:AD285" si="125">W276*$C$265</f>
        <v>8.2892632410674576</v>
      </c>
      <c r="X285" s="73">
        <f t="shared" si="125"/>
        <v>5.8608971368095473</v>
      </c>
      <c r="Y285" s="73">
        <f t="shared" si="125"/>
        <v>3.5132624806419477</v>
      </c>
      <c r="Z285" s="73">
        <f t="shared" si="125"/>
        <v>0</v>
      </c>
      <c r="AA285" s="73">
        <f t="shared" si="125"/>
        <v>0</v>
      </c>
      <c r="AB285" s="73">
        <f t="shared" si="125"/>
        <v>0</v>
      </c>
      <c r="AC285" s="73">
        <f t="shared" si="125"/>
        <v>0</v>
      </c>
      <c r="AD285" s="73">
        <f t="shared" si="125"/>
        <v>0</v>
      </c>
    </row>
    <row r="287" spans="2:30" x14ac:dyDescent="0.25">
      <c r="B287" s="87" t="s">
        <v>104</v>
      </c>
    </row>
    <row r="289" spans="2:30" x14ac:dyDescent="0.25">
      <c r="B289" s="87" t="s">
        <v>32</v>
      </c>
      <c r="L289" s="87" t="s">
        <v>97</v>
      </c>
      <c r="M289" t="s">
        <v>104</v>
      </c>
      <c r="V289" s="87" t="s">
        <v>98</v>
      </c>
      <c r="W289" t="s">
        <v>104</v>
      </c>
    </row>
    <row r="290" spans="2:30" x14ac:dyDescent="0.25">
      <c r="C290">
        <v>2018</v>
      </c>
      <c r="D290">
        <v>2019</v>
      </c>
      <c r="E290">
        <v>2020</v>
      </c>
      <c r="F290">
        <v>2021</v>
      </c>
      <c r="G290">
        <v>2022</v>
      </c>
      <c r="H290">
        <v>2023</v>
      </c>
      <c r="I290">
        <v>2024</v>
      </c>
      <c r="J290">
        <v>2025</v>
      </c>
      <c r="M290">
        <v>2018</v>
      </c>
      <c r="N290">
        <v>2019</v>
      </c>
      <c r="O290">
        <v>2020</v>
      </c>
      <c r="P290">
        <v>2021</v>
      </c>
      <c r="Q290">
        <v>2022</v>
      </c>
      <c r="R290">
        <v>2023</v>
      </c>
      <c r="S290">
        <v>2024</v>
      </c>
      <c r="T290">
        <v>2025</v>
      </c>
      <c r="W290">
        <v>2018</v>
      </c>
      <c r="X290">
        <v>2019</v>
      </c>
      <c r="Y290">
        <v>2020</v>
      </c>
      <c r="Z290">
        <v>2021</v>
      </c>
      <c r="AA290">
        <v>2022</v>
      </c>
      <c r="AB290">
        <v>2023</v>
      </c>
      <c r="AC290">
        <v>2024</v>
      </c>
      <c r="AD290">
        <v>2025</v>
      </c>
    </row>
    <row r="291" spans="2:30" x14ac:dyDescent="0.25">
      <c r="B291" t="s">
        <v>15</v>
      </c>
      <c r="C291" s="86">
        <f>C282*$C$48</f>
        <v>45.532435160351362</v>
      </c>
      <c r="D291" s="86">
        <f t="shared" ref="D291:AD291" si="126">D282*$C$48</f>
        <v>44.590822193315788</v>
      </c>
      <c r="E291" s="86">
        <f t="shared" si="126"/>
        <v>42.764448790728643</v>
      </c>
      <c r="F291" s="86">
        <f t="shared" si="126"/>
        <v>40.638800670675543</v>
      </c>
      <c r="G291" s="86">
        <f t="shared" si="126"/>
        <v>38.5656200860018</v>
      </c>
      <c r="H291" s="86">
        <f t="shared" si="126"/>
        <v>4.9624714517508624</v>
      </c>
      <c r="I291" s="86">
        <f t="shared" si="126"/>
        <v>4.7347454709790906</v>
      </c>
      <c r="J291" s="86">
        <f t="shared" si="126"/>
        <v>4.4929237197950842</v>
      </c>
      <c r="K291" s="86"/>
      <c r="L291" s="86" t="s">
        <v>15</v>
      </c>
      <c r="M291" s="73">
        <f>M282*$C$49</f>
        <v>260.18534377343639</v>
      </c>
      <c r="N291" s="73">
        <f t="shared" ref="N291:T291" si="127">N282*$C$49</f>
        <v>254.80469824751879</v>
      </c>
      <c r="O291" s="73">
        <f t="shared" si="127"/>
        <v>244.36827880416368</v>
      </c>
      <c r="P291" s="73">
        <f t="shared" si="127"/>
        <v>232.22171811814599</v>
      </c>
      <c r="Q291" s="73">
        <f t="shared" si="127"/>
        <v>220.3749719200103</v>
      </c>
      <c r="R291" s="73">
        <f t="shared" si="127"/>
        <v>28.356979724290643</v>
      </c>
      <c r="S291" s="73">
        <f t="shared" si="127"/>
        <v>27.055688405594804</v>
      </c>
      <c r="T291" s="73">
        <f t="shared" si="127"/>
        <v>25.673849827400481</v>
      </c>
      <c r="U291" s="73"/>
      <c r="V291" s="73" t="s">
        <v>15</v>
      </c>
      <c r="W291" s="73">
        <f t="shared" si="126"/>
        <v>14.060457736522656</v>
      </c>
      <c r="X291" s="73">
        <f t="shared" si="126"/>
        <v>12.400211738289652</v>
      </c>
      <c r="Y291" s="73">
        <f t="shared" si="126"/>
        <v>10.728544857158948</v>
      </c>
      <c r="Z291" s="73">
        <f t="shared" si="126"/>
        <v>9.053772219453311</v>
      </c>
      <c r="AA291" s="73">
        <f t="shared" si="126"/>
        <v>7.4123626738259283</v>
      </c>
      <c r="AB291" s="73">
        <f t="shared" si="126"/>
        <v>0.11187854758116644</v>
      </c>
      <c r="AC291" s="73">
        <f t="shared" si="126"/>
        <v>8.6828873853728061E-2</v>
      </c>
      <c r="AD291" s="73">
        <f t="shared" si="126"/>
        <v>6.5558269448073622E-2</v>
      </c>
    </row>
    <row r="292" spans="2:30" x14ac:dyDescent="0.25">
      <c r="C292" s="86"/>
      <c r="D292" s="86"/>
      <c r="E292" s="86"/>
      <c r="F292" s="86"/>
      <c r="G292" s="86"/>
      <c r="H292" s="86"/>
      <c r="I292" s="86"/>
      <c r="J292" s="86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</row>
    <row r="293" spans="2:30" x14ac:dyDescent="0.25">
      <c r="B293" t="s">
        <v>94</v>
      </c>
      <c r="C293" s="86">
        <f>C284*$C$48</f>
        <v>8.0017731273994706</v>
      </c>
      <c r="D293" s="86">
        <f t="shared" ref="D293:AD294" si="128">D284*$C$48</f>
        <v>7.1447957157933386</v>
      </c>
      <c r="E293" s="86">
        <f t="shared" si="128"/>
        <v>4.7962240212196949</v>
      </c>
      <c r="F293" s="86">
        <f t="shared" si="128"/>
        <v>2.110659673475844</v>
      </c>
      <c r="G293" s="86">
        <f t="shared" si="128"/>
        <v>1.9896921254052866</v>
      </c>
      <c r="H293" s="86">
        <f t="shared" si="128"/>
        <v>1.065071094311387</v>
      </c>
      <c r="I293" s="86">
        <f t="shared" si="128"/>
        <v>0.96400517254296947</v>
      </c>
      <c r="J293" s="86">
        <f t="shared" si="128"/>
        <v>0.86319154116483565</v>
      </c>
      <c r="K293" s="86"/>
      <c r="L293" s="86" t="s">
        <v>102</v>
      </c>
      <c r="M293" s="73">
        <f>M284*$C$49</f>
        <v>45.724417870854118</v>
      </c>
      <c r="N293" s="73">
        <f t="shared" ref="N293:T294" si="129">N284*$C$49</f>
        <v>40.827404090247654</v>
      </c>
      <c r="O293" s="73">
        <f t="shared" si="129"/>
        <v>27.406994406969687</v>
      </c>
      <c r="P293" s="73">
        <f t="shared" si="129"/>
        <v>12.060912419861967</v>
      </c>
      <c r="Q293" s="73">
        <f t="shared" si="129"/>
        <v>11.369669288030209</v>
      </c>
      <c r="R293" s="73">
        <f t="shared" si="129"/>
        <v>6.0861205389222119</v>
      </c>
      <c r="S293" s="73">
        <f t="shared" si="129"/>
        <v>5.5086009859598262</v>
      </c>
      <c r="T293" s="73">
        <f t="shared" si="129"/>
        <v>4.9325230923704897</v>
      </c>
      <c r="U293" s="73"/>
      <c r="V293" s="73" t="s">
        <v>100</v>
      </c>
      <c r="W293" s="73">
        <f t="shared" si="128"/>
        <v>0.13187464247152772</v>
      </c>
      <c r="X293" s="73">
        <f t="shared" si="128"/>
        <v>9.3241545358333691E-2</v>
      </c>
      <c r="Y293" s="73">
        <f t="shared" si="128"/>
        <v>5.5892812192030988E-2</v>
      </c>
      <c r="Z293" s="73">
        <f t="shared" si="128"/>
        <v>0</v>
      </c>
      <c r="AA293" s="73">
        <f t="shared" si="128"/>
        <v>0</v>
      </c>
      <c r="AB293" s="73">
        <f t="shared" si="128"/>
        <v>0</v>
      </c>
      <c r="AC293" s="73">
        <f t="shared" si="128"/>
        <v>0</v>
      </c>
      <c r="AD293" s="73">
        <f t="shared" si="128"/>
        <v>0</v>
      </c>
    </row>
    <row r="294" spans="2:30" x14ac:dyDescent="0.25">
      <c r="B294" t="s">
        <v>106</v>
      </c>
      <c r="C294" s="86">
        <f>C285*$C$48</f>
        <v>176.03900880278832</v>
      </c>
      <c r="D294" s="86">
        <f t="shared" si="128"/>
        <v>157.18550574745348</v>
      </c>
      <c r="E294" s="86">
        <f t="shared" si="128"/>
        <v>105.51692846683328</v>
      </c>
      <c r="F294" s="86">
        <f t="shared" si="128"/>
        <v>46.434512816468576</v>
      </c>
      <c r="G294" s="86">
        <f t="shared" si="128"/>
        <v>43.773226758916302</v>
      </c>
      <c r="H294" s="86">
        <f t="shared" si="128"/>
        <v>23.431564074850517</v>
      </c>
      <c r="I294" s="86">
        <f t="shared" si="128"/>
        <v>21.20811379594533</v>
      </c>
      <c r="J294" s="86">
        <f t="shared" si="128"/>
        <v>18.990213905626383</v>
      </c>
      <c r="K294" s="86"/>
      <c r="L294" s="86" t="s">
        <v>103</v>
      </c>
      <c r="M294" s="73">
        <f>M285*$C$49</f>
        <v>1005.9371931587905</v>
      </c>
      <c r="N294" s="73">
        <f t="shared" si="129"/>
        <v>898.20288998544856</v>
      </c>
      <c r="O294" s="73">
        <f t="shared" si="129"/>
        <v>602.95387695333307</v>
      </c>
      <c r="P294" s="73">
        <f t="shared" si="129"/>
        <v>265.34007323696329</v>
      </c>
      <c r="Q294" s="73">
        <f t="shared" si="129"/>
        <v>250.13272433666458</v>
      </c>
      <c r="R294" s="73">
        <f t="shared" si="129"/>
        <v>133.89465185628868</v>
      </c>
      <c r="S294" s="73">
        <f t="shared" si="129"/>
        <v>121.18922169111617</v>
      </c>
      <c r="T294" s="73">
        <f t="shared" si="129"/>
        <v>108.51550803215078</v>
      </c>
      <c r="U294" s="73"/>
      <c r="V294" s="73" t="s">
        <v>101</v>
      </c>
      <c r="W294" s="73">
        <f t="shared" si="128"/>
        <v>2.9012421343736099</v>
      </c>
      <c r="X294" s="73">
        <f t="shared" si="128"/>
        <v>2.0513139978833412</v>
      </c>
      <c r="Y294" s="73">
        <f t="shared" si="128"/>
        <v>1.2296418682246817</v>
      </c>
      <c r="Z294" s="73">
        <f t="shared" si="128"/>
        <v>0</v>
      </c>
      <c r="AA294" s="73">
        <f t="shared" si="128"/>
        <v>0</v>
      </c>
      <c r="AB294" s="73">
        <f t="shared" si="128"/>
        <v>0</v>
      </c>
      <c r="AC294" s="73">
        <f t="shared" si="128"/>
        <v>0</v>
      </c>
      <c r="AD294" s="73">
        <f t="shared" si="128"/>
        <v>0</v>
      </c>
    </row>
    <row r="296" spans="2:30" x14ac:dyDescent="0.25">
      <c r="B296" s="87" t="s">
        <v>92</v>
      </c>
    </row>
    <row r="298" spans="2:30" x14ac:dyDescent="0.25">
      <c r="B298" s="87" t="s">
        <v>32</v>
      </c>
      <c r="L298" s="87" t="s">
        <v>97</v>
      </c>
      <c r="M298" t="s">
        <v>108</v>
      </c>
      <c r="V298" s="87" t="s">
        <v>98</v>
      </c>
      <c r="W298" t="s">
        <v>108</v>
      </c>
    </row>
    <row r="299" spans="2:30" x14ac:dyDescent="0.25">
      <c r="C299">
        <v>2018</v>
      </c>
      <c r="D299">
        <v>2019</v>
      </c>
      <c r="E299">
        <v>2020</v>
      </c>
      <c r="F299">
        <v>2021</v>
      </c>
      <c r="G299">
        <v>2022</v>
      </c>
      <c r="H299">
        <v>2023</v>
      </c>
      <c r="I299">
        <v>2024</v>
      </c>
      <c r="J299">
        <v>2025</v>
      </c>
      <c r="M299">
        <v>2018</v>
      </c>
      <c r="N299">
        <v>2019</v>
      </c>
      <c r="O299">
        <v>2020</v>
      </c>
      <c r="P299">
        <v>2021</v>
      </c>
      <c r="Q299">
        <v>2022</v>
      </c>
      <c r="R299">
        <v>2023</v>
      </c>
      <c r="S299">
        <v>2024</v>
      </c>
      <c r="T299">
        <v>2025</v>
      </c>
      <c r="W299">
        <v>2018</v>
      </c>
      <c r="X299">
        <v>2019</v>
      </c>
      <c r="Y299">
        <v>2020</v>
      </c>
      <c r="Z299">
        <v>2021</v>
      </c>
      <c r="AA299">
        <v>2022</v>
      </c>
      <c r="AB299">
        <v>2023</v>
      </c>
      <c r="AC299">
        <v>2024</v>
      </c>
      <c r="AD299">
        <v>2025</v>
      </c>
    </row>
    <row r="300" spans="2:30" x14ac:dyDescent="0.25">
      <c r="B300" s="73" t="s">
        <v>15</v>
      </c>
      <c r="C300" s="73">
        <f>C291*$B$269</f>
        <v>30005.874770671548</v>
      </c>
      <c r="D300" s="73">
        <f t="shared" ref="D300:AD300" si="130">D291*$B$269</f>
        <v>29385.351825395104</v>
      </c>
      <c r="E300" s="73">
        <f t="shared" si="130"/>
        <v>28181.771753090175</v>
      </c>
      <c r="F300" s="73">
        <f t="shared" si="130"/>
        <v>26780.969641975182</v>
      </c>
      <c r="G300" s="73">
        <f t="shared" si="130"/>
        <v>25414.743636675186</v>
      </c>
      <c r="H300" s="73">
        <f t="shared" si="130"/>
        <v>3270.2686867038183</v>
      </c>
      <c r="I300" s="73">
        <f t="shared" si="130"/>
        <v>3120.1972653752209</v>
      </c>
      <c r="J300" s="73">
        <f t="shared" si="130"/>
        <v>2960.8367313449603</v>
      </c>
      <c r="K300" s="73"/>
      <c r="L300" s="73" t="s">
        <v>15</v>
      </c>
      <c r="M300" s="73">
        <f t="shared" si="130"/>
        <v>171462.14154669459</v>
      </c>
      <c r="N300" s="73">
        <f t="shared" si="130"/>
        <v>167916.29614511487</v>
      </c>
      <c r="O300" s="73">
        <f t="shared" si="130"/>
        <v>161038.69573194385</v>
      </c>
      <c r="P300" s="73">
        <f t="shared" si="130"/>
        <v>153034.11223985819</v>
      </c>
      <c r="Q300" s="73">
        <f t="shared" si="130"/>
        <v>145227.10649528677</v>
      </c>
      <c r="R300" s="73">
        <f t="shared" si="130"/>
        <v>18687.249638307534</v>
      </c>
      <c r="S300" s="73">
        <f t="shared" si="130"/>
        <v>17829.698659286976</v>
      </c>
      <c r="T300" s="73">
        <f t="shared" si="130"/>
        <v>16919.067036256918</v>
      </c>
      <c r="U300" s="73"/>
      <c r="V300" s="73" t="s">
        <v>15</v>
      </c>
      <c r="W300" s="73">
        <f t="shared" si="130"/>
        <v>9265.8416483684305</v>
      </c>
      <c r="X300" s="73">
        <f t="shared" si="130"/>
        <v>8171.7395355328808</v>
      </c>
      <c r="Y300" s="73">
        <f t="shared" si="130"/>
        <v>7070.1110608677463</v>
      </c>
      <c r="Z300" s="73">
        <f t="shared" si="130"/>
        <v>5966.4358926197319</v>
      </c>
      <c r="AA300" s="73">
        <f t="shared" si="130"/>
        <v>4884.7470020512865</v>
      </c>
      <c r="AB300" s="73">
        <f t="shared" si="130"/>
        <v>73.727962855988693</v>
      </c>
      <c r="AC300" s="73">
        <f t="shared" si="130"/>
        <v>57.220227869606795</v>
      </c>
      <c r="AD300" s="73">
        <f t="shared" si="130"/>
        <v>43.202899566280514</v>
      </c>
    </row>
    <row r="301" spans="2:30" x14ac:dyDescent="0.25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</row>
    <row r="302" spans="2:30" x14ac:dyDescent="0.25">
      <c r="B302" s="73" t="s">
        <v>94</v>
      </c>
      <c r="C302" s="73">
        <f>C293*$B$269</f>
        <v>5273.1684909562509</v>
      </c>
      <c r="D302" s="73">
        <f t="shared" ref="D302:AD303" si="131">D293*$B$269</f>
        <v>4708.4203767078097</v>
      </c>
      <c r="E302" s="73">
        <f t="shared" si="131"/>
        <v>3160.7116299837789</v>
      </c>
      <c r="F302" s="73">
        <f t="shared" si="131"/>
        <v>1390.9247248205813</v>
      </c>
      <c r="G302" s="73">
        <f t="shared" si="131"/>
        <v>1311.207110642084</v>
      </c>
      <c r="H302" s="73">
        <f t="shared" si="131"/>
        <v>701.88185115120405</v>
      </c>
      <c r="I302" s="73">
        <f t="shared" si="131"/>
        <v>635.27940870581688</v>
      </c>
      <c r="J302" s="73">
        <f t="shared" si="131"/>
        <v>568.84322562762668</v>
      </c>
      <c r="K302" s="73"/>
      <c r="L302" s="73" t="s">
        <v>102</v>
      </c>
      <c r="M302" s="73">
        <f t="shared" si="131"/>
        <v>30132.391376892865</v>
      </c>
      <c r="N302" s="73">
        <f t="shared" si="131"/>
        <v>26905.259295473203</v>
      </c>
      <c r="O302" s="73">
        <f t="shared" si="131"/>
        <v>18061.209314193024</v>
      </c>
      <c r="P302" s="73">
        <f t="shared" si="131"/>
        <v>7948.1412846890362</v>
      </c>
      <c r="Q302" s="73">
        <f t="shared" si="131"/>
        <v>7492.6120608119081</v>
      </c>
      <c r="R302" s="73">
        <f t="shared" si="131"/>
        <v>4010.7534351497375</v>
      </c>
      <c r="S302" s="73">
        <f t="shared" si="131"/>
        <v>3630.1680497475254</v>
      </c>
      <c r="T302" s="73">
        <f t="shared" si="131"/>
        <v>3250.5327178721527</v>
      </c>
      <c r="U302" s="73"/>
      <c r="V302" s="73" t="s">
        <v>100</v>
      </c>
      <c r="W302" s="73">
        <f t="shared" si="131"/>
        <v>86.905389388736765</v>
      </c>
      <c r="X302" s="73">
        <f t="shared" si="131"/>
        <v>61.446178391141899</v>
      </c>
      <c r="Y302" s="73">
        <f t="shared" si="131"/>
        <v>36.833363234548422</v>
      </c>
      <c r="Z302" s="73">
        <f t="shared" si="131"/>
        <v>0</v>
      </c>
      <c r="AA302" s="73">
        <f t="shared" si="131"/>
        <v>0</v>
      </c>
      <c r="AB302" s="73">
        <f t="shared" si="131"/>
        <v>0</v>
      </c>
      <c r="AC302" s="73">
        <f t="shared" si="131"/>
        <v>0</v>
      </c>
      <c r="AD302" s="73">
        <f t="shared" si="131"/>
        <v>0</v>
      </c>
    </row>
    <row r="303" spans="2:30" x14ac:dyDescent="0.25">
      <c r="B303" s="73" t="s">
        <v>106</v>
      </c>
      <c r="C303" s="73">
        <f>C294*$B$269</f>
        <v>116009.70680103751</v>
      </c>
      <c r="D303" s="73">
        <f t="shared" si="131"/>
        <v>103585.24828757184</v>
      </c>
      <c r="E303" s="73">
        <f t="shared" si="131"/>
        <v>69535.655859643128</v>
      </c>
      <c r="F303" s="73">
        <f t="shared" si="131"/>
        <v>30600.343946052792</v>
      </c>
      <c r="G303" s="73">
        <f t="shared" si="131"/>
        <v>28846.556434125843</v>
      </c>
      <c r="H303" s="73">
        <f t="shared" si="131"/>
        <v>15441.40072532649</v>
      </c>
      <c r="I303" s="73">
        <f t="shared" si="131"/>
        <v>13976.146991527972</v>
      </c>
      <c r="J303" s="73">
        <f t="shared" si="131"/>
        <v>12514.550963807787</v>
      </c>
      <c r="K303" s="73"/>
      <c r="L303" s="73" t="s">
        <v>103</v>
      </c>
      <c r="M303" s="73">
        <f t="shared" si="131"/>
        <v>662912.61029164295</v>
      </c>
      <c r="N303" s="73">
        <f t="shared" si="131"/>
        <v>591915.70450041059</v>
      </c>
      <c r="O303" s="73">
        <f t="shared" si="131"/>
        <v>397346.60491224646</v>
      </c>
      <c r="P303" s="73">
        <f t="shared" si="131"/>
        <v>174859.10826315882</v>
      </c>
      <c r="Q303" s="73">
        <f t="shared" si="131"/>
        <v>164837.46533786197</v>
      </c>
      <c r="R303" s="73">
        <f t="shared" si="131"/>
        <v>88236.575573294234</v>
      </c>
      <c r="S303" s="73">
        <f t="shared" si="131"/>
        <v>79863.697094445553</v>
      </c>
      <c r="T303" s="73">
        <f t="shared" si="131"/>
        <v>71511.719793187367</v>
      </c>
      <c r="U303" s="73"/>
      <c r="V303" s="73" t="s">
        <v>101</v>
      </c>
      <c r="W303" s="73">
        <f t="shared" si="131"/>
        <v>1911.9185665522089</v>
      </c>
      <c r="X303" s="73">
        <f t="shared" si="131"/>
        <v>1351.8159246051218</v>
      </c>
      <c r="Y303" s="73">
        <f t="shared" si="131"/>
        <v>810.33399116006524</v>
      </c>
      <c r="Z303" s="73">
        <f t="shared" si="131"/>
        <v>0</v>
      </c>
      <c r="AA303" s="73">
        <f t="shared" si="131"/>
        <v>0</v>
      </c>
      <c r="AB303" s="73">
        <f t="shared" si="131"/>
        <v>0</v>
      </c>
      <c r="AC303" s="73">
        <f t="shared" si="131"/>
        <v>0</v>
      </c>
      <c r="AD303" s="73">
        <f t="shared" si="131"/>
        <v>0</v>
      </c>
    </row>
    <row r="304" spans="2:30" ht="15.75" thickBot="1" x14ac:dyDescent="0.3"/>
    <row r="305" spans="2:9" ht="15.75" thickTop="1" x14ac:dyDescent="0.25">
      <c r="B305" s="97" t="s">
        <v>107</v>
      </c>
      <c r="C305" s="93"/>
      <c r="D305" s="101" t="s">
        <v>73</v>
      </c>
    </row>
    <row r="306" spans="2:9" x14ac:dyDescent="0.25">
      <c r="B306" s="13">
        <v>2019</v>
      </c>
      <c r="C306" s="35">
        <f>D300+D302+D303+N300+N302+N303+X300+X302+X303</f>
        <v>934001.28206920251</v>
      </c>
      <c r="D306" s="99">
        <v>934000</v>
      </c>
    </row>
    <row r="307" spans="2:9" x14ac:dyDescent="0.25">
      <c r="B307" s="13">
        <v>2020</v>
      </c>
      <c r="C307" s="35">
        <f>E300+E302+E303+O300+O302+O303+Y300+Y302+Y303</f>
        <v>685241.92761636281</v>
      </c>
      <c r="D307" s="99">
        <v>685000</v>
      </c>
    </row>
    <row r="308" spans="2:9" x14ac:dyDescent="0.25">
      <c r="B308" s="13">
        <v>2021</v>
      </c>
      <c r="C308" s="35">
        <f>F300+F302+F303+P300+P302+P303+Z300+Z302+Z303</f>
        <v>400580.03599317436</v>
      </c>
      <c r="D308" s="99">
        <v>401000</v>
      </c>
    </row>
    <row r="309" spans="2:9" x14ac:dyDescent="0.25">
      <c r="B309" s="13">
        <v>2022</v>
      </c>
      <c r="C309" s="35">
        <f>G300+G302+G303+Q300+Q302+Q303+AA300+AA302+AA303</f>
        <v>378014.43807745504</v>
      </c>
      <c r="D309" s="99">
        <v>378000</v>
      </c>
    </row>
    <row r="310" spans="2:9" x14ac:dyDescent="0.25">
      <c r="B310" s="13">
        <v>2023</v>
      </c>
      <c r="C310" s="35">
        <f>H300+H302+H303+R300+R302+R303+AB300+AB302+AB303</f>
        <v>130421.85787278901</v>
      </c>
      <c r="D310" s="99">
        <v>130000</v>
      </c>
    </row>
    <row r="311" spans="2:9" x14ac:dyDescent="0.25">
      <c r="B311" s="13">
        <v>2024</v>
      </c>
      <c r="C311" s="35">
        <f>I300+I302+I303+S300+S302+S303+AC300+AC302+AC303</f>
        <v>119112.40769695866</v>
      </c>
      <c r="D311" s="99">
        <v>119000</v>
      </c>
    </row>
    <row r="312" spans="2:9" x14ac:dyDescent="0.25">
      <c r="B312" s="13">
        <v>2025</v>
      </c>
      <c r="C312" s="35">
        <f>J300+J302+J303+T300+T302+T303+AD300+AD302+AD303</f>
        <v>107768.7533676631</v>
      </c>
      <c r="D312" s="99">
        <v>108000</v>
      </c>
    </row>
    <row r="313" spans="2:9" ht="15.75" thickBot="1" x14ac:dyDescent="0.3">
      <c r="B313" s="94" t="s">
        <v>11</v>
      </c>
      <c r="C313" s="91">
        <f>SUM(C306:C312)</f>
        <v>2755140.7026936053</v>
      </c>
      <c r="D313" s="100">
        <f>SUM(D306:D312)</f>
        <v>2755000</v>
      </c>
    </row>
    <row r="314" spans="2:9" ht="15.75" thickTop="1" x14ac:dyDescent="0.25"/>
    <row r="316" spans="2:9" x14ac:dyDescent="0.25">
      <c r="B316" s="8" t="s">
        <v>109</v>
      </c>
    </row>
    <row r="317" spans="2:9" ht="15.75" thickBot="1" x14ac:dyDescent="0.3"/>
    <row r="318" spans="2:9" ht="15.75" thickTop="1" x14ac:dyDescent="0.25">
      <c r="B318" s="113" t="s">
        <v>12</v>
      </c>
      <c r="C318" s="114" t="s">
        <v>110</v>
      </c>
      <c r="D318" s="114" t="s">
        <v>90</v>
      </c>
      <c r="E318" s="114" t="s">
        <v>111</v>
      </c>
      <c r="F318" s="114" t="s">
        <v>68</v>
      </c>
      <c r="G318" s="114" t="s">
        <v>149</v>
      </c>
      <c r="H318" s="114" t="s">
        <v>172</v>
      </c>
      <c r="I318" s="115" t="s">
        <v>109</v>
      </c>
    </row>
    <row r="319" spans="2:9" x14ac:dyDescent="0.25">
      <c r="B319" s="108">
        <v>2019</v>
      </c>
      <c r="C319" s="17">
        <f t="shared" ref="C319:C325" si="132">I142</f>
        <v>116974000</v>
      </c>
      <c r="D319" s="17">
        <f t="shared" ref="D319:D325" si="133">D306</f>
        <v>934000</v>
      </c>
      <c r="E319" s="17">
        <f t="shared" ref="E319:E325" si="134">G191</f>
        <v>976000</v>
      </c>
      <c r="F319" s="17">
        <f t="shared" ref="F319:F325" si="135">G156</f>
        <v>311000</v>
      </c>
      <c r="G319" s="17">
        <v>0</v>
      </c>
      <c r="H319" s="17">
        <f t="shared" ref="H319:H325" si="136">F249</f>
        <v>0</v>
      </c>
      <c r="I319" s="109">
        <f>C319-D319+E319+F319+G319+H319</f>
        <v>117327000</v>
      </c>
    </row>
    <row r="320" spans="2:9" x14ac:dyDescent="0.25">
      <c r="B320" s="108">
        <v>2020</v>
      </c>
      <c r="C320" s="17">
        <f t="shared" si="132"/>
        <v>48198000</v>
      </c>
      <c r="D320" s="17">
        <f t="shared" si="133"/>
        <v>685000</v>
      </c>
      <c r="E320" s="17">
        <f t="shared" si="134"/>
        <v>0</v>
      </c>
      <c r="F320" s="17">
        <f t="shared" si="135"/>
        <v>621000</v>
      </c>
      <c r="G320" s="17">
        <v>0</v>
      </c>
      <c r="H320" s="17">
        <f t="shared" si="136"/>
        <v>0</v>
      </c>
      <c r="I320" s="109">
        <f t="shared" ref="I320:I325" si="137">C320-D320+E320+F320+G320+H320</f>
        <v>48134000</v>
      </c>
    </row>
    <row r="321" spans="2:12" x14ac:dyDescent="0.25">
      <c r="B321" s="108">
        <v>2021</v>
      </c>
      <c r="C321" s="17">
        <f t="shared" si="132"/>
        <v>8428000</v>
      </c>
      <c r="D321" s="17">
        <f t="shared" si="133"/>
        <v>401000</v>
      </c>
      <c r="E321" s="17">
        <f t="shared" si="134"/>
        <v>0</v>
      </c>
      <c r="F321" s="17">
        <f t="shared" si="135"/>
        <v>311000</v>
      </c>
      <c r="G321" s="17">
        <v>0</v>
      </c>
      <c r="H321" s="17">
        <f t="shared" si="136"/>
        <v>0</v>
      </c>
      <c r="I321" s="109">
        <f t="shared" si="137"/>
        <v>8338000</v>
      </c>
    </row>
    <row r="322" spans="2:12" x14ac:dyDescent="0.25">
      <c r="B322" s="108">
        <v>2022</v>
      </c>
      <c r="C322" s="17">
        <f t="shared" si="132"/>
        <v>20055000</v>
      </c>
      <c r="D322" s="17">
        <f t="shared" si="133"/>
        <v>378000</v>
      </c>
      <c r="E322" s="17">
        <f t="shared" si="134"/>
        <v>0</v>
      </c>
      <c r="F322" s="17">
        <f t="shared" si="135"/>
        <v>155000</v>
      </c>
      <c r="G322" s="17">
        <v>0</v>
      </c>
      <c r="H322" s="17">
        <f t="shared" si="136"/>
        <v>5832000</v>
      </c>
      <c r="I322" s="109">
        <f t="shared" si="137"/>
        <v>25664000</v>
      </c>
    </row>
    <row r="323" spans="2:12" x14ac:dyDescent="0.25">
      <c r="B323" s="108">
        <v>2023</v>
      </c>
      <c r="C323" s="17">
        <f t="shared" si="132"/>
        <v>6402000</v>
      </c>
      <c r="D323" s="17">
        <f t="shared" si="133"/>
        <v>130000</v>
      </c>
      <c r="E323" s="17">
        <f t="shared" si="134"/>
        <v>182000</v>
      </c>
      <c r="F323" s="17">
        <f t="shared" si="135"/>
        <v>78000</v>
      </c>
      <c r="G323" s="17">
        <f>C241</f>
        <v>5364000</v>
      </c>
      <c r="H323" s="17">
        <f t="shared" si="136"/>
        <v>3332000</v>
      </c>
      <c r="I323" s="109">
        <f t="shared" si="137"/>
        <v>15228000</v>
      </c>
      <c r="L323" s="73"/>
    </row>
    <row r="324" spans="2:12" x14ac:dyDescent="0.25">
      <c r="B324" s="108">
        <v>2024</v>
      </c>
      <c r="C324" s="17">
        <f t="shared" si="132"/>
        <v>6440000</v>
      </c>
      <c r="D324" s="17">
        <f t="shared" si="133"/>
        <v>119000</v>
      </c>
      <c r="E324" s="17">
        <f t="shared" si="134"/>
        <v>0</v>
      </c>
      <c r="F324" s="17">
        <f t="shared" si="135"/>
        <v>54000</v>
      </c>
      <c r="G324" s="17">
        <f>D241</f>
        <v>2682000</v>
      </c>
      <c r="H324" s="17">
        <f t="shared" si="136"/>
        <v>3457000</v>
      </c>
      <c r="I324" s="109">
        <f t="shared" si="137"/>
        <v>12514000</v>
      </c>
      <c r="L324" s="73"/>
    </row>
    <row r="325" spans="2:12" x14ac:dyDescent="0.25">
      <c r="B325" s="108">
        <v>2025</v>
      </c>
      <c r="C325" s="17">
        <f t="shared" si="132"/>
        <v>6461000</v>
      </c>
      <c r="D325" s="17">
        <f t="shared" si="133"/>
        <v>108000</v>
      </c>
      <c r="E325" s="17">
        <f t="shared" si="134"/>
        <v>0</v>
      </c>
      <c r="F325" s="17">
        <f t="shared" si="135"/>
        <v>54000</v>
      </c>
      <c r="G325" s="17">
        <f>E241</f>
        <v>2682000</v>
      </c>
      <c r="H325" s="17">
        <f t="shared" si="136"/>
        <v>3567000</v>
      </c>
      <c r="I325" s="109">
        <f t="shared" si="137"/>
        <v>12656000</v>
      </c>
    </row>
    <row r="326" spans="2:12" ht="15.75" thickBot="1" x14ac:dyDescent="0.3">
      <c r="B326" s="110" t="s">
        <v>11</v>
      </c>
      <c r="C326" s="111">
        <f t="shared" ref="C326:G326" si="138">SUM(C319:C325)</f>
        <v>212958000</v>
      </c>
      <c r="D326" s="111">
        <f t="shared" si="138"/>
        <v>2755000</v>
      </c>
      <c r="E326" s="111">
        <f t="shared" si="138"/>
        <v>1158000</v>
      </c>
      <c r="F326" s="111">
        <f t="shared" si="138"/>
        <v>1584000</v>
      </c>
      <c r="G326" s="111">
        <f t="shared" si="138"/>
        <v>10728000</v>
      </c>
      <c r="H326" s="111">
        <f>SUM(H319:H325)</f>
        <v>16188000</v>
      </c>
      <c r="I326" s="112">
        <f>SUM(I319:I325)</f>
        <v>239861000</v>
      </c>
    </row>
    <row r="327" spans="2:12" ht="15.75" thickTop="1" x14ac:dyDescent="0.25"/>
    <row r="329" spans="2:12" x14ac:dyDescent="0.25">
      <c r="B329" s="8" t="s">
        <v>136</v>
      </c>
    </row>
    <row r="330" spans="2:12" x14ac:dyDescent="0.25">
      <c r="B330" s="87" t="s">
        <v>12</v>
      </c>
      <c r="C330" t="s">
        <v>137</v>
      </c>
      <c r="D330" t="s">
        <v>139</v>
      </c>
      <c r="E330" t="s">
        <v>138</v>
      </c>
    </row>
    <row r="331" spans="2:12" x14ac:dyDescent="0.25">
      <c r="B331">
        <v>2019</v>
      </c>
      <c r="C331">
        <v>0.56799999999999995</v>
      </c>
      <c r="D331" s="73">
        <f t="shared" ref="D331:D337" si="139">C331*365</f>
        <v>207.32</v>
      </c>
      <c r="E331" s="73">
        <f t="shared" ref="E331:E337" si="140">C331*2000*365</f>
        <v>414640</v>
      </c>
    </row>
    <row r="332" spans="2:12" x14ac:dyDescent="0.25">
      <c r="B332">
        <v>2020</v>
      </c>
      <c r="C332">
        <v>0.63700000000000001</v>
      </c>
      <c r="D332" s="73">
        <f t="shared" si="139"/>
        <v>232.505</v>
      </c>
      <c r="E332" s="73">
        <f t="shared" si="140"/>
        <v>465010</v>
      </c>
    </row>
    <row r="333" spans="2:12" x14ac:dyDescent="0.25">
      <c r="B333">
        <v>2021</v>
      </c>
      <c r="C333">
        <v>0.6</v>
      </c>
      <c r="D333" s="73">
        <f t="shared" si="139"/>
        <v>219</v>
      </c>
      <c r="E333" s="73">
        <f t="shared" si="140"/>
        <v>438000</v>
      </c>
    </row>
    <row r="334" spans="2:12" x14ac:dyDescent="0.25">
      <c r="B334">
        <v>2022</v>
      </c>
      <c r="C334">
        <v>0.46400000000000002</v>
      </c>
      <c r="D334" s="73">
        <f t="shared" si="139"/>
        <v>169.36</v>
      </c>
      <c r="E334" s="73">
        <f t="shared" si="140"/>
        <v>338720</v>
      </c>
    </row>
    <row r="335" spans="2:12" x14ac:dyDescent="0.25">
      <c r="B335">
        <v>2023</v>
      </c>
      <c r="C335">
        <v>0.34100000000000003</v>
      </c>
      <c r="D335" s="73">
        <f t="shared" si="139"/>
        <v>124.465</v>
      </c>
      <c r="E335" s="73">
        <f t="shared" si="140"/>
        <v>248930</v>
      </c>
    </row>
    <row r="336" spans="2:12" x14ac:dyDescent="0.25">
      <c r="B336">
        <v>2024</v>
      </c>
      <c r="C336">
        <v>0.36699999999999999</v>
      </c>
      <c r="D336" s="73">
        <f t="shared" si="139"/>
        <v>133.95499999999998</v>
      </c>
      <c r="E336" s="73">
        <f t="shared" si="140"/>
        <v>267910</v>
      </c>
    </row>
    <row r="337" spans="2:5" x14ac:dyDescent="0.25">
      <c r="B337">
        <v>2025</v>
      </c>
      <c r="C337">
        <v>0.38900000000000001</v>
      </c>
      <c r="D337" s="73">
        <f t="shared" si="139"/>
        <v>141.98500000000001</v>
      </c>
      <c r="E337" s="73">
        <f t="shared" si="140"/>
        <v>283970</v>
      </c>
    </row>
    <row r="338" spans="2:5" x14ac:dyDescent="0.25">
      <c r="B338" t="s">
        <v>11</v>
      </c>
      <c r="C338">
        <f>SUM(C331:C337)</f>
        <v>3.3660000000000005</v>
      </c>
      <c r="D338" s="73">
        <f>SUM(D331:D337)</f>
        <v>1228.5900000000001</v>
      </c>
      <c r="E338" s="73">
        <f>SUM(E331:E337)</f>
        <v>2457180</v>
      </c>
    </row>
    <row r="340" spans="2:5" x14ac:dyDescent="0.25">
      <c r="B340" s="8" t="s">
        <v>140</v>
      </c>
    </row>
    <row r="341" spans="2:5" x14ac:dyDescent="0.25">
      <c r="B341" t="s">
        <v>141</v>
      </c>
      <c r="C341" s="141">
        <f>I326/D338</f>
        <v>195232.74648173922</v>
      </c>
    </row>
    <row r="342" spans="2:5" x14ac:dyDescent="0.25">
      <c r="B342" t="s">
        <v>142</v>
      </c>
      <c r="C342" s="141">
        <f>I326/E338</f>
        <v>97.616373240869621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22"/>
  <sheetViews>
    <sheetView tabSelected="1" zoomScale="86" zoomScaleNormal="86" workbookViewId="0">
      <selection activeCell="B154" sqref="B154"/>
    </sheetView>
  </sheetViews>
  <sheetFormatPr defaultRowHeight="15" x14ac:dyDescent="0.25"/>
  <cols>
    <col min="2" max="2" width="22.7109375" customWidth="1"/>
    <col min="3" max="3" width="21.28515625" customWidth="1"/>
    <col min="4" max="4" width="28.85546875" customWidth="1"/>
    <col min="5" max="5" width="17.5703125" customWidth="1"/>
    <col min="6" max="6" width="16" customWidth="1"/>
    <col min="7" max="7" width="17" customWidth="1"/>
    <col min="8" max="8" width="23.7109375" customWidth="1"/>
    <col min="9" max="9" width="23.42578125" customWidth="1"/>
    <col min="10" max="10" width="15.7109375" customWidth="1"/>
    <col min="11" max="11" width="14.28515625" customWidth="1"/>
    <col min="12" max="12" width="14.42578125" customWidth="1"/>
    <col min="13" max="13" width="13.85546875" customWidth="1"/>
    <col min="14" max="14" width="21.85546875" customWidth="1"/>
    <col min="15" max="15" width="17" customWidth="1"/>
    <col min="16" max="16" width="17.5703125" customWidth="1"/>
    <col min="17" max="17" width="10.5703125" customWidth="1"/>
    <col min="18" max="18" width="14.42578125" customWidth="1"/>
    <col min="19" max="19" width="12" customWidth="1"/>
    <col min="20" max="20" width="14.140625" customWidth="1"/>
    <col min="21" max="21" width="22.28515625" customWidth="1"/>
    <col min="22" max="22" width="14.7109375" customWidth="1"/>
    <col min="23" max="23" width="15.5703125" customWidth="1"/>
    <col min="24" max="24" width="14" customWidth="1"/>
    <col min="25" max="25" width="13.42578125" customWidth="1"/>
    <col min="26" max="26" width="13.5703125" customWidth="1"/>
    <col min="27" max="27" width="14.28515625" customWidth="1"/>
    <col min="28" max="28" width="14.5703125" customWidth="1"/>
  </cols>
  <sheetData>
    <row r="1" spans="2:17" x14ac:dyDescent="0.25">
      <c r="O1" s="8" t="s">
        <v>67</v>
      </c>
      <c r="P1" t="s">
        <v>135</v>
      </c>
    </row>
    <row r="2" spans="2:17" ht="15.75" thickBot="1" x14ac:dyDescent="0.3"/>
    <row r="3" spans="2:17" ht="15.75" thickTop="1" x14ac:dyDescent="0.25">
      <c r="B3" s="1" t="s">
        <v>0</v>
      </c>
      <c r="C3" t="s">
        <v>1</v>
      </c>
      <c r="N3" s="42" t="s">
        <v>12</v>
      </c>
      <c r="O3" s="50" t="s">
        <v>14</v>
      </c>
      <c r="P3" s="80" t="s">
        <v>15</v>
      </c>
      <c r="Q3" s="43" t="s">
        <v>16</v>
      </c>
    </row>
    <row r="4" spans="2:17" x14ac:dyDescent="0.25">
      <c r="C4" t="s">
        <v>2</v>
      </c>
      <c r="E4" t="s">
        <v>3</v>
      </c>
      <c r="N4" s="44">
        <v>2011</v>
      </c>
      <c r="O4" s="48" t="s">
        <v>65</v>
      </c>
      <c r="P4" s="48">
        <v>8.01</v>
      </c>
      <c r="Q4" s="77">
        <v>1.1200000000000001</v>
      </c>
    </row>
    <row r="5" spans="2:17" x14ac:dyDescent="0.25">
      <c r="B5" s="2" t="s">
        <v>12</v>
      </c>
      <c r="C5" s="2">
        <v>2018</v>
      </c>
      <c r="D5" s="2">
        <v>2019</v>
      </c>
      <c r="E5" s="2">
        <v>2020</v>
      </c>
      <c r="F5" s="2">
        <v>2021</v>
      </c>
      <c r="G5" s="2">
        <v>2022</v>
      </c>
      <c r="H5" s="2">
        <v>2023</v>
      </c>
      <c r="I5" s="2">
        <v>2024</v>
      </c>
      <c r="J5" s="2">
        <v>2025</v>
      </c>
      <c r="N5" s="44">
        <v>2014</v>
      </c>
      <c r="O5" s="48">
        <v>7.01</v>
      </c>
      <c r="P5" s="48">
        <v>7.83</v>
      </c>
      <c r="Q5" s="77">
        <v>0.9</v>
      </c>
    </row>
    <row r="6" spans="2:17" ht="19.5" thickBot="1" x14ac:dyDescent="0.35">
      <c r="B6" s="3" t="s">
        <v>4</v>
      </c>
      <c r="C6" s="4"/>
      <c r="D6" s="4"/>
      <c r="E6" s="4"/>
      <c r="F6" s="4"/>
      <c r="G6" s="4"/>
      <c r="H6" s="4"/>
      <c r="I6" s="4"/>
      <c r="J6" s="4"/>
      <c r="N6" s="46">
        <v>2016</v>
      </c>
      <c r="O6" s="74">
        <v>7.34</v>
      </c>
      <c r="P6" s="74">
        <v>15.29</v>
      </c>
      <c r="Q6" s="78">
        <v>1.35</v>
      </c>
    </row>
    <row r="7" spans="2:17" ht="16.5" thickTop="1" thickBot="1" x14ac:dyDescent="0.3">
      <c r="B7" s="5" t="s">
        <v>5</v>
      </c>
      <c r="C7" s="6">
        <v>108410.55990559849</v>
      </c>
      <c r="D7" s="6">
        <v>106168.62426979949</v>
      </c>
      <c r="E7" s="6">
        <v>101820.11616840152</v>
      </c>
      <c r="F7" s="6">
        <v>96759.049215894149</v>
      </c>
      <c r="G7" s="6">
        <v>91822.904966670962</v>
      </c>
      <c r="H7" s="6">
        <v>11815.408218454433</v>
      </c>
      <c r="I7" s="6">
        <v>11273.203502331169</v>
      </c>
      <c r="J7" s="6">
        <v>10697.437428083533</v>
      </c>
    </row>
    <row r="8" spans="2:17" ht="15.75" thickTop="1" x14ac:dyDescent="0.25">
      <c r="B8" s="5" t="s">
        <v>6</v>
      </c>
      <c r="C8" s="6">
        <v>273459.60099555581</v>
      </c>
      <c r="D8" s="6">
        <v>312784.51056735357</v>
      </c>
      <c r="E8" s="6">
        <v>373639.80119887122</v>
      </c>
      <c r="F8" s="6">
        <v>439524.7837783256</v>
      </c>
      <c r="G8" s="6">
        <v>476536.1203578097</v>
      </c>
      <c r="H8" s="6">
        <v>583537.20867161872</v>
      </c>
      <c r="I8" s="6">
        <v>612469.32223807357</v>
      </c>
      <c r="J8" s="6">
        <v>638396.25951051654</v>
      </c>
      <c r="N8" s="42"/>
      <c r="O8" s="81">
        <v>2019</v>
      </c>
      <c r="P8" s="82" t="s">
        <v>66</v>
      </c>
    </row>
    <row r="9" spans="2:17" x14ac:dyDescent="0.25">
      <c r="B9" s="5" t="s">
        <v>7</v>
      </c>
      <c r="C9" s="6">
        <v>127012.27186348365</v>
      </c>
      <c r="D9" s="6">
        <v>113409.4558062435</v>
      </c>
      <c r="E9" s="6">
        <v>76130.54001936024</v>
      </c>
      <c r="F9" s="6">
        <v>33502.534499616573</v>
      </c>
      <c r="G9" s="6">
        <v>31582.4146889728</v>
      </c>
      <c r="H9" s="6">
        <v>16905.890385895033</v>
      </c>
      <c r="I9" s="6">
        <v>15301.669405443959</v>
      </c>
      <c r="J9" s="6">
        <v>13701.453034362472</v>
      </c>
      <c r="N9" s="44" t="s">
        <v>14</v>
      </c>
      <c r="O9" s="48">
        <f>2019*0.165-325.3</f>
        <v>7.8349999999999795</v>
      </c>
      <c r="P9" s="77">
        <v>0.16500000000000001</v>
      </c>
    </row>
    <row r="10" spans="2:17" x14ac:dyDescent="0.25">
      <c r="B10" s="5" t="s">
        <v>8</v>
      </c>
      <c r="C10" s="6">
        <v>64792.995768826258</v>
      </c>
      <c r="D10" s="6">
        <v>60341.297649762419</v>
      </c>
      <c r="E10" s="6">
        <v>55476.671967986877</v>
      </c>
      <c r="F10" s="6">
        <v>47428.04526372601</v>
      </c>
      <c r="G10" s="6">
        <v>37786.996301316489</v>
      </c>
      <c r="H10" s="6">
        <v>28479.05336433656</v>
      </c>
      <c r="I10" s="6">
        <v>25785.553944489166</v>
      </c>
      <c r="J10" s="6">
        <v>23210.35855515482</v>
      </c>
      <c r="N10" s="44" t="s">
        <v>15</v>
      </c>
      <c r="O10" s="48">
        <f>2019*1.3363-2680.5</f>
        <v>17.489700000000084</v>
      </c>
      <c r="P10" s="77">
        <v>1.34</v>
      </c>
    </row>
    <row r="11" spans="2:17" ht="15.75" thickBot="1" x14ac:dyDescent="0.3">
      <c r="B11" s="5" t="s">
        <v>9</v>
      </c>
      <c r="C11" s="6">
        <f t="shared" ref="C11:J11" si="0">SUM(C7:C10)</f>
        <v>573675.4285334642</v>
      </c>
      <c r="D11" s="6">
        <f t="shared" si="0"/>
        <v>592703.88829315896</v>
      </c>
      <c r="E11" s="6">
        <f t="shared" si="0"/>
        <v>607067.12935461989</v>
      </c>
      <c r="F11" s="6">
        <f t="shared" si="0"/>
        <v>617214.41275756236</v>
      </c>
      <c r="G11" s="6">
        <f t="shared" si="0"/>
        <v>637728.4363147699</v>
      </c>
      <c r="H11" s="6">
        <f t="shared" si="0"/>
        <v>640737.56064030482</v>
      </c>
      <c r="I11" s="6">
        <f t="shared" si="0"/>
        <v>664829.74909033789</v>
      </c>
      <c r="J11" s="6">
        <f t="shared" si="0"/>
        <v>686005.50852811744</v>
      </c>
      <c r="N11" s="46" t="s">
        <v>16</v>
      </c>
      <c r="O11" s="74">
        <f>2019*0.0366-72.534</f>
        <v>1.3613999999999891</v>
      </c>
      <c r="P11" s="78">
        <v>0.04</v>
      </c>
    </row>
    <row r="12" spans="2:17" ht="19.5" thickTop="1" x14ac:dyDescent="0.3">
      <c r="B12" s="3" t="s">
        <v>10</v>
      </c>
      <c r="C12" s="7"/>
      <c r="D12" s="7"/>
      <c r="E12" s="7"/>
      <c r="F12" s="7"/>
      <c r="G12" s="7"/>
      <c r="H12" s="7"/>
      <c r="I12" s="7"/>
      <c r="J12" s="7"/>
    </row>
    <row r="13" spans="2:17" x14ac:dyDescent="0.25">
      <c r="B13" s="5" t="s">
        <v>5</v>
      </c>
      <c r="C13" s="6">
        <v>6695.4560650107887</v>
      </c>
      <c r="D13" s="6">
        <v>5904.8627325188818</v>
      </c>
      <c r="E13" s="6">
        <v>5108.8308843614041</v>
      </c>
      <c r="F13" s="6">
        <v>4311.3201045015767</v>
      </c>
      <c r="G13" s="6">
        <v>3529.6965113456804</v>
      </c>
      <c r="H13" s="6">
        <v>53.2754988481745</v>
      </c>
      <c r="I13" s="6">
        <v>41.347082787489555</v>
      </c>
      <c r="J13" s="6">
        <v>31.218223546701729</v>
      </c>
    </row>
    <row r="14" spans="2:17" x14ac:dyDescent="0.25">
      <c r="B14" s="5" t="s">
        <v>6</v>
      </c>
      <c r="C14" s="6">
        <v>46491.361131278652</v>
      </c>
      <c r="D14" s="6">
        <v>49657.254101634382</v>
      </c>
      <c r="E14" s="6">
        <v>52535.602460458977</v>
      </c>
      <c r="F14" s="6">
        <v>55351.791111490784</v>
      </c>
      <c r="G14" s="6">
        <v>58173.653791756362</v>
      </c>
      <c r="H14" s="6">
        <v>62075.347240682582</v>
      </c>
      <c r="I14" s="6">
        <v>63370.466011437573</v>
      </c>
      <c r="J14" s="6">
        <v>64460.98678521008</v>
      </c>
    </row>
    <row r="15" spans="2:17" x14ac:dyDescent="0.25">
      <c r="B15" s="5" t="s">
        <v>7</v>
      </c>
      <c r="C15" s="6">
        <v>418.64965863977062</v>
      </c>
      <c r="D15" s="6">
        <v>296.00490589947208</v>
      </c>
      <c r="E15" s="6">
        <v>177.43749902232059</v>
      </c>
      <c r="F15" s="6"/>
      <c r="G15" s="6"/>
      <c r="H15" s="6"/>
      <c r="I15" s="6"/>
      <c r="J15" s="6"/>
    </row>
    <row r="16" spans="2:17" x14ac:dyDescent="0.25">
      <c r="B16" s="5" t="s">
        <v>8</v>
      </c>
      <c r="C16" s="6">
        <v>3448.3865853810748</v>
      </c>
      <c r="D16" s="6">
        <v>2750.5815354414281</v>
      </c>
      <c r="E16" s="6">
        <v>2157.7691022185973</v>
      </c>
      <c r="F16" s="6">
        <v>1354.1862386734415</v>
      </c>
      <c r="G16" s="6">
        <v>106.32276376788423</v>
      </c>
      <c r="H16" s="6">
        <v>78.476315482777522</v>
      </c>
      <c r="I16" s="6">
        <v>59.591859566995936</v>
      </c>
      <c r="J16" s="6">
        <v>46.922258508151167</v>
      </c>
    </row>
    <row r="17" spans="2:23" x14ac:dyDescent="0.25">
      <c r="B17" s="5" t="s">
        <v>11</v>
      </c>
      <c r="C17" s="6">
        <f t="shared" ref="C17:J17" si="1">SUM(C13:C16)</f>
        <v>57053.853440310282</v>
      </c>
      <c r="D17" s="6">
        <f t="shared" si="1"/>
        <v>58608.703275494161</v>
      </c>
      <c r="E17" s="6">
        <f t="shared" si="1"/>
        <v>59979.639946061303</v>
      </c>
      <c r="F17" s="6">
        <f t="shared" si="1"/>
        <v>61017.297454665801</v>
      </c>
      <c r="G17" s="6">
        <f t="shared" si="1"/>
        <v>61809.673066869931</v>
      </c>
      <c r="H17" s="6">
        <f t="shared" si="1"/>
        <v>62207.099055013532</v>
      </c>
      <c r="I17" s="6">
        <f t="shared" si="1"/>
        <v>63471.404953792058</v>
      </c>
      <c r="J17" s="6">
        <f t="shared" si="1"/>
        <v>64539.127267264936</v>
      </c>
    </row>
    <row r="21" spans="2:23" x14ac:dyDescent="0.25">
      <c r="D21" s="41" t="s">
        <v>26</v>
      </c>
      <c r="E21" t="s">
        <v>13</v>
      </c>
    </row>
    <row r="22" spans="2:23" ht="15.75" thickBot="1" x14ac:dyDescent="0.3">
      <c r="D22" s="8" t="s">
        <v>14</v>
      </c>
      <c r="J22" s="8" t="s">
        <v>15</v>
      </c>
      <c r="P22" s="8" t="s">
        <v>16</v>
      </c>
      <c r="V22" s="8" t="s">
        <v>17</v>
      </c>
    </row>
    <row r="23" spans="2:23" ht="16.5" thickTop="1" thickBot="1" x14ac:dyDescent="0.3">
      <c r="B23" s="9" t="s">
        <v>12</v>
      </c>
      <c r="C23" s="10" t="s">
        <v>18</v>
      </c>
      <c r="D23" s="11" t="s">
        <v>19</v>
      </c>
      <c r="E23" s="11" t="s">
        <v>20</v>
      </c>
      <c r="F23" s="11" t="s">
        <v>21</v>
      </c>
      <c r="G23" s="39"/>
      <c r="H23" s="11" t="s">
        <v>18</v>
      </c>
      <c r="I23" s="11" t="s">
        <v>22</v>
      </c>
      <c r="J23" s="11" t="s">
        <v>20</v>
      </c>
      <c r="K23" s="11" t="s">
        <v>21</v>
      </c>
      <c r="L23" s="39"/>
      <c r="M23" s="11" t="s">
        <v>18</v>
      </c>
      <c r="N23" s="11" t="s">
        <v>23</v>
      </c>
      <c r="O23" s="11" t="s">
        <v>20</v>
      </c>
      <c r="P23" s="11" t="s">
        <v>21</v>
      </c>
      <c r="Q23" s="37"/>
      <c r="S23" s="9" t="s">
        <v>12</v>
      </c>
      <c r="T23" s="12" t="s">
        <v>18</v>
      </c>
      <c r="U23" s="12" t="s">
        <v>24</v>
      </c>
      <c r="V23" s="12" t="s">
        <v>20</v>
      </c>
      <c r="W23" s="34" t="s">
        <v>21</v>
      </c>
    </row>
    <row r="24" spans="2:23" x14ac:dyDescent="0.25">
      <c r="B24" s="13">
        <v>2019</v>
      </c>
      <c r="C24" s="18">
        <f t="shared" ref="C24:C30" si="2">(B24*0.165-325.3)/100</f>
        <v>7.8349999999999795E-2</v>
      </c>
      <c r="D24" s="19">
        <f>C24</f>
        <v>7.8349999999999795E-2</v>
      </c>
      <c r="E24" s="20">
        <f>D10</f>
        <v>60341.297649762419</v>
      </c>
      <c r="F24" s="21">
        <f t="shared" ref="F24:F30" si="3">E24*D24</f>
        <v>4727.7406708588733</v>
      </c>
      <c r="G24" s="40"/>
      <c r="H24" s="139">
        <f t="shared" ref="H24:H30" si="4">(B24*1.3363-2680.5)/100</f>
        <v>0.17489700000000086</v>
      </c>
      <c r="I24" s="19">
        <f>H24</f>
        <v>0.17489700000000086</v>
      </c>
      <c r="J24" s="20">
        <f>D7</f>
        <v>106168.62426979949</v>
      </c>
      <c r="K24" s="21">
        <f t="shared" ref="K24:K30" si="5">J24*I24</f>
        <v>18568.573878915213</v>
      </c>
      <c r="L24" s="40"/>
      <c r="M24" s="139">
        <f t="shared" ref="M24:M30" si="6">(B24*0.0366-72.534)/100</f>
        <v>1.361399999999989E-2</v>
      </c>
      <c r="N24" s="19">
        <f>M24</f>
        <v>1.361399999999989E-2</v>
      </c>
      <c r="O24" s="20">
        <f>D8</f>
        <v>312784.51056735357</v>
      </c>
      <c r="P24" s="21">
        <f t="shared" ref="P24:P30" si="7">O24*N24</f>
        <v>4258.2483268639171</v>
      </c>
      <c r="Q24" s="38"/>
      <c r="S24" s="13">
        <v>2019</v>
      </c>
      <c r="T24" s="16">
        <v>0.1</v>
      </c>
      <c r="U24" s="16">
        <v>0.1</v>
      </c>
      <c r="V24" s="17">
        <f>D9</f>
        <v>113409.4558062435</v>
      </c>
      <c r="W24" s="35">
        <f t="shared" ref="W24:W30" si="8">V24*U24</f>
        <v>11340.94558062435</v>
      </c>
    </row>
    <row r="25" spans="2:23" x14ac:dyDescent="0.25">
      <c r="B25" s="13">
        <v>2020</v>
      </c>
      <c r="C25" s="18">
        <f t="shared" si="2"/>
        <v>0.08</v>
      </c>
      <c r="D25" s="19">
        <f>C25-C24</f>
        <v>1.6500000000002069E-3</v>
      </c>
      <c r="E25" s="20">
        <f>E10</f>
        <v>55476.671967986877</v>
      </c>
      <c r="F25" s="21">
        <f t="shared" si="3"/>
        <v>91.536508747189828</v>
      </c>
      <c r="G25" s="40"/>
      <c r="H25" s="139">
        <f t="shared" si="4"/>
        <v>0.1882600000000002</v>
      </c>
      <c r="I25" s="19">
        <f>H25-H24</f>
        <v>1.3362999999999348E-2</v>
      </c>
      <c r="J25" s="20">
        <f>E7</f>
        <v>101820.11616840152</v>
      </c>
      <c r="K25" s="21">
        <f t="shared" si="5"/>
        <v>1360.6222123582832</v>
      </c>
      <c r="L25" s="40"/>
      <c r="M25" s="139">
        <f t="shared" si="6"/>
        <v>1.3979999999999961E-2</v>
      </c>
      <c r="N25" s="19">
        <f>M25-M24</f>
        <v>3.6600000000007113E-4</v>
      </c>
      <c r="O25" s="20">
        <f>E8</f>
        <v>373639.80119887122</v>
      </c>
      <c r="P25" s="21">
        <f t="shared" si="7"/>
        <v>136.75216723881346</v>
      </c>
      <c r="Q25" s="38"/>
      <c r="S25" s="13">
        <v>2020</v>
      </c>
      <c r="T25" s="16">
        <f t="shared" ref="T25:T30" si="9">T24+0.01</f>
        <v>0.11</v>
      </c>
      <c r="U25" s="16">
        <f t="shared" ref="U25:U30" si="10">T25-T24</f>
        <v>9.999999999999995E-3</v>
      </c>
      <c r="V25" s="17">
        <f>E9</f>
        <v>76130.54001936024</v>
      </c>
      <c r="W25" s="35">
        <f t="shared" si="8"/>
        <v>761.30540019360205</v>
      </c>
    </row>
    <row r="26" spans="2:23" x14ac:dyDescent="0.25">
      <c r="B26" s="13">
        <v>2021</v>
      </c>
      <c r="C26" s="18">
        <f t="shared" si="2"/>
        <v>8.1650000000000209E-2</v>
      </c>
      <c r="D26" s="19">
        <f t="shared" ref="D26:D30" si="11">D25</f>
        <v>1.6500000000002069E-3</v>
      </c>
      <c r="E26" s="20">
        <f>F10</f>
        <v>47428.04526372601</v>
      </c>
      <c r="F26" s="21">
        <f t="shared" si="3"/>
        <v>78.25627468515772</v>
      </c>
      <c r="G26" s="40"/>
      <c r="H26" s="139">
        <f t="shared" si="4"/>
        <v>0.20162299999999958</v>
      </c>
      <c r="I26" s="19">
        <f t="shared" ref="I26:I30" si="12">I25</f>
        <v>1.3362999999999348E-2</v>
      </c>
      <c r="J26" s="20">
        <f>F7</f>
        <v>96759.049215894149</v>
      </c>
      <c r="K26" s="21">
        <f t="shared" si="5"/>
        <v>1292.9911746719304</v>
      </c>
      <c r="L26" s="40"/>
      <c r="M26" s="139">
        <f t="shared" si="6"/>
        <v>1.434599999999989E-2</v>
      </c>
      <c r="N26" s="19">
        <f t="shared" ref="N26:N30" si="13">N25</f>
        <v>3.6600000000007113E-4</v>
      </c>
      <c r="O26" s="20">
        <f>F8</f>
        <v>439524.7837783256</v>
      </c>
      <c r="P26" s="21">
        <f t="shared" si="7"/>
        <v>160.86607086289843</v>
      </c>
      <c r="Q26" s="38"/>
      <c r="S26" s="13">
        <v>2021</v>
      </c>
      <c r="T26" s="16">
        <f t="shared" si="9"/>
        <v>0.12</v>
      </c>
      <c r="U26" s="16">
        <f t="shared" si="10"/>
        <v>9.999999999999995E-3</v>
      </c>
      <c r="V26" s="17">
        <f>F9</f>
        <v>33502.534499616573</v>
      </c>
      <c r="W26" s="35">
        <f t="shared" si="8"/>
        <v>335.02534499616559</v>
      </c>
    </row>
    <row r="27" spans="2:23" x14ac:dyDescent="0.25">
      <c r="B27" s="13">
        <v>2022</v>
      </c>
      <c r="C27" s="18">
        <f t="shared" si="2"/>
        <v>8.3299999999999846E-2</v>
      </c>
      <c r="D27" s="19">
        <f t="shared" si="11"/>
        <v>1.6500000000002069E-3</v>
      </c>
      <c r="E27" s="20">
        <f>G10</f>
        <v>37786.996301316489</v>
      </c>
      <c r="F27" s="21">
        <f t="shared" si="3"/>
        <v>62.348543897180022</v>
      </c>
      <c r="G27" s="40"/>
      <c r="H27" s="139">
        <f t="shared" si="4"/>
        <v>0.21498599999999896</v>
      </c>
      <c r="I27" s="19">
        <f t="shared" si="12"/>
        <v>1.3362999999999348E-2</v>
      </c>
      <c r="J27" s="20">
        <f>G7</f>
        <v>91822.904966670962</v>
      </c>
      <c r="K27" s="21">
        <f t="shared" si="5"/>
        <v>1227.0294790695641</v>
      </c>
      <c r="L27" s="40"/>
      <c r="M27" s="139">
        <f t="shared" si="6"/>
        <v>1.4711999999999961E-2</v>
      </c>
      <c r="N27" s="19">
        <f t="shared" si="13"/>
        <v>3.6600000000007113E-4</v>
      </c>
      <c r="O27" s="20">
        <f>G8</f>
        <v>476536.1203578097</v>
      </c>
      <c r="P27" s="21">
        <f t="shared" si="7"/>
        <v>174.41222005099226</v>
      </c>
      <c r="Q27" s="38"/>
      <c r="S27" s="13">
        <v>2022</v>
      </c>
      <c r="T27" s="16">
        <f t="shared" si="9"/>
        <v>0.13</v>
      </c>
      <c r="U27" s="16">
        <f t="shared" si="10"/>
        <v>1.0000000000000009E-2</v>
      </c>
      <c r="V27" s="17">
        <f>G9</f>
        <v>31582.4146889728</v>
      </c>
      <c r="W27" s="35">
        <f t="shared" si="8"/>
        <v>315.8241468897283</v>
      </c>
    </row>
    <row r="28" spans="2:23" x14ac:dyDescent="0.25">
      <c r="B28" s="13">
        <v>2023</v>
      </c>
      <c r="C28" s="18">
        <f t="shared" si="2"/>
        <v>8.4950000000000039E-2</v>
      </c>
      <c r="D28" s="19">
        <f t="shared" si="11"/>
        <v>1.6500000000002069E-3</v>
      </c>
      <c r="E28" s="20">
        <f>H10</f>
        <v>28479.05336433656</v>
      </c>
      <c r="F28" s="21">
        <f t="shared" si="3"/>
        <v>46.990438051161213</v>
      </c>
      <c r="G28" s="40"/>
      <c r="H28" s="139">
        <f t="shared" si="4"/>
        <v>0.22834900000000288</v>
      </c>
      <c r="I28" s="19">
        <f t="shared" si="12"/>
        <v>1.3362999999999348E-2</v>
      </c>
      <c r="J28" s="20">
        <f>H7</f>
        <v>11815.408218454433</v>
      </c>
      <c r="K28" s="21">
        <f t="shared" si="5"/>
        <v>157.88930002319887</v>
      </c>
      <c r="L28" s="40"/>
      <c r="M28" s="139">
        <f t="shared" si="6"/>
        <v>1.507799999999989E-2</v>
      </c>
      <c r="N28" s="19">
        <f t="shared" si="13"/>
        <v>3.6600000000007113E-4</v>
      </c>
      <c r="O28" s="20">
        <f>H8</f>
        <v>583537.20867161872</v>
      </c>
      <c r="P28" s="21">
        <f t="shared" si="7"/>
        <v>213.57461837385395</v>
      </c>
      <c r="Q28" s="38"/>
      <c r="S28" s="13">
        <v>2023</v>
      </c>
      <c r="T28" s="16">
        <f t="shared" si="9"/>
        <v>0.14000000000000001</v>
      </c>
      <c r="U28" s="16">
        <f t="shared" si="10"/>
        <v>1.0000000000000009E-2</v>
      </c>
      <c r="V28" s="17">
        <f>H9</f>
        <v>16905.890385895033</v>
      </c>
      <c r="W28" s="35">
        <f t="shared" si="8"/>
        <v>169.05890385895049</v>
      </c>
    </row>
    <row r="29" spans="2:23" x14ac:dyDescent="0.25">
      <c r="B29" s="13">
        <v>2024</v>
      </c>
      <c r="C29" s="18">
        <f t="shared" si="2"/>
        <v>8.6600000000000246E-2</v>
      </c>
      <c r="D29" s="19">
        <f t="shared" si="11"/>
        <v>1.6500000000002069E-3</v>
      </c>
      <c r="E29" s="20">
        <f>I10</f>
        <v>25785.553944489166</v>
      </c>
      <c r="F29" s="21">
        <f t="shared" si="3"/>
        <v>42.546164008412454</v>
      </c>
      <c r="G29" s="40"/>
      <c r="H29" s="139">
        <f t="shared" si="4"/>
        <v>0.24171200000000226</v>
      </c>
      <c r="I29" s="19">
        <f t="shared" si="12"/>
        <v>1.3362999999999348E-2</v>
      </c>
      <c r="J29" s="20">
        <f>I7</f>
        <v>11273.203502331169</v>
      </c>
      <c r="K29" s="21">
        <f t="shared" si="5"/>
        <v>150.64381840164407</v>
      </c>
      <c r="L29" s="40"/>
      <c r="M29" s="139">
        <f t="shared" si="6"/>
        <v>1.5443999999999959E-2</v>
      </c>
      <c r="N29" s="19">
        <f t="shared" si="13"/>
        <v>3.6600000000007113E-4</v>
      </c>
      <c r="O29" s="20">
        <f>I8</f>
        <v>612469.32223807357</v>
      </c>
      <c r="P29" s="21">
        <f t="shared" si="7"/>
        <v>224.1637719391785</v>
      </c>
      <c r="Q29" s="38"/>
      <c r="S29" s="13">
        <v>2024</v>
      </c>
      <c r="T29" s="16">
        <f t="shared" si="9"/>
        <v>0.15000000000000002</v>
      </c>
      <c r="U29" s="16">
        <f t="shared" si="10"/>
        <v>1.0000000000000009E-2</v>
      </c>
      <c r="V29" s="17">
        <f>I9</f>
        <v>15301.669405443959</v>
      </c>
      <c r="W29" s="35">
        <f t="shared" si="8"/>
        <v>153.01669405443974</v>
      </c>
    </row>
    <row r="30" spans="2:23" ht="15.75" thickBot="1" x14ac:dyDescent="0.3">
      <c r="B30" s="13">
        <v>2025</v>
      </c>
      <c r="C30" s="137">
        <f t="shared" si="2"/>
        <v>8.8249999999999884E-2</v>
      </c>
      <c r="D30" s="19">
        <f t="shared" si="11"/>
        <v>1.6500000000002069E-3</v>
      </c>
      <c r="E30" s="23">
        <f>J10</f>
        <v>23210.35855515482</v>
      </c>
      <c r="F30" s="21">
        <f t="shared" si="3"/>
        <v>38.297091616010256</v>
      </c>
      <c r="G30" s="40"/>
      <c r="H30" s="140">
        <f t="shared" si="4"/>
        <v>0.25507500000000166</v>
      </c>
      <c r="I30" s="19">
        <f t="shared" si="12"/>
        <v>1.3362999999999348E-2</v>
      </c>
      <c r="J30" s="23">
        <f>J7</f>
        <v>10697.437428083533</v>
      </c>
      <c r="K30" s="24">
        <f t="shared" si="5"/>
        <v>142.94985635147327</v>
      </c>
      <c r="L30" s="40"/>
      <c r="M30" s="140">
        <f t="shared" si="6"/>
        <v>1.580999999999989E-2</v>
      </c>
      <c r="N30" s="19">
        <f t="shared" si="13"/>
        <v>3.6600000000007113E-4</v>
      </c>
      <c r="O30" s="23">
        <f>J8</f>
        <v>638396.25951051654</v>
      </c>
      <c r="P30" s="21">
        <f t="shared" si="7"/>
        <v>233.65303098089447</v>
      </c>
      <c r="Q30" s="38"/>
      <c r="S30" s="13">
        <v>2025</v>
      </c>
      <c r="T30" s="16">
        <f t="shared" si="9"/>
        <v>0.16000000000000003</v>
      </c>
      <c r="U30" s="16">
        <f t="shared" si="10"/>
        <v>1.0000000000000009E-2</v>
      </c>
      <c r="V30" s="17">
        <f>J9</f>
        <v>13701.453034362472</v>
      </c>
      <c r="W30" s="35">
        <f t="shared" si="8"/>
        <v>137.01453034362484</v>
      </c>
    </row>
    <row r="31" spans="2:23" ht="15.75" thickBot="1" x14ac:dyDescent="0.3">
      <c r="B31" s="25" t="s">
        <v>25</v>
      </c>
      <c r="C31" s="26"/>
      <c r="D31" s="27"/>
      <c r="E31" s="28"/>
      <c r="F31" s="29">
        <f>SUM(F24:F28)</f>
        <v>5006.8724362395633</v>
      </c>
      <c r="G31" s="40"/>
      <c r="H31" s="30"/>
      <c r="I31" s="30"/>
      <c r="J31" s="31"/>
      <c r="K31" s="29">
        <f>SUM(K24:K28)</f>
        <v>22607.106045038188</v>
      </c>
      <c r="L31" s="40"/>
      <c r="M31" s="30"/>
      <c r="N31" s="30"/>
      <c r="O31" s="31"/>
      <c r="P31" s="29">
        <f>SUM(P24:P28)</f>
        <v>4943.8534033904753</v>
      </c>
      <c r="Q31" s="38"/>
      <c r="S31" s="32" t="s">
        <v>25</v>
      </c>
      <c r="T31" s="30"/>
      <c r="U31" s="30"/>
      <c r="V31" s="33"/>
      <c r="W31" s="36">
        <f>SUM(W24:W28)</f>
        <v>12922.159376562795</v>
      </c>
    </row>
    <row r="32" spans="2:23" ht="15.75" thickTop="1" x14ac:dyDescent="0.25"/>
    <row r="34" spans="2:23" x14ac:dyDescent="0.25">
      <c r="D34" s="41" t="s">
        <v>27</v>
      </c>
      <c r="E34" t="s">
        <v>13</v>
      </c>
    </row>
    <row r="35" spans="2:23" ht="15.75" thickBot="1" x14ac:dyDescent="0.3">
      <c r="D35" s="8" t="s">
        <v>14</v>
      </c>
      <c r="J35" s="8" t="s">
        <v>15</v>
      </c>
      <c r="P35" s="8" t="s">
        <v>16</v>
      </c>
      <c r="V35" s="8" t="s">
        <v>17</v>
      </c>
    </row>
    <row r="36" spans="2:23" ht="16.5" thickTop="1" thickBot="1" x14ac:dyDescent="0.3">
      <c r="B36" s="9" t="s">
        <v>12</v>
      </c>
      <c r="C36" s="10" t="s">
        <v>18</v>
      </c>
      <c r="D36" s="11" t="s">
        <v>19</v>
      </c>
      <c r="E36" s="11" t="s">
        <v>20</v>
      </c>
      <c r="F36" s="11" t="s">
        <v>21</v>
      </c>
      <c r="G36" s="39"/>
      <c r="H36" s="11" t="s">
        <v>18</v>
      </c>
      <c r="I36" s="11" t="s">
        <v>22</v>
      </c>
      <c r="J36" s="11" t="s">
        <v>20</v>
      </c>
      <c r="K36" s="11" t="s">
        <v>21</v>
      </c>
      <c r="L36" s="39"/>
      <c r="M36" s="11" t="s">
        <v>18</v>
      </c>
      <c r="N36" s="11" t="s">
        <v>23</v>
      </c>
      <c r="O36" s="11" t="s">
        <v>20</v>
      </c>
      <c r="P36" s="11" t="s">
        <v>21</v>
      </c>
      <c r="Q36" s="37"/>
      <c r="S36" s="9" t="s">
        <v>12</v>
      </c>
      <c r="T36" s="12" t="s">
        <v>18</v>
      </c>
      <c r="U36" s="12" t="s">
        <v>24</v>
      </c>
      <c r="V36" s="12" t="s">
        <v>20</v>
      </c>
      <c r="W36" s="34" t="s">
        <v>21</v>
      </c>
    </row>
    <row r="37" spans="2:23" x14ac:dyDescent="0.25">
      <c r="B37" s="13">
        <v>2019</v>
      </c>
      <c r="C37" s="18">
        <f t="shared" ref="C37:D43" si="14">C24</f>
        <v>7.8349999999999795E-2</v>
      </c>
      <c r="D37" s="19">
        <f t="shared" si="14"/>
        <v>7.8349999999999795E-2</v>
      </c>
      <c r="E37" s="20">
        <f>D16</f>
        <v>2750.5815354414281</v>
      </c>
      <c r="F37" s="21">
        <f t="shared" ref="F37:F43" si="15">E37*D37</f>
        <v>215.50806330183534</v>
      </c>
      <c r="G37" s="40"/>
      <c r="H37" s="139">
        <f t="shared" ref="H37:I43" si="16">H24</f>
        <v>0.17489700000000086</v>
      </c>
      <c r="I37" s="19">
        <f t="shared" si="16"/>
        <v>0.17489700000000086</v>
      </c>
      <c r="J37" s="20">
        <f>D13</f>
        <v>5904.8627325188818</v>
      </c>
      <c r="K37" s="21">
        <f t="shared" ref="K37:K43" si="17">J37*I37</f>
        <v>1032.74277732936</v>
      </c>
      <c r="L37" s="40"/>
      <c r="M37" s="139">
        <f t="shared" ref="M37:N43" si="18">M24</f>
        <v>1.361399999999989E-2</v>
      </c>
      <c r="N37" s="19">
        <f t="shared" si="18"/>
        <v>1.361399999999989E-2</v>
      </c>
      <c r="O37" s="20">
        <f>D14</f>
        <v>49657.254101634382</v>
      </c>
      <c r="P37" s="21">
        <f t="shared" ref="P37:P43" si="19">O37*N37</f>
        <v>676.03385733964501</v>
      </c>
      <c r="Q37" s="38"/>
      <c r="S37" s="13">
        <v>2019</v>
      </c>
      <c r="T37" s="16">
        <v>0.1</v>
      </c>
      <c r="U37" s="16">
        <v>0.1</v>
      </c>
      <c r="V37" s="17">
        <f>D15</f>
        <v>296.00490589947208</v>
      </c>
      <c r="W37" s="35">
        <f t="shared" ref="W37:W43" si="20">V37*U37</f>
        <v>29.60049058994721</v>
      </c>
    </row>
    <row r="38" spans="2:23" x14ac:dyDescent="0.25">
      <c r="B38" s="13">
        <v>2020</v>
      </c>
      <c r="C38" s="18">
        <f t="shared" si="14"/>
        <v>0.08</v>
      </c>
      <c r="D38" s="19">
        <f t="shared" si="14"/>
        <v>1.6500000000002069E-3</v>
      </c>
      <c r="E38" s="20">
        <f>E16</f>
        <v>2157.7691022185973</v>
      </c>
      <c r="F38" s="21">
        <f t="shared" si="15"/>
        <v>3.560319018661132</v>
      </c>
      <c r="G38" s="40"/>
      <c r="H38" s="139">
        <f t="shared" si="16"/>
        <v>0.1882600000000002</v>
      </c>
      <c r="I38" s="19">
        <f t="shared" si="16"/>
        <v>1.3362999999999348E-2</v>
      </c>
      <c r="J38" s="20">
        <f>E13</f>
        <v>5108.8308843614041</v>
      </c>
      <c r="K38" s="21">
        <f t="shared" si="17"/>
        <v>68.269307107718106</v>
      </c>
      <c r="L38" s="40"/>
      <c r="M38" s="139">
        <f t="shared" si="18"/>
        <v>1.3979999999999961E-2</v>
      </c>
      <c r="N38" s="19">
        <f t="shared" si="18"/>
        <v>3.6600000000007113E-4</v>
      </c>
      <c r="O38" s="20">
        <f>E14</f>
        <v>52535.602460458977</v>
      </c>
      <c r="P38" s="21">
        <f t="shared" si="19"/>
        <v>19.228030500531723</v>
      </c>
      <c r="Q38" s="38"/>
      <c r="S38" s="13">
        <v>2020</v>
      </c>
      <c r="T38" s="16">
        <f t="shared" ref="T38:T43" si="21">T37+0.01</f>
        <v>0.11</v>
      </c>
      <c r="U38" s="16">
        <f t="shared" ref="U38:U43" si="22">T38-T37</f>
        <v>9.999999999999995E-3</v>
      </c>
      <c r="V38" s="17">
        <f>E15</f>
        <v>177.43749902232059</v>
      </c>
      <c r="W38" s="35">
        <f t="shared" si="20"/>
        <v>1.7743749902232051</v>
      </c>
    </row>
    <row r="39" spans="2:23" x14ac:dyDescent="0.25">
      <c r="B39" s="13">
        <v>2021</v>
      </c>
      <c r="C39" s="18">
        <f t="shared" si="14"/>
        <v>8.1650000000000209E-2</v>
      </c>
      <c r="D39" s="19">
        <f t="shared" si="14"/>
        <v>1.6500000000002069E-3</v>
      </c>
      <c r="E39" s="20">
        <f>F16</f>
        <v>1354.1862386734415</v>
      </c>
      <c r="F39" s="21">
        <f t="shared" si="15"/>
        <v>2.2344072938114588</v>
      </c>
      <c r="G39" s="40"/>
      <c r="H39" s="139">
        <f t="shared" si="16"/>
        <v>0.20162299999999958</v>
      </c>
      <c r="I39" s="19">
        <f t="shared" si="16"/>
        <v>1.3362999999999348E-2</v>
      </c>
      <c r="J39" s="20">
        <f>F13</f>
        <v>4311.3201045015767</v>
      </c>
      <c r="K39" s="21">
        <f t="shared" si="17"/>
        <v>57.612170556451758</v>
      </c>
      <c r="L39" s="40"/>
      <c r="M39" s="139">
        <f t="shared" si="18"/>
        <v>1.434599999999989E-2</v>
      </c>
      <c r="N39" s="19">
        <f t="shared" si="18"/>
        <v>3.6600000000007113E-4</v>
      </c>
      <c r="O39" s="20">
        <f>F14</f>
        <v>55351.791111490784</v>
      </c>
      <c r="P39" s="21">
        <f t="shared" si="19"/>
        <v>20.258755546809564</v>
      </c>
      <c r="Q39" s="38"/>
      <c r="S39" s="13">
        <v>2021</v>
      </c>
      <c r="T39" s="16">
        <f t="shared" si="21"/>
        <v>0.12</v>
      </c>
      <c r="U39" s="16">
        <f t="shared" si="22"/>
        <v>9.999999999999995E-3</v>
      </c>
      <c r="V39" s="17">
        <v>0</v>
      </c>
      <c r="W39" s="35">
        <f t="shared" si="20"/>
        <v>0</v>
      </c>
    </row>
    <row r="40" spans="2:23" x14ac:dyDescent="0.25">
      <c r="B40" s="13">
        <v>2022</v>
      </c>
      <c r="C40" s="18">
        <f t="shared" si="14"/>
        <v>8.3299999999999846E-2</v>
      </c>
      <c r="D40" s="19">
        <f t="shared" si="14"/>
        <v>1.6500000000002069E-3</v>
      </c>
      <c r="E40" s="20">
        <f>G16</f>
        <v>106.32276376788423</v>
      </c>
      <c r="F40" s="21">
        <f t="shared" si="15"/>
        <v>0.17543256021703096</v>
      </c>
      <c r="G40" s="40"/>
      <c r="H40" s="139">
        <f t="shared" si="16"/>
        <v>0.21498599999999896</v>
      </c>
      <c r="I40" s="19">
        <f t="shared" si="16"/>
        <v>1.3362999999999348E-2</v>
      </c>
      <c r="J40" s="20">
        <f>G13</f>
        <v>3529.6965113456804</v>
      </c>
      <c r="K40" s="21">
        <f t="shared" si="17"/>
        <v>47.167334481110025</v>
      </c>
      <c r="L40" s="40"/>
      <c r="M40" s="139">
        <f t="shared" si="18"/>
        <v>1.4711999999999961E-2</v>
      </c>
      <c r="N40" s="19">
        <f t="shared" si="18"/>
        <v>3.6600000000007113E-4</v>
      </c>
      <c r="O40" s="20">
        <f>G14</f>
        <v>58173.653791756362</v>
      </c>
      <c r="P40" s="21">
        <f t="shared" si="19"/>
        <v>21.291557287786965</v>
      </c>
      <c r="Q40" s="38"/>
      <c r="S40" s="13">
        <v>2022</v>
      </c>
      <c r="T40" s="16">
        <f t="shared" si="21"/>
        <v>0.13</v>
      </c>
      <c r="U40" s="16">
        <f t="shared" si="22"/>
        <v>1.0000000000000009E-2</v>
      </c>
      <c r="V40" s="17">
        <v>0</v>
      </c>
      <c r="W40" s="35">
        <f t="shared" si="20"/>
        <v>0</v>
      </c>
    </row>
    <row r="41" spans="2:23" x14ac:dyDescent="0.25">
      <c r="B41" s="13">
        <v>2023</v>
      </c>
      <c r="C41" s="18">
        <f t="shared" si="14"/>
        <v>8.4950000000000039E-2</v>
      </c>
      <c r="D41" s="19">
        <f t="shared" si="14"/>
        <v>1.6500000000002069E-3</v>
      </c>
      <c r="E41" s="20">
        <f>H16</f>
        <v>78.476315482777522</v>
      </c>
      <c r="F41" s="21">
        <f t="shared" si="15"/>
        <v>0.12948592054659916</v>
      </c>
      <c r="G41" s="40"/>
      <c r="H41" s="139">
        <f t="shared" si="16"/>
        <v>0.22834900000000288</v>
      </c>
      <c r="I41" s="19">
        <f t="shared" si="16"/>
        <v>1.3362999999999348E-2</v>
      </c>
      <c r="J41" s="20">
        <f>H13</f>
        <v>53.2754988481745</v>
      </c>
      <c r="K41" s="21">
        <f t="shared" si="17"/>
        <v>0.71192049110812106</v>
      </c>
      <c r="L41" s="40"/>
      <c r="M41" s="139">
        <f t="shared" si="18"/>
        <v>1.507799999999989E-2</v>
      </c>
      <c r="N41" s="19">
        <f t="shared" si="18"/>
        <v>3.6600000000007113E-4</v>
      </c>
      <c r="O41" s="20">
        <f>H14</f>
        <v>62075.347240682582</v>
      </c>
      <c r="P41" s="21">
        <f t="shared" si="19"/>
        <v>22.719577090094241</v>
      </c>
      <c r="Q41" s="38"/>
      <c r="S41" s="13">
        <v>2023</v>
      </c>
      <c r="T41" s="16">
        <f t="shared" si="21"/>
        <v>0.14000000000000001</v>
      </c>
      <c r="U41" s="16">
        <f t="shared" si="22"/>
        <v>1.0000000000000009E-2</v>
      </c>
      <c r="V41" s="17">
        <v>0</v>
      </c>
      <c r="W41" s="35">
        <f t="shared" si="20"/>
        <v>0</v>
      </c>
    </row>
    <row r="42" spans="2:23" x14ac:dyDescent="0.25">
      <c r="B42" s="13">
        <v>2024</v>
      </c>
      <c r="C42" s="18">
        <f t="shared" si="14"/>
        <v>8.6600000000000246E-2</v>
      </c>
      <c r="D42" s="19">
        <f t="shared" si="14"/>
        <v>1.6500000000002069E-3</v>
      </c>
      <c r="E42" s="20">
        <f>I16</f>
        <v>59.591859566995936</v>
      </c>
      <c r="F42" s="21">
        <f t="shared" si="15"/>
        <v>9.8326568285555624E-2</v>
      </c>
      <c r="G42" s="40"/>
      <c r="H42" s="139">
        <f t="shared" si="16"/>
        <v>0.24171200000000226</v>
      </c>
      <c r="I42" s="19">
        <f t="shared" si="16"/>
        <v>1.3362999999999348E-2</v>
      </c>
      <c r="J42" s="20">
        <f>I13</f>
        <v>41.347082787489555</v>
      </c>
      <c r="K42" s="21">
        <f t="shared" si="17"/>
        <v>0.55252106728919592</v>
      </c>
      <c r="L42" s="40"/>
      <c r="M42" s="139">
        <f t="shared" si="18"/>
        <v>1.5443999999999959E-2</v>
      </c>
      <c r="N42" s="19">
        <f t="shared" si="18"/>
        <v>3.6600000000007113E-4</v>
      </c>
      <c r="O42" s="20">
        <f>I14</f>
        <v>63370.466011437573</v>
      </c>
      <c r="P42" s="21">
        <f t="shared" si="19"/>
        <v>23.19359056019066</v>
      </c>
      <c r="Q42" s="38"/>
      <c r="S42" s="13">
        <v>2024</v>
      </c>
      <c r="T42" s="16">
        <f t="shared" si="21"/>
        <v>0.15000000000000002</v>
      </c>
      <c r="U42" s="16">
        <f t="shared" si="22"/>
        <v>1.0000000000000009E-2</v>
      </c>
      <c r="V42" s="17">
        <v>0</v>
      </c>
      <c r="W42" s="35">
        <f t="shared" si="20"/>
        <v>0</v>
      </c>
    </row>
    <row r="43" spans="2:23" ht="15.75" thickBot="1" x14ac:dyDescent="0.3">
      <c r="B43" s="13">
        <v>2025</v>
      </c>
      <c r="C43" s="137">
        <f t="shared" si="14"/>
        <v>8.8249999999999884E-2</v>
      </c>
      <c r="D43" s="138">
        <f t="shared" si="14"/>
        <v>1.6500000000002069E-3</v>
      </c>
      <c r="E43" s="23">
        <f>J16</f>
        <v>46.922258508151167</v>
      </c>
      <c r="F43" s="21">
        <f t="shared" si="15"/>
        <v>7.7421726538459135E-2</v>
      </c>
      <c r="G43" s="40"/>
      <c r="H43" s="140">
        <f t="shared" si="16"/>
        <v>0.25507500000000166</v>
      </c>
      <c r="I43" s="138">
        <f t="shared" si="16"/>
        <v>1.3362999999999348E-2</v>
      </c>
      <c r="J43" s="23">
        <f>J13</f>
        <v>31.218223546701729</v>
      </c>
      <c r="K43" s="24">
        <f t="shared" si="17"/>
        <v>0.41716912125455485</v>
      </c>
      <c r="L43" s="40"/>
      <c r="M43" s="140">
        <f t="shared" si="18"/>
        <v>1.580999999999989E-2</v>
      </c>
      <c r="N43" s="138">
        <f t="shared" si="18"/>
        <v>3.6600000000007113E-4</v>
      </c>
      <c r="O43" s="23">
        <f>J14</f>
        <v>64460.98678521008</v>
      </c>
      <c r="P43" s="21">
        <f t="shared" si="19"/>
        <v>23.592721163391474</v>
      </c>
      <c r="Q43" s="38"/>
      <c r="S43" s="13">
        <v>2025</v>
      </c>
      <c r="T43" s="16">
        <f t="shared" si="21"/>
        <v>0.16000000000000003</v>
      </c>
      <c r="U43" s="16">
        <f t="shared" si="22"/>
        <v>1.0000000000000009E-2</v>
      </c>
      <c r="V43" s="17">
        <v>0</v>
      </c>
      <c r="W43" s="35">
        <f t="shared" si="20"/>
        <v>0</v>
      </c>
    </row>
    <row r="44" spans="2:23" ht="15.75" thickBot="1" x14ac:dyDescent="0.3">
      <c r="B44" s="25" t="s">
        <v>25</v>
      </c>
      <c r="C44" s="26"/>
      <c r="D44" s="27"/>
      <c r="E44" s="28"/>
      <c r="F44" s="29">
        <f>SUM(F37:F41)</f>
        <v>221.60770809507153</v>
      </c>
      <c r="G44" s="40"/>
      <c r="H44" s="30"/>
      <c r="I44" s="30"/>
      <c r="J44" s="31"/>
      <c r="K44" s="29">
        <f>SUM(K37:K41)</f>
        <v>1206.503509965748</v>
      </c>
      <c r="L44" s="40"/>
      <c r="M44" s="30"/>
      <c r="N44" s="30"/>
      <c r="O44" s="31"/>
      <c r="P44" s="29">
        <f>SUM(P37:P41)</f>
        <v>759.53177776486757</v>
      </c>
      <c r="Q44" s="38"/>
      <c r="S44" s="32" t="s">
        <v>25</v>
      </c>
      <c r="T44" s="30"/>
      <c r="U44" s="30"/>
      <c r="V44" s="33"/>
      <c r="W44" s="36">
        <f>SUM(W37:W41)</f>
        <v>31.374865580170415</v>
      </c>
    </row>
    <row r="45" spans="2:23" ht="15.75" thickTop="1" x14ac:dyDescent="0.25"/>
    <row r="46" spans="2:23" ht="15.75" thickBot="1" x14ac:dyDescent="0.3">
      <c r="C46" s="41" t="s">
        <v>28</v>
      </c>
    </row>
    <row r="47" spans="2:23" ht="15.75" thickTop="1" x14ac:dyDescent="0.25">
      <c r="B47" s="52" t="s">
        <v>38</v>
      </c>
      <c r="C47" s="53" t="s">
        <v>37</v>
      </c>
      <c r="D47" s="54" t="s">
        <v>34</v>
      </c>
      <c r="F47" s="52" t="s">
        <v>31</v>
      </c>
      <c r="G47" s="54"/>
    </row>
    <row r="48" spans="2:23" x14ac:dyDescent="0.25">
      <c r="B48" s="44" t="s">
        <v>29</v>
      </c>
      <c r="C48" s="49">
        <v>0.35</v>
      </c>
      <c r="D48" s="45" t="s">
        <v>35</v>
      </c>
      <c r="F48" s="44" t="s">
        <v>32</v>
      </c>
      <c r="G48" s="45">
        <v>0.2</v>
      </c>
    </row>
    <row r="49" spans="2:28" ht="15.75" thickBot="1" x14ac:dyDescent="0.3">
      <c r="B49" s="44" t="s">
        <v>30</v>
      </c>
      <c r="C49" s="49">
        <v>0.5</v>
      </c>
      <c r="D49" s="45" t="s">
        <v>36</v>
      </c>
      <c r="F49" s="46" t="s">
        <v>33</v>
      </c>
      <c r="G49" s="47">
        <v>0.8</v>
      </c>
    </row>
    <row r="50" spans="2:28" ht="16.5" thickTop="1" thickBot="1" x14ac:dyDescent="0.3">
      <c r="B50" s="171" t="s">
        <v>170</v>
      </c>
      <c r="C50" s="51">
        <v>0.7</v>
      </c>
      <c r="D50" s="78" t="s">
        <v>211</v>
      </c>
    </row>
    <row r="51" spans="2:28" ht="15.75" thickTop="1" x14ac:dyDescent="0.25"/>
    <row r="52" spans="2:28" ht="15.75" thickBot="1" x14ac:dyDescent="0.3">
      <c r="B52" t="s">
        <v>32</v>
      </c>
      <c r="I52" t="s">
        <v>36</v>
      </c>
      <c r="P52" t="s">
        <v>45</v>
      </c>
    </row>
    <row r="53" spans="2:28" ht="16.5" thickTop="1" thickBot="1" x14ac:dyDescent="0.3">
      <c r="B53" s="55"/>
      <c r="C53" s="56" t="s">
        <v>43</v>
      </c>
      <c r="D53" s="56"/>
      <c r="E53" s="56"/>
      <c r="F53" s="56"/>
      <c r="G53" s="57"/>
      <c r="I53" s="55"/>
      <c r="J53" s="56" t="s">
        <v>44</v>
      </c>
      <c r="K53" s="56"/>
      <c r="L53" s="56"/>
      <c r="M53" s="56"/>
      <c r="N53" s="57"/>
      <c r="P53" s="55"/>
      <c r="Q53" s="56" t="s">
        <v>46</v>
      </c>
      <c r="R53" s="56"/>
      <c r="S53" s="56"/>
      <c r="T53" s="56"/>
      <c r="U53" s="57"/>
    </row>
    <row r="54" spans="2:28" ht="15.75" thickBot="1" x14ac:dyDescent="0.3">
      <c r="B54" s="58" t="s">
        <v>12</v>
      </c>
      <c r="C54" s="59" t="s">
        <v>14</v>
      </c>
      <c r="D54" s="60" t="s">
        <v>39</v>
      </c>
      <c r="E54" s="60" t="s">
        <v>40</v>
      </c>
      <c r="F54" s="61" t="s">
        <v>41</v>
      </c>
      <c r="G54" s="62" t="s">
        <v>42</v>
      </c>
      <c r="I54" s="58" t="s">
        <v>12</v>
      </c>
      <c r="J54" s="59" t="s">
        <v>14</v>
      </c>
      <c r="K54" s="60" t="s">
        <v>39</v>
      </c>
      <c r="L54" s="60" t="s">
        <v>40</v>
      </c>
      <c r="M54" s="61" t="s">
        <v>41</v>
      </c>
      <c r="N54" s="62" t="s">
        <v>42</v>
      </c>
      <c r="P54" s="58" t="s">
        <v>12</v>
      </c>
      <c r="Q54" s="59" t="s">
        <v>14</v>
      </c>
      <c r="R54" s="60" t="s">
        <v>39</v>
      </c>
      <c r="S54" s="60" t="s">
        <v>40</v>
      </c>
      <c r="T54" s="61" t="s">
        <v>41</v>
      </c>
      <c r="U54" s="62" t="s">
        <v>42</v>
      </c>
    </row>
    <row r="55" spans="2:28" x14ac:dyDescent="0.25">
      <c r="B55" s="13">
        <v>2019</v>
      </c>
      <c r="C55" s="63">
        <f t="shared" ref="C55:C61" si="23">F24*$G$48</f>
        <v>945.54813417177468</v>
      </c>
      <c r="D55" s="64">
        <f t="shared" ref="D55:D61" si="24">K24*$G$48</f>
        <v>3713.7147757830426</v>
      </c>
      <c r="E55" s="64">
        <f t="shared" ref="E55:E61" si="25">P24*$G$48</f>
        <v>851.64966537278349</v>
      </c>
      <c r="F55" s="65">
        <f t="shared" ref="F55:F61" si="26">W24*$G$48</f>
        <v>2268.18911612487</v>
      </c>
      <c r="G55" s="66">
        <f t="shared" ref="G55:G61" si="27">SUM(C55:F55)</f>
        <v>7779.1016914524716</v>
      </c>
      <c r="I55" s="13">
        <v>2019</v>
      </c>
      <c r="J55" s="63">
        <f t="shared" ref="J55:J61" si="28">F24*$G$49</f>
        <v>3782.1925366870987</v>
      </c>
      <c r="K55" s="64">
        <f t="shared" ref="K55:K61" si="29">K24*$G$49</f>
        <v>14854.85910313217</v>
      </c>
      <c r="L55" s="64">
        <f t="shared" ref="L55:L61" si="30">P24*$G$49</f>
        <v>3406.598661491134</v>
      </c>
      <c r="M55" s="65">
        <f t="shared" ref="M55:M61" si="31">W24*$G$49</f>
        <v>9072.75646449948</v>
      </c>
      <c r="N55" s="66">
        <f t="shared" ref="N55:N61" si="32">SUM(J55:M55)</f>
        <v>31116.406765809887</v>
      </c>
      <c r="P55" s="13">
        <v>2019</v>
      </c>
      <c r="Q55" s="63">
        <f t="shared" ref="Q55:Q61" si="33">F37</f>
        <v>215.50806330183534</v>
      </c>
      <c r="R55" s="64">
        <f t="shared" ref="R55:R61" si="34">K37</f>
        <v>1032.74277732936</v>
      </c>
      <c r="S55" s="64">
        <f t="shared" ref="S55:S61" si="35">P37</f>
        <v>676.03385733964501</v>
      </c>
      <c r="T55" s="65">
        <f t="shared" ref="T55:T61" si="36">W37</f>
        <v>29.60049058994721</v>
      </c>
      <c r="U55" s="66">
        <f t="shared" ref="U55:U61" si="37">SUM(Q55:T55)</f>
        <v>1953.8851885607876</v>
      </c>
    </row>
    <row r="56" spans="2:28" x14ac:dyDescent="0.25">
      <c r="B56" s="13">
        <v>2020</v>
      </c>
      <c r="C56" s="63">
        <f t="shared" si="23"/>
        <v>18.307301749437965</v>
      </c>
      <c r="D56" s="64">
        <f t="shared" si="24"/>
        <v>272.12444247165666</v>
      </c>
      <c r="E56" s="64">
        <f t="shared" si="25"/>
        <v>27.350433447762693</v>
      </c>
      <c r="F56" s="65">
        <f t="shared" si="26"/>
        <v>152.26108003872042</v>
      </c>
      <c r="G56" s="66">
        <f t="shared" si="27"/>
        <v>470.04325770757771</v>
      </c>
      <c r="I56" s="13">
        <v>2020</v>
      </c>
      <c r="J56" s="63">
        <f t="shared" si="28"/>
        <v>73.229206997751859</v>
      </c>
      <c r="K56" s="64">
        <f t="shared" si="29"/>
        <v>1088.4977698866267</v>
      </c>
      <c r="L56" s="64">
        <f t="shared" si="30"/>
        <v>109.40173379105077</v>
      </c>
      <c r="M56" s="65">
        <f t="shared" si="31"/>
        <v>609.04432015488169</v>
      </c>
      <c r="N56" s="66">
        <f t="shared" si="32"/>
        <v>1880.1730308303108</v>
      </c>
      <c r="P56" s="13">
        <v>2020</v>
      </c>
      <c r="Q56" s="63">
        <f t="shared" si="33"/>
        <v>3.560319018661132</v>
      </c>
      <c r="R56" s="64">
        <f t="shared" si="34"/>
        <v>68.269307107718106</v>
      </c>
      <c r="S56" s="64">
        <f t="shared" si="35"/>
        <v>19.228030500531723</v>
      </c>
      <c r="T56" s="65">
        <f t="shared" si="36"/>
        <v>1.7743749902232051</v>
      </c>
      <c r="U56" s="66">
        <f t="shared" si="37"/>
        <v>92.832031617134163</v>
      </c>
    </row>
    <row r="57" spans="2:28" x14ac:dyDescent="0.25">
      <c r="B57" s="13">
        <v>2021</v>
      </c>
      <c r="C57" s="63">
        <f t="shared" si="23"/>
        <v>15.651254937031545</v>
      </c>
      <c r="D57" s="64">
        <f t="shared" si="24"/>
        <v>258.59823493438608</v>
      </c>
      <c r="E57" s="64">
        <f t="shared" si="25"/>
        <v>32.173214172579684</v>
      </c>
      <c r="F57" s="65">
        <f t="shared" si="26"/>
        <v>67.005068999233117</v>
      </c>
      <c r="G57" s="66">
        <f t="shared" si="27"/>
        <v>373.42777304323039</v>
      </c>
      <c r="I57" s="13">
        <v>2021</v>
      </c>
      <c r="J57" s="63">
        <f t="shared" si="28"/>
        <v>62.605019748126182</v>
      </c>
      <c r="K57" s="64">
        <f t="shared" si="29"/>
        <v>1034.3929397375443</v>
      </c>
      <c r="L57" s="64">
        <f t="shared" si="30"/>
        <v>128.69285669031873</v>
      </c>
      <c r="M57" s="65">
        <f t="shared" si="31"/>
        <v>268.02027599693247</v>
      </c>
      <c r="N57" s="66">
        <f t="shared" si="32"/>
        <v>1493.7110921729216</v>
      </c>
      <c r="P57" s="13">
        <v>2021</v>
      </c>
      <c r="Q57" s="63">
        <f t="shared" si="33"/>
        <v>2.2344072938114588</v>
      </c>
      <c r="R57" s="64">
        <f t="shared" si="34"/>
        <v>57.612170556451758</v>
      </c>
      <c r="S57" s="64">
        <f t="shared" si="35"/>
        <v>20.258755546809564</v>
      </c>
      <c r="T57" s="65">
        <f t="shared" si="36"/>
        <v>0</v>
      </c>
      <c r="U57" s="66">
        <f t="shared" si="37"/>
        <v>80.105333397072783</v>
      </c>
    </row>
    <row r="58" spans="2:28" x14ac:dyDescent="0.25">
      <c r="B58" s="13">
        <v>2022</v>
      </c>
      <c r="C58" s="63">
        <f t="shared" si="23"/>
        <v>12.469708779436004</v>
      </c>
      <c r="D58" s="64">
        <f t="shared" si="24"/>
        <v>245.40589581391282</v>
      </c>
      <c r="E58" s="64">
        <f t="shared" si="25"/>
        <v>34.882444010198455</v>
      </c>
      <c r="F58" s="65">
        <f t="shared" si="26"/>
        <v>63.164829377945665</v>
      </c>
      <c r="G58" s="66">
        <f t="shared" si="27"/>
        <v>355.922877981493</v>
      </c>
      <c r="I58" s="13">
        <v>2022</v>
      </c>
      <c r="J58" s="63">
        <f t="shared" si="28"/>
        <v>49.878835117744018</v>
      </c>
      <c r="K58" s="64">
        <f t="shared" si="29"/>
        <v>981.62358325565128</v>
      </c>
      <c r="L58" s="64">
        <f t="shared" si="30"/>
        <v>139.52977604079382</v>
      </c>
      <c r="M58" s="65">
        <f t="shared" si="31"/>
        <v>252.65931751178266</v>
      </c>
      <c r="N58" s="66">
        <f t="shared" si="32"/>
        <v>1423.691511925972</v>
      </c>
      <c r="P58" s="13">
        <v>2022</v>
      </c>
      <c r="Q58" s="63">
        <f t="shared" si="33"/>
        <v>0.17543256021703096</v>
      </c>
      <c r="R58" s="64">
        <f t="shared" si="34"/>
        <v>47.167334481110025</v>
      </c>
      <c r="S58" s="64">
        <f t="shared" si="35"/>
        <v>21.291557287786965</v>
      </c>
      <c r="T58" s="65">
        <f t="shared" si="36"/>
        <v>0</v>
      </c>
      <c r="U58" s="66">
        <f t="shared" si="37"/>
        <v>68.634324329114023</v>
      </c>
    </row>
    <row r="59" spans="2:28" x14ac:dyDescent="0.25">
      <c r="B59" s="13">
        <v>2023</v>
      </c>
      <c r="C59" s="63">
        <f t="shared" si="23"/>
        <v>9.3980876102322437</v>
      </c>
      <c r="D59" s="64">
        <f t="shared" si="24"/>
        <v>31.577860004639774</v>
      </c>
      <c r="E59" s="64">
        <f t="shared" si="25"/>
        <v>42.714923674770795</v>
      </c>
      <c r="F59" s="65">
        <f t="shared" si="26"/>
        <v>33.811780771790097</v>
      </c>
      <c r="G59" s="66">
        <f t="shared" si="27"/>
        <v>117.50265206143291</v>
      </c>
      <c r="I59" s="13">
        <v>2023</v>
      </c>
      <c r="J59" s="63">
        <f t="shared" si="28"/>
        <v>37.592350440928975</v>
      </c>
      <c r="K59" s="64">
        <f t="shared" si="29"/>
        <v>126.3114400185591</v>
      </c>
      <c r="L59" s="64">
        <f t="shared" si="30"/>
        <v>170.85969469908318</v>
      </c>
      <c r="M59" s="65">
        <f t="shared" si="31"/>
        <v>135.24712308716039</v>
      </c>
      <c r="N59" s="66">
        <f t="shared" si="32"/>
        <v>470.01060824573165</v>
      </c>
      <c r="P59" s="13">
        <v>2023</v>
      </c>
      <c r="Q59" s="63">
        <f t="shared" si="33"/>
        <v>0.12948592054659916</v>
      </c>
      <c r="R59" s="64">
        <f t="shared" si="34"/>
        <v>0.71192049110812106</v>
      </c>
      <c r="S59" s="64">
        <f t="shared" si="35"/>
        <v>22.719577090094241</v>
      </c>
      <c r="T59" s="65">
        <f t="shared" si="36"/>
        <v>0</v>
      </c>
      <c r="U59" s="66">
        <f t="shared" si="37"/>
        <v>23.560983501748961</v>
      </c>
    </row>
    <row r="60" spans="2:28" x14ac:dyDescent="0.25">
      <c r="B60" s="67">
        <v>2024</v>
      </c>
      <c r="C60" s="63">
        <f t="shared" si="23"/>
        <v>8.5092328016824919</v>
      </c>
      <c r="D60" s="64">
        <f t="shared" si="24"/>
        <v>30.128763680328817</v>
      </c>
      <c r="E60" s="64">
        <f t="shared" si="25"/>
        <v>44.832754387835706</v>
      </c>
      <c r="F60" s="65">
        <f t="shared" si="26"/>
        <v>30.603338810887948</v>
      </c>
      <c r="G60" s="66">
        <f t="shared" si="27"/>
        <v>114.07408968073497</v>
      </c>
      <c r="I60" s="67">
        <v>2024</v>
      </c>
      <c r="J60" s="63">
        <f t="shared" si="28"/>
        <v>34.036931206729967</v>
      </c>
      <c r="K60" s="64">
        <f t="shared" si="29"/>
        <v>120.51505472131527</v>
      </c>
      <c r="L60" s="64">
        <f t="shared" si="30"/>
        <v>179.33101755134282</v>
      </c>
      <c r="M60" s="65">
        <f t="shared" si="31"/>
        <v>122.41335524355179</v>
      </c>
      <c r="N60" s="66">
        <f t="shared" si="32"/>
        <v>456.29635872293989</v>
      </c>
      <c r="P60" s="67">
        <v>2024</v>
      </c>
      <c r="Q60" s="63">
        <f t="shared" si="33"/>
        <v>9.8326568285555624E-2</v>
      </c>
      <c r="R60" s="64">
        <f t="shared" si="34"/>
        <v>0.55252106728919592</v>
      </c>
      <c r="S60" s="64">
        <f t="shared" si="35"/>
        <v>23.19359056019066</v>
      </c>
      <c r="T60" s="65">
        <f t="shared" si="36"/>
        <v>0</v>
      </c>
      <c r="U60" s="66">
        <f t="shared" si="37"/>
        <v>23.844438195765413</v>
      </c>
    </row>
    <row r="61" spans="2:28" ht="15.75" thickBot="1" x14ac:dyDescent="0.3">
      <c r="B61" s="68">
        <v>2025</v>
      </c>
      <c r="C61" s="70">
        <f t="shared" si="23"/>
        <v>7.6594183232020514</v>
      </c>
      <c r="D61" s="71">
        <f t="shared" si="24"/>
        <v>28.589971270294654</v>
      </c>
      <c r="E61" s="71">
        <f t="shared" si="25"/>
        <v>46.730606196178897</v>
      </c>
      <c r="F61" s="72">
        <f t="shared" si="26"/>
        <v>27.40290606872497</v>
      </c>
      <c r="G61" s="69">
        <f t="shared" si="27"/>
        <v>110.38290185840057</v>
      </c>
      <c r="I61" s="68">
        <v>2025</v>
      </c>
      <c r="J61" s="70">
        <f t="shared" si="28"/>
        <v>30.637673292808206</v>
      </c>
      <c r="K61" s="71">
        <f t="shared" si="29"/>
        <v>114.35988508117862</v>
      </c>
      <c r="L61" s="71">
        <f t="shared" si="30"/>
        <v>186.92242478471559</v>
      </c>
      <c r="M61" s="72">
        <f t="shared" si="31"/>
        <v>109.61162427489988</v>
      </c>
      <c r="N61" s="69">
        <f t="shared" si="32"/>
        <v>441.53160743360229</v>
      </c>
      <c r="P61" s="68">
        <v>2025</v>
      </c>
      <c r="Q61" s="70">
        <f t="shared" si="33"/>
        <v>7.7421726538459135E-2</v>
      </c>
      <c r="R61" s="71">
        <f t="shared" si="34"/>
        <v>0.41716912125455485</v>
      </c>
      <c r="S61" s="71">
        <f t="shared" si="35"/>
        <v>23.592721163391474</v>
      </c>
      <c r="T61" s="72">
        <f t="shared" si="36"/>
        <v>0</v>
      </c>
      <c r="U61" s="69">
        <f t="shared" si="37"/>
        <v>24.087312011184487</v>
      </c>
    </row>
    <row r="62" spans="2:28" ht="15.75" thickTop="1" x14ac:dyDescent="0.25"/>
    <row r="63" spans="2:28" ht="15.75" thickBot="1" x14ac:dyDescent="0.3"/>
    <row r="64" spans="2:28" ht="16.5" thickTop="1" thickBot="1" x14ac:dyDescent="0.3">
      <c r="B64" s="55"/>
      <c r="C64" s="56" t="s">
        <v>47</v>
      </c>
      <c r="D64" s="56"/>
      <c r="E64" s="56"/>
      <c r="F64" s="56"/>
      <c r="G64" s="57"/>
      <c r="I64" s="55"/>
      <c r="J64" s="56" t="s">
        <v>49</v>
      </c>
      <c r="K64" s="56"/>
      <c r="L64" s="56"/>
      <c r="M64" s="56"/>
      <c r="N64" s="57"/>
      <c r="P64" s="55"/>
      <c r="Q64" s="56" t="s">
        <v>48</v>
      </c>
      <c r="R64" s="56"/>
      <c r="S64" s="56"/>
      <c r="T64" s="56"/>
      <c r="U64" s="57"/>
      <c r="W64" s="116"/>
      <c r="X64" s="117" t="s">
        <v>113</v>
      </c>
      <c r="Y64" s="117"/>
      <c r="Z64" s="117"/>
      <c r="AA64" s="117"/>
      <c r="AB64" s="118"/>
    </row>
    <row r="65" spans="2:28" ht="15.75" thickBot="1" x14ac:dyDescent="0.3">
      <c r="B65" s="58" t="s">
        <v>12</v>
      </c>
      <c r="C65" s="59" t="s">
        <v>14</v>
      </c>
      <c r="D65" s="60" t="s">
        <v>39</v>
      </c>
      <c r="E65" s="60" t="s">
        <v>40</v>
      </c>
      <c r="F65" s="61" t="s">
        <v>41</v>
      </c>
      <c r="G65" s="62" t="s">
        <v>42</v>
      </c>
      <c r="I65" s="58" t="s">
        <v>12</v>
      </c>
      <c r="J65" s="59" t="s">
        <v>14</v>
      </c>
      <c r="K65" s="60" t="s">
        <v>39</v>
      </c>
      <c r="L65" s="60" t="s">
        <v>40</v>
      </c>
      <c r="M65" s="61" t="s">
        <v>41</v>
      </c>
      <c r="N65" s="62" t="s">
        <v>42</v>
      </c>
      <c r="P65" s="58" t="s">
        <v>12</v>
      </c>
      <c r="Q65" s="59" t="s">
        <v>14</v>
      </c>
      <c r="R65" s="60" t="s">
        <v>39</v>
      </c>
      <c r="S65" s="60" t="s">
        <v>40</v>
      </c>
      <c r="T65" s="61" t="s">
        <v>41</v>
      </c>
      <c r="U65" s="62" t="s">
        <v>42</v>
      </c>
      <c r="W65" s="119" t="s">
        <v>12</v>
      </c>
      <c r="X65" s="120" t="s">
        <v>14</v>
      </c>
      <c r="Y65" s="121" t="s">
        <v>39</v>
      </c>
      <c r="Z65" s="121" t="s">
        <v>40</v>
      </c>
      <c r="AA65" s="122" t="s">
        <v>41</v>
      </c>
      <c r="AB65" s="123" t="s">
        <v>42</v>
      </c>
    </row>
    <row r="66" spans="2:28" x14ac:dyDescent="0.25">
      <c r="B66" s="13">
        <v>2019</v>
      </c>
      <c r="C66" s="63">
        <f t="shared" ref="C66:F72" si="38">C55*$C$48</f>
        <v>330.9418469601211</v>
      </c>
      <c r="D66" s="63">
        <f t="shared" si="38"/>
        <v>1299.8001715240648</v>
      </c>
      <c r="E66" s="63">
        <f t="shared" si="38"/>
        <v>298.0773828804742</v>
      </c>
      <c r="F66" s="63">
        <f t="shared" si="38"/>
        <v>793.8661906437045</v>
      </c>
      <c r="G66" s="66">
        <f t="shared" ref="G66:G72" si="39">SUM(C66:F66)</f>
        <v>2722.6855920083644</v>
      </c>
      <c r="I66" s="13">
        <v>2019</v>
      </c>
      <c r="J66" s="63">
        <f t="shared" ref="J66:M68" si="40">J55*$C$49</f>
        <v>1891.0962683435494</v>
      </c>
      <c r="K66" s="63">
        <f t="shared" si="40"/>
        <v>7427.4295515660851</v>
      </c>
      <c r="L66" s="63">
        <f t="shared" si="40"/>
        <v>1703.299330745567</v>
      </c>
      <c r="M66" s="63">
        <f t="shared" si="40"/>
        <v>4536.37823224974</v>
      </c>
      <c r="N66" s="66">
        <f t="shared" ref="N66:N72" si="41">SUM(J66:M66)</f>
        <v>15558.203382904943</v>
      </c>
      <c r="P66" s="13">
        <v>2019</v>
      </c>
      <c r="Q66" s="63">
        <f t="shared" ref="Q66:T72" si="42">Q55*$C$48</f>
        <v>75.42782215564236</v>
      </c>
      <c r="R66" s="63">
        <f t="shared" si="42"/>
        <v>361.45997206527596</v>
      </c>
      <c r="S66" s="63">
        <f t="shared" si="42"/>
        <v>236.61185006887573</v>
      </c>
      <c r="T66" s="63">
        <f t="shared" si="42"/>
        <v>10.360171706481523</v>
      </c>
      <c r="U66" s="66">
        <f t="shared" ref="U66:U72" si="43">SUM(Q66:T66)</f>
        <v>683.85981599627553</v>
      </c>
      <c r="W66" s="38">
        <v>2019</v>
      </c>
      <c r="X66" s="63">
        <f t="shared" ref="X66:X72" si="44">Q66+J66+C66</f>
        <v>2297.465937459313</v>
      </c>
      <c r="Y66" s="63">
        <f t="shared" ref="Y66:AA72" si="45">R66+K66+D66</f>
        <v>9088.6896951554263</v>
      </c>
      <c r="Z66" s="63">
        <f t="shared" si="45"/>
        <v>2237.988563694917</v>
      </c>
      <c r="AA66" s="63">
        <f t="shared" si="45"/>
        <v>5340.6045945999258</v>
      </c>
      <c r="AB66" s="66">
        <f t="shared" ref="AB66:AB72" si="46">SUM(X66:AA66)</f>
        <v>18964.748790909583</v>
      </c>
    </row>
    <row r="67" spans="2:28" x14ac:dyDescent="0.25">
      <c r="B67" s="13">
        <v>2020</v>
      </c>
      <c r="C67" s="63">
        <f t="shared" si="38"/>
        <v>6.4075556123032875</v>
      </c>
      <c r="D67" s="63">
        <f t="shared" si="38"/>
        <v>95.24355486507983</v>
      </c>
      <c r="E67" s="63">
        <f t="shared" si="38"/>
        <v>9.5726517067169414</v>
      </c>
      <c r="F67" s="63">
        <f t="shared" si="38"/>
        <v>53.291378013552148</v>
      </c>
      <c r="G67" s="66">
        <f t="shared" si="39"/>
        <v>164.51514019765222</v>
      </c>
      <c r="I67" s="13">
        <v>2020</v>
      </c>
      <c r="J67" s="63">
        <f t="shared" si="40"/>
        <v>36.61460349887593</v>
      </c>
      <c r="K67" s="63">
        <f t="shared" si="40"/>
        <v>544.24888494331333</v>
      </c>
      <c r="L67" s="63">
        <f t="shared" si="40"/>
        <v>54.700866895525387</v>
      </c>
      <c r="M67" s="63">
        <f t="shared" si="40"/>
        <v>304.52216007744084</v>
      </c>
      <c r="N67" s="66">
        <f t="shared" si="41"/>
        <v>940.08651541515542</v>
      </c>
      <c r="P67" s="13">
        <v>2020</v>
      </c>
      <c r="Q67" s="63">
        <f t="shared" si="42"/>
        <v>1.2461116565313961</v>
      </c>
      <c r="R67" s="63">
        <f t="shared" si="42"/>
        <v>23.894257487701335</v>
      </c>
      <c r="S67" s="63">
        <f t="shared" si="42"/>
        <v>6.7298106751861031</v>
      </c>
      <c r="T67" s="63">
        <f t="shared" si="42"/>
        <v>0.6210312465781217</v>
      </c>
      <c r="U67" s="66">
        <f t="shared" si="43"/>
        <v>32.491211065996957</v>
      </c>
      <c r="W67" s="38">
        <v>2020</v>
      </c>
      <c r="X67" s="63">
        <f t="shared" si="44"/>
        <v>44.268270767710618</v>
      </c>
      <c r="Y67" s="63">
        <f t="shared" si="45"/>
        <v>663.38669729609455</v>
      </c>
      <c r="Z67" s="63">
        <f t="shared" si="45"/>
        <v>71.003329277428435</v>
      </c>
      <c r="AA67" s="63">
        <f t="shared" si="45"/>
        <v>358.43456933757113</v>
      </c>
      <c r="AB67" s="66">
        <f t="shared" si="46"/>
        <v>1137.0928666788047</v>
      </c>
    </row>
    <row r="68" spans="2:28" x14ac:dyDescent="0.25">
      <c r="B68" s="13">
        <v>2021</v>
      </c>
      <c r="C68" s="63">
        <f t="shared" si="38"/>
        <v>5.4779392279610404</v>
      </c>
      <c r="D68" s="63">
        <f t="shared" si="38"/>
        <v>90.509382227035118</v>
      </c>
      <c r="E68" s="63">
        <f t="shared" si="38"/>
        <v>11.260624960402888</v>
      </c>
      <c r="F68" s="63">
        <f t="shared" si="38"/>
        <v>23.451774149731591</v>
      </c>
      <c r="G68" s="66">
        <f t="shared" si="39"/>
        <v>130.69972056513063</v>
      </c>
      <c r="I68" s="13">
        <v>2021</v>
      </c>
      <c r="J68" s="63">
        <f t="shared" si="40"/>
        <v>31.302509874063091</v>
      </c>
      <c r="K68" s="63">
        <f t="shared" si="40"/>
        <v>517.19646986877217</v>
      </c>
      <c r="L68" s="63">
        <f t="shared" si="40"/>
        <v>64.346428345159367</v>
      </c>
      <c r="M68" s="63">
        <f t="shared" si="40"/>
        <v>134.01013799846623</v>
      </c>
      <c r="N68" s="66">
        <f t="shared" si="41"/>
        <v>746.85554608646078</v>
      </c>
      <c r="P68" s="13">
        <v>2021</v>
      </c>
      <c r="Q68" s="63">
        <f t="shared" si="42"/>
        <v>0.78204255283401047</v>
      </c>
      <c r="R68" s="63">
        <f t="shared" si="42"/>
        <v>20.164259694758115</v>
      </c>
      <c r="S68" s="63">
        <f t="shared" si="42"/>
        <v>7.0905644413833464</v>
      </c>
      <c r="T68" s="63">
        <f t="shared" si="42"/>
        <v>0</v>
      </c>
      <c r="U68" s="66">
        <f t="shared" si="43"/>
        <v>28.036866688975472</v>
      </c>
      <c r="W68" s="38">
        <v>2021</v>
      </c>
      <c r="X68" s="63">
        <f t="shared" si="44"/>
        <v>37.562491654858142</v>
      </c>
      <c r="Y68" s="63">
        <f t="shared" si="45"/>
        <v>627.87011179056537</v>
      </c>
      <c r="Z68" s="63">
        <f t="shared" si="45"/>
        <v>82.69761774694561</v>
      </c>
      <c r="AA68" s="63">
        <f t="shared" si="45"/>
        <v>157.46191214819783</v>
      </c>
      <c r="AB68" s="66">
        <f t="shared" si="46"/>
        <v>905.59213334056699</v>
      </c>
    </row>
    <row r="69" spans="2:28" x14ac:dyDescent="0.25">
      <c r="B69" s="13">
        <v>2022</v>
      </c>
      <c r="C69" s="63">
        <f t="shared" si="38"/>
        <v>4.3643980728026008</v>
      </c>
      <c r="D69" s="63">
        <f t="shared" si="38"/>
        <v>85.892063534869479</v>
      </c>
      <c r="E69" s="63">
        <f t="shared" si="38"/>
        <v>12.208855403569459</v>
      </c>
      <c r="F69" s="63">
        <f t="shared" si="38"/>
        <v>22.107690282280981</v>
      </c>
      <c r="G69" s="66">
        <f t="shared" si="39"/>
        <v>124.57300729352252</v>
      </c>
      <c r="I69" s="13">
        <v>2022</v>
      </c>
      <c r="J69" s="63">
        <f>J58*$C$50</f>
        <v>34.915184582420807</v>
      </c>
      <c r="K69" s="63">
        <f>K58*$C$50</f>
        <v>687.13650827895583</v>
      </c>
      <c r="L69" s="63">
        <f>L58*$C$50+L55*(C50-C49)+L56*(C50-C49)+L57*(C50-C49)</f>
        <v>826.60949362305621</v>
      </c>
      <c r="M69" s="63">
        <f>M58*$C$50</f>
        <v>176.86152225824785</v>
      </c>
      <c r="N69" s="66">
        <f t="shared" si="41"/>
        <v>1725.5227087426806</v>
      </c>
      <c r="P69" s="13">
        <v>2022</v>
      </c>
      <c r="Q69" s="63">
        <f t="shared" si="42"/>
        <v>6.1401396075960832E-2</v>
      </c>
      <c r="R69" s="63">
        <f t="shared" si="42"/>
        <v>16.508567068388508</v>
      </c>
      <c r="S69" s="63">
        <f t="shared" si="42"/>
        <v>7.4520450507254372</v>
      </c>
      <c r="T69" s="63">
        <f t="shared" si="42"/>
        <v>0</v>
      </c>
      <c r="U69" s="66">
        <f t="shared" si="43"/>
        <v>24.022013515189908</v>
      </c>
      <c r="W69" s="38">
        <v>2022</v>
      </c>
      <c r="X69" s="63">
        <f t="shared" si="44"/>
        <v>39.340984051299365</v>
      </c>
      <c r="Y69" s="63">
        <f t="shared" si="45"/>
        <v>789.53713888221387</v>
      </c>
      <c r="Z69" s="63">
        <f t="shared" si="45"/>
        <v>846.27039407735117</v>
      </c>
      <c r="AA69" s="63">
        <f t="shared" si="45"/>
        <v>198.96921254052882</v>
      </c>
      <c r="AB69" s="66">
        <f t="shared" si="46"/>
        <v>1874.1177295513933</v>
      </c>
    </row>
    <row r="70" spans="2:28" x14ac:dyDescent="0.25">
      <c r="B70" s="13">
        <v>2023</v>
      </c>
      <c r="C70" s="63">
        <f t="shared" si="38"/>
        <v>3.2893306635812851</v>
      </c>
      <c r="D70" s="63">
        <f t="shared" si="38"/>
        <v>11.052251001623921</v>
      </c>
      <c r="E70" s="63">
        <f t="shared" si="38"/>
        <v>14.950223286169777</v>
      </c>
      <c r="F70" s="63">
        <f t="shared" si="38"/>
        <v>11.834123270126533</v>
      </c>
      <c r="G70" s="66">
        <f t="shared" si="39"/>
        <v>41.125928221501518</v>
      </c>
      <c r="I70" s="13">
        <v>2023</v>
      </c>
      <c r="J70" s="63">
        <f>J59*$C$50</f>
        <v>26.314645308650281</v>
      </c>
      <c r="K70" s="63">
        <f>K59*$C$50</f>
        <v>88.418008012991365</v>
      </c>
      <c r="L70" s="63">
        <f>L59*$C$50</f>
        <v>119.60178628935822</v>
      </c>
      <c r="M70" s="63">
        <f>M59*$C$50</f>
        <v>94.672986161012261</v>
      </c>
      <c r="N70" s="66">
        <f t="shared" si="41"/>
        <v>329.00742577201214</v>
      </c>
      <c r="P70" s="13">
        <v>2023</v>
      </c>
      <c r="Q70" s="63">
        <f t="shared" si="42"/>
        <v>4.53200721913097E-2</v>
      </c>
      <c r="R70" s="63">
        <f t="shared" si="42"/>
        <v>0.24917217188784235</v>
      </c>
      <c r="S70" s="63">
        <f t="shared" si="42"/>
        <v>7.9518519815329833</v>
      </c>
      <c r="T70" s="63">
        <f t="shared" si="42"/>
        <v>0</v>
      </c>
      <c r="U70" s="66">
        <f t="shared" si="43"/>
        <v>8.2463442256121358</v>
      </c>
      <c r="W70" s="38">
        <v>2023</v>
      </c>
      <c r="X70" s="63">
        <f t="shared" si="44"/>
        <v>29.649296044422876</v>
      </c>
      <c r="Y70" s="63">
        <f t="shared" si="45"/>
        <v>99.71943118650313</v>
      </c>
      <c r="Z70" s="63">
        <f t="shared" si="45"/>
        <v>142.50386155706099</v>
      </c>
      <c r="AA70" s="63">
        <f t="shared" si="45"/>
        <v>106.50710943113879</v>
      </c>
      <c r="AB70" s="66">
        <f t="shared" si="46"/>
        <v>378.37969821912577</v>
      </c>
    </row>
    <row r="71" spans="2:28" x14ac:dyDescent="0.25">
      <c r="B71" s="67">
        <v>2024</v>
      </c>
      <c r="C71" s="63">
        <f t="shared" si="38"/>
        <v>2.9782314805888719</v>
      </c>
      <c r="D71" s="63">
        <f t="shared" si="38"/>
        <v>10.545067288115085</v>
      </c>
      <c r="E71" s="63">
        <f t="shared" si="38"/>
        <v>15.691464035742497</v>
      </c>
      <c r="F71" s="63">
        <f t="shared" si="38"/>
        <v>10.711168583810782</v>
      </c>
      <c r="G71" s="66">
        <f t="shared" si="39"/>
        <v>39.925931388257233</v>
      </c>
      <c r="I71" s="67">
        <v>2024</v>
      </c>
      <c r="J71" s="63">
        <f>J60*$C$50</f>
        <v>23.825851844710975</v>
      </c>
      <c r="K71" s="63">
        <f t="shared" ref="K71:M71" si="47">K60*$C$50</f>
        <v>84.360538304920681</v>
      </c>
      <c r="L71" s="63">
        <f>L60*$C$50</f>
        <v>125.53171228593997</v>
      </c>
      <c r="M71" s="63">
        <f t="shared" si="47"/>
        <v>85.689348670486254</v>
      </c>
      <c r="N71" s="66">
        <f t="shared" si="41"/>
        <v>319.40745110605786</v>
      </c>
      <c r="P71" s="67">
        <v>2024</v>
      </c>
      <c r="Q71" s="63">
        <f t="shared" si="42"/>
        <v>3.4414298899944469E-2</v>
      </c>
      <c r="R71" s="63">
        <f t="shared" si="42"/>
        <v>0.19338237355121857</v>
      </c>
      <c r="S71" s="63">
        <f t="shared" si="42"/>
        <v>8.1177566960667313</v>
      </c>
      <c r="T71" s="63">
        <f t="shared" si="42"/>
        <v>0</v>
      </c>
      <c r="U71" s="66">
        <f t="shared" si="43"/>
        <v>8.3455533685178942</v>
      </c>
      <c r="W71" s="124">
        <v>2024</v>
      </c>
      <c r="X71" s="63">
        <f t="shared" si="44"/>
        <v>26.838497624199789</v>
      </c>
      <c r="Y71" s="63">
        <f t="shared" si="45"/>
        <v>95.098987966586975</v>
      </c>
      <c r="Z71" s="63">
        <f t="shared" si="45"/>
        <v>149.34093301774919</v>
      </c>
      <c r="AA71" s="63">
        <f t="shared" si="45"/>
        <v>96.400517254297029</v>
      </c>
      <c r="AB71" s="66">
        <f t="shared" si="46"/>
        <v>367.67893586283299</v>
      </c>
    </row>
    <row r="72" spans="2:28" ht="15.75" thickBot="1" x14ac:dyDescent="0.3">
      <c r="B72" s="68">
        <v>2025</v>
      </c>
      <c r="C72" s="70">
        <f t="shared" si="38"/>
        <v>2.680796413120718</v>
      </c>
      <c r="D72" s="70">
        <f t="shared" si="38"/>
        <v>10.006489944603128</v>
      </c>
      <c r="E72" s="70">
        <f t="shared" si="38"/>
        <v>16.355712168662613</v>
      </c>
      <c r="F72" s="70">
        <f t="shared" si="38"/>
        <v>9.5910171240537387</v>
      </c>
      <c r="G72" s="69">
        <f t="shared" si="39"/>
        <v>38.634015650440197</v>
      </c>
      <c r="I72" s="68">
        <v>2025</v>
      </c>
      <c r="J72" s="70">
        <f>J61*$C$50</f>
        <v>21.446371304965744</v>
      </c>
      <c r="K72" s="70">
        <f t="shared" ref="K72:M72" si="48">K61*$C$50</f>
        <v>80.051919556825027</v>
      </c>
      <c r="L72" s="70">
        <f t="shared" si="48"/>
        <v>130.84569734930091</v>
      </c>
      <c r="M72" s="70">
        <f t="shared" si="48"/>
        <v>76.72813699242991</v>
      </c>
      <c r="N72" s="69">
        <f t="shared" si="41"/>
        <v>309.07212520352158</v>
      </c>
      <c r="P72" s="68">
        <v>2025</v>
      </c>
      <c r="Q72" s="70">
        <f t="shared" si="42"/>
        <v>2.7097604288460697E-2</v>
      </c>
      <c r="R72" s="70">
        <f t="shared" si="42"/>
        <v>0.14600919243909419</v>
      </c>
      <c r="S72" s="70">
        <f t="shared" si="42"/>
        <v>8.2574524071870155</v>
      </c>
      <c r="T72" s="70">
        <f t="shared" si="42"/>
        <v>0</v>
      </c>
      <c r="U72" s="69">
        <f t="shared" si="43"/>
        <v>8.4305592039145711</v>
      </c>
      <c r="W72" s="125">
        <v>2025</v>
      </c>
      <c r="X72" s="70">
        <f t="shared" si="44"/>
        <v>24.154265322374922</v>
      </c>
      <c r="Y72" s="70">
        <f t="shared" si="45"/>
        <v>90.204418693867254</v>
      </c>
      <c r="Z72" s="70">
        <f t="shared" si="45"/>
        <v>155.45886192515053</v>
      </c>
      <c r="AA72" s="70">
        <f t="shared" si="45"/>
        <v>86.319154116483645</v>
      </c>
      <c r="AB72" s="69">
        <f t="shared" si="46"/>
        <v>356.1367000578764</v>
      </c>
    </row>
    <row r="73" spans="2:28" ht="15.75" thickTop="1" x14ac:dyDescent="0.25"/>
    <row r="74" spans="2:28" x14ac:dyDescent="0.25">
      <c r="AB74" s="73"/>
    </row>
    <row r="75" spans="2:28" ht="15.75" thickBot="1" x14ac:dyDescent="0.3">
      <c r="B75" t="s">
        <v>50</v>
      </c>
    </row>
    <row r="76" spans="2:28" ht="15.75" thickTop="1" x14ac:dyDescent="0.25">
      <c r="B76" s="42" t="s">
        <v>51</v>
      </c>
      <c r="C76" s="50" t="s">
        <v>53</v>
      </c>
      <c r="D76" s="43" t="s">
        <v>54</v>
      </c>
      <c r="E76" s="73"/>
    </row>
    <row r="77" spans="2:28" x14ac:dyDescent="0.25">
      <c r="B77" s="44" t="s">
        <v>52</v>
      </c>
      <c r="C77" s="48">
        <v>3800</v>
      </c>
      <c r="D77" s="45">
        <v>0.45</v>
      </c>
    </row>
    <row r="78" spans="2:28" x14ac:dyDescent="0.25">
      <c r="B78" s="44" t="s">
        <v>55</v>
      </c>
      <c r="C78" s="48">
        <v>1300</v>
      </c>
      <c r="D78" s="45">
        <v>0.21</v>
      </c>
    </row>
    <row r="79" spans="2:28" x14ac:dyDescent="0.25">
      <c r="B79" s="44" t="s">
        <v>56</v>
      </c>
      <c r="C79" s="48">
        <v>3100</v>
      </c>
      <c r="D79" s="45">
        <v>0.09</v>
      </c>
    </row>
    <row r="80" spans="2:28" x14ac:dyDescent="0.25">
      <c r="B80" s="44" t="s">
        <v>57</v>
      </c>
      <c r="C80" s="48">
        <v>5100</v>
      </c>
      <c r="D80" s="45">
        <v>0.16</v>
      </c>
    </row>
    <row r="81" spans="2:4" x14ac:dyDescent="0.25">
      <c r="B81" s="44" t="s">
        <v>58</v>
      </c>
      <c r="C81" s="48">
        <v>1900</v>
      </c>
      <c r="D81" s="45">
        <v>0.09</v>
      </c>
    </row>
    <row r="82" spans="2:4" ht="15.75" thickBot="1" x14ac:dyDescent="0.3">
      <c r="B82" s="75" t="s">
        <v>59</v>
      </c>
      <c r="C82" s="76">
        <f>C77*D77+C78*D78+C79*D79+C80*D80+C81*D81</f>
        <v>3249</v>
      </c>
      <c r="D82" s="47"/>
    </row>
    <row r="83" spans="2:4" ht="15.75" thickTop="1" x14ac:dyDescent="0.25"/>
    <row r="84" spans="2:4" ht="15.75" thickBot="1" x14ac:dyDescent="0.3">
      <c r="B84" t="s">
        <v>60</v>
      </c>
    </row>
    <row r="85" spans="2:4" ht="15.75" thickTop="1" x14ac:dyDescent="0.25">
      <c r="B85" s="42" t="s">
        <v>8</v>
      </c>
      <c r="C85" s="43">
        <v>5400</v>
      </c>
    </row>
    <row r="86" spans="2:4" x14ac:dyDescent="0.25">
      <c r="B86" s="44" t="s">
        <v>15</v>
      </c>
      <c r="C86" s="77">
        <v>2400</v>
      </c>
    </row>
    <row r="87" spans="2:4" ht="15.75" thickBot="1" x14ac:dyDescent="0.3">
      <c r="B87" s="46" t="s">
        <v>16</v>
      </c>
      <c r="C87" s="78">
        <v>2600</v>
      </c>
    </row>
    <row r="88" spans="2:4" ht="15.75" thickTop="1" x14ac:dyDescent="0.25"/>
    <row r="89" spans="2:4" x14ac:dyDescent="0.25">
      <c r="B89" t="s">
        <v>62</v>
      </c>
    </row>
    <row r="90" spans="2:4" ht="15.75" thickBot="1" x14ac:dyDescent="0.3"/>
    <row r="91" spans="2:4" ht="16.5" thickTop="1" thickBot="1" x14ac:dyDescent="0.3">
      <c r="B91" s="79" t="s">
        <v>61</v>
      </c>
      <c r="C91" s="57"/>
    </row>
    <row r="92" spans="2:4" x14ac:dyDescent="0.25">
      <c r="B92" s="44" t="s">
        <v>8</v>
      </c>
      <c r="C92" s="77">
        <f>C82*0.62+C85</f>
        <v>7414.38</v>
      </c>
    </row>
    <row r="93" spans="2:4" x14ac:dyDescent="0.25">
      <c r="B93" s="44" t="s">
        <v>15</v>
      </c>
      <c r="C93" s="77">
        <f>C82*0.62+C86</f>
        <v>4414.38</v>
      </c>
    </row>
    <row r="94" spans="2:4" x14ac:dyDescent="0.25">
      <c r="B94" s="44" t="s">
        <v>16</v>
      </c>
      <c r="C94" s="77">
        <f>C82*0.62+C87</f>
        <v>4614.38</v>
      </c>
    </row>
    <row r="95" spans="2:4" ht="15.75" thickBot="1" x14ac:dyDescent="0.3">
      <c r="B95" s="46" t="s">
        <v>17</v>
      </c>
      <c r="C95" s="78">
        <f>C82</f>
        <v>3249</v>
      </c>
    </row>
    <row r="96" spans="2:4" ht="15.75" thickTop="1" x14ac:dyDescent="0.25"/>
    <row r="98" spans="2:21" ht="15.75" thickBot="1" x14ac:dyDescent="0.3"/>
    <row r="99" spans="2:21" ht="16.5" thickTop="1" thickBot="1" x14ac:dyDescent="0.3">
      <c r="B99" s="55"/>
      <c r="C99" s="56" t="s">
        <v>63</v>
      </c>
      <c r="D99" s="56"/>
      <c r="E99" s="56"/>
      <c r="F99" s="56"/>
      <c r="G99" s="57"/>
      <c r="I99" s="55"/>
      <c r="J99" s="56" t="s">
        <v>49</v>
      </c>
      <c r="K99" s="56"/>
      <c r="L99" s="56"/>
      <c r="M99" s="56"/>
      <c r="N99" s="57"/>
      <c r="P99" s="55"/>
      <c r="Q99" s="56" t="s">
        <v>48</v>
      </c>
      <c r="R99" s="56"/>
      <c r="S99" s="56"/>
      <c r="T99" s="56"/>
      <c r="U99" s="57"/>
    </row>
    <row r="100" spans="2:21" ht="15.75" thickBot="1" x14ac:dyDescent="0.3">
      <c r="B100" s="58" t="s">
        <v>12</v>
      </c>
      <c r="C100" s="59" t="s">
        <v>14</v>
      </c>
      <c r="D100" s="60" t="s">
        <v>39</v>
      </c>
      <c r="E100" s="60" t="s">
        <v>40</v>
      </c>
      <c r="F100" s="61" t="s">
        <v>41</v>
      </c>
      <c r="G100" s="62" t="s">
        <v>42</v>
      </c>
      <c r="I100" s="58" t="s">
        <v>12</v>
      </c>
      <c r="J100" s="59" t="s">
        <v>14</v>
      </c>
      <c r="K100" s="60" t="s">
        <v>39</v>
      </c>
      <c r="L100" s="60" t="s">
        <v>40</v>
      </c>
      <c r="M100" s="61" t="s">
        <v>41</v>
      </c>
      <c r="N100" s="62" t="s">
        <v>42</v>
      </c>
      <c r="P100" s="58" t="s">
        <v>12</v>
      </c>
      <c r="Q100" s="59" t="s">
        <v>14</v>
      </c>
      <c r="R100" s="60" t="s">
        <v>39</v>
      </c>
      <c r="S100" s="60" t="s">
        <v>40</v>
      </c>
      <c r="T100" s="61" t="s">
        <v>41</v>
      </c>
      <c r="U100" s="62" t="s">
        <v>42</v>
      </c>
    </row>
    <row r="101" spans="2:21" x14ac:dyDescent="0.25">
      <c r="B101" s="13">
        <v>2019</v>
      </c>
      <c r="C101" s="63">
        <f t="shared" ref="C101:C107" si="49">C66*$C$92</f>
        <v>2453728.6112641827</v>
      </c>
      <c r="D101" s="63">
        <f t="shared" ref="D101:D107" si="50">D66*$C$93</f>
        <v>5737811.8811724009</v>
      </c>
      <c r="E101" s="63">
        <f t="shared" ref="E101:E107" si="51">E66*$C$94</f>
        <v>1375442.3140160027</v>
      </c>
      <c r="F101" s="63">
        <f t="shared" ref="F101:F107" si="52">F66*$C$95</f>
        <v>2579271.2534013959</v>
      </c>
      <c r="G101" s="66">
        <f t="shared" ref="G101:G107" si="53">SUM(C101:F101)</f>
        <v>12146254.059853982</v>
      </c>
      <c r="I101" s="13">
        <v>2019</v>
      </c>
      <c r="J101" s="63">
        <f t="shared" ref="J101:J107" si="54">J66*$C$92</f>
        <v>14021306.350081045</v>
      </c>
      <c r="K101" s="63">
        <f t="shared" ref="K101:K107" si="55">K66*$C$93</f>
        <v>32787496.463842295</v>
      </c>
      <c r="L101" s="63">
        <f t="shared" ref="L101:L107" si="56">L66*$C$94</f>
        <v>7859670.3658057293</v>
      </c>
      <c r="M101" s="63">
        <f t="shared" ref="M101:M107" si="57">M66*$C$95</f>
        <v>14738692.876579406</v>
      </c>
      <c r="N101" s="66">
        <f t="shared" ref="N101:N107" si="58">SUM(J101:M101)</f>
        <v>69407166.056308478</v>
      </c>
      <c r="P101" s="13">
        <v>2019</v>
      </c>
      <c r="Q101" s="63">
        <f t="shared" ref="Q101:Q107" si="59">Q66*$C$92</f>
        <v>559250.53603435156</v>
      </c>
      <c r="R101" s="63">
        <f t="shared" ref="R101:R107" si="60">R66*$C$93</f>
        <v>1595621.671485513</v>
      </c>
      <c r="S101" s="63">
        <f t="shared" ref="S101:S107" si="61">S66*$C$94</f>
        <v>1091816.9887208189</v>
      </c>
      <c r="T101" s="63">
        <f t="shared" ref="T101:T107" si="62">T66*$C$95</f>
        <v>33660.19787435847</v>
      </c>
      <c r="U101" s="66">
        <f t="shared" ref="U101:U107" si="63">SUM(Q101:T101)</f>
        <v>3280349.3941150419</v>
      </c>
    </row>
    <row r="102" spans="2:21" x14ac:dyDescent="0.25">
      <c r="B102" s="13">
        <v>2020</v>
      </c>
      <c r="C102" s="63">
        <f t="shared" si="49"/>
        <v>47508.052180749248</v>
      </c>
      <c r="D102" s="63">
        <f t="shared" si="50"/>
        <v>420441.24372531113</v>
      </c>
      <c r="E102" s="63">
        <f t="shared" si="51"/>
        <v>44171.852582440522</v>
      </c>
      <c r="F102" s="63">
        <f t="shared" si="52"/>
        <v>173143.68716603093</v>
      </c>
      <c r="G102" s="66">
        <f t="shared" si="53"/>
        <v>685264.83565453184</v>
      </c>
      <c r="I102" s="13">
        <v>2020</v>
      </c>
      <c r="J102" s="63">
        <f t="shared" si="54"/>
        <v>271474.5838899957</v>
      </c>
      <c r="K102" s="63">
        <f t="shared" si="55"/>
        <v>2402521.3927160637</v>
      </c>
      <c r="L102" s="63">
        <f t="shared" si="56"/>
        <v>252410.58618537444</v>
      </c>
      <c r="M102" s="63">
        <f t="shared" si="57"/>
        <v>989392.49809160526</v>
      </c>
      <c r="N102" s="66">
        <f t="shared" si="58"/>
        <v>3915799.0608830387</v>
      </c>
      <c r="P102" s="13">
        <v>2020</v>
      </c>
      <c r="Q102" s="63">
        <f t="shared" si="59"/>
        <v>9239.1453439532524</v>
      </c>
      <c r="R102" s="63">
        <f t="shared" si="60"/>
        <v>105478.33236855901</v>
      </c>
      <c r="S102" s="63">
        <f t="shared" si="61"/>
        <v>31053.903783365251</v>
      </c>
      <c r="T102" s="63">
        <f t="shared" si="62"/>
        <v>2017.7305201323175</v>
      </c>
      <c r="U102" s="66">
        <f t="shared" si="63"/>
        <v>147789.11201600984</v>
      </c>
    </row>
    <row r="103" spans="2:21" x14ac:dyDescent="0.25">
      <c r="B103" s="13">
        <v>2021</v>
      </c>
      <c r="C103" s="63">
        <f t="shared" si="49"/>
        <v>40615.523053009776</v>
      </c>
      <c r="D103" s="63">
        <f t="shared" si="50"/>
        <v>399542.80671537929</v>
      </c>
      <c r="E103" s="63">
        <f t="shared" si="51"/>
        <v>51960.802604783879</v>
      </c>
      <c r="F103" s="63">
        <f t="shared" si="52"/>
        <v>76194.814212477941</v>
      </c>
      <c r="G103" s="66">
        <f t="shared" si="53"/>
        <v>568313.94658565079</v>
      </c>
      <c r="I103" s="13">
        <v>2021</v>
      </c>
      <c r="J103" s="63">
        <f t="shared" si="54"/>
        <v>232088.70316005591</v>
      </c>
      <c r="K103" s="63">
        <f t="shared" si="55"/>
        <v>2283101.7526593106</v>
      </c>
      <c r="L103" s="63">
        <f t="shared" si="56"/>
        <v>296918.8720273365</v>
      </c>
      <c r="M103" s="63">
        <f t="shared" si="57"/>
        <v>435398.93835701677</v>
      </c>
      <c r="N103" s="66">
        <f t="shared" si="58"/>
        <v>3247508.2662037201</v>
      </c>
      <c r="P103" s="13">
        <v>2021</v>
      </c>
      <c r="Q103" s="63">
        <f t="shared" si="59"/>
        <v>5798.3606628814305</v>
      </c>
      <c r="R103" s="63">
        <f t="shared" si="60"/>
        <v>89012.704711346334</v>
      </c>
      <c r="S103" s="63">
        <f t="shared" si="61"/>
        <v>32718.558747030485</v>
      </c>
      <c r="T103" s="63">
        <f t="shared" si="62"/>
        <v>0</v>
      </c>
      <c r="U103" s="66">
        <f t="shared" si="63"/>
        <v>127529.62412125825</v>
      </c>
    </row>
    <row r="104" spans="2:21" x14ac:dyDescent="0.25">
      <c r="B104" s="13">
        <v>2022</v>
      </c>
      <c r="C104" s="63">
        <f t="shared" si="49"/>
        <v>32359.30578302615</v>
      </c>
      <c r="D104" s="63">
        <f t="shared" si="50"/>
        <v>379160.20742705715</v>
      </c>
      <c r="E104" s="63">
        <f t="shared" si="51"/>
        <v>56336.298197122836</v>
      </c>
      <c r="F104" s="63">
        <f t="shared" si="52"/>
        <v>71827.88572713091</v>
      </c>
      <c r="G104" s="66">
        <f t="shared" si="53"/>
        <v>539683.69713433704</v>
      </c>
      <c r="I104" s="13">
        <v>2022</v>
      </c>
      <c r="J104" s="63">
        <f t="shared" si="54"/>
        <v>258874.4462642092</v>
      </c>
      <c r="K104" s="63">
        <f t="shared" si="55"/>
        <v>3033281.6594164572</v>
      </c>
      <c r="L104" s="63">
        <f t="shared" si="56"/>
        <v>3814290.315184358</v>
      </c>
      <c r="M104" s="63">
        <f t="shared" si="57"/>
        <v>574623.08581704728</v>
      </c>
      <c r="N104" s="66">
        <f t="shared" si="58"/>
        <v>7681069.5066820718</v>
      </c>
      <c r="P104" s="13">
        <v>2022</v>
      </c>
      <c r="Q104" s="63">
        <f t="shared" si="59"/>
        <v>455.25328303768248</v>
      </c>
      <c r="R104" s="63">
        <f t="shared" si="60"/>
        <v>72875.088295352863</v>
      </c>
      <c r="S104" s="63">
        <f t="shared" si="61"/>
        <v>34386.567641166446</v>
      </c>
      <c r="T104" s="63">
        <f t="shared" si="62"/>
        <v>0</v>
      </c>
      <c r="U104" s="66">
        <f t="shared" si="63"/>
        <v>107716.909219557</v>
      </c>
    </row>
    <row r="105" spans="2:21" x14ac:dyDescent="0.25">
      <c r="B105" s="13">
        <v>2023</v>
      </c>
      <c r="C105" s="63">
        <f t="shared" si="49"/>
        <v>24388.34748544381</v>
      </c>
      <c r="D105" s="63">
        <f t="shared" si="50"/>
        <v>48788.835776548607</v>
      </c>
      <c r="E105" s="63">
        <f t="shared" si="51"/>
        <v>68986.01132723609</v>
      </c>
      <c r="F105" s="63">
        <f t="shared" si="52"/>
        <v>38449.066504641101</v>
      </c>
      <c r="G105" s="66">
        <f t="shared" si="53"/>
        <v>180612.26109386957</v>
      </c>
      <c r="I105" s="13">
        <v>2023</v>
      </c>
      <c r="J105" s="63">
        <f t="shared" si="54"/>
        <v>195106.77988355048</v>
      </c>
      <c r="K105" s="63">
        <f t="shared" si="55"/>
        <v>390310.68621238886</v>
      </c>
      <c r="L105" s="63">
        <f t="shared" si="56"/>
        <v>551888.09061788872</v>
      </c>
      <c r="M105" s="63">
        <f t="shared" si="57"/>
        <v>307592.53203712881</v>
      </c>
      <c r="N105" s="66">
        <f t="shared" si="58"/>
        <v>1444898.0887509566</v>
      </c>
      <c r="P105" s="13">
        <v>2023</v>
      </c>
      <c r="Q105" s="63">
        <f t="shared" si="59"/>
        <v>336.02023685380283</v>
      </c>
      <c r="R105" s="63">
        <f t="shared" si="60"/>
        <v>1099.9406521382537</v>
      </c>
      <c r="S105" s="63">
        <f t="shared" si="61"/>
        <v>36692.866746546169</v>
      </c>
      <c r="T105" s="63">
        <f t="shared" si="62"/>
        <v>0</v>
      </c>
      <c r="U105" s="66">
        <f t="shared" si="63"/>
        <v>38128.827635538226</v>
      </c>
    </row>
    <row r="106" spans="2:21" x14ac:dyDescent="0.25">
      <c r="B106" s="67">
        <v>2024</v>
      </c>
      <c r="C106" s="63">
        <f t="shared" si="49"/>
        <v>22081.739925048521</v>
      </c>
      <c r="D106" s="63">
        <f t="shared" si="50"/>
        <v>46549.934135309471</v>
      </c>
      <c r="E106" s="63">
        <f t="shared" si="51"/>
        <v>72406.377817249464</v>
      </c>
      <c r="F106" s="63">
        <f t="shared" si="52"/>
        <v>34800.58672880123</v>
      </c>
      <c r="G106" s="66">
        <f t="shared" si="53"/>
        <v>175838.6386064087</v>
      </c>
      <c r="I106" s="67">
        <v>2024</v>
      </c>
      <c r="J106" s="63">
        <f t="shared" si="54"/>
        <v>176653.91940038817</v>
      </c>
      <c r="K106" s="63">
        <f t="shared" si="55"/>
        <v>372399.47308247577</v>
      </c>
      <c r="L106" s="63">
        <f t="shared" si="56"/>
        <v>579251.02253799571</v>
      </c>
      <c r="M106" s="63">
        <f t="shared" si="57"/>
        <v>278404.69383040984</v>
      </c>
      <c r="N106" s="66">
        <f t="shared" si="58"/>
        <v>1406709.1088512696</v>
      </c>
      <c r="P106" s="67">
        <v>2024</v>
      </c>
      <c r="Q106" s="63">
        <f t="shared" si="59"/>
        <v>255.16068947777026</v>
      </c>
      <c r="R106" s="63">
        <f t="shared" si="60"/>
        <v>853.66328215702822</v>
      </c>
      <c r="S106" s="63">
        <f t="shared" si="61"/>
        <v>37458.414143196402</v>
      </c>
      <c r="T106" s="63">
        <f t="shared" si="62"/>
        <v>0</v>
      </c>
      <c r="U106" s="66">
        <f t="shared" si="63"/>
        <v>38567.238114831198</v>
      </c>
    </row>
    <row r="107" spans="2:21" ht="15.75" thickBot="1" x14ac:dyDescent="0.3">
      <c r="B107" s="68">
        <v>2025</v>
      </c>
      <c r="C107" s="70">
        <f t="shared" si="49"/>
        <v>19876.44330951399</v>
      </c>
      <c r="D107" s="70">
        <f t="shared" si="50"/>
        <v>44172.449081657156</v>
      </c>
      <c r="E107" s="70">
        <f t="shared" si="51"/>
        <v>75471.471116833389</v>
      </c>
      <c r="F107" s="70">
        <f t="shared" si="52"/>
        <v>31161.214636050598</v>
      </c>
      <c r="G107" s="69">
        <f t="shared" si="53"/>
        <v>170681.57814405512</v>
      </c>
      <c r="I107" s="68">
        <v>2025</v>
      </c>
      <c r="J107" s="70">
        <f t="shared" si="54"/>
        <v>159011.54647611192</v>
      </c>
      <c r="K107" s="70">
        <f t="shared" si="55"/>
        <v>353379.59265325725</v>
      </c>
      <c r="L107" s="70">
        <f t="shared" si="56"/>
        <v>603771.76893466711</v>
      </c>
      <c r="M107" s="70">
        <f t="shared" si="57"/>
        <v>249289.71708840478</v>
      </c>
      <c r="N107" s="69">
        <f t="shared" si="58"/>
        <v>1365452.625152441</v>
      </c>
      <c r="P107" s="68">
        <v>2025</v>
      </c>
      <c r="Q107" s="70">
        <f t="shared" si="59"/>
        <v>200.91193528427723</v>
      </c>
      <c r="R107" s="70">
        <f t="shared" si="60"/>
        <v>644.54005891928864</v>
      </c>
      <c r="S107" s="70">
        <f t="shared" si="61"/>
        <v>38103.023238675618</v>
      </c>
      <c r="T107" s="70">
        <f t="shared" si="62"/>
        <v>0</v>
      </c>
      <c r="U107" s="69">
        <f t="shared" si="63"/>
        <v>38948.47523287918</v>
      </c>
    </row>
    <row r="108" spans="2:21" ht="15.75" thickTop="1" x14ac:dyDescent="0.25">
      <c r="U108" s="73"/>
    </row>
    <row r="109" spans="2:21" ht="15.75" thickBot="1" x14ac:dyDescent="0.3"/>
    <row r="110" spans="2:21" ht="16.5" thickTop="1" thickBot="1" x14ac:dyDescent="0.3">
      <c r="B110" s="55"/>
      <c r="C110" s="56" t="s">
        <v>49</v>
      </c>
      <c r="D110" s="56" t="s">
        <v>64</v>
      </c>
      <c r="E110" s="56"/>
      <c r="F110" s="56"/>
      <c r="G110" s="57"/>
    </row>
    <row r="111" spans="2:21" ht="15.75" thickBot="1" x14ac:dyDescent="0.3">
      <c r="B111" s="58" t="s">
        <v>12</v>
      </c>
      <c r="C111" s="59" t="s">
        <v>14</v>
      </c>
      <c r="D111" s="60" t="s">
        <v>39</v>
      </c>
      <c r="E111" s="60" t="s">
        <v>40</v>
      </c>
      <c r="F111" s="61" t="s">
        <v>41</v>
      </c>
      <c r="G111" s="62" t="s">
        <v>42</v>
      </c>
    </row>
    <row r="112" spans="2:21" x14ac:dyDescent="0.25">
      <c r="B112" s="13">
        <v>2019</v>
      </c>
      <c r="C112" s="63">
        <f t="shared" ref="C112:F118" si="64">C101+J101+Q101</f>
        <v>17034285.497379579</v>
      </c>
      <c r="D112" s="63">
        <f t="shared" si="64"/>
        <v>40120930.016500212</v>
      </c>
      <c r="E112" s="63">
        <f t="shared" si="64"/>
        <v>10326929.668542551</v>
      </c>
      <c r="F112" s="63">
        <f t="shared" si="64"/>
        <v>17351624.327855162</v>
      </c>
      <c r="G112" s="66">
        <f t="shared" ref="G112:G118" si="65">SUM(C112:F112)</f>
        <v>84833769.51027751</v>
      </c>
    </row>
    <row r="113" spans="2:15" x14ac:dyDescent="0.25">
      <c r="B113" s="13">
        <v>2020</v>
      </c>
      <c r="C113" s="63">
        <f t="shared" si="64"/>
        <v>328221.78141469823</v>
      </c>
      <c r="D113" s="63">
        <f t="shared" si="64"/>
        <v>2928440.9688099339</v>
      </c>
      <c r="E113" s="63">
        <f t="shared" si="64"/>
        <v>327636.34255118022</v>
      </c>
      <c r="F113" s="63">
        <f t="shared" si="64"/>
        <v>1164553.9157777685</v>
      </c>
      <c r="G113" s="66">
        <f t="shared" si="65"/>
        <v>4748853.0085535813</v>
      </c>
    </row>
    <row r="114" spans="2:15" x14ac:dyDescent="0.25">
      <c r="B114" s="13">
        <v>2021</v>
      </c>
      <c r="C114" s="63">
        <f t="shared" si="64"/>
        <v>278502.58687594708</v>
      </c>
      <c r="D114" s="63">
        <f t="shared" si="64"/>
        <v>2771657.2640860365</v>
      </c>
      <c r="E114" s="63">
        <f t="shared" si="64"/>
        <v>381598.23337915092</v>
      </c>
      <c r="F114" s="63">
        <f t="shared" si="64"/>
        <v>511593.75256949471</v>
      </c>
      <c r="G114" s="66">
        <f t="shared" si="65"/>
        <v>3943351.8369106292</v>
      </c>
    </row>
    <row r="115" spans="2:15" x14ac:dyDescent="0.25">
      <c r="B115" s="13">
        <v>2022</v>
      </c>
      <c r="C115" s="63">
        <f t="shared" si="64"/>
        <v>291689.00533027301</v>
      </c>
      <c r="D115" s="63">
        <f t="shared" si="64"/>
        <v>3485316.9551388668</v>
      </c>
      <c r="E115" s="63">
        <f t="shared" si="64"/>
        <v>3905013.1810226473</v>
      </c>
      <c r="F115" s="63">
        <f t="shared" si="64"/>
        <v>646450.9715441782</v>
      </c>
      <c r="G115" s="66">
        <f t="shared" si="65"/>
        <v>8328470.1130359657</v>
      </c>
    </row>
    <row r="116" spans="2:15" x14ac:dyDescent="0.25">
      <c r="B116" s="13">
        <v>2023</v>
      </c>
      <c r="C116" s="63">
        <f t="shared" si="64"/>
        <v>219831.14760584809</v>
      </c>
      <c r="D116" s="63">
        <f t="shared" si="64"/>
        <v>440199.46264107572</v>
      </c>
      <c r="E116" s="63">
        <f t="shared" si="64"/>
        <v>657566.96869167092</v>
      </c>
      <c r="F116" s="63">
        <f t="shared" si="64"/>
        <v>346041.5985417699</v>
      </c>
      <c r="G116" s="66">
        <f t="shared" si="65"/>
        <v>1663639.1774803645</v>
      </c>
    </row>
    <row r="117" spans="2:15" x14ac:dyDescent="0.25">
      <c r="B117" s="67">
        <v>2024</v>
      </c>
      <c r="C117" s="63">
        <f t="shared" si="64"/>
        <v>198990.82001491447</v>
      </c>
      <c r="D117" s="63">
        <f t="shared" si="64"/>
        <v>419803.07049994229</v>
      </c>
      <c r="E117" s="63">
        <f t="shared" si="64"/>
        <v>689115.81449844164</v>
      </c>
      <c r="F117" s="63">
        <f t="shared" si="64"/>
        <v>313205.2805592111</v>
      </c>
      <c r="G117" s="66">
        <f t="shared" si="65"/>
        <v>1621114.9855725095</v>
      </c>
    </row>
    <row r="118" spans="2:15" ht="15.75" thickBot="1" x14ac:dyDescent="0.3">
      <c r="B118" s="68">
        <v>2025</v>
      </c>
      <c r="C118" s="70">
        <f t="shared" si="64"/>
        <v>179088.90172091019</v>
      </c>
      <c r="D118" s="70">
        <f t="shared" si="64"/>
        <v>398196.5817938337</v>
      </c>
      <c r="E118" s="70">
        <f t="shared" si="64"/>
        <v>717346.26329017617</v>
      </c>
      <c r="F118" s="70">
        <f t="shared" si="64"/>
        <v>280450.93172445538</v>
      </c>
      <c r="G118" s="69">
        <f t="shared" si="65"/>
        <v>1575082.6785293755</v>
      </c>
    </row>
    <row r="119" spans="2:15" ht="15.75" thickTop="1" x14ac:dyDescent="0.25">
      <c r="B119" s="83"/>
      <c r="C119" s="17"/>
      <c r="D119" s="17"/>
      <c r="E119" s="17"/>
      <c r="F119" s="17"/>
      <c r="G119" s="17">
        <f>SUM(G112:G118)</f>
        <v>106714281.31035995</v>
      </c>
    </row>
    <row r="121" spans="2:15" ht="15.75" thickBot="1" x14ac:dyDescent="0.3">
      <c r="B121" t="s">
        <v>171</v>
      </c>
      <c r="G121" s="73"/>
      <c r="J121" t="s">
        <v>167</v>
      </c>
    </row>
    <row r="122" spans="2:15" ht="16.5" thickTop="1" thickBot="1" x14ac:dyDescent="0.3">
      <c r="B122" s="55"/>
      <c r="C122" s="56" t="s">
        <v>185</v>
      </c>
      <c r="D122" s="56" t="s">
        <v>186</v>
      </c>
      <c r="E122" s="56"/>
      <c r="F122" s="56"/>
      <c r="G122" s="56"/>
      <c r="H122" s="98"/>
      <c r="J122" s="116"/>
      <c r="K122" s="117" t="s">
        <v>113</v>
      </c>
      <c r="L122" s="117"/>
      <c r="M122" s="117"/>
      <c r="N122" s="117"/>
      <c r="O122" s="118"/>
    </row>
    <row r="123" spans="2:15" ht="15.75" thickBot="1" x14ac:dyDescent="0.3">
      <c r="B123" s="58" t="s">
        <v>12</v>
      </c>
      <c r="C123" s="59" t="s">
        <v>14</v>
      </c>
      <c r="D123" s="60" t="s">
        <v>39</v>
      </c>
      <c r="E123" s="60" t="s">
        <v>40</v>
      </c>
      <c r="F123" s="61" t="s">
        <v>41</v>
      </c>
      <c r="G123" s="104" t="s">
        <v>112</v>
      </c>
      <c r="H123" s="107" t="s">
        <v>73</v>
      </c>
      <c r="J123" s="119" t="s">
        <v>12</v>
      </c>
      <c r="K123" s="120" t="s">
        <v>14</v>
      </c>
      <c r="L123" s="121" t="s">
        <v>39</v>
      </c>
      <c r="M123" s="121" t="s">
        <v>40</v>
      </c>
      <c r="N123" s="122" t="s">
        <v>41</v>
      </c>
      <c r="O123" s="123" t="s">
        <v>42</v>
      </c>
    </row>
    <row r="124" spans="2:15" x14ac:dyDescent="0.25">
      <c r="B124" s="13">
        <v>2019</v>
      </c>
      <c r="C124" s="63">
        <f>C112*3/4</f>
        <v>12775714.123034684</v>
      </c>
      <c r="D124" s="63">
        <f>D112*3/4</f>
        <v>30090697.512375161</v>
      </c>
      <c r="E124" s="63">
        <f>3/4*E112</f>
        <v>7745197.2514069136</v>
      </c>
      <c r="F124" s="63">
        <f>3/4*F112</f>
        <v>13013718.245891372</v>
      </c>
      <c r="G124" s="105">
        <f t="shared" ref="G124:G130" si="66">SUM(C124:F124)</f>
        <v>63625327.132708132</v>
      </c>
      <c r="H124" s="99">
        <v>63625000</v>
      </c>
      <c r="J124" s="38">
        <v>2019</v>
      </c>
      <c r="K124" s="63">
        <f>X66*3/4</f>
        <v>1723.0994530944847</v>
      </c>
      <c r="L124" s="63">
        <f>3/4*Y66</f>
        <v>6816.5172713665697</v>
      </c>
      <c r="M124" s="63">
        <f>3/4*Z66</f>
        <v>1678.4914227711879</v>
      </c>
      <c r="N124" s="63">
        <f>3/4*AA66</f>
        <v>4005.4534459499446</v>
      </c>
      <c r="O124" s="66">
        <f t="shared" ref="O124:O130" si="67">SUM(K124:N124)</f>
        <v>14223.561593182189</v>
      </c>
    </row>
    <row r="125" spans="2:15" x14ac:dyDescent="0.25">
      <c r="B125" s="13">
        <v>2020</v>
      </c>
      <c r="C125" s="63">
        <f>C113+C112/4</f>
        <v>4586793.1557595925</v>
      </c>
      <c r="D125" s="63">
        <f>D113+D112/4</f>
        <v>12958673.472934987</v>
      </c>
      <c r="E125" s="63">
        <f>E113+E112/4</f>
        <v>2909368.7596868179</v>
      </c>
      <c r="F125" s="63">
        <f>F113+F112/4</f>
        <v>5502459.9977415595</v>
      </c>
      <c r="G125" s="105">
        <f t="shared" si="66"/>
        <v>25957295.386122957</v>
      </c>
      <c r="H125" s="99">
        <v>25957000</v>
      </c>
      <c r="J125" s="38">
        <v>2020</v>
      </c>
      <c r="K125" s="63">
        <f>X67+X66/4</f>
        <v>618.63475513253888</v>
      </c>
      <c r="L125" s="63">
        <f>Y67+Y66/4</f>
        <v>2935.5591210849511</v>
      </c>
      <c r="M125" s="63">
        <f>Z67+Z66/4</f>
        <v>630.50047020115767</v>
      </c>
      <c r="N125" s="63">
        <f>AA67+AA66/4</f>
        <v>1693.5857179875525</v>
      </c>
      <c r="O125" s="66">
        <f t="shared" si="67"/>
        <v>5878.2800644062008</v>
      </c>
    </row>
    <row r="126" spans="2:15" x14ac:dyDescent="0.25">
      <c r="B126" s="13">
        <v>2021</v>
      </c>
      <c r="C126" s="63">
        <f t="shared" ref="C126:F130" si="68">C114+J114+Q114</f>
        <v>278502.58687594708</v>
      </c>
      <c r="D126" s="63">
        <f t="shared" si="68"/>
        <v>2771657.2640860365</v>
      </c>
      <c r="E126" s="63">
        <f t="shared" si="68"/>
        <v>381598.23337915092</v>
      </c>
      <c r="F126" s="63">
        <f t="shared" si="68"/>
        <v>511593.75256949471</v>
      </c>
      <c r="G126" s="105">
        <f t="shared" si="66"/>
        <v>3943351.8369106292</v>
      </c>
      <c r="H126" s="99">
        <v>3943000</v>
      </c>
      <c r="J126" s="38">
        <v>2021</v>
      </c>
      <c r="K126" s="63">
        <f t="shared" ref="K126:N130" si="69">X68</f>
        <v>37.562491654858142</v>
      </c>
      <c r="L126" s="63">
        <f t="shared" si="69"/>
        <v>627.87011179056537</v>
      </c>
      <c r="M126" s="63">
        <f t="shared" si="69"/>
        <v>82.69761774694561</v>
      </c>
      <c r="N126" s="63">
        <f t="shared" si="69"/>
        <v>157.46191214819783</v>
      </c>
      <c r="O126" s="66">
        <f t="shared" si="67"/>
        <v>905.59213334056699</v>
      </c>
    </row>
    <row r="127" spans="2:15" x14ac:dyDescent="0.25">
      <c r="B127" s="13">
        <v>2022</v>
      </c>
      <c r="C127" s="63">
        <f t="shared" si="68"/>
        <v>291689.00533027301</v>
      </c>
      <c r="D127" s="63">
        <f t="shared" si="68"/>
        <v>3485316.9551388668</v>
      </c>
      <c r="E127" s="63">
        <f t="shared" si="68"/>
        <v>3905013.1810226473</v>
      </c>
      <c r="F127" s="63">
        <f t="shared" si="68"/>
        <v>646450.9715441782</v>
      </c>
      <c r="G127" s="105">
        <f t="shared" si="66"/>
        <v>8328470.1130359657</v>
      </c>
      <c r="H127" s="99">
        <v>8328000</v>
      </c>
      <c r="J127" s="38">
        <v>2022</v>
      </c>
      <c r="K127" s="63">
        <f t="shared" si="69"/>
        <v>39.340984051299365</v>
      </c>
      <c r="L127" s="63">
        <f t="shared" si="69"/>
        <v>789.53713888221387</v>
      </c>
      <c r="M127" s="63">
        <f t="shared" si="69"/>
        <v>846.27039407735117</v>
      </c>
      <c r="N127" s="63">
        <f t="shared" si="69"/>
        <v>198.96921254052882</v>
      </c>
      <c r="O127" s="66">
        <f t="shared" si="67"/>
        <v>1874.1177295513933</v>
      </c>
    </row>
    <row r="128" spans="2:15" x14ac:dyDescent="0.25">
      <c r="B128" s="13">
        <v>2023</v>
      </c>
      <c r="C128" s="63">
        <f t="shared" si="68"/>
        <v>219831.14760584809</v>
      </c>
      <c r="D128" s="63">
        <f t="shared" si="68"/>
        <v>440199.46264107572</v>
      </c>
      <c r="E128" s="63">
        <f t="shared" si="68"/>
        <v>657566.96869167092</v>
      </c>
      <c r="F128" s="63">
        <f t="shared" si="68"/>
        <v>346041.5985417699</v>
      </c>
      <c r="G128" s="105">
        <f t="shared" si="66"/>
        <v>1663639.1774803645</v>
      </c>
      <c r="H128" s="99">
        <v>1664000</v>
      </c>
      <c r="J128" s="38">
        <v>2023</v>
      </c>
      <c r="K128" s="63">
        <f t="shared" si="69"/>
        <v>29.649296044422876</v>
      </c>
      <c r="L128" s="63">
        <f t="shared" si="69"/>
        <v>99.71943118650313</v>
      </c>
      <c r="M128" s="63">
        <f t="shared" si="69"/>
        <v>142.50386155706099</v>
      </c>
      <c r="N128" s="63">
        <f t="shared" si="69"/>
        <v>106.50710943113879</v>
      </c>
      <c r="O128" s="66">
        <f t="shared" si="67"/>
        <v>378.37969821912577</v>
      </c>
    </row>
    <row r="129" spans="2:15" x14ac:dyDescent="0.25">
      <c r="B129" s="67">
        <v>2024</v>
      </c>
      <c r="C129" s="63">
        <f t="shared" si="68"/>
        <v>198990.82001491447</v>
      </c>
      <c r="D129" s="63">
        <f t="shared" si="68"/>
        <v>419803.07049994229</v>
      </c>
      <c r="E129" s="63">
        <f t="shared" si="68"/>
        <v>689115.81449844164</v>
      </c>
      <c r="F129" s="63">
        <f t="shared" si="68"/>
        <v>313205.2805592111</v>
      </c>
      <c r="G129" s="105">
        <f t="shared" si="66"/>
        <v>1621114.9855725095</v>
      </c>
      <c r="H129" s="99">
        <v>1621000</v>
      </c>
      <c r="J129" s="124">
        <v>2024</v>
      </c>
      <c r="K129" s="63">
        <f t="shared" si="69"/>
        <v>26.838497624199789</v>
      </c>
      <c r="L129" s="63">
        <f t="shared" si="69"/>
        <v>95.098987966586975</v>
      </c>
      <c r="M129" s="63">
        <f t="shared" si="69"/>
        <v>149.34093301774919</v>
      </c>
      <c r="N129" s="63">
        <f t="shared" si="69"/>
        <v>96.400517254297029</v>
      </c>
      <c r="O129" s="66">
        <f t="shared" si="67"/>
        <v>367.67893586283299</v>
      </c>
    </row>
    <row r="130" spans="2:15" ht="15.75" thickBot="1" x14ac:dyDescent="0.3">
      <c r="B130" s="68">
        <v>2025</v>
      </c>
      <c r="C130" s="70">
        <f t="shared" si="68"/>
        <v>179088.90172091019</v>
      </c>
      <c r="D130" s="70">
        <f t="shared" si="68"/>
        <v>398196.5817938337</v>
      </c>
      <c r="E130" s="70">
        <f t="shared" si="68"/>
        <v>717346.26329017617</v>
      </c>
      <c r="F130" s="70">
        <f t="shared" si="68"/>
        <v>280450.93172445538</v>
      </c>
      <c r="G130" s="106">
        <f t="shared" si="66"/>
        <v>1575082.6785293755</v>
      </c>
      <c r="H130" s="99">
        <v>1575000</v>
      </c>
      <c r="J130" s="125">
        <v>2025</v>
      </c>
      <c r="K130" s="70">
        <f t="shared" si="69"/>
        <v>24.154265322374922</v>
      </c>
      <c r="L130" s="70">
        <f t="shared" si="69"/>
        <v>90.204418693867254</v>
      </c>
      <c r="M130" s="70">
        <f t="shared" si="69"/>
        <v>155.45886192515053</v>
      </c>
      <c r="N130" s="70">
        <f t="shared" si="69"/>
        <v>86.319154116483645</v>
      </c>
      <c r="O130" s="69">
        <f t="shared" si="67"/>
        <v>356.1367000578764</v>
      </c>
    </row>
    <row r="131" spans="2:15" ht="16.5" thickTop="1" thickBot="1" x14ac:dyDescent="0.3">
      <c r="G131" s="73">
        <f>SUM(G124:G130)</f>
        <v>106714281.31035995</v>
      </c>
      <c r="H131" s="100">
        <f>SUM(H124:H130)</f>
        <v>106713000</v>
      </c>
    </row>
    <row r="132" spans="2:15" ht="15.75" thickTop="1" x14ac:dyDescent="0.25"/>
    <row r="134" spans="2:15" x14ac:dyDescent="0.25">
      <c r="B134" s="8" t="s">
        <v>68</v>
      </c>
    </row>
    <row r="135" spans="2:15" x14ac:dyDescent="0.25">
      <c r="B135" t="s">
        <v>70</v>
      </c>
      <c r="C135">
        <v>18000</v>
      </c>
      <c r="L135" s="73"/>
    </row>
    <row r="136" spans="2:15" x14ac:dyDescent="0.25">
      <c r="B136" t="s">
        <v>71</v>
      </c>
      <c r="C136">
        <v>300</v>
      </c>
    </row>
    <row r="137" spans="2:15" x14ac:dyDescent="0.25">
      <c r="B137" t="s">
        <v>12</v>
      </c>
      <c r="C137" t="s">
        <v>69</v>
      </c>
      <c r="D137" t="s">
        <v>72</v>
      </c>
      <c r="E137" t="s">
        <v>143</v>
      </c>
      <c r="F137" t="s">
        <v>53</v>
      </c>
      <c r="G137" t="s">
        <v>73</v>
      </c>
    </row>
    <row r="138" spans="2:15" x14ac:dyDescent="0.25">
      <c r="B138">
        <v>2019</v>
      </c>
      <c r="C138" s="84">
        <v>0.23</v>
      </c>
      <c r="D138">
        <f>C138*$C$135/4</f>
        <v>1035</v>
      </c>
      <c r="E138">
        <v>1035</v>
      </c>
      <c r="F138" s="73">
        <f t="shared" ref="F138:F144" si="70">D138*$C$136</f>
        <v>310500</v>
      </c>
      <c r="G138" s="73">
        <v>311000</v>
      </c>
    </row>
    <row r="139" spans="2:15" x14ac:dyDescent="0.25">
      <c r="B139">
        <v>2020</v>
      </c>
      <c r="C139" s="85">
        <f>C138/2</f>
        <v>0.115</v>
      </c>
      <c r="D139">
        <f>C139*$C$135</f>
        <v>2070</v>
      </c>
      <c r="E139">
        <v>2070</v>
      </c>
      <c r="F139" s="73">
        <f t="shared" si="70"/>
        <v>621000</v>
      </c>
      <c r="G139" s="73">
        <v>621000</v>
      </c>
    </row>
    <row r="140" spans="2:15" x14ac:dyDescent="0.25">
      <c r="B140">
        <v>2021</v>
      </c>
      <c r="C140" s="85">
        <f t="shared" ref="C140:C142" si="71">C139/2</f>
        <v>5.7500000000000002E-2</v>
      </c>
      <c r="D140">
        <f t="shared" ref="D140:D144" si="72">C140*$C$135</f>
        <v>1035</v>
      </c>
      <c r="E140">
        <v>1035</v>
      </c>
      <c r="F140" s="73">
        <f t="shared" si="70"/>
        <v>310500</v>
      </c>
      <c r="G140" s="73">
        <v>311000</v>
      </c>
    </row>
    <row r="141" spans="2:15" x14ac:dyDescent="0.25">
      <c r="B141">
        <v>2022</v>
      </c>
      <c r="C141" s="85">
        <f t="shared" si="71"/>
        <v>2.8750000000000001E-2</v>
      </c>
      <c r="D141">
        <f t="shared" si="72"/>
        <v>517.5</v>
      </c>
      <c r="E141">
        <v>518</v>
      </c>
      <c r="F141" s="73">
        <f t="shared" si="70"/>
        <v>155250</v>
      </c>
      <c r="G141" s="73">
        <v>155000</v>
      </c>
    </row>
    <row r="142" spans="2:15" x14ac:dyDescent="0.25">
      <c r="B142">
        <v>2023</v>
      </c>
      <c r="C142" s="85">
        <f t="shared" si="71"/>
        <v>1.4375000000000001E-2</v>
      </c>
      <c r="D142">
        <f t="shared" si="72"/>
        <v>258.75</v>
      </c>
      <c r="E142">
        <v>259</v>
      </c>
      <c r="F142" s="73">
        <f t="shared" si="70"/>
        <v>77625</v>
      </c>
      <c r="G142" s="73">
        <v>78000</v>
      </c>
    </row>
    <row r="143" spans="2:15" x14ac:dyDescent="0.25">
      <c r="B143">
        <v>2024</v>
      </c>
      <c r="C143" s="85">
        <v>0.01</v>
      </c>
      <c r="D143">
        <f t="shared" si="72"/>
        <v>180</v>
      </c>
      <c r="E143">
        <v>180</v>
      </c>
      <c r="F143" s="73">
        <f t="shared" si="70"/>
        <v>54000</v>
      </c>
      <c r="G143" s="73">
        <v>54000</v>
      </c>
    </row>
    <row r="144" spans="2:15" x14ac:dyDescent="0.25">
      <c r="B144">
        <v>2025</v>
      </c>
      <c r="C144" s="85">
        <v>0.01</v>
      </c>
      <c r="D144">
        <f t="shared" si="72"/>
        <v>180</v>
      </c>
      <c r="E144">
        <v>180</v>
      </c>
      <c r="F144" s="73">
        <f t="shared" si="70"/>
        <v>54000</v>
      </c>
      <c r="G144" s="73">
        <v>54000</v>
      </c>
    </row>
    <row r="145" spans="2:9" x14ac:dyDescent="0.25">
      <c r="D145">
        <f>SUM(D138:D144)</f>
        <v>5276.25</v>
      </c>
      <c r="F145" s="73">
        <f>SUM(F138:F144)</f>
        <v>1582875</v>
      </c>
      <c r="G145" s="73">
        <f>SUM(G138:G144)</f>
        <v>1584000</v>
      </c>
    </row>
    <row r="146" spans="2:9" x14ac:dyDescent="0.25">
      <c r="D146" t="s">
        <v>191</v>
      </c>
    </row>
    <row r="148" spans="2:9" x14ac:dyDescent="0.25">
      <c r="B148" s="8" t="s">
        <v>74</v>
      </c>
    </row>
    <row r="149" spans="2:9" x14ac:dyDescent="0.25">
      <c r="B149" s="87" t="s">
        <v>77</v>
      </c>
      <c r="G149" s="87" t="s">
        <v>78</v>
      </c>
    </row>
    <row r="150" spans="2:9" x14ac:dyDescent="0.25">
      <c r="B150" t="s">
        <v>189</v>
      </c>
      <c r="G150" t="s">
        <v>84</v>
      </c>
    </row>
    <row r="151" spans="2:9" x14ac:dyDescent="0.25">
      <c r="B151" t="s">
        <v>75</v>
      </c>
      <c r="G151" t="s">
        <v>85</v>
      </c>
    </row>
    <row r="152" spans="2:9" x14ac:dyDescent="0.25">
      <c r="B152" t="s">
        <v>187</v>
      </c>
      <c r="C152">
        <v>2516</v>
      </c>
      <c r="G152" t="s">
        <v>86</v>
      </c>
      <c r="I152">
        <v>316</v>
      </c>
    </row>
    <row r="153" spans="2:9" x14ac:dyDescent="0.25">
      <c r="B153" t="s">
        <v>188</v>
      </c>
      <c r="C153" s="73">
        <v>237000</v>
      </c>
      <c r="D153" s="86"/>
    </row>
    <row r="154" spans="2:9" x14ac:dyDescent="0.25">
      <c r="B154" t="s">
        <v>76</v>
      </c>
      <c r="C154">
        <f>C153/20</f>
        <v>11850</v>
      </c>
      <c r="G154" s="87" t="s">
        <v>87</v>
      </c>
    </row>
    <row r="155" spans="2:9" x14ac:dyDescent="0.25">
      <c r="G155" t="s">
        <v>53</v>
      </c>
      <c r="H155">
        <v>175</v>
      </c>
    </row>
    <row r="156" spans="2:9" x14ac:dyDescent="0.25">
      <c r="B156" s="87" t="s">
        <v>79</v>
      </c>
      <c r="G156" t="s">
        <v>80</v>
      </c>
      <c r="H156">
        <v>6</v>
      </c>
      <c r="I156" t="s">
        <v>88</v>
      </c>
    </row>
    <row r="157" spans="2:9" x14ac:dyDescent="0.25">
      <c r="B157" t="s">
        <v>53</v>
      </c>
      <c r="C157">
        <v>0</v>
      </c>
      <c r="G157" t="s">
        <v>81</v>
      </c>
      <c r="H157">
        <v>67</v>
      </c>
      <c r="I157" t="s">
        <v>82</v>
      </c>
    </row>
    <row r="158" spans="2:9" x14ac:dyDescent="0.25">
      <c r="B158" t="s">
        <v>80</v>
      </c>
      <c r="C158">
        <v>1</v>
      </c>
      <c r="D158" t="s">
        <v>83</v>
      </c>
      <c r="G158" t="s">
        <v>11</v>
      </c>
      <c r="H158">
        <f>H155+H156*H157</f>
        <v>577</v>
      </c>
    </row>
    <row r="159" spans="2:9" ht="15.75" thickBot="1" x14ac:dyDescent="0.3">
      <c r="B159" t="s">
        <v>81</v>
      </c>
      <c r="C159">
        <v>67</v>
      </c>
      <c r="D159" t="s">
        <v>82</v>
      </c>
    </row>
    <row r="160" spans="2:9" ht="15.75" thickTop="1" x14ac:dyDescent="0.25">
      <c r="B160" t="s">
        <v>11</v>
      </c>
      <c r="C160">
        <v>67</v>
      </c>
      <c r="G160" s="92" t="s">
        <v>12</v>
      </c>
      <c r="H160" s="93" t="s">
        <v>53</v>
      </c>
    </row>
    <row r="161" spans="2:8" ht="15.75" thickBot="1" x14ac:dyDescent="0.3">
      <c r="G161" s="13">
        <v>2019</v>
      </c>
      <c r="H161" s="35">
        <f>H158*I152</f>
        <v>182332</v>
      </c>
    </row>
    <row r="162" spans="2:8" ht="15.75" thickTop="1" x14ac:dyDescent="0.25">
      <c r="B162" s="88" t="s">
        <v>12</v>
      </c>
      <c r="C162" s="89" t="s">
        <v>53</v>
      </c>
      <c r="G162" s="13">
        <v>2020</v>
      </c>
      <c r="H162" s="35">
        <v>0</v>
      </c>
    </row>
    <row r="163" spans="2:8" x14ac:dyDescent="0.25">
      <c r="B163" s="38">
        <v>2019</v>
      </c>
      <c r="C163" s="35">
        <f>C160*C154</f>
        <v>793950</v>
      </c>
      <c r="G163" s="13">
        <v>2021</v>
      </c>
      <c r="H163" s="35">
        <v>0</v>
      </c>
    </row>
    <row r="164" spans="2:8" x14ac:dyDescent="0.25">
      <c r="B164" s="38">
        <v>2020</v>
      </c>
      <c r="C164" s="35">
        <v>0</v>
      </c>
      <c r="G164" s="13">
        <v>2022</v>
      </c>
      <c r="H164" s="35">
        <v>0</v>
      </c>
    </row>
    <row r="165" spans="2:8" x14ac:dyDescent="0.25">
      <c r="B165" s="38">
        <v>2021</v>
      </c>
      <c r="C165" s="35">
        <v>0</v>
      </c>
      <c r="G165" s="13">
        <v>2023</v>
      </c>
      <c r="H165" s="35">
        <f>H158*I152</f>
        <v>182332</v>
      </c>
    </row>
    <row r="166" spans="2:8" x14ac:dyDescent="0.25">
      <c r="B166" s="38">
        <v>2022</v>
      </c>
      <c r="C166" s="35">
        <v>0</v>
      </c>
      <c r="G166" s="13">
        <v>2024</v>
      </c>
      <c r="H166" s="35">
        <v>0</v>
      </c>
    </row>
    <row r="167" spans="2:8" ht="15.75" thickBot="1" x14ac:dyDescent="0.3">
      <c r="B167" s="38">
        <v>2023</v>
      </c>
      <c r="C167" s="35">
        <v>0</v>
      </c>
      <c r="G167" s="94">
        <v>2025</v>
      </c>
      <c r="H167" s="91">
        <v>0</v>
      </c>
    </row>
    <row r="168" spans="2:8" ht="15.75" thickTop="1" x14ac:dyDescent="0.25">
      <c r="B168" s="38">
        <v>2024</v>
      </c>
      <c r="C168" s="35">
        <v>0</v>
      </c>
      <c r="G168" s="142"/>
      <c r="H168" s="17"/>
    </row>
    <row r="169" spans="2:8" ht="15.75" thickBot="1" x14ac:dyDescent="0.3">
      <c r="B169" s="90">
        <v>2025</v>
      </c>
      <c r="C169" s="91">
        <v>0</v>
      </c>
    </row>
    <row r="170" spans="2:8" ht="15.75" thickTop="1" x14ac:dyDescent="0.25">
      <c r="B170" s="192"/>
      <c r="C170" s="17"/>
    </row>
    <row r="171" spans="2:8" ht="15.75" thickBot="1" x14ac:dyDescent="0.3">
      <c r="E171" s="87" t="s">
        <v>89</v>
      </c>
    </row>
    <row r="172" spans="2:8" ht="15.75" thickTop="1" x14ac:dyDescent="0.25">
      <c r="E172" s="92" t="s">
        <v>12</v>
      </c>
      <c r="F172" s="93" t="s">
        <v>53</v>
      </c>
      <c r="G172" s="101" t="s">
        <v>73</v>
      </c>
    </row>
    <row r="173" spans="2:8" x14ac:dyDescent="0.25">
      <c r="E173" s="13">
        <v>2019</v>
      </c>
      <c r="F173" s="35">
        <f t="shared" ref="F173:F179" si="73">C163+H161</f>
        <v>976282</v>
      </c>
      <c r="G173" s="99">
        <v>976000</v>
      </c>
    </row>
    <row r="174" spans="2:8" x14ac:dyDescent="0.25">
      <c r="E174" s="13">
        <v>2020</v>
      </c>
      <c r="F174" s="35">
        <f t="shared" si="73"/>
        <v>0</v>
      </c>
      <c r="G174" s="102">
        <v>0</v>
      </c>
    </row>
    <row r="175" spans="2:8" x14ac:dyDescent="0.25">
      <c r="E175" s="13">
        <v>2021</v>
      </c>
      <c r="F175" s="35">
        <f t="shared" si="73"/>
        <v>0</v>
      </c>
      <c r="G175" s="102">
        <v>0</v>
      </c>
    </row>
    <row r="176" spans="2:8" x14ac:dyDescent="0.25">
      <c r="E176" s="13">
        <v>2022</v>
      </c>
      <c r="F176" s="35">
        <f t="shared" si="73"/>
        <v>0</v>
      </c>
      <c r="G176" s="102">
        <v>0</v>
      </c>
    </row>
    <row r="177" spans="2:7" x14ac:dyDescent="0.25">
      <c r="E177" s="13">
        <v>2023</v>
      </c>
      <c r="F177" s="35">
        <f t="shared" si="73"/>
        <v>182332</v>
      </c>
      <c r="G177" s="99">
        <v>182000</v>
      </c>
    </row>
    <row r="178" spans="2:7" x14ac:dyDescent="0.25">
      <c r="E178" s="13">
        <v>2024</v>
      </c>
      <c r="F178" s="35">
        <f t="shared" si="73"/>
        <v>0</v>
      </c>
      <c r="G178" s="102">
        <v>0</v>
      </c>
    </row>
    <row r="179" spans="2:7" x14ac:dyDescent="0.25">
      <c r="E179" s="13">
        <v>2025</v>
      </c>
      <c r="F179" s="35">
        <f t="shared" si="73"/>
        <v>0</v>
      </c>
      <c r="G179" s="102">
        <v>0</v>
      </c>
    </row>
    <row r="180" spans="2:7" ht="15.75" thickBot="1" x14ac:dyDescent="0.3">
      <c r="E180" s="94" t="s">
        <v>11</v>
      </c>
      <c r="F180" s="91">
        <f>SUM(F173:F179)</f>
        <v>1158614</v>
      </c>
      <c r="G180" s="103">
        <f>SUM(G173:G179)</f>
        <v>1158000</v>
      </c>
    </row>
    <row r="181" spans="2:7" ht="15.75" thickTop="1" x14ac:dyDescent="0.25">
      <c r="E181" s="142"/>
      <c r="F181" s="17"/>
      <c r="G181" s="48"/>
    </row>
    <row r="182" spans="2:7" x14ac:dyDescent="0.25">
      <c r="E182" s="142"/>
      <c r="F182" s="17"/>
      <c r="G182" s="48"/>
    </row>
    <row r="183" spans="2:7" x14ac:dyDescent="0.25">
      <c r="B183" s="8" t="s">
        <v>149</v>
      </c>
    </row>
    <row r="185" spans="2:7" x14ac:dyDescent="0.25">
      <c r="B185" t="s">
        <v>150</v>
      </c>
      <c r="C185">
        <v>50</v>
      </c>
    </row>
    <row r="187" spans="2:7" x14ac:dyDescent="0.25">
      <c r="B187" t="s">
        <v>151</v>
      </c>
    </row>
    <row r="188" spans="2:7" x14ac:dyDescent="0.25">
      <c r="B188" t="s">
        <v>152</v>
      </c>
      <c r="C188">
        <v>8</v>
      </c>
      <c r="D188" t="s">
        <v>88</v>
      </c>
    </row>
    <row r="189" spans="2:7" x14ac:dyDescent="0.25">
      <c r="B189" t="s">
        <v>153</v>
      </c>
      <c r="C189">
        <v>4</v>
      </c>
      <c r="D189" t="s">
        <v>88</v>
      </c>
    </row>
    <row r="190" spans="2:7" x14ac:dyDescent="0.25">
      <c r="B190" t="s">
        <v>210</v>
      </c>
      <c r="C190">
        <v>2</v>
      </c>
      <c r="D190" t="s">
        <v>88</v>
      </c>
    </row>
    <row r="192" spans="2:7" x14ac:dyDescent="0.25">
      <c r="B192" t="s">
        <v>154</v>
      </c>
    </row>
    <row r="193" spans="2:10" x14ac:dyDescent="0.25">
      <c r="B193" t="str">
        <f>B188</f>
        <v>50+ vehicle fleet</v>
      </c>
      <c r="C193">
        <v>4</v>
      </c>
      <c r="D193" t="str">
        <f>D188</f>
        <v>hours</v>
      </c>
    </row>
    <row r="194" spans="2:10" x14ac:dyDescent="0.25">
      <c r="B194" t="str">
        <f t="shared" ref="B194:B195" si="74">B189</f>
        <v>20-49 vehicle fleet</v>
      </c>
      <c r="C194">
        <v>2</v>
      </c>
      <c r="D194" t="str">
        <f t="shared" ref="D194:D195" si="75">D189</f>
        <v>hours</v>
      </c>
    </row>
    <row r="195" spans="2:10" x14ac:dyDescent="0.25">
      <c r="B195" t="str">
        <f t="shared" si="74"/>
        <v>&lt;20 vehicle fleet</v>
      </c>
      <c r="C195">
        <v>1</v>
      </c>
      <c r="D195" t="str">
        <f t="shared" si="75"/>
        <v>hours</v>
      </c>
    </row>
    <row r="197" spans="2:10" ht="15.75" thickBot="1" x14ac:dyDescent="0.3">
      <c r="D197" s="41" t="s">
        <v>155</v>
      </c>
    </row>
    <row r="198" spans="2:10" ht="15.75" thickTop="1" x14ac:dyDescent="0.25">
      <c r="B198" s="146"/>
      <c r="C198" s="147">
        <v>2018</v>
      </c>
      <c r="D198" s="147">
        <v>2019</v>
      </c>
      <c r="E198" s="147">
        <v>2020</v>
      </c>
      <c r="F198" s="147">
        <v>2021</v>
      </c>
      <c r="G198" s="147">
        <v>2022</v>
      </c>
      <c r="H198" s="147">
        <v>2023</v>
      </c>
      <c r="I198" s="147">
        <v>2024</v>
      </c>
      <c r="J198" s="148">
        <v>2025</v>
      </c>
    </row>
    <row r="199" spans="2:10" x14ac:dyDescent="0.25">
      <c r="B199" s="13" t="s">
        <v>156</v>
      </c>
      <c r="C199" s="149">
        <v>0</v>
      </c>
      <c r="D199" s="149">
        <v>0</v>
      </c>
      <c r="E199" s="149">
        <v>0</v>
      </c>
      <c r="F199" s="149">
        <v>0</v>
      </c>
      <c r="G199" s="149">
        <v>0</v>
      </c>
      <c r="H199" s="149">
        <f>C185*C188</f>
        <v>400</v>
      </c>
      <c r="I199" s="149">
        <f>C185*C193</f>
        <v>200</v>
      </c>
      <c r="J199" s="150">
        <f>C185*C193</f>
        <v>200</v>
      </c>
    </row>
    <row r="200" spans="2:10" x14ac:dyDescent="0.25">
      <c r="B200" s="13" t="s">
        <v>157</v>
      </c>
      <c r="C200" s="151">
        <v>0</v>
      </c>
      <c r="D200" s="151">
        <v>0</v>
      </c>
      <c r="E200" s="152">
        <v>0</v>
      </c>
      <c r="F200" s="152">
        <v>0</v>
      </c>
      <c r="G200" s="152">
        <v>0</v>
      </c>
      <c r="H200" s="152">
        <f>C185*C189</f>
        <v>200</v>
      </c>
      <c r="I200" s="152">
        <f>C185*C194</f>
        <v>100</v>
      </c>
      <c r="J200" s="150">
        <f>C185*C194</f>
        <v>100</v>
      </c>
    </row>
    <row r="201" spans="2:10" ht="15.75" thickBot="1" x14ac:dyDescent="0.3">
      <c r="B201" s="94" t="s">
        <v>192</v>
      </c>
      <c r="C201" s="153">
        <v>0</v>
      </c>
      <c r="D201" s="153">
        <v>0</v>
      </c>
      <c r="E201" s="153">
        <v>0</v>
      </c>
      <c r="F201" s="153">
        <v>0</v>
      </c>
      <c r="G201" s="153">
        <v>0</v>
      </c>
      <c r="H201" s="153">
        <f>C185*C190</f>
        <v>100</v>
      </c>
      <c r="I201" s="153">
        <f>C185*C195</f>
        <v>50</v>
      </c>
      <c r="J201" s="154">
        <f>C185*C195</f>
        <v>50</v>
      </c>
    </row>
    <row r="202" spans="2:10" ht="16.5" thickTop="1" thickBot="1" x14ac:dyDescent="0.3">
      <c r="B202" s="142"/>
      <c r="C202" s="155"/>
      <c r="D202" s="155"/>
      <c r="E202" s="155"/>
      <c r="F202" s="155"/>
      <c r="G202" s="155"/>
      <c r="H202" s="155"/>
      <c r="I202" s="155"/>
      <c r="J202" s="155"/>
    </row>
    <row r="203" spans="2:10" ht="16.5" thickTop="1" thickBot="1" x14ac:dyDescent="0.3">
      <c r="B203" s="55" t="s">
        <v>158</v>
      </c>
      <c r="C203" s="56" t="s">
        <v>177</v>
      </c>
      <c r="D203" s="57" t="s">
        <v>178</v>
      </c>
      <c r="E203" s="155"/>
      <c r="F203" s="155"/>
      <c r="G203" s="155"/>
      <c r="H203" s="155"/>
      <c r="I203" s="155"/>
      <c r="J203" s="155"/>
    </row>
    <row r="204" spans="2:10" x14ac:dyDescent="0.25">
      <c r="B204" s="44" t="s">
        <v>156</v>
      </c>
      <c r="C204" s="48">
        <v>764</v>
      </c>
      <c r="D204" s="45">
        <v>0.37</v>
      </c>
      <c r="E204" s="155"/>
      <c r="F204" s="155"/>
      <c r="G204" s="155"/>
      <c r="H204" s="155"/>
      <c r="I204" s="155"/>
      <c r="J204" s="155"/>
    </row>
    <row r="205" spans="2:10" x14ac:dyDescent="0.25">
      <c r="B205" s="44" t="s">
        <v>157</v>
      </c>
      <c r="C205" s="48">
        <v>1752</v>
      </c>
      <c r="D205" s="45">
        <v>0.17</v>
      </c>
      <c r="E205" s="155"/>
      <c r="F205" s="155"/>
      <c r="G205" s="155"/>
      <c r="H205" s="155"/>
      <c r="I205" s="155"/>
      <c r="J205" s="155"/>
    </row>
    <row r="206" spans="2:10" ht="15.75" thickBot="1" x14ac:dyDescent="0.3">
      <c r="B206" s="46" t="s">
        <v>192</v>
      </c>
      <c r="C206" s="74">
        <v>47078</v>
      </c>
      <c r="D206" s="47">
        <v>0.5</v>
      </c>
    </row>
    <row r="207" spans="2:10" ht="15.75" thickTop="1" x14ac:dyDescent="0.25"/>
    <row r="208" spans="2:10" ht="15.75" thickBot="1" x14ac:dyDescent="0.3">
      <c r="D208" s="41" t="s">
        <v>159</v>
      </c>
    </row>
    <row r="209" spans="2:11" ht="15.75" thickTop="1" x14ac:dyDescent="0.25">
      <c r="B209" s="146"/>
      <c r="C209" s="156">
        <v>2018</v>
      </c>
      <c r="D209" s="156">
        <v>2019</v>
      </c>
      <c r="E209" s="156">
        <v>2020</v>
      </c>
      <c r="F209" s="156">
        <v>2021</v>
      </c>
      <c r="G209" s="156">
        <v>2022</v>
      </c>
      <c r="H209" s="156">
        <v>2023</v>
      </c>
      <c r="I209" s="156">
        <v>2024</v>
      </c>
      <c r="J209" s="147">
        <v>2025</v>
      </c>
      <c r="K209" s="157" t="s">
        <v>11</v>
      </c>
    </row>
    <row r="210" spans="2:11" x14ac:dyDescent="0.25">
      <c r="B210" s="13" t="s">
        <v>156</v>
      </c>
      <c r="C210" s="158">
        <f>$C$33*C195</f>
        <v>0</v>
      </c>
      <c r="D210" s="158">
        <v>0</v>
      </c>
      <c r="E210" s="158">
        <f t="shared" ref="E210:G210" si="76">$C$33*E195</f>
        <v>0</v>
      </c>
      <c r="F210" s="158">
        <f t="shared" si="76"/>
        <v>0</v>
      </c>
      <c r="G210" s="158">
        <f t="shared" si="76"/>
        <v>0</v>
      </c>
      <c r="H210" s="158">
        <f>H199*C204</f>
        <v>305600</v>
      </c>
      <c r="I210" s="158">
        <f>I199*C204</f>
        <v>152800</v>
      </c>
      <c r="J210" s="161">
        <f>J199*C204</f>
        <v>152800</v>
      </c>
      <c r="K210" s="159">
        <f>SUM(C210:J210)</f>
        <v>611200</v>
      </c>
    </row>
    <row r="211" spans="2:11" x14ac:dyDescent="0.25">
      <c r="B211" s="13" t="s">
        <v>157</v>
      </c>
      <c r="C211" s="64">
        <f>$C$34*C196</f>
        <v>0</v>
      </c>
      <c r="D211" s="64">
        <f t="shared" ref="D211:G211" si="77">$C$34*D196</f>
        <v>0</v>
      </c>
      <c r="E211" s="64">
        <f t="shared" si="77"/>
        <v>0</v>
      </c>
      <c r="F211" s="64">
        <f t="shared" si="77"/>
        <v>0</v>
      </c>
      <c r="G211" s="64">
        <f t="shared" si="77"/>
        <v>0</v>
      </c>
      <c r="H211" s="64">
        <f>H200*C205</f>
        <v>350400</v>
      </c>
      <c r="I211" s="64">
        <f>I200*C205</f>
        <v>175200</v>
      </c>
      <c r="J211" s="162">
        <f>J200*C205</f>
        <v>175200</v>
      </c>
      <c r="K211" s="159">
        <f t="shared" ref="K211:K212" si="78">SUM(C211:J211)</f>
        <v>700800</v>
      </c>
    </row>
    <row r="212" spans="2:11" ht="15.75" thickBot="1" x14ac:dyDescent="0.3">
      <c r="B212" s="94" t="s">
        <v>160</v>
      </c>
      <c r="C212" s="71">
        <f>$C$35*C197</f>
        <v>0</v>
      </c>
      <c r="D212" s="71">
        <v>0</v>
      </c>
      <c r="E212" s="71">
        <f t="shared" ref="E212:G212" si="79">$C$35*E197</f>
        <v>0</v>
      </c>
      <c r="F212" s="71">
        <f t="shared" si="79"/>
        <v>0</v>
      </c>
      <c r="G212" s="71">
        <f t="shared" si="79"/>
        <v>0</v>
      </c>
      <c r="H212" s="71">
        <f>H201*C206</f>
        <v>4707800</v>
      </c>
      <c r="I212" s="71">
        <f>I201*C206</f>
        <v>2353900</v>
      </c>
      <c r="J212" s="163">
        <f>J201*C206</f>
        <v>2353900</v>
      </c>
      <c r="K212" s="160">
        <f t="shared" si="78"/>
        <v>9415600</v>
      </c>
    </row>
    <row r="213" spans="2:11" ht="15.75" thickTop="1" x14ac:dyDescent="0.25">
      <c r="B213" s="83" t="s">
        <v>11</v>
      </c>
      <c r="C213" s="73">
        <f>SUM(C210:C212)</f>
        <v>0</v>
      </c>
      <c r="D213" s="73">
        <f t="shared" ref="D213:K213" si="80">SUM(D210:D212)</f>
        <v>0</v>
      </c>
      <c r="E213" s="73">
        <f t="shared" si="80"/>
        <v>0</v>
      </c>
      <c r="F213" s="73">
        <f t="shared" si="80"/>
        <v>0</v>
      </c>
      <c r="G213" s="73">
        <f t="shared" si="80"/>
        <v>0</v>
      </c>
      <c r="H213" s="73">
        <f t="shared" si="80"/>
        <v>5363800</v>
      </c>
      <c r="I213" s="73">
        <f t="shared" si="80"/>
        <v>2681900</v>
      </c>
      <c r="J213" s="73">
        <f t="shared" si="80"/>
        <v>2681900</v>
      </c>
      <c r="K213" s="73">
        <f t="shared" si="80"/>
        <v>10727600</v>
      </c>
    </row>
    <row r="214" spans="2:11" x14ac:dyDescent="0.25">
      <c r="E214" s="87" t="s">
        <v>161</v>
      </c>
    </row>
    <row r="215" spans="2:11" x14ac:dyDescent="0.25">
      <c r="E215" s="95">
        <f>SUM(K210:K212)</f>
        <v>10727600</v>
      </c>
    </row>
    <row r="216" spans="2:11" x14ac:dyDescent="0.25">
      <c r="E216" s="95"/>
    </row>
    <row r="217" spans="2:11" ht="15.75" thickBot="1" x14ac:dyDescent="0.3">
      <c r="B217" t="s">
        <v>163</v>
      </c>
      <c r="E217" s="95"/>
    </row>
    <row r="218" spans="2:11" ht="15.75" thickTop="1" x14ac:dyDescent="0.25">
      <c r="B218" s="42"/>
      <c r="C218" s="53" t="s">
        <v>190</v>
      </c>
      <c r="D218" s="53" t="s">
        <v>164</v>
      </c>
      <c r="E218" s="53" t="s">
        <v>165</v>
      </c>
      <c r="F218" s="54" t="s">
        <v>11</v>
      </c>
      <c r="G218" s="95"/>
    </row>
    <row r="219" spans="2:11" x14ac:dyDescent="0.25">
      <c r="B219" s="13" t="s">
        <v>156</v>
      </c>
      <c r="C219" s="166">
        <v>306000</v>
      </c>
      <c r="D219" s="166">
        <v>153000</v>
      </c>
      <c r="E219" s="166">
        <v>153000</v>
      </c>
      <c r="F219" s="144">
        <f>SUM(C219:E219)</f>
        <v>612000</v>
      </c>
      <c r="G219" s="95"/>
    </row>
    <row r="220" spans="2:11" x14ac:dyDescent="0.25">
      <c r="B220" s="13" t="s">
        <v>157</v>
      </c>
      <c r="C220" s="166">
        <v>350000</v>
      </c>
      <c r="D220" s="166">
        <v>175000</v>
      </c>
      <c r="E220" s="166">
        <v>175000</v>
      </c>
      <c r="F220" s="144">
        <f>SUM(C220:E220)</f>
        <v>700000</v>
      </c>
      <c r="G220" s="95"/>
    </row>
    <row r="221" spans="2:11" ht="15.75" thickBot="1" x14ac:dyDescent="0.3">
      <c r="B221" s="94" t="s">
        <v>160</v>
      </c>
      <c r="C221" s="167">
        <v>4708000</v>
      </c>
      <c r="D221" s="167">
        <v>2354000</v>
      </c>
      <c r="E221" s="167">
        <v>2354000</v>
      </c>
      <c r="F221" s="145">
        <f>SUM(C221:E221)</f>
        <v>9416000</v>
      </c>
    </row>
    <row r="222" spans="2:11" ht="16.5" thickTop="1" thickBot="1" x14ac:dyDescent="0.3">
      <c r="B222" s="165" t="s">
        <v>166</v>
      </c>
      <c r="C222" s="168">
        <f>SUM(C219:C221)</f>
        <v>5364000</v>
      </c>
      <c r="D222" s="168">
        <f>SUM(D219:D221)</f>
        <v>2682000</v>
      </c>
      <c r="E222" s="168">
        <f t="shared" ref="E222" si="81">SUM(E219:E221)</f>
        <v>2682000</v>
      </c>
      <c r="F222" s="169">
        <f>SUM(F219:F221)</f>
        <v>10728000</v>
      </c>
    </row>
    <row r="223" spans="2:11" ht="15.75" thickTop="1" x14ac:dyDescent="0.25">
      <c r="B223" s="83"/>
      <c r="C223" s="166"/>
      <c r="D223" s="166"/>
      <c r="E223" s="166"/>
    </row>
    <row r="224" spans="2:11" x14ac:dyDescent="0.25">
      <c r="B224" s="172" t="s">
        <v>172</v>
      </c>
      <c r="C224" s="166"/>
      <c r="D224" s="166"/>
      <c r="E224" s="166"/>
    </row>
    <row r="225" spans="2:6" x14ac:dyDescent="0.25">
      <c r="B225" s="83"/>
      <c r="C225" s="166"/>
      <c r="D225" s="166"/>
      <c r="E225" s="166"/>
    </row>
    <row r="226" spans="2:6" x14ac:dyDescent="0.25">
      <c r="B226" s="83" t="s">
        <v>173</v>
      </c>
      <c r="C226" s="166">
        <v>5000</v>
      </c>
      <c r="D226" s="166"/>
      <c r="E226" s="166"/>
    </row>
    <row r="227" spans="2:6" x14ac:dyDescent="0.25">
      <c r="B227" s="83" t="s">
        <v>174</v>
      </c>
      <c r="C227" s="166">
        <v>65</v>
      </c>
      <c r="D227" s="166"/>
      <c r="E227" s="166"/>
    </row>
    <row r="228" spans="2:6" x14ac:dyDescent="0.25">
      <c r="B228" s="83"/>
      <c r="C228" s="166"/>
      <c r="D228" s="166"/>
      <c r="E228" s="166"/>
    </row>
    <row r="229" spans="2:6" x14ac:dyDescent="0.25">
      <c r="B229" s="173" t="s">
        <v>12</v>
      </c>
      <c r="C229" s="174" t="s">
        <v>175</v>
      </c>
      <c r="D229" s="174" t="s">
        <v>176</v>
      </c>
      <c r="E229" s="166" t="s">
        <v>11</v>
      </c>
      <c r="F229" t="s">
        <v>179</v>
      </c>
    </row>
    <row r="230" spans="2:6" x14ac:dyDescent="0.25">
      <c r="B230" s="83">
        <v>2019</v>
      </c>
      <c r="C230" s="166">
        <v>0</v>
      </c>
      <c r="D230" s="166">
        <v>0</v>
      </c>
      <c r="E230" s="166">
        <f>SUM(C230:D230)</f>
        <v>0</v>
      </c>
      <c r="F230" s="176">
        <v>0</v>
      </c>
    </row>
    <row r="231" spans="2:6" x14ac:dyDescent="0.25">
      <c r="B231" s="83">
        <v>2020</v>
      </c>
      <c r="C231" s="166">
        <v>0</v>
      </c>
      <c r="D231" s="166">
        <v>0</v>
      </c>
      <c r="E231" s="166">
        <f t="shared" ref="E231:E236" si="82">SUM(C231:D231)</f>
        <v>0</v>
      </c>
      <c r="F231" s="176">
        <v>0</v>
      </c>
    </row>
    <row r="232" spans="2:6" x14ac:dyDescent="0.25">
      <c r="B232" s="83">
        <v>2021</v>
      </c>
      <c r="C232" s="166">
        <v>0</v>
      </c>
      <c r="D232" s="166">
        <v>0</v>
      </c>
      <c r="E232" s="166">
        <f t="shared" si="82"/>
        <v>0</v>
      </c>
      <c r="F232" s="176">
        <v>0</v>
      </c>
    </row>
    <row r="233" spans="2:6" x14ac:dyDescent="0.25">
      <c r="B233" s="83">
        <v>2022</v>
      </c>
      <c r="C233" s="166">
        <f>C227*D206*(C50-C49)*G11*G49</f>
        <v>3316187.8688368029</v>
      </c>
      <c r="D233" s="166">
        <f>C226*(C204+C205)*(C50-C49)</f>
        <v>2515999.9999999995</v>
      </c>
      <c r="E233" s="166">
        <f>SUM(C233:D233)</f>
        <v>5832187.8688368024</v>
      </c>
      <c r="F233" s="176">
        <v>5832000</v>
      </c>
    </row>
    <row r="234" spans="2:6" x14ac:dyDescent="0.25">
      <c r="B234" s="83">
        <v>2023</v>
      </c>
      <c r="C234" s="166">
        <f>C227*D206*(C50-C49)*H11*G49</f>
        <v>3331835.3153295843</v>
      </c>
      <c r="D234" s="166">
        <v>0</v>
      </c>
      <c r="E234" s="166">
        <f t="shared" si="82"/>
        <v>3331835.3153295843</v>
      </c>
      <c r="F234" s="176">
        <v>3332000</v>
      </c>
    </row>
    <row r="235" spans="2:6" x14ac:dyDescent="0.25">
      <c r="B235" s="83">
        <v>2024</v>
      </c>
      <c r="C235" s="166">
        <f>C227*D206*(C50-C49)*I11*G49</f>
        <v>3457114.695269756</v>
      </c>
      <c r="D235" s="176">
        <v>0</v>
      </c>
      <c r="E235" s="166">
        <f t="shared" si="82"/>
        <v>3457114.695269756</v>
      </c>
      <c r="F235" s="176">
        <v>3457000</v>
      </c>
    </row>
    <row r="236" spans="2:6" x14ac:dyDescent="0.25">
      <c r="B236" s="83">
        <v>2025</v>
      </c>
      <c r="C236" s="166">
        <f>C227*D206*(C50-C49)*G49*J11</f>
        <v>3567228.6443462102</v>
      </c>
      <c r="D236" s="166">
        <v>0</v>
      </c>
      <c r="E236" s="166">
        <f t="shared" si="82"/>
        <v>3567228.6443462102</v>
      </c>
      <c r="F236" s="176">
        <v>3567000</v>
      </c>
    </row>
    <row r="237" spans="2:6" x14ac:dyDescent="0.25">
      <c r="B237" s="83"/>
      <c r="C237" s="166"/>
      <c r="D237" s="166"/>
      <c r="E237" s="166"/>
    </row>
    <row r="238" spans="2:6" x14ac:dyDescent="0.25">
      <c r="B238" s="8" t="s">
        <v>162</v>
      </c>
      <c r="E238" s="95"/>
      <c r="F238" s="73"/>
    </row>
    <row r="240" spans="2:6" x14ac:dyDescent="0.25">
      <c r="B240" s="87" t="s">
        <v>91</v>
      </c>
    </row>
    <row r="241" spans="2:30" x14ac:dyDescent="0.25">
      <c r="B241" t="s">
        <v>14</v>
      </c>
      <c r="C241" s="84">
        <v>0</v>
      </c>
    </row>
    <row r="242" spans="2:30" x14ac:dyDescent="0.25">
      <c r="B242" t="s">
        <v>39</v>
      </c>
      <c r="C242" s="85">
        <v>6.0000000000000001E-3</v>
      </c>
    </row>
    <row r="243" spans="2:30" x14ac:dyDescent="0.25">
      <c r="B243" t="s">
        <v>40</v>
      </c>
      <c r="C243" s="84">
        <v>0</v>
      </c>
    </row>
    <row r="244" spans="2:30" x14ac:dyDescent="0.25">
      <c r="B244" t="s">
        <v>93</v>
      </c>
      <c r="C244" s="85">
        <v>8.9999999999999993E-3</v>
      </c>
    </row>
    <row r="245" spans="2:30" x14ac:dyDescent="0.25">
      <c r="B245" t="s">
        <v>105</v>
      </c>
      <c r="C245" s="85">
        <v>2.1999999999999999E-2</v>
      </c>
    </row>
    <row r="246" spans="2:30" x14ac:dyDescent="0.25">
      <c r="B246" t="s">
        <v>95</v>
      </c>
      <c r="C246" s="85"/>
    </row>
    <row r="248" spans="2:30" x14ac:dyDescent="0.25">
      <c r="B248" s="87" t="s">
        <v>92</v>
      </c>
    </row>
    <row r="249" spans="2:30" x14ac:dyDescent="0.25">
      <c r="B249" s="95">
        <v>659</v>
      </c>
    </row>
    <row r="251" spans="2:30" x14ac:dyDescent="0.25">
      <c r="B251" s="87" t="s">
        <v>32</v>
      </c>
      <c r="C251" t="s">
        <v>96</v>
      </c>
      <c r="L251" s="87" t="s">
        <v>97</v>
      </c>
      <c r="M251" t="s">
        <v>96</v>
      </c>
      <c r="V251" s="87" t="s">
        <v>98</v>
      </c>
      <c r="W251" t="s">
        <v>96</v>
      </c>
    </row>
    <row r="252" spans="2:30" x14ac:dyDescent="0.25">
      <c r="C252">
        <v>2018</v>
      </c>
      <c r="D252">
        <v>2019</v>
      </c>
      <c r="E252">
        <v>2020</v>
      </c>
      <c r="F252">
        <v>2021</v>
      </c>
      <c r="G252">
        <v>2022</v>
      </c>
      <c r="H252">
        <v>2023</v>
      </c>
      <c r="I252">
        <v>2024</v>
      </c>
      <c r="J252">
        <v>2025</v>
      </c>
      <c r="M252">
        <v>2018</v>
      </c>
      <c r="N252">
        <v>2019</v>
      </c>
      <c r="O252">
        <v>2020</v>
      </c>
      <c r="P252">
        <v>2021</v>
      </c>
      <c r="Q252">
        <v>2022</v>
      </c>
      <c r="R252">
        <v>2023</v>
      </c>
      <c r="S252">
        <v>2024</v>
      </c>
      <c r="T252">
        <v>2025</v>
      </c>
      <c r="W252">
        <v>2018</v>
      </c>
      <c r="X252">
        <v>2019</v>
      </c>
      <c r="Y252">
        <v>2020</v>
      </c>
      <c r="Z252">
        <v>2021</v>
      </c>
      <c r="AA252">
        <v>2022</v>
      </c>
      <c r="AB252">
        <v>2023</v>
      </c>
      <c r="AC252">
        <v>2024</v>
      </c>
      <c r="AD252">
        <v>2025</v>
      </c>
    </row>
    <row r="253" spans="2:30" x14ac:dyDescent="0.25">
      <c r="B253" t="s">
        <v>15</v>
      </c>
      <c r="C253" s="86">
        <f>$G$48*C7</f>
        <v>21682.111981119699</v>
      </c>
      <c r="D253" s="86">
        <f t="shared" ref="D253:J253" si="83">$G$48*D7</f>
        <v>21233.724853959899</v>
      </c>
      <c r="E253" s="86">
        <f t="shared" si="83"/>
        <v>20364.023233680306</v>
      </c>
      <c r="F253" s="86">
        <f t="shared" si="83"/>
        <v>19351.809843178831</v>
      </c>
      <c r="G253" s="86">
        <f>$G$48*G7</f>
        <v>18364.580993334192</v>
      </c>
      <c r="H253" s="86">
        <f>$G$48*H7</f>
        <v>2363.0816436908867</v>
      </c>
      <c r="I253" s="86">
        <f t="shared" si="83"/>
        <v>2254.6407004662337</v>
      </c>
      <c r="J253" s="86">
        <f t="shared" si="83"/>
        <v>2139.4874856167066</v>
      </c>
      <c r="L253" t="s">
        <v>15</v>
      </c>
      <c r="M253" s="86">
        <f t="shared" ref="M253:T253" si="84">C7*$G$49</f>
        <v>86728.447924478794</v>
      </c>
      <c r="N253" s="86">
        <f t="shared" si="84"/>
        <v>84934.899415839594</v>
      </c>
      <c r="O253" s="86">
        <f t="shared" si="84"/>
        <v>81456.092934721222</v>
      </c>
      <c r="P253" s="86">
        <f t="shared" si="84"/>
        <v>77407.239372715325</v>
      </c>
      <c r="Q253" s="86">
        <f t="shared" si="84"/>
        <v>73458.323973336766</v>
      </c>
      <c r="R253" s="86">
        <f t="shared" si="84"/>
        <v>9452.3265747635469</v>
      </c>
      <c r="S253" s="86">
        <f t="shared" si="84"/>
        <v>9018.562801864935</v>
      </c>
      <c r="T253" s="86">
        <f t="shared" si="84"/>
        <v>8557.9499424668265</v>
      </c>
      <c r="V253" t="s">
        <v>15</v>
      </c>
      <c r="W253" s="96">
        <f t="shared" ref="W253:AD253" si="85">C13</f>
        <v>6695.4560650107887</v>
      </c>
      <c r="X253" s="96">
        <f t="shared" si="85"/>
        <v>5904.8627325188818</v>
      </c>
      <c r="Y253" s="96">
        <f t="shared" si="85"/>
        <v>5108.8308843614041</v>
      </c>
      <c r="Z253" s="96">
        <f t="shared" si="85"/>
        <v>4311.3201045015767</v>
      </c>
      <c r="AA253" s="96">
        <f t="shared" si="85"/>
        <v>3529.6965113456804</v>
      </c>
      <c r="AB253" s="96">
        <f t="shared" si="85"/>
        <v>53.2754988481745</v>
      </c>
      <c r="AC253" s="96">
        <f t="shared" si="85"/>
        <v>41.347082787489555</v>
      </c>
      <c r="AD253" s="96">
        <f t="shared" si="85"/>
        <v>31.218223546701729</v>
      </c>
    </row>
    <row r="254" spans="2:30" x14ac:dyDescent="0.25">
      <c r="B254" t="s">
        <v>17</v>
      </c>
      <c r="C254" s="86">
        <f>$G$48*C9</f>
        <v>25402.454372696731</v>
      </c>
      <c r="D254" s="86">
        <f t="shared" ref="D254:J254" si="86">$G$48*D9</f>
        <v>22681.891161248699</v>
      </c>
      <c r="E254" s="86">
        <f t="shared" si="86"/>
        <v>15226.108003872048</v>
      </c>
      <c r="F254" s="86">
        <f t="shared" si="86"/>
        <v>6700.5068999233154</v>
      </c>
      <c r="G254" s="86">
        <f>$G$48*G9</f>
        <v>6316.4829377945607</v>
      </c>
      <c r="H254" s="86">
        <f>$G$48*H9</f>
        <v>3381.1780771790068</v>
      </c>
      <c r="I254" s="86">
        <f t="shared" si="86"/>
        <v>3060.3338810887922</v>
      </c>
      <c r="J254" s="86">
        <f t="shared" si="86"/>
        <v>2740.2906068724947</v>
      </c>
      <c r="L254" t="s">
        <v>17</v>
      </c>
      <c r="M254" s="86">
        <f t="shared" ref="M254:T254" si="87">C9*$G$49</f>
        <v>101609.81749078693</v>
      </c>
      <c r="N254" s="86">
        <f t="shared" si="87"/>
        <v>90727.564644994796</v>
      </c>
      <c r="O254" s="86">
        <f t="shared" si="87"/>
        <v>60904.432015488193</v>
      </c>
      <c r="P254" s="86">
        <f t="shared" si="87"/>
        <v>26802.027599693261</v>
      </c>
      <c r="Q254" s="86">
        <f t="shared" si="87"/>
        <v>25265.931751178243</v>
      </c>
      <c r="R254" s="86">
        <f t="shared" si="87"/>
        <v>13524.712308716027</v>
      </c>
      <c r="S254" s="86">
        <f t="shared" si="87"/>
        <v>12241.335524355169</v>
      </c>
      <c r="T254" s="86">
        <f t="shared" si="87"/>
        <v>10961.162427489979</v>
      </c>
      <c r="V254" t="s">
        <v>17</v>
      </c>
      <c r="W254" s="96">
        <f t="shared" ref="W254:AD254" si="88">C15</f>
        <v>418.64965863977062</v>
      </c>
      <c r="X254" s="96">
        <f t="shared" si="88"/>
        <v>296.00490589947208</v>
      </c>
      <c r="Y254" s="96">
        <f t="shared" si="88"/>
        <v>177.43749902232059</v>
      </c>
      <c r="Z254" s="96">
        <f t="shared" si="88"/>
        <v>0</v>
      </c>
      <c r="AA254" s="96">
        <f t="shared" si="88"/>
        <v>0</v>
      </c>
      <c r="AB254" s="96">
        <f t="shared" si="88"/>
        <v>0</v>
      </c>
      <c r="AC254" s="96">
        <f t="shared" si="88"/>
        <v>0</v>
      </c>
      <c r="AD254" s="96">
        <f t="shared" si="88"/>
        <v>0</v>
      </c>
    </row>
    <row r="255" spans="2:30" x14ac:dyDescent="0.25">
      <c r="B255" t="s">
        <v>94</v>
      </c>
      <c r="C255" s="86">
        <f>0.1*C254</f>
        <v>2540.2454372696734</v>
      </c>
      <c r="D255" s="86">
        <f t="shared" ref="D255:J255" si="89">0.1*D254</f>
        <v>2268.18911612487</v>
      </c>
      <c r="E255" s="86">
        <f t="shared" si="89"/>
        <v>1522.610800387205</v>
      </c>
      <c r="F255" s="86">
        <f t="shared" si="89"/>
        <v>670.05068999233163</v>
      </c>
      <c r="G255" s="86">
        <f t="shared" si="89"/>
        <v>631.64829377945614</v>
      </c>
      <c r="H255" s="86">
        <f t="shared" si="89"/>
        <v>338.11780771790069</v>
      </c>
      <c r="I255" s="86">
        <f t="shared" si="89"/>
        <v>306.03338810887925</v>
      </c>
      <c r="J255" s="86">
        <f t="shared" si="89"/>
        <v>274.02906068724945</v>
      </c>
      <c r="L255" t="s">
        <v>94</v>
      </c>
      <c r="M255" s="86">
        <f>0.1*M254</f>
        <v>10160.981749078694</v>
      </c>
      <c r="N255" s="86">
        <f t="shared" ref="N255:T255" si="90">0.1*N254</f>
        <v>9072.75646449948</v>
      </c>
      <c r="O255" s="86">
        <f t="shared" si="90"/>
        <v>6090.4432015488201</v>
      </c>
      <c r="P255" s="86">
        <f t="shared" si="90"/>
        <v>2680.2027599693265</v>
      </c>
      <c r="Q255" s="86">
        <f t="shared" si="90"/>
        <v>2526.5931751178246</v>
      </c>
      <c r="R255" s="86">
        <f t="shared" si="90"/>
        <v>1352.4712308716028</v>
      </c>
      <c r="S255" s="86">
        <f t="shared" si="90"/>
        <v>1224.133552435517</v>
      </c>
      <c r="T255" s="86">
        <f t="shared" si="90"/>
        <v>1096.1162427489978</v>
      </c>
      <c r="V255" t="s">
        <v>94</v>
      </c>
      <c r="W255" s="96">
        <f>0.1*W254</f>
        <v>41.864965863977062</v>
      </c>
      <c r="X255" s="96">
        <f t="shared" ref="X255:AD255" si="91">0.1*X254</f>
        <v>29.60049058994721</v>
      </c>
      <c r="Y255" s="96">
        <f t="shared" si="91"/>
        <v>17.743749902232061</v>
      </c>
      <c r="Z255" s="96">
        <f t="shared" si="91"/>
        <v>0</v>
      </c>
      <c r="AA255" s="96">
        <f t="shared" si="91"/>
        <v>0</v>
      </c>
      <c r="AB255" s="96">
        <f t="shared" si="91"/>
        <v>0</v>
      </c>
      <c r="AC255" s="96">
        <f t="shared" si="91"/>
        <v>0</v>
      </c>
      <c r="AD255" s="96">
        <f t="shared" si="91"/>
        <v>0</v>
      </c>
    </row>
    <row r="256" spans="2:30" x14ac:dyDescent="0.25">
      <c r="B256" t="s">
        <v>106</v>
      </c>
      <c r="C256" s="86">
        <f>0.9*C254</f>
        <v>22862.208935427057</v>
      </c>
      <c r="D256" s="86">
        <f t="shared" ref="D256:J256" si="92">0.9*D254</f>
        <v>20413.702045123831</v>
      </c>
      <c r="E256" s="86">
        <f t="shared" si="92"/>
        <v>13703.497203484843</v>
      </c>
      <c r="F256" s="86">
        <f t="shared" si="92"/>
        <v>6030.4562099309842</v>
      </c>
      <c r="G256" s="86">
        <f t="shared" si="92"/>
        <v>5684.8346440151045</v>
      </c>
      <c r="H256" s="86">
        <f t="shared" si="92"/>
        <v>3043.0602694611061</v>
      </c>
      <c r="I256" s="86">
        <f t="shared" si="92"/>
        <v>2754.3004929799131</v>
      </c>
      <c r="J256" s="86">
        <f t="shared" si="92"/>
        <v>2466.2615461852452</v>
      </c>
      <c r="L256" t="s">
        <v>106</v>
      </c>
      <c r="M256" s="86">
        <f>0.9*M254</f>
        <v>91448.83574170823</v>
      </c>
      <c r="N256" s="86">
        <f t="shared" ref="N256:T256" si="93">0.9*N254</f>
        <v>81654.808180495325</v>
      </c>
      <c r="O256" s="86">
        <f t="shared" si="93"/>
        <v>54813.988813939373</v>
      </c>
      <c r="P256" s="86">
        <f t="shared" si="93"/>
        <v>24121.824839723937</v>
      </c>
      <c r="Q256" s="86">
        <f t="shared" si="93"/>
        <v>22739.338576060418</v>
      </c>
      <c r="R256" s="86">
        <f t="shared" si="93"/>
        <v>12172.241077844425</v>
      </c>
      <c r="S256" s="86">
        <f t="shared" si="93"/>
        <v>11017.201971919652</v>
      </c>
      <c r="T256" s="86">
        <f t="shared" si="93"/>
        <v>9865.0461847409806</v>
      </c>
      <c r="V256" t="s">
        <v>106</v>
      </c>
      <c r="W256" s="96">
        <f>0.9*W254</f>
        <v>376.78469277579359</v>
      </c>
      <c r="X256" s="96">
        <f t="shared" ref="X256:AD256" si="94">0.9*X254</f>
        <v>266.40441530952489</v>
      </c>
      <c r="Y256" s="96">
        <f t="shared" si="94"/>
        <v>159.69374912008854</v>
      </c>
      <c r="Z256" s="96">
        <f t="shared" si="94"/>
        <v>0</v>
      </c>
      <c r="AA256" s="96">
        <f t="shared" si="94"/>
        <v>0</v>
      </c>
      <c r="AB256" s="96">
        <f t="shared" si="94"/>
        <v>0</v>
      </c>
      <c r="AC256" s="96">
        <f t="shared" si="94"/>
        <v>0</v>
      </c>
      <c r="AD256" s="96">
        <f t="shared" si="94"/>
        <v>0</v>
      </c>
    </row>
    <row r="258" spans="2:30" x14ac:dyDescent="0.25">
      <c r="B258" s="87" t="s">
        <v>99</v>
      </c>
    </row>
    <row r="259" spans="2:30" x14ac:dyDescent="0.25">
      <c r="B259" s="87"/>
    </row>
    <row r="260" spans="2:30" x14ac:dyDescent="0.25">
      <c r="B260" s="87" t="s">
        <v>32</v>
      </c>
      <c r="L260" s="87" t="s">
        <v>97</v>
      </c>
      <c r="M260" t="s">
        <v>96</v>
      </c>
      <c r="V260" s="87" t="s">
        <v>98</v>
      </c>
      <c r="W260" t="s">
        <v>96</v>
      </c>
    </row>
    <row r="261" spans="2:30" x14ac:dyDescent="0.25">
      <c r="C261">
        <v>2018</v>
      </c>
      <c r="D261">
        <v>2019</v>
      </c>
      <c r="E261">
        <v>2020</v>
      </c>
      <c r="F261">
        <v>2021</v>
      </c>
      <c r="G261">
        <v>2022</v>
      </c>
      <c r="H261">
        <v>2023</v>
      </c>
      <c r="I261">
        <v>2024</v>
      </c>
      <c r="J261">
        <v>2025</v>
      </c>
      <c r="M261">
        <v>2018</v>
      </c>
      <c r="N261">
        <v>2019</v>
      </c>
      <c r="O261">
        <v>2020</v>
      </c>
      <c r="P261">
        <v>2021</v>
      </c>
      <c r="Q261">
        <v>2022</v>
      </c>
      <c r="R261">
        <v>2023</v>
      </c>
      <c r="S261">
        <v>2024</v>
      </c>
      <c r="T261">
        <v>2025</v>
      </c>
      <c r="W261">
        <v>2018</v>
      </c>
      <c r="X261">
        <v>2019</v>
      </c>
      <c r="Y261">
        <v>2020</v>
      </c>
      <c r="Z261">
        <v>2021</v>
      </c>
      <c r="AA261">
        <v>2022</v>
      </c>
      <c r="AB261">
        <v>2023</v>
      </c>
      <c r="AC261">
        <v>2024</v>
      </c>
      <c r="AD261">
        <v>2025</v>
      </c>
    </row>
    <row r="262" spans="2:30" x14ac:dyDescent="0.25">
      <c r="B262" t="s">
        <v>15</v>
      </c>
      <c r="C262" s="73">
        <f t="shared" ref="C262:J262" si="95">C253*$C$242</f>
        <v>130.09267188671819</v>
      </c>
      <c r="D262" s="73">
        <f t="shared" si="95"/>
        <v>127.40234912375939</v>
      </c>
      <c r="E262" s="73">
        <f t="shared" si="95"/>
        <v>122.18413940208184</v>
      </c>
      <c r="F262" s="73">
        <f t="shared" si="95"/>
        <v>116.11085905907299</v>
      </c>
      <c r="G262" s="73">
        <f t="shared" si="95"/>
        <v>110.18748596000515</v>
      </c>
      <c r="H262" s="73">
        <f t="shared" si="95"/>
        <v>14.178489862145321</v>
      </c>
      <c r="I262" s="73">
        <f t="shared" si="95"/>
        <v>13.527844202797402</v>
      </c>
      <c r="J262" s="73">
        <f t="shared" si="95"/>
        <v>12.836924913700241</v>
      </c>
      <c r="K262" s="73"/>
      <c r="L262" s="73" t="s">
        <v>15</v>
      </c>
      <c r="M262" s="73">
        <f t="shared" ref="M262:T262" si="96">M253*$C$242</f>
        <v>520.37068754687277</v>
      </c>
      <c r="N262" s="73">
        <f t="shared" si="96"/>
        <v>509.60939649503757</v>
      </c>
      <c r="O262" s="73">
        <f t="shared" si="96"/>
        <v>488.73655760832736</v>
      </c>
      <c r="P262" s="73">
        <f t="shared" si="96"/>
        <v>464.44343623629197</v>
      </c>
      <c r="Q262" s="73">
        <f t="shared" si="96"/>
        <v>440.74994384002059</v>
      </c>
      <c r="R262" s="73">
        <f t="shared" si="96"/>
        <v>56.713959448581285</v>
      </c>
      <c r="S262" s="73">
        <f t="shared" si="96"/>
        <v>54.111376811189608</v>
      </c>
      <c r="T262" s="73">
        <f t="shared" si="96"/>
        <v>51.347699654800962</v>
      </c>
      <c r="U262" s="73"/>
      <c r="V262" s="73" t="s">
        <v>15</v>
      </c>
      <c r="W262" s="73">
        <f t="shared" ref="W262:AD262" si="97">W253*$C$242</f>
        <v>40.172736390064735</v>
      </c>
      <c r="X262" s="73">
        <f t="shared" si="97"/>
        <v>35.429176395113295</v>
      </c>
      <c r="Y262" s="73">
        <f t="shared" si="97"/>
        <v>30.652985306168425</v>
      </c>
      <c r="Z262" s="73">
        <f t="shared" si="97"/>
        <v>25.867920627009461</v>
      </c>
      <c r="AA262" s="73">
        <f t="shared" si="97"/>
        <v>21.178179068074083</v>
      </c>
      <c r="AB262" s="73">
        <f t="shared" si="97"/>
        <v>0.31965299308904699</v>
      </c>
      <c r="AC262" s="73">
        <f t="shared" si="97"/>
        <v>0.24808249672493735</v>
      </c>
      <c r="AD262" s="73">
        <f t="shared" si="97"/>
        <v>0.18730934128021037</v>
      </c>
    </row>
    <row r="263" spans="2:30" x14ac:dyDescent="0.25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</row>
    <row r="264" spans="2:30" x14ac:dyDescent="0.25">
      <c r="B264" t="s">
        <v>94</v>
      </c>
      <c r="C264" s="73">
        <f t="shared" ref="C264:J264" si="98">C255*$C$244</f>
        <v>22.862208935427059</v>
      </c>
      <c r="D264" s="73">
        <f t="shared" si="98"/>
        <v>20.413702045123827</v>
      </c>
      <c r="E264" s="73">
        <f t="shared" si="98"/>
        <v>13.703497203484844</v>
      </c>
      <c r="F264" s="73">
        <f t="shared" si="98"/>
        <v>6.0304562099309837</v>
      </c>
      <c r="G264" s="73">
        <f t="shared" si="98"/>
        <v>5.6848346440151047</v>
      </c>
      <c r="H264" s="73">
        <f t="shared" si="98"/>
        <v>3.043060269461106</v>
      </c>
      <c r="I264" s="73">
        <f t="shared" si="98"/>
        <v>2.7543004929799131</v>
      </c>
      <c r="J264" s="73">
        <f t="shared" si="98"/>
        <v>2.4662615461852448</v>
      </c>
      <c r="K264" s="73"/>
      <c r="L264" s="73" t="s">
        <v>102</v>
      </c>
      <c r="M264" s="73">
        <f t="shared" ref="M264:T264" si="99">M255*$C$244</f>
        <v>91.448835741708237</v>
      </c>
      <c r="N264" s="73">
        <f t="shared" si="99"/>
        <v>81.654808180495309</v>
      </c>
      <c r="O264" s="73">
        <f t="shared" si="99"/>
        <v>54.813988813939375</v>
      </c>
      <c r="P264" s="73">
        <f t="shared" si="99"/>
        <v>24.121824839723935</v>
      </c>
      <c r="Q264" s="73">
        <f t="shared" si="99"/>
        <v>22.739338576060419</v>
      </c>
      <c r="R264" s="73">
        <f t="shared" si="99"/>
        <v>12.172241077844424</v>
      </c>
      <c r="S264" s="73">
        <f t="shared" si="99"/>
        <v>11.017201971919652</v>
      </c>
      <c r="T264" s="73">
        <f t="shared" si="99"/>
        <v>9.8650461847409794</v>
      </c>
      <c r="U264" s="73"/>
      <c r="V264" s="73" t="s">
        <v>100</v>
      </c>
      <c r="W264" s="73">
        <f t="shared" ref="W264:AD264" si="100">W255*$C$244</f>
        <v>0.37678469277579352</v>
      </c>
      <c r="X264" s="73">
        <f t="shared" si="100"/>
        <v>0.26640441530952486</v>
      </c>
      <c r="Y264" s="73">
        <f t="shared" si="100"/>
        <v>0.15969374912008855</v>
      </c>
      <c r="Z264" s="73">
        <f t="shared" si="100"/>
        <v>0</v>
      </c>
      <c r="AA264" s="73">
        <f t="shared" si="100"/>
        <v>0</v>
      </c>
      <c r="AB264" s="73">
        <f t="shared" si="100"/>
        <v>0</v>
      </c>
      <c r="AC264" s="73">
        <f t="shared" si="100"/>
        <v>0</v>
      </c>
      <c r="AD264" s="73">
        <f t="shared" si="100"/>
        <v>0</v>
      </c>
    </row>
    <row r="265" spans="2:30" x14ac:dyDescent="0.25">
      <c r="B265" t="s">
        <v>106</v>
      </c>
      <c r="C265" s="73">
        <f t="shared" ref="C265:J265" si="101">C256*$C$245</f>
        <v>502.96859657939524</v>
      </c>
      <c r="D265" s="73">
        <f t="shared" si="101"/>
        <v>449.10144499272428</v>
      </c>
      <c r="E265" s="73">
        <f t="shared" si="101"/>
        <v>301.47693847666653</v>
      </c>
      <c r="F265" s="73">
        <f t="shared" si="101"/>
        <v>132.67003661848165</v>
      </c>
      <c r="G265" s="73">
        <f t="shared" si="101"/>
        <v>125.06636216833229</v>
      </c>
      <c r="H265" s="73">
        <f t="shared" si="101"/>
        <v>66.947325928144338</v>
      </c>
      <c r="I265" s="73">
        <f t="shared" si="101"/>
        <v>60.594610845558087</v>
      </c>
      <c r="J265" s="73">
        <f t="shared" si="101"/>
        <v>54.257754016075388</v>
      </c>
      <c r="K265" s="73"/>
      <c r="L265" s="73" t="s">
        <v>103</v>
      </c>
      <c r="M265" s="73">
        <f t="shared" ref="M265:T265" si="102">M256*$C$245</f>
        <v>2011.874386317581</v>
      </c>
      <c r="N265" s="73">
        <f t="shared" si="102"/>
        <v>1796.4057799708971</v>
      </c>
      <c r="O265" s="73">
        <f t="shared" si="102"/>
        <v>1205.9077539066661</v>
      </c>
      <c r="P265" s="73">
        <f t="shared" si="102"/>
        <v>530.68014647392658</v>
      </c>
      <c r="Q265" s="73">
        <f t="shared" si="102"/>
        <v>500.26544867332916</v>
      </c>
      <c r="R265" s="73">
        <f t="shared" si="102"/>
        <v>267.78930371257735</v>
      </c>
      <c r="S265" s="73">
        <f t="shared" si="102"/>
        <v>242.37844338223235</v>
      </c>
      <c r="T265" s="73">
        <f t="shared" si="102"/>
        <v>217.03101606430155</v>
      </c>
      <c r="U265" s="73"/>
      <c r="V265" s="73" t="s">
        <v>101</v>
      </c>
      <c r="W265" s="73">
        <f t="shared" ref="W265:AD265" si="103">W256*$C$245</f>
        <v>8.2892632410674576</v>
      </c>
      <c r="X265" s="73">
        <f t="shared" si="103"/>
        <v>5.8608971368095473</v>
      </c>
      <c r="Y265" s="73">
        <f t="shared" si="103"/>
        <v>3.5132624806419477</v>
      </c>
      <c r="Z265" s="73">
        <f t="shared" si="103"/>
        <v>0</v>
      </c>
      <c r="AA265" s="73">
        <f t="shared" si="103"/>
        <v>0</v>
      </c>
      <c r="AB265" s="73">
        <f t="shared" si="103"/>
        <v>0</v>
      </c>
      <c r="AC265" s="73">
        <f t="shared" si="103"/>
        <v>0</v>
      </c>
      <c r="AD265" s="73">
        <f t="shared" si="103"/>
        <v>0</v>
      </c>
    </row>
    <row r="267" spans="2:30" x14ac:dyDescent="0.25">
      <c r="B267" s="87" t="s">
        <v>104</v>
      </c>
    </row>
    <row r="269" spans="2:30" x14ac:dyDescent="0.25">
      <c r="B269" s="87" t="s">
        <v>32</v>
      </c>
      <c r="L269" s="87" t="s">
        <v>97</v>
      </c>
      <c r="M269" t="s">
        <v>104</v>
      </c>
      <c r="V269" s="87" t="s">
        <v>98</v>
      </c>
      <c r="W269" t="s">
        <v>104</v>
      </c>
    </row>
    <row r="270" spans="2:30" x14ac:dyDescent="0.25">
      <c r="C270">
        <v>2018</v>
      </c>
      <c r="D270">
        <v>2019</v>
      </c>
      <c r="E270">
        <v>2020</v>
      </c>
      <c r="F270">
        <v>2021</v>
      </c>
      <c r="G270">
        <v>2022</v>
      </c>
      <c r="H270">
        <v>2023</v>
      </c>
      <c r="I270">
        <v>2024</v>
      </c>
      <c r="J270">
        <v>2025</v>
      </c>
      <c r="M270">
        <v>2018</v>
      </c>
      <c r="N270">
        <v>2019</v>
      </c>
      <c r="O270">
        <v>2020</v>
      </c>
      <c r="P270">
        <v>2021</v>
      </c>
      <c r="Q270">
        <v>2022</v>
      </c>
      <c r="R270">
        <v>2023</v>
      </c>
      <c r="S270">
        <v>2024</v>
      </c>
      <c r="T270">
        <v>2025</v>
      </c>
      <c r="W270">
        <v>2018</v>
      </c>
      <c r="X270">
        <v>2019</v>
      </c>
      <c r="Y270">
        <v>2020</v>
      </c>
      <c r="Z270">
        <v>2021</v>
      </c>
      <c r="AA270">
        <v>2022</v>
      </c>
      <c r="AB270">
        <v>2023</v>
      </c>
      <c r="AC270">
        <v>2024</v>
      </c>
      <c r="AD270">
        <v>2025</v>
      </c>
    </row>
    <row r="271" spans="2:30" x14ac:dyDescent="0.25">
      <c r="B271" t="s">
        <v>15</v>
      </c>
      <c r="C271" s="86">
        <f>C262*$C$48</f>
        <v>45.532435160351362</v>
      </c>
      <c r="D271" s="86">
        <f t="shared" ref="D271:AD271" si="104">D262*$C$48</f>
        <v>44.590822193315788</v>
      </c>
      <c r="E271" s="86">
        <f t="shared" si="104"/>
        <v>42.764448790728643</v>
      </c>
      <c r="F271" s="86">
        <f t="shared" si="104"/>
        <v>40.638800670675543</v>
      </c>
      <c r="G271" s="86">
        <f t="shared" si="104"/>
        <v>38.5656200860018</v>
      </c>
      <c r="H271" s="86">
        <f t="shared" si="104"/>
        <v>4.9624714517508624</v>
      </c>
      <c r="I271" s="86">
        <f t="shared" si="104"/>
        <v>4.7347454709790906</v>
      </c>
      <c r="J271" s="86">
        <f t="shared" si="104"/>
        <v>4.4929237197950842</v>
      </c>
      <c r="K271" s="86"/>
      <c r="L271" s="86" t="s">
        <v>15</v>
      </c>
      <c r="M271" s="73">
        <f>M262*$C$49</f>
        <v>260.18534377343639</v>
      </c>
      <c r="N271" s="73">
        <f t="shared" ref="N271:T271" si="105">N262*$C$49</f>
        <v>254.80469824751879</v>
      </c>
      <c r="O271" s="73">
        <f t="shared" si="105"/>
        <v>244.36827880416368</v>
      </c>
      <c r="P271" s="73">
        <f t="shared" si="105"/>
        <v>232.22171811814599</v>
      </c>
      <c r="Q271" s="73">
        <f t="shared" si="105"/>
        <v>220.3749719200103</v>
      </c>
      <c r="R271" s="73">
        <f t="shared" si="105"/>
        <v>28.356979724290643</v>
      </c>
      <c r="S271" s="73">
        <f t="shared" si="105"/>
        <v>27.055688405594804</v>
      </c>
      <c r="T271" s="73">
        <f t="shared" si="105"/>
        <v>25.673849827400481</v>
      </c>
      <c r="U271" s="73"/>
      <c r="V271" s="73" t="s">
        <v>15</v>
      </c>
      <c r="W271" s="73">
        <f t="shared" si="104"/>
        <v>14.060457736522656</v>
      </c>
      <c r="X271" s="73">
        <f t="shared" si="104"/>
        <v>12.400211738289652</v>
      </c>
      <c r="Y271" s="73">
        <f t="shared" si="104"/>
        <v>10.728544857158948</v>
      </c>
      <c r="Z271" s="73">
        <f t="shared" si="104"/>
        <v>9.053772219453311</v>
      </c>
      <c r="AA271" s="73">
        <f t="shared" si="104"/>
        <v>7.4123626738259283</v>
      </c>
      <c r="AB271" s="73">
        <f t="shared" si="104"/>
        <v>0.11187854758116644</v>
      </c>
      <c r="AC271" s="73">
        <f t="shared" si="104"/>
        <v>8.6828873853728061E-2</v>
      </c>
      <c r="AD271" s="73">
        <f t="shared" si="104"/>
        <v>6.5558269448073622E-2</v>
      </c>
    </row>
    <row r="272" spans="2:30" x14ac:dyDescent="0.25">
      <c r="C272" s="86"/>
      <c r="D272" s="86"/>
      <c r="E272" s="86"/>
      <c r="F272" s="86"/>
      <c r="G272" s="86"/>
      <c r="H272" s="86"/>
      <c r="I272" s="86"/>
      <c r="J272" s="86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</row>
    <row r="273" spans="2:30" x14ac:dyDescent="0.25">
      <c r="B273" t="s">
        <v>94</v>
      </c>
      <c r="C273" s="86">
        <f>C264*$C$48</f>
        <v>8.0017731273994706</v>
      </c>
      <c r="D273" s="86">
        <f t="shared" ref="D273:AD274" si="106">D264*$C$48</f>
        <v>7.1447957157933386</v>
      </c>
      <c r="E273" s="86">
        <f t="shared" si="106"/>
        <v>4.7962240212196949</v>
      </c>
      <c r="F273" s="86">
        <f t="shared" si="106"/>
        <v>2.110659673475844</v>
      </c>
      <c r="G273" s="86">
        <f t="shared" si="106"/>
        <v>1.9896921254052866</v>
      </c>
      <c r="H273" s="86">
        <f t="shared" si="106"/>
        <v>1.065071094311387</v>
      </c>
      <c r="I273" s="86">
        <f t="shared" si="106"/>
        <v>0.96400517254296947</v>
      </c>
      <c r="J273" s="86">
        <f t="shared" si="106"/>
        <v>0.86319154116483565</v>
      </c>
      <c r="K273" s="86"/>
      <c r="L273" s="86" t="s">
        <v>102</v>
      </c>
      <c r="M273" s="73">
        <f>M264*$C$49</f>
        <v>45.724417870854118</v>
      </c>
      <c r="N273" s="73">
        <f t="shared" ref="N273:T274" si="107">N264*$C$49</f>
        <v>40.827404090247654</v>
      </c>
      <c r="O273" s="73">
        <f t="shared" si="107"/>
        <v>27.406994406969687</v>
      </c>
      <c r="P273" s="73">
        <f t="shared" si="107"/>
        <v>12.060912419861967</v>
      </c>
      <c r="Q273" s="73">
        <f t="shared" si="107"/>
        <v>11.369669288030209</v>
      </c>
      <c r="R273" s="73">
        <f t="shared" si="107"/>
        <v>6.0861205389222119</v>
      </c>
      <c r="S273" s="73">
        <f t="shared" si="107"/>
        <v>5.5086009859598262</v>
      </c>
      <c r="T273" s="73">
        <f t="shared" si="107"/>
        <v>4.9325230923704897</v>
      </c>
      <c r="U273" s="73"/>
      <c r="V273" s="73" t="s">
        <v>100</v>
      </c>
      <c r="W273" s="73">
        <f t="shared" si="106"/>
        <v>0.13187464247152772</v>
      </c>
      <c r="X273" s="73">
        <f t="shared" si="106"/>
        <v>9.3241545358333691E-2</v>
      </c>
      <c r="Y273" s="73">
        <f t="shared" si="106"/>
        <v>5.5892812192030988E-2</v>
      </c>
      <c r="Z273" s="73">
        <f t="shared" si="106"/>
        <v>0</v>
      </c>
      <c r="AA273" s="73">
        <f t="shared" si="106"/>
        <v>0</v>
      </c>
      <c r="AB273" s="73">
        <f t="shared" si="106"/>
        <v>0</v>
      </c>
      <c r="AC273" s="73">
        <f t="shared" si="106"/>
        <v>0</v>
      </c>
      <c r="AD273" s="73">
        <f t="shared" si="106"/>
        <v>0</v>
      </c>
    </row>
    <row r="274" spans="2:30" x14ac:dyDescent="0.25">
      <c r="B274" t="s">
        <v>106</v>
      </c>
      <c r="C274" s="86">
        <f>C265*$C$48</f>
        <v>176.03900880278832</v>
      </c>
      <c r="D274" s="86">
        <f t="shared" si="106"/>
        <v>157.18550574745348</v>
      </c>
      <c r="E274" s="86">
        <f t="shared" si="106"/>
        <v>105.51692846683328</v>
      </c>
      <c r="F274" s="86">
        <f t="shared" si="106"/>
        <v>46.434512816468576</v>
      </c>
      <c r="G274" s="86">
        <f t="shared" si="106"/>
        <v>43.773226758916302</v>
      </c>
      <c r="H274" s="86">
        <f t="shared" si="106"/>
        <v>23.431564074850517</v>
      </c>
      <c r="I274" s="86">
        <f t="shared" si="106"/>
        <v>21.20811379594533</v>
      </c>
      <c r="J274" s="86">
        <f t="shared" si="106"/>
        <v>18.990213905626383</v>
      </c>
      <c r="K274" s="86"/>
      <c r="L274" s="86" t="s">
        <v>103</v>
      </c>
      <c r="M274" s="73">
        <f>M265*$C$49</f>
        <v>1005.9371931587905</v>
      </c>
      <c r="N274" s="73">
        <f t="shared" si="107"/>
        <v>898.20288998544856</v>
      </c>
      <c r="O274" s="73">
        <f t="shared" si="107"/>
        <v>602.95387695333307</v>
      </c>
      <c r="P274" s="73">
        <f t="shared" si="107"/>
        <v>265.34007323696329</v>
      </c>
      <c r="Q274" s="73">
        <f t="shared" si="107"/>
        <v>250.13272433666458</v>
      </c>
      <c r="R274" s="73">
        <f t="shared" si="107"/>
        <v>133.89465185628868</v>
      </c>
      <c r="S274" s="73">
        <f t="shared" si="107"/>
        <v>121.18922169111617</v>
      </c>
      <c r="T274" s="73">
        <f t="shared" si="107"/>
        <v>108.51550803215078</v>
      </c>
      <c r="U274" s="73"/>
      <c r="V274" s="73" t="s">
        <v>101</v>
      </c>
      <c r="W274" s="73">
        <f t="shared" si="106"/>
        <v>2.9012421343736099</v>
      </c>
      <c r="X274" s="73">
        <f t="shared" si="106"/>
        <v>2.0513139978833412</v>
      </c>
      <c r="Y274" s="73">
        <f t="shared" si="106"/>
        <v>1.2296418682246817</v>
      </c>
      <c r="Z274" s="73">
        <f t="shared" si="106"/>
        <v>0</v>
      </c>
      <c r="AA274" s="73">
        <f t="shared" si="106"/>
        <v>0</v>
      </c>
      <c r="AB274" s="73">
        <f t="shared" si="106"/>
        <v>0</v>
      </c>
      <c r="AC274" s="73">
        <f t="shared" si="106"/>
        <v>0</v>
      </c>
      <c r="AD274" s="73">
        <f t="shared" si="106"/>
        <v>0</v>
      </c>
    </row>
    <row r="276" spans="2:30" x14ac:dyDescent="0.25">
      <c r="B276" s="87" t="s">
        <v>92</v>
      </c>
    </row>
    <row r="278" spans="2:30" x14ac:dyDescent="0.25">
      <c r="B278" s="87" t="s">
        <v>32</v>
      </c>
      <c r="L278" s="87" t="s">
        <v>97</v>
      </c>
      <c r="M278" t="s">
        <v>108</v>
      </c>
      <c r="V278" s="87" t="s">
        <v>98</v>
      </c>
      <c r="W278" t="s">
        <v>108</v>
      </c>
    </row>
    <row r="279" spans="2:30" x14ac:dyDescent="0.25">
      <c r="C279">
        <v>2018</v>
      </c>
      <c r="D279">
        <v>2019</v>
      </c>
      <c r="E279">
        <v>2020</v>
      </c>
      <c r="F279">
        <v>2021</v>
      </c>
      <c r="G279">
        <v>2022</v>
      </c>
      <c r="H279">
        <v>2023</v>
      </c>
      <c r="I279">
        <v>2024</v>
      </c>
      <c r="J279">
        <v>2025</v>
      </c>
      <c r="M279">
        <v>2018</v>
      </c>
      <c r="N279">
        <v>2019</v>
      </c>
      <c r="O279">
        <v>2020</v>
      </c>
      <c r="P279">
        <v>2021</v>
      </c>
      <c r="Q279">
        <v>2022</v>
      </c>
      <c r="R279">
        <v>2023</v>
      </c>
      <c r="S279">
        <v>2024</v>
      </c>
      <c r="T279">
        <v>2025</v>
      </c>
      <c r="W279">
        <v>2018</v>
      </c>
      <c r="X279">
        <v>2019</v>
      </c>
      <c r="Y279">
        <v>2020</v>
      </c>
      <c r="Z279">
        <v>2021</v>
      </c>
      <c r="AA279">
        <v>2022</v>
      </c>
      <c r="AB279">
        <v>2023</v>
      </c>
      <c r="AC279">
        <v>2024</v>
      </c>
      <c r="AD279">
        <v>2025</v>
      </c>
    </row>
    <row r="280" spans="2:30" x14ac:dyDescent="0.25">
      <c r="B280" s="73" t="s">
        <v>15</v>
      </c>
      <c r="C280" s="73">
        <f>C271*$B$249</f>
        <v>30005.874770671548</v>
      </c>
      <c r="D280" s="73">
        <f t="shared" ref="D280:AD280" si="108">D271*$B$249</f>
        <v>29385.351825395104</v>
      </c>
      <c r="E280" s="73">
        <f t="shared" si="108"/>
        <v>28181.771753090175</v>
      </c>
      <c r="F280" s="73">
        <f t="shared" si="108"/>
        <v>26780.969641975182</v>
      </c>
      <c r="G280" s="73">
        <f t="shared" si="108"/>
        <v>25414.743636675186</v>
      </c>
      <c r="H280" s="73">
        <f t="shared" si="108"/>
        <v>3270.2686867038183</v>
      </c>
      <c r="I280" s="73">
        <f t="shared" si="108"/>
        <v>3120.1972653752209</v>
      </c>
      <c r="J280" s="73">
        <f t="shared" si="108"/>
        <v>2960.8367313449603</v>
      </c>
      <c r="K280" s="73"/>
      <c r="L280" s="73" t="s">
        <v>15</v>
      </c>
      <c r="M280" s="73">
        <f t="shared" si="108"/>
        <v>171462.14154669459</v>
      </c>
      <c r="N280" s="73">
        <f t="shared" si="108"/>
        <v>167916.29614511487</v>
      </c>
      <c r="O280" s="73">
        <f t="shared" si="108"/>
        <v>161038.69573194385</v>
      </c>
      <c r="P280" s="73">
        <f t="shared" si="108"/>
        <v>153034.11223985819</v>
      </c>
      <c r="Q280" s="73">
        <f t="shared" si="108"/>
        <v>145227.10649528677</v>
      </c>
      <c r="R280" s="73">
        <f t="shared" si="108"/>
        <v>18687.249638307534</v>
      </c>
      <c r="S280" s="73">
        <f t="shared" si="108"/>
        <v>17829.698659286976</v>
      </c>
      <c r="T280" s="73">
        <f t="shared" si="108"/>
        <v>16919.067036256918</v>
      </c>
      <c r="U280" s="73"/>
      <c r="V280" s="73" t="s">
        <v>15</v>
      </c>
      <c r="W280" s="73">
        <f t="shared" si="108"/>
        <v>9265.8416483684305</v>
      </c>
      <c r="X280" s="73">
        <f t="shared" si="108"/>
        <v>8171.7395355328808</v>
      </c>
      <c r="Y280" s="73">
        <f t="shared" si="108"/>
        <v>7070.1110608677463</v>
      </c>
      <c r="Z280" s="73">
        <f t="shared" si="108"/>
        <v>5966.4358926197319</v>
      </c>
      <c r="AA280" s="73">
        <f t="shared" si="108"/>
        <v>4884.7470020512865</v>
      </c>
      <c r="AB280" s="73">
        <f t="shared" si="108"/>
        <v>73.727962855988693</v>
      </c>
      <c r="AC280" s="73">
        <f t="shared" si="108"/>
        <v>57.220227869606795</v>
      </c>
      <c r="AD280" s="73">
        <f t="shared" si="108"/>
        <v>43.202899566280514</v>
      </c>
    </row>
    <row r="281" spans="2:30" x14ac:dyDescent="0.2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</row>
    <row r="282" spans="2:30" x14ac:dyDescent="0.25">
      <c r="B282" s="73" t="s">
        <v>94</v>
      </c>
      <c r="C282" s="73">
        <f>C273*$B$249</f>
        <v>5273.1684909562509</v>
      </c>
      <c r="D282" s="73">
        <f t="shared" ref="D282:AD283" si="109">D273*$B$249</f>
        <v>4708.4203767078097</v>
      </c>
      <c r="E282" s="73">
        <f t="shared" si="109"/>
        <v>3160.7116299837789</v>
      </c>
      <c r="F282" s="73">
        <f t="shared" si="109"/>
        <v>1390.9247248205813</v>
      </c>
      <c r="G282" s="73">
        <f t="shared" si="109"/>
        <v>1311.207110642084</v>
      </c>
      <c r="H282" s="73">
        <f t="shared" si="109"/>
        <v>701.88185115120405</v>
      </c>
      <c r="I282" s="73">
        <f t="shared" si="109"/>
        <v>635.27940870581688</v>
      </c>
      <c r="J282" s="73">
        <f t="shared" si="109"/>
        <v>568.84322562762668</v>
      </c>
      <c r="K282" s="73"/>
      <c r="L282" s="73" t="s">
        <v>102</v>
      </c>
      <c r="M282" s="73">
        <f t="shared" si="109"/>
        <v>30132.391376892865</v>
      </c>
      <c r="N282" s="73">
        <f t="shared" si="109"/>
        <v>26905.259295473203</v>
      </c>
      <c r="O282" s="73">
        <f t="shared" si="109"/>
        <v>18061.209314193024</v>
      </c>
      <c r="P282" s="73">
        <f t="shared" si="109"/>
        <v>7948.1412846890362</v>
      </c>
      <c r="Q282" s="73">
        <f t="shared" si="109"/>
        <v>7492.6120608119081</v>
      </c>
      <c r="R282" s="73">
        <f t="shared" si="109"/>
        <v>4010.7534351497375</v>
      </c>
      <c r="S282" s="73">
        <f t="shared" si="109"/>
        <v>3630.1680497475254</v>
      </c>
      <c r="T282" s="73">
        <f t="shared" si="109"/>
        <v>3250.5327178721527</v>
      </c>
      <c r="U282" s="73"/>
      <c r="V282" s="73" t="s">
        <v>100</v>
      </c>
      <c r="W282" s="73">
        <f t="shared" si="109"/>
        <v>86.905389388736765</v>
      </c>
      <c r="X282" s="73">
        <f t="shared" si="109"/>
        <v>61.446178391141899</v>
      </c>
      <c r="Y282" s="73">
        <f t="shared" si="109"/>
        <v>36.833363234548422</v>
      </c>
      <c r="Z282" s="73">
        <f t="shared" si="109"/>
        <v>0</v>
      </c>
      <c r="AA282" s="73">
        <f t="shared" si="109"/>
        <v>0</v>
      </c>
      <c r="AB282" s="73">
        <f t="shared" si="109"/>
        <v>0</v>
      </c>
      <c r="AC282" s="73">
        <f t="shared" si="109"/>
        <v>0</v>
      </c>
      <c r="AD282" s="73">
        <f t="shared" si="109"/>
        <v>0</v>
      </c>
    </row>
    <row r="283" spans="2:30" x14ac:dyDescent="0.25">
      <c r="B283" s="73" t="s">
        <v>106</v>
      </c>
      <c r="C283" s="73">
        <f>C274*$B$249</f>
        <v>116009.70680103751</v>
      </c>
      <c r="D283" s="73">
        <f t="shared" si="109"/>
        <v>103585.24828757184</v>
      </c>
      <c r="E283" s="73">
        <f t="shared" si="109"/>
        <v>69535.655859643128</v>
      </c>
      <c r="F283" s="73">
        <f t="shared" si="109"/>
        <v>30600.343946052792</v>
      </c>
      <c r="G283" s="73">
        <f t="shared" si="109"/>
        <v>28846.556434125843</v>
      </c>
      <c r="H283" s="73">
        <f t="shared" si="109"/>
        <v>15441.40072532649</v>
      </c>
      <c r="I283" s="73">
        <f t="shared" si="109"/>
        <v>13976.146991527972</v>
      </c>
      <c r="J283" s="73">
        <f t="shared" si="109"/>
        <v>12514.550963807787</v>
      </c>
      <c r="K283" s="73"/>
      <c r="L283" s="73" t="s">
        <v>103</v>
      </c>
      <c r="M283" s="73">
        <f t="shared" si="109"/>
        <v>662912.61029164295</v>
      </c>
      <c r="N283" s="73">
        <f t="shared" si="109"/>
        <v>591915.70450041059</v>
      </c>
      <c r="O283" s="73">
        <f t="shared" si="109"/>
        <v>397346.60491224646</v>
      </c>
      <c r="P283" s="73">
        <f t="shared" si="109"/>
        <v>174859.10826315882</v>
      </c>
      <c r="Q283" s="73">
        <f t="shared" si="109"/>
        <v>164837.46533786197</v>
      </c>
      <c r="R283" s="73">
        <f t="shared" si="109"/>
        <v>88236.575573294234</v>
      </c>
      <c r="S283" s="73">
        <f t="shared" si="109"/>
        <v>79863.697094445553</v>
      </c>
      <c r="T283" s="73">
        <f t="shared" si="109"/>
        <v>71511.719793187367</v>
      </c>
      <c r="U283" s="73"/>
      <c r="V283" s="73" t="s">
        <v>101</v>
      </c>
      <c r="W283" s="73">
        <f t="shared" si="109"/>
        <v>1911.9185665522089</v>
      </c>
      <c r="X283" s="73">
        <f t="shared" si="109"/>
        <v>1351.8159246051218</v>
      </c>
      <c r="Y283" s="73">
        <f t="shared" si="109"/>
        <v>810.33399116006524</v>
      </c>
      <c r="Z283" s="73">
        <f t="shared" si="109"/>
        <v>0</v>
      </c>
      <c r="AA283" s="73">
        <f t="shared" si="109"/>
        <v>0</v>
      </c>
      <c r="AB283" s="73">
        <f t="shared" si="109"/>
        <v>0</v>
      </c>
      <c r="AC283" s="73">
        <f t="shared" si="109"/>
        <v>0</v>
      </c>
      <c r="AD283" s="73">
        <f t="shared" si="109"/>
        <v>0</v>
      </c>
    </row>
    <row r="284" spans="2:30" ht="15.75" thickBot="1" x14ac:dyDescent="0.3"/>
    <row r="285" spans="2:30" ht="15.75" thickTop="1" x14ac:dyDescent="0.25">
      <c r="B285" s="97" t="s">
        <v>107</v>
      </c>
      <c r="C285" s="93"/>
      <c r="D285" s="101" t="s">
        <v>73</v>
      </c>
    </row>
    <row r="286" spans="2:30" x14ac:dyDescent="0.25">
      <c r="B286" s="13">
        <v>2019</v>
      </c>
      <c r="C286" s="35">
        <f>D280+D282+D283+N280+N282+N283+X280+X282+X283</f>
        <v>934001.28206920251</v>
      </c>
      <c r="D286" s="99">
        <v>934000</v>
      </c>
    </row>
    <row r="287" spans="2:30" x14ac:dyDescent="0.25">
      <c r="B287" s="13">
        <v>2020</v>
      </c>
      <c r="C287" s="35">
        <f>E280+E282+E283+O280+O282+O283+Y280+Y282+Y283</f>
        <v>685241.92761636281</v>
      </c>
      <c r="D287" s="99">
        <v>685000</v>
      </c>
    </row>
    <row r="288" spans="2:30" x14ac:dyDescent="0.25">
      <c r="B288" s="13">
        <v>2021</v>
      </c>
      <c r="C288" s="35">
        <f>F280+F282+F283+P280+P282+P283+Z280+Z282+Z283</f>
        <v>400580.03599317436</v>
      </c>
      <c r="D288" s="99">
        <v>401000</v>
      </c>
    </row>
    <row r="289" spans="2:9" x14ac:dyDescent="0.25">
      <c r="B289" s="13">
        <v>2022</v>
      </c>
      <c r="C289" s="35">
        <f>G280+G282+G283+Q280+Q282+Q283+AA280+AA282+AA283</f>
        <v>378014.43807745504</v>
      </c>
      <c r="D289" s="99">
        <v>378000</v>
      </c>
    </row>
    <row r="290" spans="2:9" x14ac:dyDescent="0.25">
      <c r="B290" s="13">
        <v>2023</v>
      </c>
      <c r="C290" s="35">
        <f>H280+H282+H283+R280+R282+R283+AB280+AB282+AB283</f>
        <v>130421.85787278901</v>
      </c>
      <c r="D290" s="99">
        <v>130000</v>
      </c>
    </row>
    <row r="291" spans="2:9" x14ac:dyDescent="0.25">
      <c r="B291" s="13">
        <v>2024</v>
      </c>
      <c r="C291" s="35">
        <f>I280+I282+I283+S280+S282+S283+AC280+AC282+AC283</f>
        <v>119112.40769695866</v>
      </c>
      <c r="D291" s="99">
        <v>119000</v>
      </c>
    </row>
    <row r="292" spans="2:9" x14ac:dyDescent="0.25">
      <c r="B292" s="13">
        <v>2025</v>
      </c>
      <c r="C292" s="35">
        <f>J280+J282+J283+T280+T282+T283+AD280+AD282+AD283</f>
        <v>107768.7533676631</v>
      </c>
      <c r="D292" s="99">
        <v>108000</v>
      </c>
    </row>
    <row r="293" spans="2:9" ht="15.75" thickBot="1" x14ac:dyDescent="0.3">
      <c r="B293" s="94" t="s">
        <v>11</v>
      </c>
      <c r="C293" s="91">
        <f>SUM(C286:C292)</f>
        <v>2755140.7026936053</v>
      </c>
      <c r="D293" s="100">
        <f>SUM(D286:D292)</f>
        <v>2755000</v>
      </c>
    </row>
    <row r="294" spans="2:9" ht="15.75" thickTop="1" x14ac:dyDescent="0.25"/>
    <row r="296" spans="2:9" x14ac:dyDescent="0.25">
      <c r="B296" s="8" t="s">
        <v>109</v>
      </c>
    </row>
    <row r="297" spans="2:9" ht="15.75" thickBot="1" x14ac:dyDescent="0.3"/>
    <row r="298" spans="2:9" ht="15.75" thickTop="1" x14ac:dyDescent="0.25">
      <c r="B298" s="113" t="s">
        <v>12</v>
      </c>
      <c r="C298" s="114" t="s">
        <v>110</v>
      </c>
      <c r="D298" s="114" t="s">
        <v>90</v>
      </c>
      <c r="E298" s="114" t="s">
        <v>111</v>
      </c>
      <c r="F298" s="114" t="s">
        <v>68</v>
      </c>
      <c r="G298" s="114" t="s">
        <v>149</v>
      </c>
      <c r="H298" s="114" t="s">
        <v>172</v>
      </c>
      <c r="I298" s="115" t="s">
        <v>109</v>
      </c>
    </row>
    <row r="299" spans="2:9" x14ac:dyDescent="0.25">
      <c r="B299" s="108">
        <v>2019</v>
      </c>
      <c r="C299" s="17">
        <f t="shared" ref="C299:C305" si="110">H124</f>
        <v>63625000</v>
      </c>
      <c r="D299" s="17">
        <f t="shared" ref="D299:D305" si="111">D286</f>
        <v>934000</v>
      </c>
      <c r="E299" s="17">
        <f t="shared" ref="E299:E305" si="112">G173</f>
        <v>976000</v>
      </c>
      <c r="F299" s="17">
        <f t="shared" ref="F299:F305" si="113">G138</f>
        <v>311000</v>
      </c>
      <c r="G299" s="17">
        <v>0</v>
      </c>
      <c r="H299" s="17">
        <f t="shared" ref="H299:H305" si="114">F230</f>
        <v>0</v>
      </c>
      <c r="I299" s="109">
        <f>C299-D299+E299+F299+G299+H299</f>
        <v>63978000</v>
      </c>
    </row>
    <row r="300" spans="2:9" x14ac:dyDescent="0.25">
      <c r="B300" s="108">
        <v>2020</v>
      </c>
      <c r="C300" s="17">
        <f t="shared" si="110"/>
        <v>25957000</v>
      </c>
      <c r="D300" s="17">
        <f t="shared" si="111"/>
        <v>685000</v>
      </c>
      <c r="E300" s="17">
        <f t="shared" si="112"/>
        <v>0</v>
      </c>
      <c r="F300" s="17">
        <f t="shared" si="113"/>
        <v>621000</v>
      </c>
      <c r="G300" s="17">
        <v>0</v>
      </c>
      <c r="H300" s="17">
        <f t="shared" si="114"/>
        <v>0</v>
      </c>
      <c r="I300" s="109">
        <f t="shared" ref="I300:I305" si="115">C300-D300+E300+F300+G300+H300</f>
        <v>25893000</v>
      </c>
    </row>
    <row r="301" spans="2:9" x14ac:dyDescent="0.25">
      <c r="B301" s="108">
        <v>2021</v>
      </c>
      <c r="C301" s="17">
        <f t="shared" si="110"/>
        <v>3943000</v>
      </c>
      <c r="D301" s="17">
        <f t="shared" si="111"/>
        <v>401000</v>
      </c>
      <c r="E301" s="17">
        <f t="shared" si="112"/>
        <v>0</v>
      </c>
      <c r="F301" s="17">
        <f t="shared" si="113"/>
        <v>311000</v>
      </c>
      <c r="G301" s="17">
        <v>0</v>
      </c>
      <c r="H301" s="17">
        <f t="shared" si="114"/>
        <v>0</v>
      </c>
      <c r="I301" s="109">
        <f t="shared" si="115"/>
        <v>3853000</v>
      </c>
    </row>
    <row r="302" spans="2:9" x14ac:dyDescent="0.25">
      <c r="B302" s="108">
        <v>2022</v>
      </c>
      <c r="C302" s="17">
        <f t="shared" si="110"/>
        <v>8328000</v>
      </c>
      <c r="D302" s="17">
        <f t="shared" si="111"/>
        <v>378000</v>
      </c>
      <c r="E302" s="17">
        <f t="shared" si="112"/>
        <v>0</v>
      </c>
      <c r="F302" s="17">
        <f t="shared" si="113"/>
        <v>155000</v>
      </c>
      <c r="G302" s="17">
        <v>0</v>
      </c>
      <c r="H302" s="17">
        <f t="shared" si="114"/>
        <v>5832000</v>
      </c>
      <c r="I302" s="109">
        <f t="shared" si="115"/>
        <v>13937000</v>
      </c>
    </row>
    <row r="303" spans="2:9" x14ac:dyDescent="0.25">
      <c r="B303" s="108">
        <v>2023</v>
      </c>
      <c r="C303" s="17">
        <f t="shared" si="110"/>
        <v>1664000</v>
      </c>
      <c r="D303" s="17">
        <f t="shared" si="111"/>
        <v>130000</v>
      </c>
      <c r="E303" s="17">
        <f t="shared" si="112"/>
        <v>182000</v>
      </c>
      <c r="F303" s="17">
        <f t="shared" si="113"/>
        <v>78000</v>
      </c>
      <c r="G303" s="17">
        <f>C222</f>
        <v>5364000</v>
      </c>
      <c r="H303" s="17">
        <f t="shared" si="114"/>
        <v>3332000</v>
      </c>
      <c r="I303" s="109">
        <f t="shared" si="115"/>
        <v>10490000</v>
      </c>
    </row>
    <row r="304" spans="2:9" x14ac:dyDescent="0.25">
      <c r="B304" s="108">
        <v>2024</v>
      </c>
      <c r="C304" s="17">
        <f t="shared" si="110"/>
        <v>1621000</v>
      </c>
      <c r="D304" s="17">
        <f t="shared" si="111"/>
        <v>119000</v>
      </c>
      <c r="E304" s="17">
        <f t="shared" si="112"/>
        <v>0</v>
      </c>
      <c r="F304" s="17">
        <f t="shared" si="113"/>
        <v>54000</v>
      </c>
      <c r="G304" s="17">
        <f>D222</f>
        <v>2682000</v>
      </c>
      <c r="H304" s="17">
        <f t="shared" si="114"/>
        <v>3457000</v>
      </c>
      <c r="I304" s="109">
        <f t="shared" si="115"/>
        <v>7695000</v>
      </c>
    </row>
    <row r="305" spans="2:9" x14ac:dyDescent="0.25">
      <c r="B305" s="108">
        <v>2025</v>
      </c>
      <c r="C305" s="17">
        <f t="shared" si="110"/>
        <v>1575000</v>
      </c>
      <c r="D305" s="17">
        <f t="shared" si="111"/>
        <v>108000</v>
      </c>
      <c r="E305" s="17">
        <f t="shared" si="112"/>
        <v>0</v>
      </c>
      <c r="F305" s="17">
        <f t="shared" si="113"/>
        <v>54000</v>
      </c>
      <c r="G305" s="17">
        <f>E222</f>
        <v>2682000</v>
      </c>
      <c r="H305" s="17">
        <f t="shared" si="114"/>
        <v>3567000</v>
      </c>
      <c r="I305" s="109">
        <f t="shared" si="115"/>
        <v>7770000</v>
      </c>
    </row>
    <row r="306" spans="2:9" ht="15.75" thickBot="1" x14ac:dyDescent="0.3">
      <c r="B306" s="110" t="s">
        <v>11</v>
      </c>
      <c r="C306" s="111">
        <f t="shared" ref="C306:I306" si="116">SUM(C299:C305)</f>
        <v>106713000</v>
      </c>
      <c r="D306" s="111">
        <f t="shared" si="116"/>
        <v>2755000</v>
      </c>
      <c r="E306" s="111">
        <f t="shared" si="116"/>
        <v>1158000</v>
      </c>
      <c r="F306" s="111">
        <f t="shared" si="116"/>
        <v>1584000</v>
      </c>
      <c r="G306" s="111">
        <f t="shared" si="116"/>
        <v>10728000</v>
      </c>
      <c r="H306" s="111">
        <f>SUM(H299:H305)</f>
        <v>16188000</v>
      </c>
      <c r="I306" s="112">
        <f t="shared" si="116"/>
        <v>133616000</v>
      </c>
    </row>
    <row r="307" spans="2:9" ht="15.75" thickTop="1" x14ac:dyDescent="0.25">
      <c r="B307" s="142"/>
      <c r="C307" s="17"/>
      <c r="D307" s="17"/>
      <c r="E307" s="17"/>
      <c r="F307" s="17"/>
      <c r="G307" s="17"/>
    </row>
    <row r="309" spans="2:9" x14ac:dyDescent="0.25">
      <c r="B309" s="8" t="s">
        <v>136</v>
      </c>
    </row>
    <row r="310" spans="2:9" x14ac:dyDescent="0.25">
      <c r="B310" s="87" t="s">
        <v>12</v>
      </c>
      <c r="C310" t="s">
        <v>137</v>
      </c>
      <c r="D310" t="s">
        <v>139</v>
      </c>
      <c r="E310" t="s">
        <v>138</v>
      </c>
    </row>
    <row r="311" spans="2:9" x14ac:dyDescent="0.25">
      <c r="B311">
        <v>2019</v>
      </c>
      <c r="C311">
        <v>0.32800000000000001</v>
      </c>
      <c r="D311" s="73">
        <f t="shared" ref="D311:D317" si="117">C311*365</f>
        <v>119.72</v>
      </c>
      <c r="E311" s="73">
        <f t="shared" ref="E311:E317" si="118">C311*2000*365</f>
        <v>239440</v>
      </c>
    </row>
    <row r="312" spans="2:9" x14ac:dyDescent="0.25">
      <c r="B312">
        <v>2020</v>
      </c>
      <c r="C312">
        <v>0.38500000000000001</v>
      </c>
      <c r="D312" s="73">
        <f t="shared" si="117"/>
        <v>140.52500000000001</v>
      </c>
      <c r="E312" s="73">
        <f t="shared" si="118"/>
        <v>281050</v>
      </c>
    </row>
    <row r="313" spans="2:9" x14ac:dyDescent="0.25">
      <c r="B313">
        <v>2021</v>
      </c>
      <c r="C313">
        <v>0.33600000000000002</v>
      </c>
      <c r="D313" s="73">
        <f t="shared" si="117"/>
        <v>122.64</v>
      </c>
      <c r="E313" s="73">
        <f t="shared" si="118"/>
        <v>245280</v>
      </c>
    </row>
    <row r="314" spans="2:9" x14ac:dyDescent="0.25">
      <c r="B314">
        <v>2022</v>
      </c>
      <c r="C314">
        <v>0.21099999999999999</v>
      </c>
      <c r="D314" s="73">
        <f t="shared" si="117"/>
        <v>77.015000000000001</v>
      </c>
      <c r="E314" s="73">
        <f t="shared" si="118"/>
        <v>154030</v>
      </c>
    </row>
    <row r="315" spans="2:9" x14ac:dyDescent="0.25">
      <c r="B315">
        <v>2023</v>
      </c>
      <c r="C315">
        <v>0.113</v>
      </c>
      <c r="D315" s="73">
        <f t="shared" si="117"/>
        <v>41.245000000000005</v>
      </c>
      <c r="E315" s="73">
        <f t="shared" si="118"/>
        <v>82490</v>
      </c>
    </row>
    <row r="316" spans="2:9" x14ac:dyDescent="0.25">
      <c r="B316">
        <v>2024</v>
      </c>
      <c r="C316">
        <v>0.11899999999999999</v>
      </c>
      <c r="D316" s="73">
        <f t="shared" si="117"/>
        <v>43.434999999999995</v>
      </c>
      <c r="E316" s="73">
        <f t="shared" si="118"/>
        <v>86870</v>
      </c>
    </row>
    <row r="317" spans="2:9" x14ac:dyDescent="0.25">
      <c r="B317">
        <v>2025</v>
      </c>
      <c r="C317">
        <v>0.123</v>
      </c>
      <c r="D317" s="73">
        <f t="shared" si="117"/>
        <v>44.894999999999996</v>
      </c>
      <c r="E317" s="73">
        <f t="shared" si="118"/>
        <v>89790</v>
      </c>
    </row>
    <row r="318" spans="2:9" x14ac:dyDescent="0.25">
      <c r="B318" t="s">
        <v>11</v>
      </c>
      <c r="C318">
        <f>SUM(C311:C317)</f>
        <v>1.6150000000000002</v>
      </c>
      <c r="D318" s="73">
        <f>SUM(D311:D317)</f>
        <v>589.47499999999991</v>
      </c>
      <c r="E318" s="73">
        <f>SUM(E311:E317)</f>
        <v>1178950</v>
      </c>
    </row>
    <row r="320" spans="2:9" x14ac:dyDescent="0.25">
      <c r="B320" s="8" t="s">
        <v>140</v>
      </c>
    </row>
    <row r="321" spans="2:3" x14ac:dyDescent="0.25">
      <c r="B321" t="s">
        <v>141</v>
      </c>
      <c r="C321" s="141">
        <f>I306/D318</f>
        <v>226669.49404130797</v>
      </c>
    </row>
    <row r="322" spans="2:3" x14ac:dyDescent="0.25">
      <c r="B322" t="s">
        <v>142</v>
      </c>
      <c r="C322" s="141">
        <f>I306/E318</f>
        <v>113.33474702065398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Amendments</vt:lpstr>
      <vt:lpstr>Alternative 1</vt:lpstr>
      <vt:lpstr>Alternative 2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Hill-Falkenthal</dc:creator>
  <cp:lastModifiedBy>Jason Hill-Falkenthal</cp:lastModifiedBy>
  <cp:lastPrinted>2017-09-01T21:06:14Z</cp:lastPrinted>
  <dcterms:created xsi:type="dcterms:W3CDTF">2017-08-22T18:56:17Z</dcterms:created>
  <dcterms:modified xsi:type="dcterms:W3CDTF">2018-04-03T19:19:32Z</dcterms:modified>
</cp:coreProperties>
</file>