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415" activeTab="0"/>
  </bookViews>
  <sheets>
    <sheet name="Reporting Cost Proposed" sheetId="1" r:id="rId1"/>
    <sheet name="Reporting Cost Current" sheetId="2" r:id="rId2"/>
    <sheet name="Sheet2" sheetId="3" r:id="rId3"/>
    <sheet name="Sheet3" sheetId="4" r:id="rId4"/>
  </sheets>
  <definedNames>
    <definedName name="_xlnm.Print_Area" localSheetId="1">'Reporting Cost Current'!$A$2:$H$36</definedName>
    <definedName name="_xlnm.Print_Area" localSheetId="0">'Reporting Cost Proposed'!$A$2:$H$36</definedName>
  </definedNames>
  <calcPr fullCalcOnLoad="1"/>
</workbook>
</file>

<file path=xl/sharedStrings.xml><?xml version="1.0" encoding="utf-8"?>
<sst xmlns="http://schemas.openxmlformats.org/spreadsheetml/2006/main" count="71" uniqueCount="33">
  <si>
    <t>Small Fleets (&lt;4 vehicles)</t>
  </si>
  <si>
    <t># Fleets</t>
  </si>
  <si>
    <t>Medium/Large Fleets</t>
  </si>
  <si>
    <t>$/Hr</t>
  </si>
  <si>
    <t>Initial Hours</t>
  </si>
  <si>
    <t>Initial Costs/Fleet</t>
  </si>
  <si>
    <t>Annual Costs/Fleet</t>
  </si>
  <si>
    <t>Annual Hours</t>
  </si>
  <si>
    <t>Maximum Initial Costs</t>
  </si>
  <si>
    <t>Note:  Fleets using BACT will</t>
  </si>
  <si>
    <t>not have to report to ARB</t>
  </si>
  <si>
    <t>Maximum Annual Costs</t>
  </si>
  <si>
    <t>Initial &amp; Annual Reporting Costs for Fleets</t>
  </si>
  <si>
    <t>CY</t>
  </si>
  <si>
    <t>Small Fleets</t>
  </si>
  <si>
    <t>Annual Reporting NPV 2008$</t>
  </si>
  <si>
    <t>See Initial Reporting Costs</t>
  </si>
  <si>
    <t>4 to 8</t>
  </si>
  <si>
    <t>$200 to $400</t>
  </si>
  <si>
    <t>(assume only 75% report)</t>
  </si>
  <si>
    <t>Reduce by 40% &lt;26,000 and 43% remaining reported</t>
  </si>
  <si>
    <t>Additional Fleets (Large)</t>
  </si>
  <si>
    <t>Intial reporting begins in 2014</t>
  </si>
  <si>
    <t>(assume 75% reported and only 33% need to report OD)</t>
  </si>
  <si>
    <t>0 to 2</t>
  </si>
  <si>
    <t>$0 to $100</t>
  </si>
  <si>
    <t>Totals</t>
  </si>
  <si>
    <t>Total</t>
  </si>
  <si>
    <t>Initial Reporting Costs in 2010 NPV 2008$</t>
  </si>
  <si>
    <t>Annual Reporting Costs 2011-2022 NPV 2008$</t>
  </si>
  <si>
    <t>Total Reporting Costs Rounded</t>
  </si>
  <si>
    <t>2014 Dollars</t>
  </si>
  <si>
    <t>Initial Reporting in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</si>
</sst>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0.0"/>
    <numFmt numFmtId="169" formatCode="&quot;$&quot;#,##0"/>
    <numFmt numFmtId="170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4" fontId="0" fillId="0" borderId="0" xfId="45" applyFont="1" applyAlignment="1">
      <alignment/>
    </xf>
    <xf numFmtId="0" fontId="6" fillId="0" borderId="0" xfId="0" applyFont="1" applyFill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right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66" fontId="0" fillId="0" borderId="0" xfId="45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0" fillId="0" borderId="10" xfId="45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44" fontId="0" fillId="0" borderId="0" xfId="47" applyFont="1" applyAlignment="1">
      <alignment/>
    </xf>
    <xf numFmtId="43" fontId="0" fillId="0" borderId="0" xfId="44" applyFont="1" applyAlignment="1">
      <alignment/>
    </xf>
    <xf numFmtId="44" fontId="0" fillId="0" borderId="10" xfId="0" applyNumberFormat="1" applyBorder="1" applyAlignment="1">
      <alignment/>
    </xf>
    <xf numFmtId="44" fontId="0" fillId="0" borderId="10" xfId="47" applyFont="1" applyBorder="1" applyAlignment="1">
      <alignment/>
    </xf>
    <xf numFmtId="166" fontId="0" fillId="0" borderId="0" xfId="47" applyNumberFormat="1" applyFont="1" applyAlignment="1">
      <alignment/>
    </xf>
    <xf numFmtId="44" fontId="0" fillId="0" borderId="0" xfId="45" applyFon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47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B1">
      <selection activeCell="F19" sqref="F19"/>
    </sheetView>
  </sheetViews>
  <sheetFormatPr defaultColWidth="9.140625" defaultRowHeight="12.75"/>
  <cols>
    <col min="1" max="1" width="22.00390625" style="0" bestFit="1" customWidth="1"/>
    <col min="3" max="3" width="12.140625" style="0" bestFit="1" customWidth="1"/>
    <col min="4" max="4" width="10.00390625" style="0" customWidth="1"/>
    <col min="5" max="5" width="16.57421875" style="0" bestFit="1" customWidth="1"/>
    <col min="6" max="6" width="22.57421875" style="0" bestFit="1" customWidth="1"/>
    <col min="7" max="7" width="26.28125" style="0" bestFit="1" customWidth="1"/>
    <col min="8" max="8" width="16.00390625" style="0" customWidth="1"/>
    <col min="9" max="9" width="14.00390625" style="0" bestFit="1" customWidth="1"/>
    <col min="10" max="10" width="12.28125" style="0" bestFit="1" customWidth="1"/>
    <col min="11" max="11" width="13.57421875" style="0" customWidth="1"/>
    <col min="12" max="12" width="14.00390625" style="0" bestFit="1" customWidth="1"/>
  </cols>
  <sheetData>
    <row r="1" ht="12.75" customHeight="1">
      <c r="I1" s="20"/>
    </row>
    <row r="2" spans="1:9" ht="12.75" customHeight="1">
      <c r="A2" s="1" t="s">
        <v>12</v>
      </c>
      <c r="H2" s="28" t="s">
        <v>20</v>
      </c>
      <c r="I2" s="28"/>
    </row>
    <row r="3" spans="8:9" ht="12.75">
      <c r="H3" s="28"/>
      <c r="I3" s="28"/>
    </row>
    <row r="4" spans="2:9" ht="12.75">
      <c r="B4" s="5" t="s">
        <v>1</v>
      </c>
      <c r="C4" s="5" t="s">
        <v>4</v>
      </c>
      <c r="D4" s="5" t="s">
        <v>3</v>
      </c>
      <c r="E4" s="7" t="s">
        <v>5</v>
      </c>
      <c r="F4" s="7" t="s">
        <v>8</v>
      </c>
      <c r="H4" s="1" t="s">
        <v>22</v>
      </c>
      <c r="I4" s="7"/>
    </row>
    <row r="5" spans="1:11" ht="12.75">
      <c r="A5" t="s">
        <v>21</v>
      </c>
      <c r="B5" s="2">
        <f>B18*0.6*0.25*0.1</f>
        <v>232.5</v>
      </c>
      <c r="C5" t="s">
        <v>17</v>
      </c>
      <c r="D5" s="6">
        <v>50</v>
      </c>
      <c r="E5" s="9" t="s">
        <v>18</v>
      </c>
      <c r="F5" s="12">
        <f>+B5*400</f>
        <v>93000</v>
      </c>
      <c r="G5" s="4" t="s">
        <v>10</v>
      </c>
      <c r="H5" s="14"/>
      <c r="K5" s="10"/>
    </row>
    <row r="6" spans="6:11" ht="13.5" thickBot="1">
      <c r="F6" s="18">
        <f>SUM(F5:F5)</f>
        <v>93000</v>
      </c>
      <c r="G6" s="4" t="s">
        <v>19</v>
      </c>
      <c r="H6" s="15">
        <f>F6</f>
        <v>93000</v>
      </c>
      <c r="I6" s="15"/>
      <c r="J6" s="15"/>
      <c r="K6" s="11"/>
    </row>
    <row r="7" ht="13.5" thickTop="1"/>
    <row r="9" spans="2:10" ht="12.75">
      <c r="B9" s="5" t="s">
        <v>1</v>
      </c>
      <c r="C9" s="7" t="s">
        <v>7</v>
      </c>
      <c r="D9" s="5" t="s">
        <v>3</v>
      </c>
      <c r="E9" s="7" t="s">
        <v>6</v>
      </c>
      <c r="F9" s="5" t="s">
        <v>11</v>
      </c>
      <c r="J9" s="11"/>
    </row>
    <row r="10" spans="1:7" ht="12.75">
      <c r="A10" t="s">
        <v>0</v>
      </c>
      <c r="B10" s="3">
        <f>B17</f>
        <v>138000</v>
      </c>
      <c r="C10">
        <v>0.5</v>
      </c>
      <c r="D10" s="6">
        <v>50</v>
      </c>
      <c r="E10" s="8">
        <f>+C10*D10</f>
        <v>25</v>
      </c>
      <c r="F10" s="12">
        <f>+E10*B10*0.75</f>
        <v>2587500</v>
      </c>
      <c r="G10" s="4" t="s">
        <v>9</v>
      </c>
    </row>
    <row r="11" spans="1:7" ht="12.75">
      <c r="A11" t="s">
        <v>2</v>
      </c>
      <c r="B11" s="2">
        <f>B18</f>
        <v>15500</v>
      </c>
      <c r="C11">
        <v>2</v>
      </c>
      <c r="D11" s="6">
        <v>50</v>
      </c>
      <c r="E11" s="8">
        <f>+C11*D5</f>
        <v>100</v>
      </c>
      <c r="F11" s="12">
        <f>+E11*B11*0.75</f>
        <v>1162500</v>
      </c>
      <c r="G11" s="4" t="s">
        <v>10</v>
      </c>
    </row>
    <row r="12" spans="6:7" ht="13.5" thickBot="1">
      <c r="F12" s="19">
        <f>SUM(F10:F11)</f>
        <v>3750000</v>
      </c>
      <c r="G12" s="4" t="s">
        <v>23</v>
      </c>
    </row>
    <row r="13" spans="1:3" ht="13.5" thickTop="1">
      <c r="A13" s="5"/>
      <c r="B13" s="5"/>
      <c r="C13" s="5"/>
    </row>
    <row r="14" spans="1:5" ht="12.75">
      <c r="A14" s="13"/>
      <c r="B14" s="2"/>
      <c r="E14" s="1" t="s">
        <v>15</v>
      </c>
    </row>
    <row r="15" spans="1:8" ht="12.75">
      <c r="A15" s="13"/>
      <c r="B15" s="2"/>
      <c r="E15" s="5" t="s">
        <v>13</v>
      </c>
      <c r="F15" s="5" t="s">
        <v>14</v>
      </c>
      <c r="G15" s="5" t="s">
        <v>2</v>
      </c>
      <c r="H15">
        <f>0.6*0.43</f>
        <v>0.258</v>
      </c>
    </row>
    <row r="16" spans="1:8" ht="12.75">
      <c r="A16" s="13"/>
      <c r="B16" s="2" t="s">
        <v>1</v>
      </c>
      <c r="F16" s="27" t="s">
        <v>16</v>
      </c>
      <c r="G16" s="27"/>
      <c r="H16" s="15">
        <f>H6</f>
        <v>93000</v>
      </c>
    </row>
    <row r="17" spans="1:11" ht="12.75">
      <c r="A17" s="13" t="s">
        <v>0</v>
      </c>
      <c r="B17" s="2">
        <v>138000</v>
      </c>
      <c r="E17">
        <v>2014</v>
      </c>
      <c r="F17" s="12"/>
      <c r="G17" s="12"/>
      <c r="H17" s="8">
        <f aca="true" t="shared" si="0" ref="H17:H26">(F17*$H$15+G17*($H$15+0.6*0.25*0.1))</f>
        <v>0</v>
      </c>
      <c r="I17" s="8"/>
      <c r="J17" s="15"/>
      <c r="K17" s="8"/>
    </row>
    <row r="18" spans="1:11" ht="12.75">
      <c r="A18" t="s">
        <v>2</v>
      </c>
      <c r="B18" s="2">
        <v>15500</v>
      </c>
      <c r="E18">
        <v>2015</v>
      </c>
      <c r="F18" s="12">
        <f>+$F$10/(1.05)^(E18-$E$17)</f>
        <v>2464285.714285714</v>
      </c>
      <c r="G18" s="12">
        <f>+$F$11/(1.05)^(E18-$E$17)</f>
        <v>1107142.857142857</v>
      </c>
      <c r="H18" s="8">
        <f t="shared" si="0"/>
        <v>938035.7142857142</v>
      </c>
      <c r="I18" s="8">
        <f>'Reporting Cost Current'!H21</f>
        <v>921428.5714285714</v>
      </c>
      <c r="J18" s="15">
        <f aca="true" t="shared" si="1" ref="J18:J26">H18-I18</f>
        <v>16607.14285714284</v>
      </c>
      <c r="K18" s="8"/>
    </row>
    <row r="19" spans="2:11" ht="12.75">
      <c r="B19" s="13"/>
      <c r="E19">
        <v>2016</v>
      </c>
      <c r="F19" s="12">
        <f>+$F$10/(1.05)^(E19-$E$17)</f>
        <v>2346938.775510204</v>
      </c>
      <c r="G19" s="12">
        <f>+$F$11/(1.05)^(E19-$E$17)</f>
        <v>1054421.768707483</v>
      </c>
      <c r="H19" s="8">
        <f t="shared" si="0"/>
        <v>893367.3469387756</v>
      </c>
      <c r="I19" s="8">
        <f>'Reporting Cost Current'!H22</f>
        <v>877551.0204081633</v>
      </c>
      <c r="J19" s="15">
        <f t="shared" si="1"/>
        <v>15816.326530612307</v>
      </c>
      <c r="K19" s="8"/>
    </row>
    <row r="20" spans="5:11" ht="12.75">
      <c r="E20">
        <v>2017</v>
      </c>
      <c r="F20" s="12">
        <f>+$F$10/(1.05)^(E20-$E$17)</f>
        <v>2235179.786200194</v>
      </c>
      <c r="G20" s="12">
        <f>+$F$11/(1.05)^(E20-$E$17)</f>
        <v>1004211.2082928409</v>
      </c>
      <c r="H20" s="8">
        <f t="shared" si="0"/>
        <v>850826.0447035957</v>
      </c>
      <c r="I20" s="8">
        <f>'Reporting Cost Current'!H23</f>
        <v>835762.8765792031</v>
      </c>
      <c r="J20" s="15">
        <f t="shared" si="1"/>
        <v>15063.168124392629</v>
      </c>
      <c r="K20" s="8"/>
    </row>
    <row r="21" spans="5:11" ht="12.75">
      <c r="E21">
        <v>2018</v>
      </c>
      <c r="F21" s="12">
        <f>+$F$10/(1.05)^(E21-$E$17)</f>
        <v>2128742.6535239946</v>
      </c>
      <c r="G21" s="12">
        <f>+$F$11/(1.05)^(E21-$E$17)</f>
        <v>956391.6269455628</v>
      </c>
      <c r="H21" s="8">
        <f t="shared" si="0"/>
        <v>810310.5187653293</v>
      </c>
      <c r="I21" s="8">
        <f>'Reporting Cost Current'!H24</f>
        <v>795964.6443611458</v>
      </c>
      <c r="J21" s="15">
        <f t="shared" si="1"/>
        <v>14345.874404183473</v>
      </c>
      <c r="K21" s="8"/>
    </row>
    <row r="22" spans="5:11" ht="12.75">
      <c r="E22">
        <v>2019</v>
      </c>
      <c r="F22" s="12">
        <f>+$F$10/(1.05)^(E22-$E$17)</f>
        <v>2027373.9557371375</v>
      </c>
      <c r="G22" s="12">
        <f>+$F$11/(1.05)^(E22-$E$17)</f>
        <v>910849.1685195835</v>
      </c>
      <c r="H22" s="8">
        <f t="shared" si="0"/>
        <v>771724.3035860278</v>
      </c>
      <c r="I22" s="8">
        <f>'Reporting Cost Current'!H25</f>
        <v>758061.566058234</v>
      </c>
      <c r="J22" s="15">
        <f t="shared" si="1"/>
        <v>13662.737527793855</v>
      </c>
      <c r="K22" s="8"/>
    </row>
    <row r="23" spans="5:11" ht="12.75">
      <c r="E23">
        <v>2020</v>
      </c>
      <c r="F23" s="12">
        <f>+$F$10*0.1/(1.05)^(E23-$E$17)</f>
        <v>193083.2338797274</v>
      </c>
      <c r="G23" s="12">
        <f>+$F$11*0.1/(1.05)^(E23-$E$17)</f>
        <v>86747.53985900797</v>
      </c>
      <c r="H23" s="8">
        <f t="shared" si="0"/>
        <v>73497.55272247884</v>
      </c>
      <c r="I23" s="8">
        <f>'Reporting Cost Current'!H26</f>
        <v>36098.16981229687</v>
      </c>
      <c r="J23" s="15">
        <f t="shared" si="1"/>
        <v>37399.38291018197</v>
      </c>
      <c r="K23" s="8"/>
    </row>
    <row r="24" spans="5:11" ht="12.75">
      <c r="E24">
        <v>2021</v>
      </c>
      <c r="F24" s="12">
        <f>+$F$10*0.1/(1.05)^(E24-$E$17)</f>
        <v>183888.79417116893</v>
      </c>
      <c r="G24" s="12">
        <f>+$F$11*0.1/(1.05)^(E24-$E$17)</f>
        <v>82616.70462762662</v>
      </c>
      <c r="H24" s="8">
        <f t="shared" si="0"/>
        <v>69997.66925950366</v>
      </c>
      <c r="I24" s="8">
        <f>'Reporting Cost Current'!H27</f>
        <v>34379.20934504463</v>
      </c>
      <c r="J24" s="15">
        <f t="shared" si="1"/>
        <v>35618.45991445903</v>
      </c>
      <c r="K24" s="8"/>
    </row>
    <row r="25" spans="5:11" ht="12.75">
      <c r="E25">
        <v>2022</v>
      </c>
      <c r="F25" s="12">
        <f>+$F$10*0.1/(1.05)^(E25-$E$17)</f>
        <v>175132.1849249228</v>
      </c>
      <c r="G25" s="12">
        <f>+$F$11*0.1/(1.05)^(E25-$E$17)</f>
        <v>78682.57583583488</v>
      </c>
      <c r="H25" s="8">
        <f t="shared" si="0"/>
        <v>66664.44691381301</v>
      </c>
      <c r="I25" s="8">
        <f>'Reporting Cost Current'!H28</f>
        <v>32742.104138137747</v>
      </c>
      <c r="J25" s="15">
        <f t="shared" si="1"/>
        <v>33922.342775675264</v>
      </c>
      <c r="K25" s="8"/>
    </row>
    <row r="26" spans="5:11" ht="12.75">
      <c r="E26">
        <v>2023</v>
      </c>
      <c r="F26" s="12">
        <f>+$F$10*0.1/(1.05)^(E26-$E$17)</f>
        <v>166792.55707135506</v>
      </c>
      <c r="G26" s="12">
        <f>+$F$11*0.1/(1.05)^(E26-$E$17)</f>
        <v>74935.78651031894</v>
      </c>
      <c r="H26" s="8">
        <f t="shared" si="0"/>
        <v>63489.949441726676</v>
      </c>
      <c r="I26" s="8">
        <f>'Reporting Cost Current'!H29</f>
        <v>0</v>
      </c>
      <c r="J26" s="15">
        <f t="shared" si="1"/>
        <v>63489.949441726676</v>
      </c>
      <c r="K26" s="8"/>
    </row>
    <row r="27" spans="5:11" ht="12.75">
      <c r="E27">
        <v>2024</v>
      </c>
      <c r="F27" s="12"/>
      <c r="G27" s="12"/>
      <c r="H27" s="8"/>
      <c r="K27" s="8"/>
    </row>
    <row r="28" spans="5:11" ht="12.75">
      <c r="E28">
        <v>2025</v>
      </c>
      <c r="F28" s="12"/>
      <c r="G28" s="12"/>
      <c r="H28" s="8"/>
      <c r="J28" s="15"/>
      <c r="K28" s="8"/>
    </row>
    <row r="29" spans="6:8" ht="12.75">
      <c r="F29" s="12"/>
      <c r="G29" s="12"/>
      <c r="H29" s="17"/>
    </row>
    <row r="30" spans="6:11" ht="12.75">
      <c r="F30" s="17">
        <f>SUM(F17:F29)</f>
        <v>11921417.655304419</v>
      </c>
      <c r="G30" s="17">
        <f>SUM(G17:G29)</f>
        <v>5355999.236441116</v>
      </c>
      <c r="H30" s="17">
        <f>SUM(H16:H28)</f>
        <v>4630913.546616965</v>
      </c>
      <c r="I30" s="15"/>
      <c r="J30" s="15">
        <f>SUM(J17:J29)</f>
        <v>245925.38448616804</v>
      </c>
      <c r="K30" s="8"/>
    </row>
    <row r="31" spans="6:7" ht="12.75">
      <c r="F31" s="6"/>
      <c r="G31" s="6"/>
    </row>
    <row r="32" spans="6:7" ht="12.75">
      <c r="F32" s="6"/>
      <c r="G32" s="6"/>
    </row>
    <row r="33" ht="12.75">
      <c r="K33" s="15"/>
    </row>
    <row r="34" ht="12.75">
      <c r="H34" s="12"/>
    </row>
    <row r="35" spans="9:10" ht="12.75">
      <c r="I35" s="15"/>
      <c r="J35" s="15"/>
    </row>
    <row r="36" spans="9:10" ht="12.75">
      <c r="I36" s="16"/>
      <c r="J36" s="15"/>
    </row>
  </sheetData>
  <sheetProtection/>
  <mergeCells count="2">
    <mergeCell ref="F16:G16"/>
    <mergeCell ref="H2:I3"/>
  </mergeCells>
  <printOptions gridLines="1"/>
  <pageMargins left="0.54" right="0.16" top="0.71" bottom="1" header="0.5" footer="0.5"/>
  <pageSetup fitToHeight="1" fitToWidth="1" horizontalDpi="600" verticalDpi="600" orientation="landscape" scale="98" r:id="rId1"/>
  <headerFooter alignWithMargins="0">
    <oddFooter>&amp;L&amp;Z&amp;F&amp;A&amp;R&amp;D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zoomScalePageLayoutView="0" workbookViewId="0" topLeftCell="C7">
      <selection activeCell="H18" sqref="H18"/>
    </sheetView>
  </sheetViews>
  <sheetFormatPr defaultColWidth="9.140625" defaultRowHeight="12.75"/>
  <cols>
    <col min="1" max="1" width="22.00390625" style="0" bestFit="1" customWidth="1"/>
    <col min="3" max="3" width="12.140625" style="0" bestFit="1" customWidth="1"/>
    <col min="4" max="4" width="10.00390625" style="0" customWidth="1"/>
    <col min="5" max="5" width="16.57421875" style="0" bestFit="1" customWidth="1"/>
    <col min="6" max="6" width="22.57421875" style="0" bestFit="1" customWidth="1"/>
    <col min="7" max="7" width="26.28125" style="0" bestFit="1" customWidth="1"/>
    <col min="8" max="8" width="17.8515625" style="0" customWidth="1"/>
    <col min="9" max="9" width="22.421875" style="0" bestFit="1" customWidth="1"/>
    <col min="10" max="10" width="12.28125" style="0" bestFit="1" customWidth="1"/>
    <col min="11" max="11" width="11.140625" style="0" bestFit="1" customWidth="1"/>
    <col min="12" max="12" width="14.00390625" style="0" bestFit="1" customWidth="1"/>
  </cols>
  <sheetData>
    <row r="2" spans="1:9" ht="12.75">
      <c r="A2" s="1" t="s">
        <v>12</v>
      </c>
      <c r="I2" s="28" t="s">
        <v>20</v>
      </c>
    </row>
    <row r="3" spans="8:10" ht="12.75">
      <c r="H3" s="21" t="s">
        <v>32</v>
      </c>
      <c r="I3" s="28"/>
      <c r="J3" s="1"/>
    </row>
    <row r="4" spans="2:9" ht="12.75">
      <c r="B4" s="5" t="s">
        <v>1</v>
      </c>
      <c r="C4" s="5" t="s">
        <v>4</v>
      </c>
      <c r="D4" s="5" t="s">
        <v>3</v>
      </c>
      <c r="E4" s="7" t="s">
        <v>5</v>
      </c>
      <c r="F4" s="7" t="s">
        <v>8</v>
      </c>
      <c r="H4" s="7" t="s">
        <v>31</v>
      </c>
      <c r="I4" s="7">
        <f>0.6*0.43</f>
        <v>0.258</v>
      </c>
    </row>
    <row r="5" spans="1:12" ht="12.75">
      <c r="A5" t="s">
        <v>0</v>
      </c>
      <c r="B5" s="3">
        <v>138000</v>
      </c>
      <c r="C5" t="s">
        <v>24</v>
      </c>
      <c r="D5" s="22">
        <v>50</v>
      </c>
      <c r="E5" s="9" t="s">
        <v>25</v>
      </c>
      <c r="F5" s="22">
        <f>100*B5</f>
        <v>13800000</v>
      </c>
      <c r="G5" s="4" t="s">
        <v>9</v>
      </c>
      <c r="H5" s="23">
        <f>+(F5*0.75)*(1/1.05)^(4)</f>
        <v>8514970.614095977</v>
      </c>
      <c r="I5" s="14">
        <f>H5*$I$4</f>
        <v>2196862.418436762</v>
      </c>
      <c r="L5" s="23"/>
    </row>
    <row r="6" spans="1:12" ht="12.75">
      <c r="A6" t="s">
        <v>2</v>
      </c>
      <c r="B6" s="2">
        <v>15500</v>
      </c>
      <c r="C6" t="s">
        <v>17</v>
      </c>
      <c r="D6" s="22">
        <v>50</v>
      </c>
      <c r="E6" s="9" t="s">
        <v>18</v>
      </c>
      <c r="F6" s="22">
        <f>+B6*400</f>
        <v>6200000</v>
      </c>
      <c r="G6" s="4" t="s">
        <v>10</v>
      </c>
      <c r="H6" s="23">
        <f>+(F6*0.75)*(1/1.05)^(4)</f>
        <v>3825566.5077822506</v>
      </c>
      <c r="I6" s="14">
        <f>H6*$I$4</f>
        <v>986996.1590078207</v>
      </c>
      <c r="L6" s="23"/>
    </row>
    <row r="7" spans="6:12" ht="13.5" thickBot="1">
      <c r="F7" s="24">
        <f>SUM(F5:F6)</f>
        <v>20000000</v>
      </c>
      <c r="G7" s="4" t="s">
        <v>19</v>
      </c>
      <c r="H7" s="11">
        <f>SUM(H5:H6)</f>
        <v>12340537.121878227</v>
      </c>
      <c r="I7" s="15">
        <f>SUM(I5:I6)</f>
        <v>3183858.5774445827</v>
      </c>
      <c r="J7" s="15"/>
      <c r="K7" s="15"/>
      <c r="L7" s="11"/>
    </row>
    <row r="8" ht="13.5" thickTop="1"/>
    <row r="10" spans="2:10" ht="12.75">
      <c r="B10" s="5" t="s">
        <v>1</v>
      </c>
      <c r="C10" s="7" t="s">
        <v>7</v>
      </c>
      <c r="D10" s="5" t="s">
        <v>3</v>
      </c>
      <c r="E10" s="7" t="s">
        <v>6</v>
      </c>
      <c r="F10" s="5" t="s">
        <v>11</v>
      </c>
      <c r="J10" s="11"/>
    </row>
    <row r="11" spans="1:7" ht="12.75">
      <c r="A11" t="s">
        <v>0</v>
      </c>
      <c r="B11" s="3">
        <f>+B5</f>
        <v>138000</v>
      </c>
      <c r="C11">
        <v>0.5</v>
      </c>
      <c r="D11" s="22">
        <v>50</v>
      </c>
      <c r="E11" s="8">
        <f>+C11*D5</f>
        <v>25</v>
      </c>
      <c r="F11" s="22">
        <f>+E11*B11*0.75</f>
        <v>2587500</v>
      </c>
      <c r="G11" s="4" t="s">
        <v>9</v>
      </c>
    </row>
    <row r="12" spans="1:7" ht="12.75">
      <c r="A12" t="s">
        <v>2</v>
      </c>
      <c r="B12" s="2">
        <f>+B6</f>
        <v>15500</v>
      </c>
      <c r="C12">
        <v>2</v>
      </c>
      <c r="D12" s="22">
        <v>50</v>
      </c>
      <c r="E12" s="8">
        <f>+C12*D6</f>
        <v>100</v>
      </c>
      <c r="F12" s="22">
        <f>+E12*B12*0.75</f>
        <v>1162500</v>
      </c>
      <c r="G12" s="4" t="s">
        <v>10</v>
      </c>
    </row>
    <row r="13" spans="6:7" ht="13.5" thickBot="1">
      <c r="F13" s="25">
        <f>SUM(F11:F12)</f>
        <v>3750000</v>
      </c>
      <c r="G13" s="4" t="s">
        <v>19</v>
      </c>
    </row>
    <row r="14" spans="1:3" ht="13.5" thickTop="1">
      <c r="A14" s="5"/>
      <c r="B14" s="5"/>
      <c r="C14" s="5"/>
    </row>
    <row r="15" spans="1:5" ht="12.75">
      <c r="A15" s="13"/>
      <c r="B15" s="2"/>
      <c r="E15" s="1" t="s">
        <v>15</v>
      </c>
    </row>
    <row r="16" spans="1:7" ht="12.75">
      <c r="A16" s="13"/>
      <c r="B16" s="2"/>
      <c r="E16" s="5" t="s">
        <v>13</v>
      </c>
      <c r="F16" s="5" t="s">
        <v>14</v>
      </c>
      <c r="G16" s="5" t="s">
        <v>2</v>
      </c>
    </row>
    <row r="17" spans="1:8" ht="12.75">
      <c r="A17" s="13"/>
      <c r="B17" s="2"/>
      <c r="F17" s="29" t="s">
        <v>16</v>
      </c>
      <c r="G17" s="29"/>
      <c r="H17" t="s">
        <v>27</v>
      </c>
    </row>
    <row r="18" spans="2:10" ht="12.75">
      <c r="B18" s="2"/>
      <c r="E18">
        <v>2012</v>
      </c>
      <c r="F18" s="22">
        <f>+$F$11*(1.05)^($E$20-E18)</f>
        <v>2852718.75</v>
      </c>
      <c r="G18" s="22">
        <f>+$F$12*(1.05)^($E$20-E18)</f>
        <v>1281656.25</v>
      </c>
      <c r="H18" s="8">
        <f>(F18+G18)*$I$4</f>
        <v>1066668.75</v>
      </c>
      <c r="I18" s="8"/>
      <c r="J18" s="15"/>
    </row>
    <row r="19" spans="2:10" ht="12.75">
      <c r="B19" s="13"/>
      <c r="E19">
        <v>2013</v>
      </c>
      <c r="F19" s="22">
        <f>+$F$11*(1.05)^($E$20-E19)</f>
        <v>2716875</v>
      </c>
      <c r="G19" s="22">
        <f>+$F$12*(1.05)^($E$20-E19)</f>
        <v>1220625</v>
      </c>
      <c r="H19" s="8">
        <f aca="true" t="shared" si="0" ref="H19:H28">(F19+G19)*$I$4</f>
        <v>1015875</v>
      </c>
      <c r="I19" s="8"/>
      <c r="J19" s="15"/>
    </row>
    <row r="20" spans="5:10" ht="12.75">
      <c r="E20">
        <v>2014</v>
      </c>
      <c r="F20" s="22">
        <f>+$F$11*(1.05)^($E$20-E20)</f>
        <v>2587500</v>
      </c>
      <c r="G20" s="22">
        <f>+$F$12*(1.05)^($E$20-E20)</f>
        <v>1162500</v>
      </c>
      <c r="H20" s="8">
        <f t="shared" si="0"/>
        <v>967500</v>
      </c>
      <c r="I20" s="8"/>
      <c r="J20" s="15"/>
    </row>
    <row r="21" spans="5:10" ht="12.75">
      <c r="E21">
        <v>2015</v>
      </c>
      <c r="F21" s="22">
        <f>+$F$11/(1.05)^(E21-$E$20)</f>
        <v>2464285.714285714</v>
      </c>
      <c r="G21" s="22">
        <f>+$F$12/(1.05)^(E21-$E$20)</f>
        <v>1107142.857142857</v>
      </c>
      <c r="H21" s="8">
        <f t="shared" si="0"/>
        <v>921428.5714285714</v>
      </c>
      <c r="I21" s="8"/>
      <c r="J21" s="15"/>
    </row>
    <row r="22" spans="5:10" ht="12.75">
      <c r="E22">
        <v>2016</v>
      </c>
      <c r="F22" s="22">
        <f>+$F$11/(1.05)^(E22-$E$20)</f>
        <v>2346938.775510204</v>
      </c>
      <c r="G22" s="22">
        <f>+$F$12/(1.05)^(E22-$E$20)</f>
        <v>1054421.768707483</v>
      </c>
      <c r="H22" s="8">
        <f t="shared" si="0"/>
        <v>877551.0204081633</v>
      </c>
      <c r="I22" s="8"/>
      <c r="J22" s="15"/>
    </row>
    <row r="23" spans="5:10" ht="12.75">
      <c r="E23">
        <v>2017</v>
      </c>
      <c r="F23" s="22">
        <f>+$F$11/(1.05)^(E23-$E$20)</f>
        <v>2235179.786200194</v>
      </c>
      <c r="G23" s="22">
        <f>+$F$12/(1.05)^(E23-$E$20)</f>
        <v>1004211.2082928409</v>
      </c>
      <c r="H23" s="8">
        <f t="shared" si="0"/>
        <v>835762.8765792031</v>
      </c>
      <c r="I23" s="8"/>
      <c r="J23" s="15"/>
    </row>
    <row r="24" spans="5:10" ht="12.75">
      <c r="E24">
        <v>2018</v>
      </c>
      <c r="F24" s="22">
        <f>+$F$11/(1.05)^(E24-$E$20)</f>
        <v>2128742.6535239946</v>
      </c>
      <c r="G24" s="22">
        <f>+$F$12/(1.05)^(E24-$E$20)</f>
        <v>956391.6269455628</v>
      </c>
      <c r="H24" s="8">
        <f t="shared" si="0"/>
        <v>795964.6443611458</v>
      </c>
      <c r="I24" s="8"/>
      <c r="J24" s="15"/>
    </row>
    <row r="25" spans="5:10" ht="12.75">
      <c r="E25">
        <v>2019</v>
      </c>
      <c r="F25" s="22">
        <f>+$F$11/(1.05)^(E25-$E$20)</f>
        <v>2027373.9557371375</v>
      </c>
      <c r="G25" s="22">
        <f>+$F$12/(1.05)^(E25-$E$20)</f>
        <v>910849.1685195835</v>
      </c>
      <c r="H25" s="8">
        <f t="shared" si="0"/>
        <v>758061.566058234</v>
      </c>
      <c r="I25" s="8"/>
      <c r="J25" s="15"/>
    </row>
    <row r="26" spans="5:11" ht="12.75">
      <c r="E26">
        <v>2020</v>
      </c>
      <c r="F26" s="22">
        <f>+$F$11/(1.05)^(E26-$E$20)*0.05</f>
        <v>96541.61693986371</v>
      </c>
      <c r="G26" s="22">
        <f>+$F$12/(1.05)^(E26-$E$20)*0.05</f>
        <v>43373.769929503986</v>
      </c>
      <c r="H26" s="8">
        <f t="shared" si="0"/>
        <v>36098.16981229687</v>
      </c>
      <c r="J26" s="15"/>
      <c r="K26" s="15"/>
    </row>
    <row r="27" spans="5:8" ht="12.75">
      <c r="E27">
        <v>2021</v>
      </c>
      <c r="F27" s="22">
        <f>+$F$11/(1.05)^(E27-$E$20)*0.05</f>
        <v>91944.39708558447</v>
      </c>
      <c r="G27" s="22">
        <f>+$F$12/(1.05)^(E27-$E$20)*0.05</f>
        <v>41308.35231381332</v>
      </c>
      <c r="H27" s="8">
        <f t="shared" si="0"/>
        <v>34379.20934504463</v>
      </c>
    </row>
    <row r="28" spans="5:8" ht="12.75">
      <c r="E28">
        <v>2022</v>
      </c>
      <c r="F28" s="22">
        <f>+$F$11/(1.05)^(E28-$E$20)*0.05</f>
        <v>87566.09246246141</v>
      </c>
      <c r="G28" s="22">
        <f>+$F$12/(1.05)^(E28-$E$20)*0.05</f>
        <v>39341.28791791745</v>
      </c>
      <c r="H28" s="8">
        <f t="shared" si="0"/>
        <v>32742.104138137747</v>
      </c>
    </row>
    <row r="29" spans="6:7" ht="12.75">
      <c r="F29" s="22"/>
      <c r="G29" s="22"/>
    </row>
    <row r="30" spans="6:11" ht="12.75">
      <c r="F30" s="8">
        <f>SUM(F18:F29)</f>
        <v>19635666.741745155</v>
      </c>
      <c r="G30" s="8">
        <f>SUM(G18:G29)</f>
        <v>8821821.289769562</v>
      </c>
      <c r="H30" s="8">
        <f>SUM(H18:H28)</f>
        <v>7342031.912130796</v>
      </c>
      <c r="J30" s="15"/>
      <c r="K30" s="15"/>
    </row>
    <row r="31" spans="6:7" ht="12.75">
      <c r="F31" s="22"/>
      <c r="G31" s="22"/>
    </row>
    <row r="32" spans="6:7" ht="12.75">
      <c r="F32" s="22"/>
      <c r="G32" s="22"/>
    </row>
    <row r="33" spans="6:8" ht="12.75">
      <c r="F33" s="5" t="s">
        <v>14</v>
      </c>
      <c r="G33" s="5" t="s">
        <v>2</v>
      </c>
      <c r="H33" s="5" t="s">
        <v>26</v>
      </c>
    </row>
    <row r="34" spans="5:10" ht="12.75">
      <c r="E34" s="21" t="s">
        <v>28</v>
      </c>
      <c r="F34" s="26">
        <f>+H5</f>
        <v>8514970.614095977</v>
      </c>
      <c r="G34" s="26">
        <f>+H6</f>
        <v>3825566.5077822506</v>
      </c>
      <c r="H34" s="8">
        <f>+G34+F34</f>
        <v>12340537.121878227</v>
      </c>
      <c r="I34" s="15"/>
      <c r="J34" s="15"/>
    </row>
    <row r="35" spans="5:10" ht="12.75">
      <c r="E35" s="21" t="s">
        <v>29</v>
      </c>
      <c r="F35" s="26">
        <f>+F30</f>
        <v>19635666.741745155</v>
      </c>
      <c r="G35" s="26">
        <f>+G30</f>
        <v>8821821.289769562</v>
      </c>
      <c r="H35" s="8">
        <f>+G35+F35</f>
        <v>28457488.03151472</v>
      </c>
      <c r="I35" s="15"/>
      <c r="J35" s="15"/>
    </row>
    <row r="36" spans="6:8" ht="13.5" thickBot="1">
      <c r="F36" s="25">
        <f>SUM(F34:F35)</f>
        <v>28150637.35584113</v>
      </c>
      <c r="G36" s="25">
        <f>SUM(G34:G35)</f>
        <v>12647387.797551813</v>
      </c>
      <c r="H36" s="24">
        <f>+G36+F36</f>
        <v>40798025.15339294</v>
      </c>
    </row>
    <row r="37" ht="13.5" thickTop="1"/>
    <row r="38" spans="7:10" ht="12.75">
      <c r="G38" t="s">
        <v>30</v>
      </c>
      <c r="H38" s="26">
        <v>76800000</v>
      </c>
      <c r="I38" s="15"/>
      <c r="J38" s="15"/>
    </row>
    <row r="39" spans="9:10" ht="12.75">
      <c r="I39" s="16"/>
      <c r="J39" s="15"/>
    </row>
  </sheetData>
  <sheetProtection/>
  <mergeCells count="2">
    <mergeCell ref="I2:I3"/>
    <mergeCell ref="F17:G17"/>
  </mergeCells>
  <printOptions gridLines="1"/>
  <pageMargins left="0.54" right="0.16" top="0.71" bottom="1" header="0.5" footer="0.5"/>
  <pageSetup fitToHeight="1" fitToWidth="1" horizontalDpi="600" verticalDpi="600" orientation="landscape" scale="98" r:id="rId1"/>
  <headerFooter alignWithMargins="0">
    <oddFooter>&amp;L&amp;Z&amp;F&amp;A&amp;R&amp;D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7" sqref="B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Barry Ho</cp:lastModifiedBy>
  <cp:lastPrinted>2010-10-14T16:06:54Z</cp:lastPrinted>
  <dcterms:created xsi:type="dcterms:W3CDTF">2008-07-22T18:34:04Z</dcterms:created>
  <dcterms:modified xsi:type="dcterms:W3CDTF">2014-02-27T17:39:17Z</dcterms:modified>
  <cp:category/>
  <cp:version/>
  <cp:contentType/>
  <cp:contentStatus/>
</cp:coreProperties>
</file>