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2300" windowHeight="6060" tabRatio="878" activeTab="0"/>
  </bookViews>
  <sheets>
    <sheet name="Manufacturer Projections 2012" sheetId="1" r:id="rId1"/>
    <sheet name="new sales baseline" sheetId="2" r:id="rId2"/>
    <sheet name="percent of fleet" sheetId="3" r:id="rId3"/>
    <sheet name="20 yr summary" sheetId="4" r:id="rId4"/>
    <sheet name="2035 Summary" sheetId="5" r:id="rId5"/>
    <sheet name="Low Scenario 2035 costs" sheetId="6" r:id="rId6"/>
    <sheet name="High Scenario 2035 costs" sheetId="7" r:id="rId7"/>
    <sheet name="low 20 yr" sheetId="8" r:id="rId8"/>
    <sheet name="high 20 yr" sheetId="9" r:id="rId9"/>
  </sheets>
  <definedNames/>
  <calcPr fullCalcOnLoad="1"/>
</workbook>
</file>

<file path=xl/sharedStrings.xml><?xml version="1.0" encoding="utf-8"?>
<sst xmlns="http://schemas.openxmlformats.org/spreadsheetml/2006/main" count="431" uniqueCount="169">
  <si>
    <t>$ needed for 0.15-.2 g diesels to certify at 0.1 (cert costs occurred earlier than 2035)</t>
  </si>
  <si>
    <t>$ for current .03 engines to meet .05 std or .1 standard</t>
  </si>
  <si>
    <t>$ for current .05 engines to meet .1g standard</t>
  </si>
  <si>
    <t>.09g diesels to clean up and certify at 0.1</t>
  </si>
  <si>
    <t>$ to clean for compliance margin current 0.09g diesels</t>
  </si>
  <si>
    <t>2035 estimated sales of 0.09g diesel engines, obtained by ratio'ing 2012 projected to actual sales and grown to 2035</t>
  </si>
  <si>
    <t>.09g diesels</t>
  </si>
  <si>
    <t>$ to clean .1-.14g engines and certify at 0.1</t>
  </si>
  <si>
    <t>attributed to 2035, but presumably would really have</t>
  </si>
  <si>
    <t>been redesigned earlier.</t>
  </si>
  <si>
    <t>1 engine redesigns @500k</t>
  </si>
  <si>
    <t>Change fleet to:</t>
  </si>
  <si>
    <t>Assumed new engine development if needed at 500K - 1M</t>
  </si>
  <si>
    <t>Assume diesels currently at 0.09 need $1000 to certify to 0.1</t>
  </si>
  <si>
    <t>Assume diesels currently at 0.2 need $6000 to certify to 0.1</t>
  </si>
  <si>
    <t>6.91 TPD under high adoption scenario</t>
  </si>
  <si>
    <t>(included in 1937 above)</t>
  </si>
  <si>
    <t>2012 MY manufacturer projections</t>
  </si>
  <si>
    <t>These are from the mfg projection worksheet</t>
  </si>
  <si>
    <t>Assume non-diesel engines at .1-.2 g need $500 to comply with 0.1</t>
  </si>
  <si>
    <t>High adoption scenario</t>
  </si>
  <si>
    <t>Estimated Percent of HD Diesel Engines Meeting the Optional Low NOx Engine Emission Standards</t>
  </si>
  <si>
    <t>Optional Low NOx Standards</t>
  </si>
  <si>
    <t>Annual % Increase</t>
  </si>
  <si>
    <t>0.1 (50% below std.)</t>
  </si>
  <si>
    <t>0.05 (75% below std.)</t>
  </si>
  <si>
    <t>0.02 (90% below std.)</t>
  </si>
  <si>
    <t>total</t>
  </si>
  <si>
    <t xml:space="preserve">Notes: </t>
  </si>
  <si>
    <t>Low adoption scenario</t>
  </si>
  <si>
    <t>PROJ_SALE</t>
  </si>
  <si>
    <t>FUEL_TYPE</t>
  </si>
  <si>
    <t>NOX</t>
  </si>
  <si>
    <t>% fleet</t>
  </si>
  <si>
    <t>SLC</t>
  </si>
  <si>
    <t>GAS</t>
  </si>
  <si>
    <t>FGE</t>
  </si>
  <si>
    <t>CNG</t>
  </si>
  <si>
    <t xml:space="preserve"> </t>
  </si>
  <si>
    <t>DSL</t>
  </si>
  <si>
    <t>LPG</t>
  </si>
  <si>
    <t>NOTES:</t>
  </si>
  <si>
    <t>BDC</t>
  </si>
  <si>
    <t>$/engine</t>
  </si>
  <si>
    <t>dollars/lb NOx reduced under option 1, low scenario</t>
  </si>
  <si>
    <t>Option 2</t>
  </si>
  <si>
    <t>dollars/lb NOx reduced under option 2, low scenario</t>
  </si>
  <si>
    <t>3.31 TPD under low adoption scenario</t>
  </si>
  <si>
    <t>Option 1, low adoption</t>
  </si>
  <si>
    <t>Option 2, low adoption</t>
  </si>
  <si>
    <t>total cost</t>
  </si>
  <si>
    <t># Engines</t>
  </si>
  <si>
    <t>$/Engine</t>
  </si>
  <si>
    <t>Benefits</t>
  </si>
  <si>
    <t>3.31 tpd</t>
  </si>
  <si>
    <t>$/lb NOx</t>
  </si>
  <si>
    <t>Total M$</t>
  </si>
  <si>
    <t>Option 1, high adoption</t>
  </si>
  <si>
    <t>Option 2, high adoption</t>
  </si>
  <si>
    <t>6.91 tpd</t>
  </si>
  <si>
    <t>actual sales total to projected sales total</t>
  </si>
  <si>
    <t>projected growth multiplier from 2012 to 2035</t>
  </si>
  <si>
    <t>2035 estimated sales of 0.15-.2g diesel engines, obtained by ratio'ing 2012 projected to actual sales and grown to 2035</t>
  </si>
  <si>
    <t>2035 estimated sales of 0.05g or less gas engines for the two yellow highlighted engine families, obtained by ratio'ing 2012 projected to actual sales and grown to 2035</t>
  </si>
  <si>
    <t>2035 estimated sales of 0.03g gas engines which can be certified w/o mods at 0.05g, obtained by ratio'ing 2012 projected to actual sales and grown to 2035</t>
  </si>
  <si>
    <t>number of engines certified to low nox standards under low adoption scenario</t>
  </si>
  <si>
    <t>Low Adoption Scenario, Options 1 and 2</t>
  </si>
  <si>
    <t>Assumed cost for compliance testing of 20K</t>
  </si>
  <si>
    <t>Make fleet of</t>
  </si>
  <si>
    <t>gas engines already meeting .05; just need cert.</t>
  </si>
  <si>
    <t>$ needed for 0.09 g diesels to certify at 0.1 (cert costs occurred earlier than 2035)</t>
  </si>
  <si>
    <t>.1-.14 g diesels</t>
  </si>
  <si>
    <t>2035 estimated sales of 0.1-0.14g diesel engines, obtained by ratio'ing 2012 projected to actual sales and grown to 2035</t>
  </si>
  <si>
    <t>$ needed for 0.14 g diesels to certify at 0.1 (cert costs occurred earlier than 2035)</t>
  </si>
  <si>
    <t>2 engine redesigns @500k</t>
  </si>
  <si>
    <t>OPTION 1</t>
  </si>
  <si>
    <t>OPTION 2</t>
  </si>
  <si>
    <t>$ needed for 0.1 - .2 g gas to certify at 0.1 (cert costs occurred earlier than 2035)</t>
  </si>
  <si>
    <t>High Adoption Scenario, Options 1 and 2</t>
  </si>
  <si>
    <t>dollars/lb NOx reduced under option 1, high adoption scenario</t>
  </si>
  <si>
    <t>dollars/lb NOx reduced under option 2, high adoption scenario</t>
  </si>
  <si>
    <t>These 5 lines tell how many engines would be cert at each emission level to draw from when reducing emissions.</t>
  </si>
  <si>
    <t>These 3 lines tell how many engines are needed at each cert level.</t>
  </si>
  <si>
    <t>These 2 lines tell how many engines are needed at each cert level.</t>
  </si>
  <si>
    <t xml:space="preserve">  </t>
  </si>
  <si>
    <t>2035 MY projected sales</t>
  </si>
  <si>
    <t xml:space="preserve">adjusted 2012 sales for dsl below .1g </t>
  </si>
  <si>
    <t>"adjusted 2012" sales means</t>
  </si>
  <si>
    <t>mfg projxns for that engine family</t>
  </si>
  <si>
    <t>*actual sales/mfg projected total sales</t>
  </si>
  <si>
    <t>number of engines low nox after the 97 at 0.05 are subtracted</t>
  </si>
  <si>
    <t>number of engines to be certified to .05g in 2035 under low adoption scenario</t>
  </si>
  <si>
    <t>(included above)</t>
  </si>
  <si>
    <t xml:space="preserve"> gas engines (cert costs occured no later than 2020 MY)</t>
  </si>
  <si>
    <t>new non-diesel certs at .1 g</t>
  </si>
  <si>
    <t>number of engines to be certified to .05g in 2035 under high adoption scenario</t>
  </si>
  <si>
    <t>number of engines to be certified to low nox standards under high adoption scenario</t>
  </si>
  <si>
    <t>number of current 0.05 g engines to be cert to 0.1 g w/o modification</t>
  </si>
  <si>
    <t>number of current .03 engines to be cert at .05g w/o modification and used to meet .05 g standard</t>
  </si>
  <si>
    <t>number of current .03 engines to be cert at .05g w/o modification not used to meet .05 g standard</t>
  </si>
  <si>
    <t>0.1-0.14g diesel engines to clean up and certify at 0.1</t>
  </si>
  <si>
    <t>0.15-.2g diesel engines to clean and certify at 0.1</t>
  </si>
  <si>
    <t>Costs</t>
  </si>
  <si>
    <t>CalYr</t>
  </si>
  <si>
    <t>Low Adoption</t>
  </si>
  <si>
    <t>total proj sales</t>
  </si>
  <si>
    <t>low Nox</t>
  </si>
  <si>
    <t>growth multiplier</t>
  </si>
  <si>
    <t>avail low nox</t>
  </si>
  <si>
    <t>accom. w/ existing</t>
  </si>
  <si>
    <t>after .03/.05 use</t>
  </si>
  <si>
    <t>accom with existing</t>
  </si>
  <si>
    <t>avail .15</t>
  </si>
  <si>
    <t>after .03/.04/.09/.15</t>
  </si>
  <si>
    <t>after .03/.05/.09</t>
  </si>
  <si>
    <t>avail .09 dsls</t>
  </si>
  <si>
    <t>MORE engines</t>
  </si>
  <si>
    <t>none needed</t>
  </si>
  <si>
    <t>Tech Cost</t>
  </si>
  <si>
    <t>Cert Costs</t>
  </si>
  <si>
    <t>$M</t>
  </si>
  <si>
    <t>Eng.Cost</t>
  </si>
  <si>
    <t>make 1/2 nat gas;</t>
  </si>
  <si>
    <t>High</t>
  </si>
  <si>
    <t>%</t>
  </si>
  <si>
    <t>ttl low Nox</t>
  </si>
  <si>
    <t>0.05 needs</t>
  </si>
  <si>
    <t>.02 needs</t>
  </si>
  <si>
    <t>.10 needs</t>
  </si>
  <si>
    <t>always adequate for .05 rqmnts</t>
  </si>
  <si>
    <t>NEED engines</t>
  </si>
  <si>
    <t>per engine</t>
  </si>
  <si>
    <t>Cummulative 20 Year Costs</t>
  </si>
  <si>
    <t>Cost Summary, 2035 MY (not cumulative, just for my 2035)</t>
  </si>
  <si>
    <t>Assume diesels currently at 0.14 need $3500 to certify to 0.1</t>
  </si>
  <si>
    <t>engine design for 0.02 g engine</t>
  </si>
  <si>
    <t>Assume diesel engine needs $10000 to certify to 0.02</t>
  </si>
  <si>
    <t>number of engines to be certified to .02g in 2035 under high adoption scenario</t>
  </si>
  <si>
    <t>to be developed at 0.02g.  Diesel</t>
  </si>
  <si>
    <t>$ needed for 0.02 g diesel engines</t>
  </si>
  <si>
    <t>to be developed at 0.02g, natural gas</t>
  </si>
  <si>
    <t>after .03/.05 use and new .02</t>
  </si>
  <si>
    <t>after .02/.03/.05/.09</t>
  </si>
  <si>
    <t>avail &lt;=.15</t>
  </si>
  <si>
    <t>AND the .02 engines are met with nat gas.</t>
  </si>
  <si>
    <t>$ needed for 0.02 g nat gas engines</t>
  </si>
  <si>
    <t>New_Sales_Baseline</t>
  </si>
  <si>
    <t>2012 MY actual sales from new sales baseline page</t>
  </si>
  <si>
    <t>adjusted 2012 sales for the 0.03 gasoline engine family</t>
  </si>
  <si>
    <t>projected sales of highlighted gasoline engine families</t>
  </si>
  <si>
    <t>adjusted 2012 sales total for the two highlighted gasoline engine families</t>
  </si>
  <si>
    <t>adjusted 2012 sales for dsl below 0.1-.15</t>
  </si>
  <si>
    <t>adjusted 2012 sales for dsl below .2</t>
  </si>
  <si>
    <t>dsl .16-.19</t>
  </si>
  <si>
    <t>dsl .10-.14</t>
  </si>
  <si>
    <t>Under Option 1, it was assumed that mfg would not change their curent production of diesel, gasoline, and natural gas engine families, so compliance would NOT be assisted by a fuel switch.</t>
  </si>
  <si>
    <t>Assume non-diesel engines at .07-.2 g need $500 to comply with 0.1</t>
  </si>
  <si>
    <t>All certs other than the 2 gasoline families already discussed were assumed to be diesel under Option 1. Costs could be  lower if we assume that the regs caused more manufacturers to offer additional non-diesel  models rather than cleaner diesel models.  This is Option 2 for both high and low adoption scenarios.</t>
  </si>
  <si>
    <t xml:space="preserve"> gasoline engines (cert costs occured no later than 2020 MY)</t>
  </si>
  <si>
    <t>gasoline engines already meeting .05; just need cert.</t>
  </si>
  <si>
    <t>$ needed for 0.1 - .2 g alt fuel to certify at 0.1 (cert costs occurred earlier than 2035)</t>
  </si>
  <si>
    <t>2035 estimated sales of 0.03g gasoline engines which can be certified w/o mods at 0.05g, obtained by ratio'ing 2012 projected to actual sales and grown to 2035</t>
  </si>
  <si>
    <t>2035 estimated sales of 0.05g or less gasoline engines for the two yellow highlighted engine families, obtained by ratio'ing 2012 projected to actual sales and grown to 2035</t>
  </si>
  <si>
    <t xml:space="preserve">NOTE:  some engine redesign costs are </t>
  </si>
  <si>
    <t>replacements of current cert 0.1-0.2 g diesel engines with alt fuel engines</t>
  </si>
  <si>
    <t>Assume nat gas or other alt fuel engines need $2000 to get to 0.02 g</t>
  </si>
  <si>
    <t>Option 1</t>
  </si>
  <si>
    <t>make .02 engines</t>
  </si>
  <si>
    <t>half nat gas scenario:  Under this scenario, half of the diesel engines that will become low Nox that have current emissions at or above 0.1 g Nox are replaced with alt fuel engines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</si>
</sst>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  <numFmt numFmtId="167" formatCode="0.000"/>
    <numFmt numFmtId="168" formatCode="0.0000"/>
    <numFmt numFmtId="169" formatCode="&quot;$&quot;#,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4" fillId="36" borderId="0" xfId="0" applyFont="1" applyFill="1" applyAlignment="1">
      <alignment/>
    </xf>
    <xf numFmtId="0" fontId="4" fillId="36" borderId="10" xfId="0" applyFont="1" applyFill="1" applyBorder="1" applyAlignment="1">
      <alignment horizontal="center" vertical="center"/>
    </xf>
    <xf numFmtId="164" fontId="0" fillId="37" borderId="10" xfId="0" applyNumberFormat="1" applyFill="1" applyBorder="1" applyAlignment="1">
      <alignment horizontal="center" vertical="center"/>
    </xf>
    <xf numFmtId="1" fontId="1" fillId="0" borderId="11" xfId="58" applyNumberFormat="1" applyFont="1" applyFill="1" applyBorder="1" applyAlignment="1">
      <alignment horizontal="right" wrapText="1"/>
      <protection/>
    </xf>
    <xf numFmtId="1" fontId="0" fillId="0" borderId="0" xfId="0" applyNumberFormat="1" applyAlignment="1">
      <alignment/>
    </xf>
    <xf numFmtId="0" fontId="4" fillId="38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2" fontId="4" fillId="38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6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11" xfId="59" applyFont="1" applyFill="1" applyBorder="1" applyAlignment="1">
      <alignment horizontal="right" wrapText="1"/>
      <protection/>
    </xf>
    <xf numFmtId="1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" fillId="39" borderId="11" xfId="0" applyNumberFormat="1" applyFont="1" applyFill="1" applyBorder="1" applyAlignment="1" applyProtection="1">
      <alignment horizontal="center" vertical="center" wrapText="1"/>
      <protection/>
    </xf>
    <xf numFmtId="0" fontId="1" fillId="39" borderId="11" xfId="0" applyFont="1" applyFill="1" applyBorder="1" applyAlignment="1" applyProtection="1">
      <alignment horizontal="center" vertical="center" wrapText="1"/>
      <protection/>
    </xf>
    <xf numFmtId="2" fontId="0" fillId="39" borderId="0" xfId="0" applyNumberFormat="1" applyFill="1" applyAlignment="1">
      <alignment/>
    </xf>
    <xf numFmtId="167" fontId="0" fillId="0" borderId="0" xfId="0" applyNumberFormat="1" applyAlignment="1">
      <alignment/>
    </xf>
    <xf numFmtId="0" fontId="1" fillId="40" borderId="11" xfId="0" applyNumberFormat="1" applyFont="1" applyFill="1" applyBorder="1" applyAlignment="1" applyProtection="1">
      <alignment horizontal="center" vertical="center" wrapText="1"/>
      <protection/>
    </xf>
    <xf numFmtId="0" fontId="1" fillId="40" borderId="11" xfId="0" applyFont="1" applyFill="1" applyBorder="1" applyAlignment="1" applyProtection="1">
      <alignment horizontal="center" vertical="center" wrapText="1"/>
      <protection/>
    </xf>
    <xf numFmtId="16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2" fontId="1" fillId="0" borderId="11" xfId="59" applyNumberFormat="1" applyFont="1" applyFill="1" applyBorder="1" applyAlignment="1">
      <alignment horizontal="right" wrapText="1"/>
      <protection/>
    </xf>
    <xf numFmtId="0" fontId="1" fillId="41" borderId="11" xfId="0" applyFont="1" applyFill="1" applyBorder="1" applyAlignment="1" applyProtection="1">
      <alignment horizontal="center" vertical="center" wrapText="1"/>
      <protection/>
    </xf>
    <xf numFmtId="1" fontId="0" fillId="40" borderId="0" xfId="0" applyNumberFormat="1" applyFill="1" applyAlignment="1">
      <alignment/>
    </xf>
    <xf numFmtId="1" fontId="0" fillId="41" borderId="0" xfId="0" applyNumberFormat="1" applyFill="1" applyAlignment="1">
      <alignment/>
    </xf>
    <xf numFmtId="0" fontId="1" fillId="42" borderId="11" xfId="0" applyFont="1" applyFill="1" applyBorder="1" applyAlignment="1" applyProtection="1">
      <alignment horizontal="center" vertical="center" wrapText="1"/>
      <protection/>
    </xf>
    <xf numFmtId="1" fontId="0" fillId="42" borderId="0" xfId="0" applyNumberFormat="1" applyFill="1" applyAlignment="1">
      <alignment/>
    </xf>
    <xf numFmtId="0" fontId="1" fillId="0" borderId="13" xfId="0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1" fontId="1" fillId="0" borderId="11" xfId="57" applyNumberFormat="1" applyFont="1" applyFill="1" applyBorder="1" applyAlignment="1">
      <alignment horizontal="right" wrapText="1"/>
      <protection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1" fillId="0" borderId="14" xfId="58" applyNumberFormat="1" applyFont="1" applyFill="1" applyBorder="1" applyAlignment="1">
      <alignment horizontal="center" wrapText="1"/>
      <protection/>
    </xf>
    <xf numFmtId="1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8" fontId="0" fillId="0" borderId="16" xfId="0" applyNumberFormat="1" applyBorder="1" applyAlignment="1">
      <alignment horizontal="center"/>
    </xf>
    <xf numFmtId="1" fontId="1" fillId="0" borderId="17" xfId="58" applyNumberFormat="1" applyFont="1" applyFill="1" applyBorder="1" applyAlignment="1">
      <alignment horizontal="center" wrapText="1"/>
      <protection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0" fontId="1" fillId="43" borderId="23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horizontal="right" wrapText="1"/>
      <protection/>
    </xf>
    <xf numFmtId="0" fontId="1" fillId="43" borderId="23" xfId="58" applyFont="1" applyFill="1" applyBorder="1" applyAlignment="1">
      <alignment horizontal="center"/>
      <protection/>
    </xf>
    <xf numFmtId="0" fontId="0" fillId="44" borderId="10" xfId="0" applyFill="1" applyBorder="1" applyAlignment="1">
      <alignment horizontal="center"/>
    </xf>
    <xf numFmtId="10" fontId="0" fillId="0" borderId="10" xfId="62" applyNumberFormat="1" applyFont="1" applyBorder="1" applyAlignment="1">
      <alignment horizontal="center"/>
    </xf>
    <xf numFmtId="0" fontId="1" fillId="0" borderId="11" xfId="58" applyFont="1" applyFill="1" applyBorder="1" applyAlignment="1">
      <alignment horizontal="center" wrapText="1"/>
      <protection/>
    </xf>
    <xf numFmtId="2" fontId="0" fillId="0" borderId="0" xfId="0" applyNumberFormat="1" applyAlignment="1">
      <alignment horizontal="center"/>
    </xf>
    <xf numFmtId="2" fontId="1" fillId="0" borderId="11" xfId="58" applyNumberFormat="1" applyFont="1" applyFill="1" applyBorder="1" applyAlignment="1">
      <alignment horizontal="center" wrapText="1"/>
      <protection/>
    </xf>
    <xf numFmtId="2" fontId="1" fillId="43" borderId="23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" fontId="1" fillId="0" borderId="11" xfId="58" applyNumberFormat="1" applyFont="1" applyFill="1" applyBorder="1" applyAlignment="1">
      <alignment horizontal="center" wrapText="1"/>
      <protection/>
    </xf>
    <xf numFmtId="1" fontId="1" fillId="0" borderId="0" xfId="58" applyNumberFormat="1" applyFont="1" applyFill="1" applyBorder="1" applyAlignment="1">
      <alignment horizontal="center" wrapText="1"/>
      <protection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" fontId="1" fillId="0" borderId="24" xfId="58" applyNumberFormat="1" applyFont="1" applyFill="1" applyBorder="1" applyAlignment="1">
      <alignment horizontal="center" wrapText="1"/>
      <protection/>
    </xf>
    <xf numFmtId="1" fontId="1" fillId="0" borderId="25" xfId="58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wrapText="1"/>
    </xf>
    <xf numFmtId="0" fontId="1" fillId="43" borderId="23" xfId="57" applyFont="1" applyFill="1" applyBorder="1" applyAlignment="1">
      <alignment horizontal="center" wrapText="1"/>
      <protection/>
    </xf>
    <xf numFmtId="0" fontId="0" fillId="44" borderId="10" xfId="0" applyFont="1" applyFill="1" applyBorder="1" applyAlignment="1">
      <alignment horizontal="center" wrapText="1"/>
    </xf>
    <xf numFmtId="0" fontId="1" fillId="43" borderId="23" xfId="58" applyFont="1" applyFill="1" applyBorder="1" applyAlignment="1">
      <alignment horizontal="center" wrapText="1"/>
      <protection/>
    </xf>
    <xf numFmtId="2" fontId="1" fillId="43" borderId="23" xfId="58" applyNumberFormat="1" applyFont="1" applyFill="1" applyBorder="1" applyAlignment="1">
      <alignment horizontal="center" wrapText="1"/>
      <protection/>
    </xf>
    <xf numFmtId="2" fontId="1" fillId="43" borderId="23" xfId="58" applyNumberFormat="1" applyFont="1" applyFill="1" applyBorder="1" applyAlignment="1">
      <alignment horizontal="center" wrapText="1"/>
      <protection/>
    </xf>
    <xf numFmtId="2" fontId="1" fillId="43" borderId="0" xfId="58" applyNumberFormat="1" applyFont="1" applyFill="1" applyBorder="1" applyAlignment="1">
      <alignment horizontal="center" wrapText="1"/>
      <protection/>
    </xf>
    <xf numFmtId="1" fontId="44" fillId="0" borderId="0" xfId="0" applyNumberFormat="1" applyFont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wrapText="1"/>
    </xf>
    <xf numFmtId="2" fontId="1" fillId="43" borderId="23" xfId="57" applyNumberFormat="1" applyFont="1" applyFill="1" applyBorder="1" applyAlignment="1">
      <alignment horizontal="center" wrapText="1"/>
      <protection/>
    </xf>
    <xf numFmtId="2" fontId="0" fillId="44" borderId="10" xfId="0" applyNumberFormat="1" applyFont="1" applyFill="1" applyBorder="1" applyAlignment="1">
      <alignment horizontal="center" wrapText="1"/>
    </xf>
    <xf numFmtId="2" fontId="44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2" fontId="44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 readingOrder="1"/>
    </xf>
    <xf numFmtId="0" fontId="0" fillId="0" borderId="0" xfId="0" applyAlignment="1">
      <alignment horizontal="left" wrapText="1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seline New Sales" xfId="57"/>
    <cellStyle name="Normal_New_Sales_Affected" xfId="58"/>
    <cellStyle name="Normal_Population_Forecaste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15.8515625" style="0" customWidth="1"/>
    <col min="2" max="2" width="13.8515625" style="0" customWidth="1"/>
    <col min="3" max="4" width="12.140625" style="0" customWidth="1"/>
  </cols>
  <sheetData>
    <row r="1" spans="1:4" ht="15">
      <c r="A1" s="13" t="s">
        <v>30</v>
      </c>
      <c r="B1" s="13" t="s">
        <v>31</v>
      </c>
      <c r="C1" s="13" t="s">
        <v>32</v>
      </c>
      <c r="D1" s="20" t="s">
        <v>33</v>
      </c>
    </row>
    <row r="2" spans="1:4" ht="15">
      <c r="A2" s="19">
        <v>300</v>
      </c>
      <c r="B2" s="17" t="s">
        <v>42</v>
      </c>
      <c r="C2" s="17">
        <v>0.13</v>
      </c>
      <c r="D2" s="16">
        <f>300/73336</f>
        <v>0.0040907603359877824</v>
      </c>
    </row>
    <row r="3" spans="1:4" ht="15">
      <c r="A3" s="19">
        <v>0</v>
      </c>
      <c r="B3" s="17" t="s">
        <v>39</v>
      </c>
      <c r="C3" s="17">
        <v>0.08</v>
      </c>
      <c r="D3" s="16">
        <f aca="true" t="shared" si="0" ref="D3:D51">A3/73336</f>
        <v>0</v>
      </c>
    </row>
    <row r="4" spans="1:4" ht="15">
      <c r="A4" s="32">
        <v>1000</v>
      </c>
      <c r="B4" s="33" t="s">
        <v>39</v>
      </c>
      <c r="C4" s="33">
        <v>0.09</v>
      </c>
      <c r="D4" s="16">
        <f t="shared" si="0"/>
        <v>0.013635867786625941</v>
      </c>
    </row>
    <row r="5" spans="1:4" ht="15">
      <c r="A5" s="19">
        <v>550</v>
      </c>
      <c r="B5" s="17" t="s">
        <v>39</v>
      </c>
      <c r="C5" s="40">
        <v>0.12</v>
      </c>
      <c r="D5" s="16">
        <f t="shared" si="0"/>
        <v>0.007499727282644268</v>
      </c>
    </row>
    <row r="6" spans="1:4" ht="15">
      <c r="A6" s="19">
        <v>697</v>
      </c>
      <c r="B6" s="17" t="s">
        <v>39</v>
      </c>
      <c r="C6" s="40">
        <v>0.12</v>
      </c>
      <c r="D6" s="16">
        <f t="shared" si="0"/>
        <v>0.00950419984727828</v>
      </c>
    </row>
    <row r="7" spans="1:4" ht="15">
      <c r="A7" s="19">
        <v>400</v>
      </c>
      <c r="B7" s="17" t="s">
        <v>39</v>
      </c>
      <c r="C7" s="40">
        <v>0.12</v>
      </c>
      <c r="D7" s="16">
        <f t="shared" si="0"/>
        <v>0.005454347114650376</v>
      </c>
    </row>
    <row r="8" spans="1:4" ht="15">
      <c r="A8" s="19">
        <v>1000</v>
      </c>
      <c r="B8" s="17" t="s">
        <v>39</v>
      </c>
      <c r="C8" s="40">
        <v>0.12</v>
      </c>
      <c r="D8" s="16">
        <f t="shared" si="0"/>
        <v>0.013635867786625941</v>
      </c>
    </row>
    <row r="9" spans="1:4" ht="15">
      <c r="A9" s="19">
        <v>1000</v>
      </c>
      <c r="B9" s="17" t="s">
        <v>39</v>
      </c>
      <c r="C9" s="40">
        <v>0.12</v>
      </c>
      <c r="D9" s="16">
        <f t="shared" si="0"/>
        <v>0.013635867786625941</v>
      </c>
    </row>
    <row r="10" spans="1:4" ht="15">
      <c r="A10" s="19">
        <v>25</v>
      </c>
      <c r="B10" s="17" t="s">
        <v>39</v>
      </c>
      <c r="C10" s="40">
        <v>0.12</v>
      </c>
      <c r="D10" s="16">
        <f t="shared" si="0"/>
        <v>0.0003408966946656485</v>
      </c>
    </row>
    <row r="11" spans="1:4" ht="15">
      <c r="A11" s="19">
        <v>1449</v>
      </c>
      <c r="B11" s="17" t="s">
        <v>39</v>
      </c>
      <c r="C11" s="40">
        <v>0.12</v>
      </c>
      <c r="D11" s="16">
        <f t="shared" si="0"/>
        <v>0.01975837242282099</v>
      </c>
    </row>
    <row r="12" spans="1:4" ht="15">
      <c r="A12" s="19">
        <v>573</v>
      </c>
      <c r="B12" s="17" t="s">
        <v>39</v>
      </c>
      <c r="C12" s="40">
        <v>0.13</v>
      </c>
      <c r="D12" s="16">
        <f t="shared" si="0"/>
        <v>0.007813352241736665</v>
      </c>
    </row>
    <row r="13" spans="1:4" ht="15">
      <c r="A13" s="19">
        <v>2000</v>
      </c>
      <c r="B13" s="17" t="s">
        <v>39</v>
      </c>
      <c r="C13" s="40">
        <v>0.13</v>
      </c>
      <c r="D13" s="16">
        <f t="shared" si="0"/>
        <v>0.027271735573251882</v>
      </c>
    </row>
    <row r="14" spans="1:4" ht="15">
      <c r="A14" s="19">
        <v>100</v>
      </c>
      <c r="B14" s="17" t="s">
        <v>39</v>
      </c>
      <c r="C14" s="40">
        <v>0.13</v>
      </c>
      <c r="D14" s="16">
        <f t="shared" si="0"/>
        <v>0.001363586778662594</v>
      </c>
    </row>
    <row r="15" spans="1:4" ht="15">
      <c r="A15" s="19">
        <v>93</v>
      </c>
      <c r="B15" s="17" t="s">
        <v>39</v>
      </c>
      <c r="C15" s="40">
        <v>0.14</v>
      </c>
      <c r="D15" s="16">
        <f t="shared" si="0"/>
        <v>0.0012681357041562126</v>
      </c>
    </row>
    <row r="16" spans="1:8" ht="15">
      <c r="A16" s="19">
        <v>279</v>
      </c>
      <c r="B16" s="17" t="s">
        <v>39</v>
      </c>
      <c r="C16" s="40">
        <v>0.14</v>
      </c>
      <c r="D16" s="16">
        <f t="shared" si="0"/>
        <v>0.0038044071124686374</v>
      </c>
      <c r="F16">
        <f>SUM(A5:A16)</f>
        <v>8166</v>
      </c>
      <c r="H16" s="81" t="s">
        <v>154</v>
      </c>
    </row>
    <row r="17" spans="1:8" ht="15">
      <c r="A17" s="19">
        <v>1119</v>
      </c>
      <c r="B17" s="17" t="s">
        <v>39</v>
      </c>
      <c r="C17" s="43">
        <v>0.16</v>
      </c>
      <c r="D17" s="16">
        <f t="shared" si="0"/>
        <v>0.015258536053234429</v>
      </c>
      <c r="F17">
        <f>SUM(A17:A30)</f>
        <v>21450</v>
      </c>
      <c r="H17" s="81" t="s">
        <v>153</v>
      </c>
    </row>
    <row r="18" spans="1:4" ht="15">
      <c r="A18" s="19">
        <v>150</v>
      </c>
      <c r="B18" s="17" t="s">
        <v>39</v>
      </c>
      <c r="C18" s="43">
        <v>0.16</v>
      </c>
      <c r="D18" s="16">
        <f t="shared" si="0"/>
        <v>0.0020453801679938912</v>
      </c>
    </row>
    <row r="19" spans="1:4" ht="15">
      <c r="A19" s="19">
        <v>0</v>
      </c>
      <c r="B19" s="17" t="s">
        <v>39</v>
      </c>
      <c r="C19" s="43">
        <v>0.16</v>
      </c>
      <c r="D19" s="16">
        <f t="shared" si="0"/>
        <v>0</v>
      </c>
    </row>
    <row r="20" spans="1:4" ht="15">
      <c r="A20" s="19">
        <v>6</v>
      </c>
      <c r="B20" s="17" t="s">
        <v>39</v>
      </c>
      <c r="C20" s="43">
        <v>0.17</v>
      </c>
      <c r="D20" s="16">
        <f t="shared" si="0"/>
        <v>8.181520671975564E-05</v>
      </c>
    </row>
    <row r="21" spans="1:4" ht="15">
      <c r="A21" s="19">
        <v>10000</v>
      </c>
      <c r="B21" s="17" t="s">
        <v>39</v>
      </c>
      <c r="C21" s="43">
        <v>0.17</v>
      </c>
      <c r="D21" s="16">
        <f t="shared" si="0"/>
        <v>0.1363586778662594</v>
      </c>
    </row>
    <row r="22" spans="1:4" ht="15">
      <c r="A22" s="19">
        <v>500</v>
      </c>
      <c r="B22" s="17" t="s">
        <v>39</v>
      </c>
      <c r="C22" s="43">
        <v>0.17</v>
      </c>
      <c r="D22" s="16">
        <f t="shared" si="0"/>
        <v>0.0068179338933129705</v>
      </c>
    </row>
    <row r="23" spans="1:4" ht="15">
      <c r="A23" s="19">
        <v>1440</v>
      </c>
      <c r="B23" s="17" t="s">
        <v>39</v>
      </c>
      <c r="C23" s="43">
        <v>0.17</v>
      </c>
      <c r="D23" s="16">
        <f t="shared" si="0"/>
        <v>0.019635649612741356</v>
      </c>
    </row>
    <row r="24" spans="1:4" ht="15">
      <c r="A24" s="19">
        <v>720</v>
      </c>
      <c r="B24" s="17" t="s">
        <v>39</v>
      </c>
      <c r="C24" s="43">
        <v>0.17</v>
      </c>
      <c r="D24" s="16">
        <f t="shared" si="0"/>
        <v>0.009817824806370678</v>
      </c>
    </row>
    <row r="25" spans="1:4" ht="15">
      <c r="A25" s="19">
        <v>1000</v>
      </c>
      <c r="B25" s="17" t="s">
        <v>39</v>
      </c>
      <c r="C25" s="43">
        <v>0.17</v>
      </c>
      <c r="D25" s="16">
        <f t="shared" si="0"/>
        <v>0.013635867786625941</v>
      </c>
    </row>
    <row r="26" spans="1:4" ht="15">
      <c r="A26" s="19">
        <v>2000</v>
      </c>
      <c r="B26" s="17" t="s">
        <v>39</v>
      </c>
      <c r="C26" s="43">
        <v>0.18</v>
      </c>
      <c r="D26" s="16">
        <f t="shared" si="0"/>
        <v>0.027271735573251882</v>
      </c>
    </row>
    <row r="27" spans="1:4" ht="15">
      <c r="A27" s="19">
        <v>2000</v>
      </c>
      <c r="B27" s="17" t="s">
        <v>39</v>
      </c>
      <c r="C27" s="43">
        <v>0.18</v>
      </c>
      <c r="D27" s="16">
        <f t="shared" si="0"/>
        <v>0.027271735573251882</v>
      </c>
    </row>
    <row r="28" spans="1:4" ht="15">
      <c r="A28" s="19">
        <v>2100</v>
      </c>
      <c r="B28" s="17" t="s">
        <v>39</v>
      </c>
      <c r="C28" s="43">
        <v>0.18</v>
      </c>
      <c r="D28" s="16">
        <f t="shared" si="0"/>
        <v>0.028635322351914475</v>
      </c>
    </row>
    <row r="29" spans="1:4" ht="15">
      <c r="A29" s="19">
        <v>335</v>
      </c>
      <c r="B29" s="17" t="s">
        <v>39</v>
      </c>
      <c r="C29" s="43">
        <v>0.19</v>
      </c>
      <c r="D29" s="16">
        <f t="shared" si="0"/>
        <v>0.00456801570851969</v>
      </c>
    </row>
    <row r="30" spans="1:4" ht="15">
      <c r="A30" s="19">
        <v>80</v>
      </c>
      <c r="B30" s="17" t="s">
        <v>39</v>
      </c>
      <c r="C30" s="43">
        <v>0.19</v>
      </c>
      <c r="D30" s="16">
        <f t="shared" si="0"/>
        <v>0.0010908694229300752</v>
      </c>
    </row>
    <row r="31" spans="1:4" ht="15">
      <c r="A31" s="19">
        <v>1109</v>
      </c>
      <c r="B31" s="17" t="s">
        <v>39</v>
      </c>
      <c r="C31" s="17">
        <v>0.2</v>
      </c>
      <c r="D31" s="16">
        <f t="shared" si="0"/>
        <v>0.015122177375368168</v>
      </c>
    </row>
    <row r="32" spans="1:4" ht="15">
      <c r="A32" s="19">
        <v>400</v>
      </c>
      <c r="B32" s="17" t="s">
        <v>39</v>
      </c>
      <c r="C32" s="17">
        <v>0.2</v>
      </c>
      <c r="D32" s="16">
        <f t="shared" si="0"/>
        <v>0.005454347114650376</v>
      </c>
    </row>
    <row r="33" spans="1:4" ht="15">
      <c r="A33" s="19">
        <v>1000</v>
      </c>
      <c r="B33" s="17" t="s">
        <v>39</v>
      </c>
      <c r="C33" s="17">
        <v>0.2</v>
      </c>
      <c r="D33" s="16">
        <f t="shared" si="0"/>
        <v>0.013635867786625941</v>
      </c>
    </row>
    <row r="34" spans="1:4" ht="15">
      <c r="A34" s="19">
        <v>1000</v>
      </c>
      <c r="B34" s="17" t="s">
        <v>39</v>
      </c>
      <c r="C34" s="17">
        <v>0.22</v>
      </c>
      <c r="D34" s="16">
        <f t="shared" si="0"/>
        <v>0.013635867786625941</v>
      </c>
    </row>
    <row r="35" spans="1:4" ht="15">
      <c r="A35" s="19">
        <v>300</v>
      </c>
      <c r="B35" s="17" t="s">
        <v>39</v>
      </c>
      <c r="C35" s="17">
        <v>0.24</v>
      </c>
      <c r="D35" s="16">
        <f t="shared" si="0"/>
        <v>0.0040907603359877824</v>
      </c>
    </row>
    <row r="36" spans="1:4" ht="15">
      <c r="A36" s="19">
        <v>3300</v>
      </c>
      <c r="B36" s="17" t="s">
        <v>39</v>
      </c>
      <c r="C36" s="17">
        <v>0.24</v>
      </c>
      <c r="D36" s="16">
        <f t="shared" si="0"/>
        <v>0.04499836369586561</v>
      </c>
    </row>
    <row r="37" spans="1:4" ht="15">
      <c r="A37" s="19">
        <v>5000</v>
      </c>
      <c r="B37" s="17" t="s">
        <v>39</v>
      </c>
      <c r="C37" s="17">
        <v>0.25</v>
      </c>
      <c r="D37" s="16">
        <f t="shared" si="0"/>
        <v>0.0681793389331297</v>
      </c>
    </row>
    <row r="38" spans="1:4" ht="15">
      <c r="A38" s="19">
        <v>1896</v>
      </c>
      <c r="B38" s="17" t="s">
        <v>39</v>
      </c>
      <c r="C38" s="17">
        <v>0.3</v>
      </c>
      <c r="D38" s="16">
        <f t="shared" si="0"/>
        <v>0.025853605323442785</v>
      </c>
    </row>
    <row r="39" spans="1:4" ht="15">
      <c r="A39" s="19">
        <v>2436</v>
      </c>
      <c r="B39" s="17" t="s">
        <v>39</v>
      </c>
      <c r="C39" s="17">
        <v>0.32</v>
      </c>
      <c r="D39" s="16">
        <f t="shared" si="0"/>
        <v>0.03321697392822079</v>
      </c>
    </row>
    <row r="40" spans="1:4" ht="15">
      <c r="A40" s="19">
        <v>1000</v>
      </c>
      <c r="B40" s="17" t="s">
        <v>39</v>
      </c>
      <c r="C40" s="17">
        <v>0.39</v>
      </c>
      <c r="D40" s="16">
        <f t="shared" si="0"/>
        <v>0.013635867786625941</v>
      </c>
    </row>
    <row r="41" spans="1:4" ht="15">
      <c r="A41" s="19">
        <v>500</v>
      </c>
      <c r="B41" s="17" t="s">
        <v>39</v>
      </c>
      <c r="C41" s="17">
        <v>0.39</v>
      </c>
      <c r="D41" s="16">
        <f t="shared" si="0"/>
        <v>0.0068179338933129705</v>
      </c>
    </row>
    <row r="42" spans="1:4" ht="15">
      <c r="A42" s="19">
        <v>194</v>
      </c>
      <c r="B42" s="17" t="s">
        <v>39</v>
      </c>
      <c r="C42" s="17">
        <v>0.42</v>
      </c>
      <c r="D42" s="16">
        <f t="shared" si="0"/>
        <v>0.0026453583506054327</v>
      </c>
    </row>
    <row r="43" spans="1:4" ht="15">
      <c r="A43" s="19">
        <v>176</v>
      </c>
      <c r="B43" s="17" t="s">
        <v>39</v>
      </c>
      <c r="C43" s="17">
        <v>0.43</v>
      </c>
      <c r="D43" s="16">
        <f t="shared" si="0"/>
        <v>0.0023999127304461655</v>
      </c>
    </row>
    <row r="44" spans="1:4" ht="15">
      <c r="A44" s="19">
        <v>48</v>
      </c>
      <c r="B44" s="17" t="s">
        <v>39</v>
      </c>
      <c r="C44" s="17">
        <v>0.44</v>
      </c>
      <c r="D44" s="16">
        <f t="shared" si="0"/>
        <v>0.0006545216537580451</v>
      </c>
    </row>
    <row r="45" spans="1:4" ht="15">
      <c r="A45" s="19">
        <v>1137</v>
      </c>
      <c r="B45" s="17" t="s">
        <v>39</v>
      </c>
      <c r="C45" s="17">
        <v>0.46</v>
      </c>
      <c r="D45" s="16">
        <f t="shared" si="0"/>
        <v>0.015503981673393695</v>
      </c>
    </row>
    <row r="46" spans="1:4" ht="15">
      <c r="A46" s="19">
        <v>815</v>
      </c>
      <c r="B46" s="17" t="s">
        <v>39</v>
      </c>
      <c r="C46" s="17">
        <v>0.46</v>
      </c>
      <c r="D46" s="16">
        <f t="shared" si="0"/>
        <v>0.011113232246100143</v>
      </c>
    </row>
    <row r="47" spans="1:4" ht="15">
      <c r="A47" s="19">
        <v>72</v>
      </c>
      <c r="B47" s="17" t="s">
        <v>39</v>
      </c>
      <c r="C47" s="17">
        <v>0.46</v>
      </c>
      <c r="D47" s="16">
        <f t="shared" si="0"/>
        <v>0.0009817824806370677</v>
      </c>
    </row>
    <row r="48" spans="1:4" ht="15">
      <c r="A48" s="19">
        <v>162</v>
      </c>
      <c r="B48" s="17" t="s">
        <v>39</v>
      </c>
      <c r="C48" s="17">
        <v>0.48</v>
      </c>
      <c r="D48" s="16">
        <f t="shared" si="0"/>
        <v>0.0022090105814334023</v>
      </c>
    </row>
    <row r="49" spans="1:4" ht="15">
      <c r="A49" s="19">
        <v>159</v>
      </c>
      <c r="B49" s="17" t="s">
        <v>39</v>
      </c>
      <c r="C49" s="17">
        <v>0.48</v>
      </c>
      <c r="D49" s="16">
        <f t="shared" si="0"/>
        <v>0.0021681029780735244</v>
      </c>
    </row>
    <row r="50" spans="1:4" ht="15">
      <c r="A50" s="19">
        <v>41</v>
      </c>
      <c r="B50" s="17" t="s">
        <v>39</v>
      </c>
      <c r="C50" s="17">
        <v>0.49</v>
      </c>
      <c r="D50" s="16">
        <f t="shared" si="0"/>
        <v>0.0005590705792516636</v>
      </c>
    </row>
    <row r="51" spans="1:4" ht="15">
      <c r="A51" s="19">
        <v>956</v>
      </c>
      <c r="B51" s="17" t="s">
        <v>39</v>
      </c>
      <c r="C51" s="17">
        <v>0.49</v>
      </c>
      <c r="D51" s="16">
        <f t="shared" si="0"/>
        <v>0.0130358896040144</v>
      </c>
    </row>
    <row r="52" spans="1:2" ht="15">
      <c r="A52" s="21"/>
      <c r="B52" s="45"/>
    </row>
    <row r="55" spans="1:4" ht="15">
      <c r="A55" s="19">
        <v>81</v>
      </c>
      <c r="B55" s="17" t="s">
        <v>36</v>
      </c>
      <c r="C55" s="17">
        <v>0.07</v>
      </c>
      <c r="D55" s="16">
        <f>A55/73336</f>
        <v>0.0011045052907167011</v>
      </c>
    </row>
    <row r="56" spans="1:4" ht="15">
      <c r="A56" s="19">
        <v>44</v>
      </c>
      <c r="B56" s="17" t="s">
        <v>36</v>
      </c>
      <c r="C56" s="17">
        <v>0.07</v>
      </c>
      <c r="D56" s="16">
        <f>A56/73336</f>
        <v>0.0005999781826115414</v>
      </c>
    </row>
    <row r="58" spans="1:4" ht="15">
      <c r="A58" s="19">
        <v>250</v>
      </c>
      <c r="B58" s="17" t="s">
        <v>34</v>
      </c>
      <c r="C58" s="17">
        <v>0.01</v>
      </c>
      <c r="D58" s="16">
        <f>A58/73336</f>
        <v>0.0034089669466564852</v>
      </c>
    </row>
    <row r="59" spans="1:4" ht="15">
      <c r="A59" s="19">
        <v>425</v>
      </c>
      <c r="B59" s="17" t="s">
        <v>34</v>
      </c>
      <c r="C59" s="17">
        <v>0.13</v>
      </c>
      <c r="D59" s="16">
        <f>A59/73336</f>
        <v>0.005795243809316025</v>
      </c>
    </row>
    <row r="60" spans="1:4" ht="15">
      <c r="A60" s="19">
        <v>1200</v>
      </c>
      <c r="B60" s="17" t="s">
        <v>34</v>
      </c>
      <c r="C60" s="17">
        <v>0.13</v>
      </c>
      <c r="D60" s="16">
        <f>A60/73336</f>
        <v>0.01636304134395113</v>
      </c>
    </row>
    <row r="62" spans="1:4" ht="15">
      <c r="A62" s="19">
        <v>50</v>
      </c>
      <c r="B62" s="17" t="s">
        <v>37</v>
      </c>
      <c r="C62" s="17">
        <v>0.07</v>
      </c>
      <c r="D62" s="16">
        <f>A62/73336</f>
        <v>0.000681793389331297</v>
      </c>
    </row>
    <row r="63" spans="1:4" ht="15">
      <c r="A63" s="19">
        <v>25</v>
      </c>
      <c r="B63" s="17" t="s">
        <v>37</v>
      </c>
      <c r="C63" s="17">
        <v>0.08</v>
      </c>
      <c r="D63" s="16">
        <f aca="true" t="shared" si="1" ref="D63:D73">A63/73336</f>
        <v>0.0003408966946656485</v>
      </c>
    </row>
    <row r="64" spans="1:4" ht="15">
      <c r="A64" s="19">
        <v>25</v>
      </c>
      <c r="B64" s="17" t="s">
        <v>37</v>
      </c>
      <c r="C64" s="17">
        <v>0.08</v>
      </c>
      <c r="D64" s="16">
        <f t="shared" si="1"/>
        <v>0.0003408966946656485</v>
      </c>
    </row>
    <row r="65" spans="1:4" ht="15">
      <c r="A65" s="19">
        <v>6</v>
      </c>
      <c r="B65" s="17" t="s">
        <v>37</v>
      </c>
      <c r="C65" s="17">
        <v>0.1</v>
      </c>
      <c r="D65" s="16">
        <f t="shared" si="1"/>
        <v>8.181520671975564E-05</v>
      </c>
    </row>
    <row r="66" spans="1:4" ht="15">
      <c r="A66" s="19">
        <v>20</v>
      </c>
      <c r="B66" s="17" t="s">
        <v>37</v>
      </c>
      <c r="C66" s="17">
        <v>0.13</v>
      </c>
      <c r="D66" s="16">
        <f t="shared" si="1"/>
        <v>0.0002727173557325188</v>
      </c>
    </row>
    <row r="67" spans="1:4" ht="15">
      <c r="A67" s="19">
        <v>6</v>
      </c>
      <c r="B67" s="17" t="s">
        <v>37</v>
      </c>
      <c r="C67" s="17">
        <v>0.15</v>
      </c>
      <c r="D67" s="16">
        <f t="shared" si="1"/>
        <v>8.181520671975564E-05</v>
      </c>
    </row>
    <row r="68" spans="1:4" ht="15">
      <c r="A68" s="19">
        <v>10</v>
      </c>
      <c r="B68" s="17" t="s">
        <v>37</v>
      </c>
      <c r="C68" s="17">
        <v>0.15</v>
      </c>
      <c r="D68" s="16">
        <f t="shared" si="1"/>
        <v>0.0001363586778662594</v>
      </c>
    </row>
    <row r="69" spans="1:4" ht="15">
      <c r="A69" s="19">
        <v>250</v>
      </c>
      <c r="B69" s="17" t="s">
        <v>37</v>
      </c>
      <c r="C69" s="17">
        <v>0.16</v>
      </c>
      <c r="D69" s="16">
        <f t="shared" si="1"/>
        <v>0.0034089669466564852</v>
      </c>
    </row>
    <row r="70" spans="1:4" ht="15">
      <c r="A70" s="19">
        <v>40</v>
      </c>
      <c r="B70" s="17" t="s">
        <v>37</v>
      </c>
      <c r="C70" s="17">
        <v>0.16</v>
      </c>
      <c r="D70" s="16">
        <f t="shared" si="1"/>
        <v>0.0005454347114650376</v>
      </c>
    </row>
    <row r="71" spans="1:4" ht="15">
      <c r="A71" s="19">
        <v>20</v>
      </c>
      <c r="B71" s="17" t="s">
        <v>37</v>
      </c>
      <c r="C71" s="17">
        <v>0.16</v>
      </c>
      <c r="D71" s="16">
        <f t="shared" si="1"/>
        <v>0.0002727173557325188</v>
      </c>
    </row>
    <row r="72" spans="1:4" ht="15">
      <c r="A72" s="19">
        <v>17</v>
      </c>
      <c r="B72" s="17" t="s">
        <v>37</v>
      </c>
      <c r="C72" s="17">
        <v>0.17</v>
      </c>
      <c r="D72" s="16">
        <f t="shared" si="1"/>
        <v>0.000231809752372641</v>
      </c>
    </row>
    <row r="73" spans="1:4" ht="15">
      <c r="A73" s="19">
        <v>50</v>
      </c>
      <c r="B73" s="17" t="s">
        <v>37</v>
      </c>
      <c r="C73" s="17">
        <v>0.17</v>
      </c>
      <c r="D73" s="16">
        <f t="shared" si="1"/>
        <v>0.000681793389331297</v>
      </c>
    </row>
    <row r="74" spans="1:7" ht="15">
      <c r="A74" s="28">
        <v>2397</v>
      </c>
      <c r="B74" s="29" t="s">
        <v>35</v>
      </c>
      <c r="C74" s="29">
        <v>0.03</v>
      </c>
      <c r="D74" s="30">
        <f aca="true" t="shared" si="2" ref="D74:D89">A74/73336</f>
        <v>0.03268517508454238</v>
      </c>
      <c r="G74" s="16"/>
    </row>
    <row r="75" spans="1:7" ht="15">
      <c r="A75" s="19">
        <v>65</v>
      </c>
      <c r="B75" s="17" t="s">
        <v>35</v>
      </c>
      <c r="C75" s="17">
        <v>0.03</v>
      </c>
      <c r="D75" s="16">
        <f t="shared" si="2"/>
        <v>0.0008863314061306861</v>
      </c>
      <c r="G75" s="16"/>
    </row>
    <row r="76" spans="1:7" ht="15">
      <c r="A76" s="28">
        <v>1502</v>
      </c>
      <c r="B76" s="29" t="s">
        <v>35</v>
      </c>
      <c r="C76" s="29">
        <v>0.05</v>
      </c>
      <c r="D76" s="30">
        <f t="shared" si="2"/>
        <v>0.020481073415512162</v>
      </c>
      <c r="G76" s="16"/>
    </row>
    <row r="77" spans="1:4" ht="15">
      <c r="A77" s="19">
        <v>200</v>
      </c>
      <c r="B77" s="17" t="s">
        <v>35</v>
      </c>
      <c r="C77" s="17">
        <v>0.05</v>
      </c>
      <c r="D77" s="16">
        <f t="shared" si="2"/>
        <v>0.002727173557325188</v>
      </c>
    </row>
    <row r="78" spans="1:4" ht="15">
      <c r="A78" s="19">
        <v>125</v>
      </c>
      <c r="B78" s="17" t="s">
        <v>35</v>
      </c>
      <c r="C78" s="17">
        <v>0.14</v>
      </c>
      <c r="D78" s="16">
        <f t="shared" si="2"/>
        <v>0.0017044834733282426</v>
      </c>
    </row>
    <row r="79" spans="1:4" ht="15">
      <c r="A79" s="19">
        <v>8</v>
      </c>
      <c r="B79" s="17" t="s">
        <v>35</v>
      </c>
      <c r="C79" s="17">
        <v>0.14</v>
      </c>
      <c r="D79" s="16">
        <f t="shared" si="2"/>
        <v>0.00010908694229300753</v>
      </c>
    </row>
    <row r="80" spans="1:4" ht="15">
      <c r="A80" s="19">
        <v>172</v>
      </c>
      <c r="B80" s="17" t="s">
        <v>35</v>
      </c>
      <c r="C80" s="17">
        <v>0.17</v>
      </c>
      <c r="D80" s="16">
        <f t="shared" si="2"/>
        <v>0.002345369259299662</v>
      </c>
    </row>
    <row r="81" spans="1:4" ht="15">
      <c r="A81" s="19">
        <v>172</v>
      </c>
      <c r="B81" s="17" t="s">
        <v>35</v>
      </c>
      <c r="C81" s="17">
        <v>0.18</v>
      </c>
      <c r="D81" s="16">
        <f t="shared" si="2"/>
        <v>0.002345369259299662</v>
      </c>
    </row>
    <row r="82" spans="1:4" ht="15">
      <c r="A82" s="19">
        <f>4*2759</f>
        <v>11036</v>
      </c>
      <c r="B82" s="17" t="s">
        <v>35</v>
      </c>
      <c r="C82" s="17">
        <v>0.19</v>
      </c>
      <c r="D82" s="16">
        <f t="shared" si="2"/>
        <v>0.15048543689320387</v>
      </c>
    </row>
    <row r="83" spans="1:4" ht="15">
      <c r="A83" s="19">
        <f>4*507</f>
        <v>2028</v>
      </c>
      <c r="B83" s="17" t="s">
        <v>35</v>
      </c>
      <c r="C83" s="17">
        <v>0.26</v>
      </c>
      <c r="D83" s="16">
        <f t="shared" si="2"/>
        <v>0.02765353987127741</v>
      </c>
    </row>
    <row r="84" spans="1:4" ht="15">
      <c r="A84" s="19">
        <v>110</v>
      </c>
      <c r="B84" s="17" t="s">
        <v>40</v>
      </c>
      <c r="C84" s="17">
        <v>0.08</v>
      </c>
      <c r="D84" s="16">
        <f t="shared" si="2"/>
        <v>0.0014999454565288535</v>
      </c>
    </row>
    <row r="85" spans="1:4" ht="15">
      <c r="A85" s="19">
        <v>55</v>
      </c>
      <c r="B85" s="17" t="s">
        <v>40</v>
      </c>
      <c r="C85" s="17">
        <v>0.08</v>
      </c>
      <c r="D85" s="16">
        <f t="shared" si="2"/>
        <v>0.0007499727282644267</v>
      </c>
    </row>
    <row r="86" spans="1:4" ht="15">
      <c r="A86" s="19">
        <v>40</v>
      </c>
      <c r="B86" s="17" t="s">
        <v>40</v>
      </c>
      <c r="C86" s="17">
        <v>0.08</v>
      </c>
      <c r="D86" s="16">
        <f t="shared" si="2"/>
        <v>0.0005454347114650376</v>
      </c>
    </row>
    <row r="87" spans="1:5" ht="15">
      <c r="A87" s="19">
        <v>200</v>
      </c>
      <c r="B87" s="17" t="s">
        <v>40</v>
      </c>
      <c r="C87" s="17">
        <v>0.09</v>
      </c>
      <c r="D87" s="16">
        <f t="shared" si="2"/>
        <v>0.002727173557325188</v>
      </c>
      <c r="E87" s="31" t="s">
        <v>38</v>
      </c>
    </row>
    <row r="88" spans="1:4" ht="15">
      <c r="A88" s="19">
        <v>40</v>
      </c>
      <c r="B88" s="17" t="s">
        <v>40</v>
      </c>
      <c r="C88" s="17">
        <v>0.14</v>
      </c>
      <c r="D88" s="16">
        <f t="shared" si="2"/>
        <v>0.0005454347114650376</v>
      </c>
    </row>
    <row r="89" spans="1:4" ht="15">
      <c r="A89" s="19">
        <v>50</v>
      </c>
      <c r="B89" s="17" t="s">
        <v>40</v>
      </c>
      <c r="C89" s="17">
        <v>0.16</v>
      </c>
      <c r="D89" s="16">
        <f t="shared" si="2"/>
        <v>0.000681793389331297</v>
      </c>
    </row>
    <row r="90" spans="1:6" ht="15">
      <c r="A90" s="21"/>
      <c r="B90" s="45"/>
      <c r="E90" s="21"/>
      <c r="F90" s="21"/>
    </row>
    <row r="91" ht="12.75">
      <c r="E91" s="2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J29" sqref="E29:J37"/>
    </sheetView>
  </sheetViews>
  <sheetFormatPr defaultColWidth="9.140625" defaultRowHeight="12.75"/>
  <sheetData>
    <row r="1" spans="1:2" ht="12.75">
      <c r="A1" t="s">
        <v>103</v>
      </c>
      <c r="B1" t="s">
        <v>146</v>
      </c>
    </row>
    <row r="2" spans="1:2" ht="12.75">
      <c r="A2">
        <v>2010</v>
      </c>
      <c r="B2">
        <v>16133.36791</v>
      </c>
    </row>
    <row r="3" spans="1:2" ht="12.75">
      <c r="A3">
        <v>2011</v>
      </c>
      <c r="B3">
        <v>17485.233</v>
      </c>
    </row>
    <row r="4" spans="1:2" ht="12.75">
      <c r="A4">
        <v>2012</v>
      </c>
      <c r="B4">
        <v>19715.2916</v>
      </c>
    </row>
    <row r="5" spans="1:2" ht="12.75">
      <c r="A5">
        <v>2013</v>
      </c>
      <c r="B5">
        <v>21798.85623</v>
      </c>
    </row>
    <row r="6" spans="1:2" ht="12.75">
      <c r="A6">
        <v>2014</v>
      </c>
      <c r="B6">
        <v>24506.71475</v>
      </c>
    </row>
    <row r="7" spans="1:2" ht="12.75">
      <c r="A7">
        <v>2015</v>
      </c>
      <c r="B7">
        <v>27021.39551</v>
      </c>
    </row>
    <row r="8" spans="1:2" ht="12.75">
      <c r="A8">
        <v>2016</v>
      </c>
      <c r="B8">
        <v>28273.82393</v>
      </c>
    </row>
    <row r="9" spans="1:2" ht="12.75">
      <c r="A9">
        <v>2017</v>
      </c>
      <c r="B9">
        <v>30175.69331</v>
      </c>
    </row>
    <row r="10" spans="1:2" ht="12.75">
      <c r="A10">
        <v>2018</v>
      </c>
      <c r="B10">
        <v>30589.6924</v>
      </c>
    </row>
    <row r="11" spans="1:2" ht="12.75">
      <c r="A11">
        <v>2019</v>
      </c>
      <c r="B11">
        <v>30705.08872</v>
      </c>
    </row>
    <row r="12" spans="1:2" ht="12.75">
      <c r="A12">
        <v>2020</v>
      </c>
      <c r="B12">
        <v>30744.21943</v>
      </c>
    </row>
    <row r="13" spans="1:2" ht="12.75">
      <c r="A13">
        <v>2021</v>
      </c>
      <c r="B13">
        <v>30489.96219</v>
      </c>
    </row>
    <row r="14" spans="1:2" ht="12.75">
      <c r="A14">
        <v>2022</v>
      </c>
      <c r="B14">
        <v>30467.48508</v>
      </c>
    </row>
    <row r="15" spans="1:2" ht="12.75">
      <c r="A15">
        <v>2023</v>
      </c>
      <c r="B15">
        <v>30853.56269</v>
      </c>
    </row>
    <row r="16" spans="1:2" ht="12.75">
      <c r="A16">
        <v>2024</v>
      </c>
      <c r="B16">
        <v>31449.40943</v>
      </c>
    </row>
    <row r="17" spans="1:2" ht="12.75">
      <c r="A17">
        <v>2025</v>
      </c>
      <c r="B17">
        <v>32124.79574</v>
      </c>
    </row>
    <row r="18" spans="1:2" ht="12.75">
      <c r="A18">
        <v>2026</v>
      </c>
      <c r="B18">
        <v>32547.49379</v>
      </c>
    </row>
    <row r="19" spans="1:2" ht="12.75">
      <c r="A19">
        <v>2027</v>
      </c>
      <c r="B19">
        <v>32542.67588</v>
      </c>
    </row>
    <row r="20" spans="1:2" ht="12.75">
      <c r="A20">
        <v>2028</v>
      </c>
      <c r="B20">
        <v>32993.91463</v>
      </c>
    </row>
    <row r="21" spans="1:2" ht="12.75">
      <c r="A21">
        <v>2029</v>
      </c>
      <c r="B21">
        <v>33493.59401</v>
      </c>
    </row>
    <row r="22" spans="1:2" ht="12.75">
      <c r="A22">
        <v>2030</v>
      </c>
      <c r="B22">
        <v>33975.91285</v>
      </c>
    </row>
    <row r="23" spans="1:2" ht="12.75">
      <c r="A23">
        <v>2031</v>
      </c>
      <c r="B23">
        <v>34314.58158</v>
      </c>
    </row>
    <row r="24" spans="1:2" ht="12.75">
      <c r="A24">
        <v>2032</v>
      </c>
      <c r="B24">
        <v>34765.40732</v>
      </c>
    </row>
    <row r="25" spans="1:2" ht="12.75">
      <c r="A25">
        <v>2033</v>
      </c>
      <c r="B25">
        <v>35314.98864</v>
      </c>
    </row>
    <row r="26" spans="1:2" ht="12.75">
      <c r="A26">
        <v>2034</v>
      </c>
      <c r="B26">
        <v>35893.49415</v>
      </c>
    </row>
    <row r="27" spans="1:2" ht="12.75">
      <c r="A27">
        <v>2035</v>
      </c>
      <c r="B27">
        <v>36423.90435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G3">
      <selection activeCell="I14" sqref="I14"/>
    </sheetView>
  </sheetViews>
  <sheetFormatPr defaultColWidth="9.140625" defaultRowHeight="12.75"/>
  <sheetData>
    <row r="1" ht="15">
      <c r="A1" s="1" t="s">
        <v>20</v>
      </c>
    </row>
    <row r="2" spans="1:23" ht="18.75">
      <c r="A2" s="124" t="s">
        <v>21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3" ht="60">
      <c r="A3" s="2" t="s">
        <v>22</v>
      </c>
      <c r="B3" s="3" t="s">
        <v>23</v>
      </c>
      <c r="C3" s="4">
        <v>2015</v>
      </c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  <c r="L3" s="4">
        <v>2024</v>
      </c>
      <c r="M3" s="4">
        <v>2025</v>
      </c>
      <c r="N3" s="4">
        <v>2026</v>
      </c>
      <c r="O3" s="4">
        <v>2027</v>
      </c>
      <c r="P3" s="4">
        <v>2028</v>
      </c>
      <c r="Q3" s="4">
        <v>2029</v>
      </c>
      <c r="R3" s="4">
        <v>2030</v>
      </c>
      <c r="S3" s="4">
        <v>2031</v>
      </c>
      <c r="T3" s="4">
        <v>2032</v>
      </c>
      <c r="U3" s="4">
        <v>2033</v>
      </c>
      <c r="V3" s="4">
        <v>2034</v>
      </c>
      <c r="W3" s="4">
        <v>2035</v>
      </c>
    </row>
    <row r="4" spans="1:23" ht="15">
      <c r="A4" t="s">
        <v>24</v>
      </c>
      <c r="B4" s="5">
        <v>0.05</v>
      </c>
      <c r="C4" s="6">
        <v>8</v>
      </c>
      <c r="D4" s="6">
        <f aca="true" t="shared" si="0" ref="D4:W4">(C4*$B$4)+C4</f>
        <v>8.4</v>
      </c>
      <c r="E4" s="6">
        <f t="shared" si="0"/>
        <v>8.82</v>
      </c>
      <c r="F4" s="6">
        <f t="shared" si="0"/>
        <v>9.261000000000001</v>
      </c>
      <c r="G4" s="6">
        <f t="shared" si="0"/>
        <v>9.724050000000002</v>
      </c>
      <c r="H4" s="6">
        <f t="shared" si="0"/>
        <v>10.210252500000003</v>
      </c>
      <c r="I4" s="6">
        <f t="shared" si="0"/>
        <v>10.720765125000003</v>
      </c>
      <c r="J4" s="6">
        <f t="shared" si="0"/>
        <v>11.256803381250004</v>
      </c>
      <c r="K4" s="6">
        <f t="shared" si="0"/>
        <v>11.819643550312504</v>
      </c>
      <c r="L4" s="6">
        <f t="shared" si="0"/>
        <v>12.41062572782813</v>
      </c>
      <c r="M4" s="6">
        <f t="shared" si="0"/>
        <v>13.031157014219536</v>
      </c>
      <c r="N4" s="6">
        <f t="shared" si="0"/>
        <v>13.682714864930514</v>
      </c>
      <c r="O4" s="6">
        <f t="shared" si="0"/>
        <v>14.366850608177039</v>
      </c>
      <c r="P4" s="6">
        <f t="shared" si="0"/>
        <v>15.085193138585892</v>
      </c>
      <c r="Q4" s="6">
        <f t="shared" si="0"/>
        <v>15.839452795515186</v>
      </c>
      <c r="R4" s="6">
        <f t="shared" si="0"/>
        <v>16.631425435290947</v>
      </c>
      <c r="S4" s="6">
        <f t="shared" si="0"/>
        <v>17.462996707055495</v>
      </c>
      <c r="T4" s="6">
        <f t="shared" si="0"/>
        <v>18.33614654240827</v>
      </c>
      <c r="U4" s="6">
        <f t="shared" si="0"/>
        <v>19.25295386952868</v>
      </c>
      <c r="V4" s="6">
        <f t="shared" si="0"/>
        <v>20.215601563005116</v>
      </c>
      <c r="W4" s="6">
        <f t="shared" si="0"/>
        <v>21.22638164115537</v>
      </c>
    </row>
    <row r="5" spans="1:23" ht="15">
      <c r="A5" t="s">
        <v>25</v>
      </c>
      <c r="B5" s="5">
        <v>0.05</v>
      </c>
      <c r="C5" s="6">
        <v>0.001</v>
      </c>
      <c r="D5" s="6">
        <f>(C5*$B$5)+C5</f>
        <v>0.00105</v>
      </c>
      <c r="E5" s="6">
        <v>1</v>
      </c>
      <c r="F5" s="6">
        <f aca="true" t="shared" si="1" ref="F5:S5">(E5*$B$5)+E5</f>
        <v>1.05</v>
      </c>
      <c r="G5" s="6">
        <f t="shared" si="1"/>
        <v>1.1025</v>
      </c>
      <c r="H5" s="6">
        <f t="shared" si="1"/>
        <v>1.1576250000000001</v>
      </c>
      <c r="I5" s="6">
        <f t="shared" si="1"/>
        <v>1.2155062500000002</v>
      </c>
      <c r="J5" s="6">
        <f t="shared" si="1"/>
        <v>1.2762815625000004</v>
      </c>
      <c r="K5" s="6">
        <f t="shared" si="1"/>
        <v>1.3400956406250004</v>
      </c>
      <c r="L5" s="6">
        <f t="shared" si="1"/>
        <v>1.4071004226562505</v>
      </c>
      <c r="M5" s="6">
        <f t="shared" si="1"/>
        <v>1.477455443789063</v>
      </c>
      <c r="N5" s="6">
        <f t="shared" si="1"/>
        <v>1.5513282159785162</v>
      </c>
      <c r="O5" s="6">
        <f t="shared" si="1"/>
        <v>1.628894626777442</v>
      </c>
      <c r="P5" s="6">
        <f t="shared" si="1"/>
        <v>1.7103393581163142</v>
      </c>
      <c r="Q5" s="6">
        <f t="shared" si="1"/>
        <v>1.7958563260221299</v>
      </c>
      <c r="R5" s="6">
        <f t="shared" si="1"/>
        <v>1.8856491423232364</v>
      </c>
      <c r="S5" s="6">
        <f t="shared" si="1"/>
        <v>1.9799315994393982</v>
      </c>
      <c r="T5" s="6">
        <f>(S5*$B$5)+S5</f>
        <v>2.0789281794113683</v>
      </c>
      <c r="U5" s="6">
        <f>(T5*$B$5)+T5</f>
        <v>2.182874588381937</v>
      </c>
      <c r="V5" s="6">
        <f>(U5*$B$5)+U5</f>
        <v>2.2920183178010336</v>
      </c>
      <c r="W5" s="6">
        <f>(V5*$B$5)+V5</f>
        <v>2.406619233691085</v>
      </c>
    </row>
    <row r="6" spans="1:23" ht="15">
      <c r="A6" t="s">
        <v>26</v>
      </c>
      <c r="B6" s="5">
        <v>0.05</v>
      </c>
      <c r="C6" s="6">
        <v>0.001</v>
      </c>
      <c r="D6" s="6">
        <f>(C6*$B$6)+C6</f>
        <v>0.00105</v>
      </c>
      <c r="E6" s="6">
        <v>0</v>
      </c>
      <c r="F6" s="6">
        <f aca="true" t="shared" si="2" ref="F6:S6">(E6*$B$6)+E6</f>
        <v>0</v>
      </c>
      <c r="G6" s="6">
        <v>0</v>
      </c>
      <c r="H6" s="6">
        <v>1</v>
      </c>
      <c r="I6" s="6">
        <f t="shared" si="2"/>
        <v>1.05</v>
      </c>
      <c r="J6" s="6">
        <f t="shared" si="2"/>
        <v>1.1025</v>
      </c>
      <c r="K6" s="6">
        <f t="shared" si="2"/>
        <v>1.1576250000000001</v>
      </c>
      <c r="L6" s="6">
        <f t="shared" si="2"/>
        <v>1.2155062500000002</v>
      </c>
      <c r="M6" s="6">
        <f t="shared" si="2"/>
        <v>1.2762815625000004</v>
      </c>
      <c r="N6" s="6">
        <f t="shared" si="2"/>
        <v>1.3400956406250004</v>
      </c>
      <c r="O6" s="6">
        <f t="shared" si="2"/>
        <v>1.4071004226562505</v>
      </c>
      <c r="P6" s="6">
        <f t="shared" si="2"/>
        <v>1.477455443789063</v>
      </c>
      <c r="Q6" s="6">
        <f t="shared" si="2"/>
        <v>1.5513282159785162</v>
      </c>
      <c r="R6" s="6">
        <f t="shared" si="2"/>
        <v>1.628894626777442</v>
      </c>
      <c r="S6" s="6">
        <f t="shared" si="2"/>
        <v>1.7103393581163142</v>
      </c>
      <c r="T6" s="6">
        <f>(S6*$B$6)+S6</f>
        <v>1.7958563260221299</v>
      </c>
      <c r="U6" s="6">
        <f>(T6*$B$6)+T6</f>
        <v>1.8856491423232364</v>
      </c>
      <c r="V6" s="6">
        <f>(U6*$B$6)+U6</f>
        <v>1.9799315994393982</v>
      </c>
      <c r="W6" s="6">
        <f>(V6*$B$6)+V6</f>
        <v>2.0789281794113683</v>
      </c>
    </row>
    <row r="7" spans="2:23" ht="12.75">
      <c r="B7" t="s">
        <v>27</v>
      </c>
      <c r="C7" s="7">
        <f>SUM(C4:C6)</f>
        <v>8.001999999999999</v>
      </c>
      <c r="D7" s="7">
        <f aca="true" t="shared" si="3" ref="D7:W7">SUM(D4:D6)</f>
        <v>8.402099999999999</v>
      </c>
      <c r="E7" s="7">
        <f t="shared" si="3"/>
        <v>9.82</v>
      </c>
      <c r="F7" s="7">
        <f t="shared" si="3"/>
        <v>10.311000000000002</v>
      </c>
      <c r="G7" s="7">
        <f t="shared" si="3"/>
        <v>10.826550000000001</v>
      </c>
      <c r="H7" s="7">
        <f t="shared" si="3"/>
        <v>12.367877500000002</v>
      </c>
      <c r="I7" s="7">
        <f t="shared" si="3"/>
        <v>12.986271375000005</v>
      </c>
      <c r="J7" s="7">
        <f t="shared" si="3"/>
        <v>13.635584943750004</v>
      </c>
      <c r="K7" s="7">
        <f t="shared" si="3"/>
        <v>14.317364190937504</v>
      </c>
      <c r="L7" s="7">
        <f t="shared" si="3"/>
        <v>15.033232400484382</v>
      </c>
      <c r="M7" s="7">
        <f t="shared" si="3"/>
        <v>15.784894020508599</v>
      </c>
      <c r="N7" s="7">
        <f t="shared" si="3"/>
        <v>16.57413872153403</v>
      </c>
      <c r="O7" s="7">
        <f t="shared" si="3"/>
        <v>17.40284565761073</v>
      </c>
      <c r="P7" s="7">
        <f t="shared" si="3"/>
        <v>18.272987940491266</v>
      </c>
      <c r="Q7" s="7">
        <f t="shared" si="3"/>
        <v>19.18663733751583</v>
      </c>
      <c r="R7" s="7">
        <f t="shared" si="3"/>
        <v>20.145969204391623</v>
      </c>
      <c r="S7" s="7">
        <f t="shared" si="3"/>
        <v>21.153267664611207</v>
      </c>
      <c r="T7" s="7">
        <f t="shared" si="3"/>
        <v>22.210931047841765</v>
      </c>
      <c r="U7" s="7">
        <f t="shared" si="3"/>
        <v>23.32147760023385</v>
      </c>
      <c r="V7" s="7">
        <f t="shared" si="3"/>
        <v>24.48755148024555</v>
      </c>
      <c r="W7" s="7">
        <f t="shared" si="3"/>
        <v>25.711929054257823</v>
      </c>
    </row>
    <row r="8" ht="12.75">
      <c r="A8" t="s">
        <v>28</v>
      </c>
    </row>
    <row r="10" spans="1:19" ht="15">
      <c r="A10" s="8" t="s">
        <v>29</v>
      </c>
      <c r="R10" t="s">
        <v>38</v>
      </c>
      <c r="S10" t="s">
        <v>38</v>
      </c>
    </row>
    <row r="11" spans="1:23" ht="18.75">
      <c r="A11" s="124" t="s">
        <v>21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</row>
    <row r="12" spans="1:23" ht="60">
      <c r="A12" s="2" t="s">
        <v>22</v>
      </c>
      <c r="B12" s="3" t="s">
        <v>23</v>
      </c>
      <c r="C12" s="9">
        <v>2015</v>
      </c>
      <c r="D12" s="9">
        <v>2016</v>
      </c>
      <c r="E12" s="9">
        <v>2017</v>
      </c>
      <c r="F12" s="9">
        <v>2018</v>
      </c>
      <c r="G12" s="9">
        <v>2019</v>
      </c>
      <c r="H12" s="9">
        <v>2020</v>
      </c>
      <c r="I12" s="9">
        <v>2021</v>
      </c>
      <c r="J12" s="9">
        <v>2022</v>
      </c>
      <c r="K12" s="9">
        <v>2023</v>
      </c>
      <c r="L12" s="9">
        <v>2024</v>
      </c>
      <c r="M12" s="9">
        <v>2025</v>
      </c>
      <c r="N12" s="9">
        <v>2026</v>
      </c>
      <c r="O12" s="9">
        <v>2027</v>
      </c>
      <c r="P12" s="9">
        <v>2028</v>
      </c>
      <c r="Q12" s="9">
        <v>2029</v>
      </c>
      <c r="R12" s="9">
        <v>2030</v>
      </c>
      <c r="S12" s="9">
        <v>2031</v>
      </c>
      <c r="T12" s="9">
        <v>2032</v>
      </c>
      <c r="U12" s="9">
        <v>2033</v>
      </c>
      <c r="V12" s="9">
        <v>2034</v>
      </c>
      <c r="W12" s="9">
        <v>2035</v>
      </c>
    </row>
    <row r="13" spans="1:23" ht="15">
      <c r="A13" t="s">
        <v>24</v>
      </c>
      <c r="B13" s="5">
        <v>0.05</v>
      </c>
      <c r="C13" s="10">
        <v>4</v>
      </c>
      <c r="D13" s="10">
        <f>(C13*$B$13)+C13</f>
        <v>4.2</v>
      </c>
      <c r="E13" s="10">
        <f aca="true" t="shared" si="4" ref="E13:W13">(D13*$B$13)+D13</f>
        <v>4.41</v>
      </c>
      <c r="F13" s="10">
        <f t="shared" si="4"/>
        <v>4.6305000000000005</v>
      </c>
      <c r="G13" s="10">
        <f t="shared" si="4"/>
        <v>4.862025000000001</v>
      </c>
      <c r="H13" s="10">
        <f t="shared" si="4"/>
        <v>5.105126250000001</v>
      </c>
      <c r="I13" s="10">
        <f t="shared" si="4"/>
        <v>5.360382562500002</v>
      </c>
      <c r="J13" s="10">
        <f t="shared" si="4"/>
        <v>5.628401690625002</v>
      </c>
      <c r="K13" s="10">
        <f t="shared" si="4"/>
        <v>5.909821775156252</v>
      </c>
      <c r="L13" s="10">
        <f t="shared" si="4"/>
        <v>6.205312863914065</v>
      </c>
      <c r="M13" s="10">
        <f t="shared" si="4"/>
        <v>6.515578507109768</v>
      </c>
      <c r="N13" s="10">
        <f t="shared" si="4"/>
        <v>6.841357432465257</v>
      </c>
      <c r="O13" s="10">
        <f t="shared" si="4"/>
        <v>7.183425304088519</v>
      </c>
      <c r="P13" s="10">
        <f t="shared" si="4"/>
        <v>7.542596569292946</v>
      </c>
      <c r="Q13" s="10">
        <f t="shared" si="4"/>
        <v>7.919726397757593</v>
      </c>
      <c r="R13" s="10">
        <f t="shared" si="4"/>
        <v>8.315712717645473</v>
      </c>
      <c r="S13" s="10">
        <f t="shared" si="4"/>
        <v>8.731498353527748</v>
      </c>
      <c r="T13" s="10">
        <f t="shared" si="4"/>
        <v>9.168073271204134</v>
      </c>
      <c r="U13" s="10">
        <f t="shared" si="4"/>
        <v>9.62647693476434</v>
      </c>
      <c r="V13" s="10">
        <f t="shared" si="4"/>
        <v>10.107800781502558</v>
      </c>
      <c r="W13" s="10">
        <f t="shared" si="4"/>
        <v>10.613190820577685</v>
      </c>
    </row>
    <row r="14" spans="1:23" ht="15">
      <c r="A14" t="s">
        <v>25</v>
      </c>
      <c r="B14" s="5">
        <v>0.05</v>
      </c>
      <c r="C14" s="10">
        <v>0</v>
      </c>
      <c r="D14" s="10">
        <f>(C14*$B$14)+C14</f>
        <v>0</v>
      </c>
      <c r="E14" s="10">
        <f aca="true" t="shared" si="5" ref="E14:W14">(D14*$B$14)+D14</f>
        <v>0</v>
      </c>
      <c r="F14" s="10">
        <f t="shared" si="5"/>
        <v>0</v>
      </c>
      <c r="G14" s="10">
        <f t="shared" si="5"/>
        <v>0</v>
      </c>
      <c r="H14" s="10">
        <v>1</v>
      </c>
      <c r="I14" s="10">
        <f t="shared" si="5"/>
        <v>1.05</v>
      </c>
      <c r="J14" s="10">
        <f t="shared" si="5"/>
        <v>1.1025</v>
      </c>
      <c r="K14" s="10">
        <f t="shared" si="5"/>
        <v>1.1576250000000001</v>
      </c>
      <c r="L14" s="10">
        <f t="shared" si="5"/>
        <v>1.2155062500000002</v>
      </c>
      <c r="M14" s="10">
        <f t="shared" si="5"/>
        <v>1.2762815625000004</v>
      </c>
      <c r="N14" s="10">
        <f t="shared" si="5"/>
        <v>1.3400956406250004</v>
      </c>
      <c r="O14" s="10">
        <f t="shared" si="5"/>
        <v>1.4071004226562505</v>
      </c>
      <c r="P14" s="10">
        <f t="shared" si="5"/>
        <v>1.477455443789063</v>
      </c>
      <c r="Q14" s="10">
        <f t="shared" si="5"/>
        <v>1.5513282159785162</v>
      </c>
      <c r="R14" s="10">
        <f t="shared" si="5"/>
        <v>1.628894626777442</v>
      </c>
      <c r="S14" s="10">
        <f t="shared" si="5"/>
        <v>1.7103393581163142</v>
      </c>
      <c r="T14" s="10">
        <f t="shared" si="5"/>
        <v>1.7958563260221299</v>
      </c>
      <c r="U14" s="10">
        <f t="shared" si="5"/>
        <v>1.8856491423232364</v>
      </c>
      <c r="V14" s="10">
        <f t="shared" si="5"/>
        <v>1.9799315994393982</v>
      </c>
      <c r="W14" s="10">
        <f t="shared" si="5"/>
        <v>2.0789281794113683</v>
      </c>
    </row>
    <row r="15" spans="1:23" ht="15">
      <c r="A15" t="s">
        <v>26</v>
      </c>
      <c r="B15" s="5">
        <v>0.05</v>
      </c>
      <c r="C15" s="10">
        <v>0</v>
      </c>
      <c r="D15" s="10">
        <f>(C15*$B$15)+C15</f>
        <v>0</v>
      </c>
      <c r="E15" s="10">
        <f aca="true" t="shared" si="6" ref="E15:W15">(D15*$B$15)+D15</f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  <c r="J15" s="10">
        <f t="shared" si="6"/>
        <v>0</v>
      </c>
      <c r="K15" s="10">
        <f t="shared" si="6"/>
        <v>0</v>
      </c>
      <c r="L15" s="10">
        <f t="shared" si="6"/>
        <v>0</v>
      </c>
      <c r="M15" s="10">
        <f t="shared" si="6"/>
        <v>0</v>
      </c>
      <c r="N15" s="10">
        <v>0</v>
      </c>
      <c r="O15" s="10">
        <f t="shared" si="6"/>
        <v>0</v>
      </c>
      <c r="P15" s="10">
        <f t="shared" si="6"/>
        <v>0</v>
      </c>
      <c r="Q15" s="10">
        <f t="shared" si="6"/>
        <v>0</v>
      </c>
      <c r="R15" s="10">
        <f t="shared" si="6"/>
        <v>0</v>
      </c>
      <c r="S15" s="10">
        <f t="shared" si="6"/>
        <v>0</v>
      </c>
      <c r="T15" s="10">
        <f t="shared" si="6"/>
        <v>0</v>
      </c>
      <c r="U15" s="10">
        <f t="shared" si="6"/>
        <v>0</v>
      </c>
      <c r="V15" s="10">
        <f t="shared" si="6"/>
        <v>0</v>
      </c>
      <c r="W15" s="10">
        <f t="shared" si="6"/>
        <v>0</v>
      </c>
    </row>
    <row r="16" spans="2:23" ht="12.75">
      <c r="B16" t="s">
        <v>27</v>
      </c>
      <c r="C16" s="7">
        <f>SUM(C13:C15)</f>
        <v>4</v>
      </c>
      <c r="D16" s="7">
        <f aca="true" t="shared" si="7" ref="D16:W16">SUM(D13:D15)</f>
        <v>4.2</v>
      </c>
      <c r="E16" s="7">
        <f t="shared" si="7"/>
        <v>4.41</v>
      </c>
      <c r="F16" s="7">
        <f t="shared" si="7"/>
        <v>4.6305000000000005</v>
      </c>
      <c r="G16" s="7">
        <f t="shared" si="7"/>
        <v>4.862025000000001</v>
      </c>
      <c r="H16" s="7">
        <f t="shared" si="7"/>
        <v>6.105126250000001</v>
      </c>
      <c r="I16" s="7">
        <f t="shared" si="7"/>
        <v>6.4103825625000015</v>
      </c>
      <c r="J16" s="7">
        <f t="shared" si="7"/>
        <v>6.730901690625002</v>
      </c>
      <c r="K16" s="7">
        <f t="shared" si="7"/>
        <v>7.067446775156252</v>
      </c>
      <c r="L16" s="7">
        <f t="shared" si="7"/>
        <v>7.420819113914066</v>
      </c>
      <c r="M16" s="7">
        <f t="shared" si="7"/>
        <v>7.791860069609768</v>
      </c>
      <c r="N16" s="7">
        <f t="shared" si="7"/>
        <v>8.181453073090257</v>
      </c>
      <c r="O16" s="7">
        <f t="shared" si="7"/>
        <v>8.59052572674477</v>
      </c>
      <c r="P16" s="7">
        <f t="shared" si="7"/>
        <v>9.020052013082008</v>
      </c>
      <c r="Q16" s="7">
        <f t="shared" si="7"/>
        <v>9.47105461373611</v>
      </c>
      <c r="R16" s="7">
        <f t="shared" si="7"/>
        <v>9.944607344422915</v>
      </c>
      <c r="S16" s="7">
        <f t="shared" si="7"/>
        <v>10.441837711644062</v>
      </c>
      <c r="T16" s="7">
        <f t="shared" si="7"/>
        <v>10.963929597226265</v>
      </c>
      <c r="U16" s="7">
        <f t="shared" si="7"/>
        <v>11.512126077087578</v>
      </c>
      <c r="V16" s="7">
        <f t="shared" si="7"/>
        <v>12.087732380941956</v>
      </c>
      <c r="W16" s="7">
        <f t="shared" si="7"/>
        <v>12.692118999989054</v>
      </c>
    </row>
  </sheetData>
  <sheetProtection/>
  <mergeCells count="2">
    <mergeCell ref="A2:W2"/>
    <mergeCell ref="A11:W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6.140625" style="0" customWidth="1"/>
    <col min="3" max="3" width="4.421875" style="0" customWidth="1"/>
    <col min="4" max="4" width="9.8515625" style="18" customWidth="1"/>
    <col min="5" max="8" width="8.8515625" style="18" customWidth="1"/>
  </cols>
  <sheetData>
    <row r="2" ht="12.75">
      <c r="D2" s="94" t="s">
        <v>132</v>
      </c>
    </row>
    <row r="4" spans="4:7" s="21" customFormat="1" ht="13.5" thickBot="1">
      <c r="D4" s="50" t="s">
        <v>51</v>
      </c>
      <c r="E4" s="50" t="s">
        <v>52</v>
      </c>
      <c r="F4" s="50" t="s">
        <v>56</v>
      </c>
      <c r="G4" s="50"/>
    </row>
    <row r="5" spans="1:8" ht="15">
      <c r="A5" t="s">
        <v>48</v>
      </c>
      <c r="D5" s="93">
        <v>54816</v>
      </c>
      <c r="E5" s="52">
        <v>988</v>
      </c>
      <c r="F5" s="89">
        <v>54.1</v>
      </c>
      <c r="G5" s="88"/>
      <c r="H5"/>
    </row>
    <row r="6" spans="1:8" ht="15">
      <c r="A6" t="s">
        <v>49</v>
      </c>
      <c r="D6" s="92">
        <v>54816</v>
      </c>
      <c r="E6" s="57">
        <v>661</v>
      </c>
      <c r="F6" s="90">
        <v>36.2</v>
      </c>
      <c r="G6" s="88"/>
      <c r="H6"/>
    </row>
    <row r="7" spans="4:8" ht="12.75">
      <c r="D7" s="61"/>
      <c r="E7" s="59"/>
      <c r="F7" s="62"/>
      <c r="G7" s="88"/>
      <c r="H7"/>
    </row>
    <row r="8" spans="1:8" ht="12.75">
      <c r="A8" t="s">
        <v>57</v>
      </c>
      <c r="D8" s="61">
        <v>111841</v>
      </c>
      <c r="E8" s="59">
        <v>2494</v>
      </c>
      <c r="F8" s="62">
        <v>278.9</v>
      </c>
      <c r="G8" s="88"/>
      <c r="H8"/>
    </row>
    <row r="9" spans="1:8" ht="13.5" thickBot="1">
      <c r="A9" t="s">
        <v>58</v>
      </c>
      <c r="D9" s="63">
        <v>111841</v>
      </c>
      <c r="E9" s="64">
        <v>1453</v>
      </c>
      <c r="F9" s="91">
        <v>162.4</v>
      </c>
      <c r="G9" s="88"/>
      <c r="H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4">
      <selection activeCell="D26" sqref="D26"/>
    </sheetView>
  </sheetViews>
  <sheetFormatPr defaultColWidth="9.140625" defaultRowHeight="12.75"/>
  <cols>
    <col min="2" max="2" width="6.140625" style="0" customWidth="1"/>
    <col min="3" max="3" width="1.8515625" style="0" customWidth="1"/>
    <col min="4" max="4" width="9.8515625" style="18" customWidth="1"/>
    <col min="5" max="8" width="8.8515625" style="18" customWidth="1"/>
  </cols>
  <sheetData>
    <row r="2" ht="12.75">
      <c r="E2" s="94" t="s">
        <v>133</v>
      </c>
    </row>
    <row r="4" spans="4:8" s="21" customFormat="1" ht="13.5" thickBot="1">
      <c r="D4" s="50" t="s">
        <v>51</v>
      </c>
      <c r="E4" s="50" t="s">
        <v>52</v>
      </c>
      <c r="F4" s="50" t="s">
        <v>56</v>
      </c>
      <c r="G4" s="50" t="s">
        <v>53</v>
      </c>
      <c r="H4" s="50" t="s">
        <v>55</v>
      </c>
    </row>
    <row r="5" spans="1:8" ht="15">
      <c r="A5" t="s">
        <v>48</v>
      </c>
      <c r="D5" s="51">
        <v>4622.965285102659</v>
      </c>
      <c r="E5" s="52">
        <v>1873</v>
      </c>
      <c r="F5" s="53">
        <v>8.7</v>
      </c>
      <c r="G5" s="54" t="s">
        <v>54</v>
      </c>
      <c r="H5" s="55">
        <v>3.58</v>
      </c>
    </row>
    <row r="6" spans="1:8" ht="15">
      <c r="A6" t="s">
        <v>49</v>
      </c>
      <c r="D6" s="56">
        <v>4622.965285102659</v>
      </c>
      <c r="E6" s="57">
        <v>1272</v>
      </c>
      <c r="F6" s="58">
        <v>5.9</v>
      </c>
      <c r="G6" s="59" t="s">
        <v>54</v>
      </c>
      <c r="H6" s="60">
        <v>2.43</v>
      </c>
    </row>
    <row r="7" spans="4:8" ht="12.75">
      <c r="D7" s="61"/>
      <c r="E7" s="59"/>
      <c r="F7" s="59"/>
      <c r="G7" s="59"/>
      <c r="H7" s="62"/>
    </row>
    <row r="8" spans="1:8" ht="12.75">
      <c r="A8" t="s">
        <v>57</v>
      </c>
      <c r="D8" s="61">
        <v>9365</v>
      </c>
      <c r="E8" s="59">
        <v>3687</v>
      </c>
      <c r="F8" s="59">
        <v>34.5</v>
      </c>
      <c r="G8" s="59" t="s">
        <v>59</v>
      </c>
      <c r="H8" s="60">
        <v>6.84</v>
      </c>
    </row>
    <row r="9" spans="1:8" ht="13.5" thickBot="1">
      <c r="A9" t="s">
        <v>58</v>
      </c>
      <c r="D9" s="63">
        <v>9365</v>
      </c>
      <c r="E9" s="64">
        <v>1747</v>
      </c>
      <c r="F9" s="65">
        <v>16.4</v>
      </c>
      <c r="G9" s="64" t="s">
        <v>59</v>
      </c>
      <c r="H9" s="66">
        <v>3.24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8"/>
  <sheetViews>
    <sheetView zoomScale="90" zoomScaleNormal="90" zoomScalePageLayoutView="0" workbookViewId="0" topLeftCell="A28">
      <selection activeCell="I47" sqref="I47"/>
    </sheetView>
  </sheetViews>
  <sheetFormatPr defaultColWidth="9.140625" defaultRowHeight="12.75"/>
  <sheetData>
    <row r="1" spans="6:15" ht="15">
      <c r="F1" s="21"/>
      <c r="O1" s="25"/>
    </row>
    <row r="2" spans="5:14" ht="12.75">
      <c r="E2">
        <v>73336</v>
      </c>
      <c r="F2" t="s">
        <v>17</v>
      </c>
      <c r="G2" s="16"/>
      <c r="N2" s="12"/>
    </row>
    <row r="3" spans="2:14" ht="15">
      <c r="B3" t="s">
        <v>84</v>
      </c>
      <c r="C3" t="s">
        <v>38</v>
      </c>
      <c r="E3" s="47">
        <v>19715.291599291853</v>
      </c>
      <c r="F3" s="81" t="s">
        <v>147</v>
      </c>
      <c r="N3" s="12"/>
    </row>
    <row r="4" spans="1:14" ht="12.75">
      <c r="A4" s="46"/>
      <c r="L4" s="21"/>
      <c r="N4" s="26"/>
    </row>
    <row r="5" spans="1:5" ht="12.75">
      <c r="A5" s="14"/>
      <c r="E5" s="12"/>
    </row>
    <row r="6" spans="1:6" ht="12.75">
      <c r="A6" s="14"/>
      <c r="E6">
        <f>E3/E2</f>
        <v>0.26883510962272084</v>
      </c>
      <c r="F6" t="s">
        <v>60</v>
      </c>
    </row>
    <row r="7" spans="5:11" ht="12.75">
      <c r="E7">
        <v>3899</v>
      </c>
      <c r="F7" s="81" t="s">
        <v>149</v>
      </c>
      <c r="K7" t="s">
        <v>18</v>
      </c>
    </row>
    <row r="8" spans="1:6" ht="12.75">
      <c r="A8" t="s">
        <v>87</v>
      </c>
      <c r="B8" s="12"/>
      <c r="E8" s="12">
        <f>3899*E6</f>
        <v>1048.1880924189886</v>
      </c>
      <c r="F8" s="81" t="s">
        <v>150</v>
      </c>
    </row>
    <row r="9" spans="1:6" ht="12.75">
      <c r="A9" t="s">
        <v>88</v>
      </c>
      <c r="B9" s="12"/>
      <c r="E9" s="12">
        <f>2397*E6</f>
        <v>644.3977577656618</v>
      </c>
      <c r="F9" s="81" t="s">
        <v>148</v>
      </c>
    </row>
    <row r="10" spans="1:11" ht="12.75">
      <c r="A10" t="s">
        <v>89</v>
      </c>
      <c r="E10" s="41">
        <f>1000*E6</f>
        <v>268.83510962272084</v>
      </c>
      <c r="F10" t="s">
        <v>86</v>
      </c>
      <c r="K10" t="s">
        <v>18</v>
      </c>
    </row>
    <row r="11" spans="5:6" ht="12.75">
      <c r="E11" s="42">
        <f>8166*E6</f>
        <v>2195.3075051791384</v>
      </c>
      <c r="F11" s="81" t="s">
        <v>151</v>
      </c>
    </row>
    <row r="12" spans="5:6" ht="12.75">
      <c r="E12" s="44">
        <f>21450*E6</f>
        <v>5766.513101407362</v>
      </c>
      <c r="F12" s="81" t="s">
        <v>152</v>
      </c>
    </row>
    <row r="14" spans="5:6" ht="15">
      <c r="E14" s="11">
        <v>36423.90435440012</v>
      </c>
      <c r="F14" t="s">
        <v>85</v>
      </c>
    </row>
    <row r="15" spans="5:6" ht="12.75">
      <c r="E15" s="16">
        <f>E14/E3</f>
        <v>1.8474950862866475</v>
      </c>
      <c r="F15" t="s">
        <v>61</v>
      </c>
    </row>
    <row r="16" ht="12.75">
      <c r="A16" s="46"/>
    </row>
    <row r="17" spans="1:6" ht="12.75">
      <c r="A17" s="125" t="s">
        <v>81</v>
      </c>
      <c r="B17" s="125"/>
      <c r="C17" s="125"/>
      <c r="D17" s="125"/>
      <c r="E17" s="12">
        <f>E10*E15</f>
        <v>496.671544049309</v>
      </c>
      <c r="F17" t="s">
        <v>5</v>
      </c>
    </row>
    <row r="18" spans="1:6" ht="12.75">
      <c r="A18" s="125"/>
      <c r="B18" s="125"/>
      <c r="C18" s="125"/>
      <c r="D18" s="125"/>
      <c r="E18" s="12">
        <f>E11*E15</f>
        <v>4055.819828706657</v>
      </c>
      <c r="F18" t="s">
        <v>72</v>
      </c>
    </row>
    <row r="19" spans="1:6" ht="12.75">
      <c r="A19" s="125"/>
      <c r="B19" s="125"/>
      <c r="C19" s="125"/>
      <c r="D19" s="125"/>
      <c r="E19" s="12">
        <f>E15*E12</f>
        <v>10653.604619857679</v>
      </c>
      <c r="F19" t="s">
        <v>62</v>
      </c>
    </row>
    <row r="20" spans="1:6" ht="12.75">
      <c r="A20" s="125"/>
      <c r="B20" s="125"/>
      <c r="C20" s="125"/>
      <c r="D20" s="125"/>
      <c r="E20" s="123">
        <f>E8*E15</f>
        <v>1936.5223502482559</v>
      </c>
      <c r="F20" s="81" t="s">
        <v>162</v>
      </c>
    </row>
    <row r="21" spans="1:6" ht="12.75">
      <c r="A21" s="125"/>
      <c r="B21" s="125"/>
      <c r="C21" s="125"/>
      <c r="D21" s="125"/>
      <c r="E21" s="12">
        <f>E9*E15</f>
        <v>1190.5216910861936</v>
      </c>
      <c r="F21" s="81" t="s">
        <v>161</v>
      </c>
    </row>
    <row r="22" ht="12.75">
      <c r="F22" t="s">
        <v>16</v>
      </c>
    </row>
    <row r="23" spans="5:6" ht="12.75">
      <c r="E23" s="12" t="s">
        <v>38</v>
      </c>
      <c r="F23" t="s">
        <v>38</v>
      </c>
    </row>
    <row r="24" spans="1:6" ht="12.75">
      <c r="A24" s="125" t="s">
        <v>83</v>
      </c>
      <c r="B24" s="125"/>
      <c r="C24" s="125"/>
      <c r="D24" s="125"/>
      <c r="E24" s="12">
        <v>4622.965</v>
      </c>
      <c r="F24" t="s">
        <v>65</v>
      </c>
    </row>
    <row r="25" spans="1:13" ht="12.75">
      <c r="A25" s="125"/>
      <c r="B25" s="125"/>
      <c r="C25" s="125"/>
      <c r="D25" s="125"/>
      <c r="E25" s="12">
        <f>4623*0.021</f>
        <v>97.08300000000001</v>
      </c>
      <c r="F25" t="s">
        <v>91</v>
      </c>
      <c r="M25" s="35">
        <v>0.021</v>
      </c>
    </row>
    <row r="26" spans="1:6" ht="12.75">
      <c r="A26" s="14"/>
      <c r="B26" s="14"/>
      <c r="C26" s="14"/>
      <c r="D26" s="14"/>
      <c r="E26" s="12">
        <f>E24-E25</f>
        <v>4525.8820000000005</v>
      </c>
      <c r="F26" t="s">
        <v>90</v>
      </c>
    </row>
    <row r="28" ht="12.75">
      <c r="E28" s="21" t="s">
        <v>66</v>
      </c>
    </row>
    <row r="29" spans="1:13" ht="12.75">
      <c r="A29" s="21" t="s">
        <v>41</v>
      </c>
      <c r="M29" s="24"/>
    </row>
    <row r="30" spans="1:8" ht="12.75">
      <c r="A30" s="126" t="s">
        <v>155</v>
      </c>
      <c r="B30" s="127"/>
      <c r="C30" s="127"/>
      <c r="D30" s="127"/>
      <c r="E30" s="127"/>
      <c r="F30" s="127"/>
      <c r="G30" s="127"/>
      <c r="H30" s="127"/>
    </row>
    <row r="31" spans="1:8" ht="12.75">
      <c r="A31" s="127"/>
      <c r="B31" s="127"/>
      <c r="C31" s="127"/>
      <c r="D31" s="127"/>
      <c r="E31" s="127"/>
      <c r="F31" s="127"/>
      <c r="G31" s="127"/>
      <c r="H31" s="127"/>
    </row>
    <row r="32" spans="1:14" ht="12.75">
      <c r="A32" s="127"/>
      <c r="B32" s="127"/>
      <c r="C32" s="127"/>
      <c r="D32" s="127"/>
      <c r="E32" s="127"/>
      <c r="F32" s="127"/>
      <c r="G32" s="127"/>
      <c r="H32" s="127"/>
      <c r="I32" s="21" t="s">
        <v>75</v>
      </c>
      <c r="N32" s="12"/>
    </row>
    <row r="33" spans="1:14" ht="12.75">
      <c r="A33" t="s">
        <v>13</v>
      </c>
      <c r="I33" t="s">
        <v>68</v>
      </c>
      <c r="K33" s="81" t="s">
        <v>38</v>
      </c>
      <c r="L33" s="81" t="s">
        <v>38</v>
      </c>
      <c r="N33" s="12"/>
    </row>
    <row r="34" spans="1:14" ht="12.75">
      <c r="A34" s="81" t="s">
        <v>134</v>
      </c>
      <c r="I34" s="12">
        <f>E20</f>
        <v>1936.5223502482559</v>
      </c>
      <c r="J34" t="s">
        <v>69</v>
      </c>
      <c r="N34" s="12"/>
    </row>
    <row r="35" spans="1:14" ht="12.75">
      <c r="A35" t="s">
        <v>14</v>
      </c>
      <c r="I35" s="12">
        <f>E17</f>
        <v>496.671544049309</v>
      </c>
      <c r="J35" t="s">
        <v>6</v>
      </c>
      <c r="L35">
        <f>2686-497</f>
        <v>2189</v>
      </c>
      <c r="N35" s="12"/>
    </row>
    <row r="36" spans="1:14" ht="12.75">
      <c r="A36" s="37"/>
      <c r="B36" s="37"/>
      <c r="C36" s="37"/>
      <c r="D36" s="37"/>
      <c r="E36" s="37"/>
      <c r="F36" s="37"/>
      <c r="G36" s="37"/>
      <c r="I36" s="12">
        <v>2189</v>
      </c>
      <c r="J36" t="s">
        <v>71</v>
      </c>
      <c r="L36" t="s">
        <v>38</v>
      </c>
      <c r="N36" s="12"/>
    </row>
    <row r="37" spans="1:7" ht="12.75">
      <c r="A37" s="97" t="s">
        <v>156</v>
      </c>
      <c r="B37" s="15"/>
      <c r="C37" s="15"/>
      <c r="D37" s="15"/>
      <c r="E37" s="15"/>
      <c r="F37" s="15"/>
      <c r="G37" s="15"/>
    </row>
    <row r="38" spans="1:9" ht="12.75">
      <c r="A38" s="37"/>
      <c r="B38" s="15"/>
      <c r="C38" s="15"/>
      <c r="D38" s="15"/>
      <c r="E38" s="15"/>
      <c r="F38" s="15"/>
      <c r="G38" s="15"/>
      <c r="I38" t="s">
        <v>50</v>
      </c>
    </row>
    <row r="39" spans="6:10" ht="12.75">
      <c r="F39" s="36"/>
      <c r="G39" s="15"/>
      <c r="H39" s="15"/>
      <c r="I39">
        <f>97*0</f>
        <v>0</v>
      </c>
      <c r="J39" t="s">
        <v>93</v>
      </c>
    </row>
    <row r="40" spans="1:10" ht="12.75">
      <c r="A40" s="36" t="s">
        <v>67</v>
      </c>
      <c r="B40" s="15"/>
      <c r="C40" s="15"/>
      <c r="D40" s="15"/>
      <c r="E40" s="15"/>
      <c r="F40" s="15"/>
      <c r="G40" s="15"/>
      <c r="I40" s="12">
        <f>I35*1000</f>
        <v>496671.544049309</v>
      </c>
      <c r="J40" t="s">
        <v>70</v>
      </c>
    </row>
    <row r="41" spans="1:10" ht="12.75">
      <c r="A41" s="15" t="s">
        <v>12</v>
      </c>
      <c r="I41">
        <f>I36*3500</f>
        <v>7661500</v>
      </c>
      <c r="J41" t="s">
        <v>73</v>
      </c>
    </row>
    <row r="42" spans="1:10" ht="12.75">
      <c r="A42" s="22"/>
      <c r="I42">
        <v>500000</v>
      </c>
      <c r="J42" t="s">
        <v>10</v>
      </c>
    </row>
    <row r="43" spans="1:12" ht="12.75">
      <c r="A43" s="37" t="s">
        <v>47</v>
      </c>
      <c r="B43" s="37"/>
      <c r="C43" s="37"/>
      <c r="D43" s="37"/>
      <c r="E43" s="37"/>
      <c r="F43" s="37"/>
      <c r="G43" s="37"/>
      <c r="I43">
        <f>SUM(I39:I42)</f>
        <v>8658171.544049308</v>
      </c>
      <c r="J43" t="s">
        <v>50</v>
      </c>
      <c r="K43" s="48">
        <f>I43/4623</f>
        <v>1872.8469703762291</v>
      </c>
      <c r="L43" t="s">
        <v>43</v>
      </c>
    </row>
    <row r="44" spans="1:9" ht="12.75">
      <c r="A44" s="37"/>
      <c r="B44" s="37"/>
      <c r="C44" s="37"/>
      <c r="D44" s="37"/>
      <c r="E44" s="37"/>
      <c r="F44" s="37"/>
      <c r="G44" s="37"/>
      <c r="I44">
        <f>I43/1000000</f>
        <v>8.658171544049308</v>
      </c>
    </row>
    <row r="45" ht="12.75">
      <c r="M45" s="24"/>
    </row>
    <row r="46" spans="1:15" ht="12.75">
      <c r="A46" s="128" t="s">
        <v>157</v>
      </c>
      <c r="B46" s="129"/>
      <c r="C46" s="129"/>
      <c r="D46" s="129"/>
      <c r="E46" s="129"/>
      <c r="F46" s="129"/>
      <c r="G46" s="129"/>
      <c r="H46" s="129"/>
      <c r="I46" s="23">
        <f>I43/(3.31*365*2000)</f>
        <v>3.583235336692177</v>
      </c>
      <c r="J46" s="21" t="s">
        <v>44</v>
      </c>
      <c r="M46" s="24"/>
      <c r="O46" s="21"/>
    </row>
    <row r="47" spans="1:15" ht="12.75">
      <c r="A47" s="129"/>
      <c r="B47" s="129"/>
      <c r="C47" s="129"/>
      <c r="D47" s="129"/>
      <c r="E47" s="129"/>
      <c r="F47" s="129"/>
      <c r="G47" s="129"/>
      <c r="H47" s="129"/>
      <c r="I47" s="23"/>
      <c r="J47" s="21"/>
      <c r="M47" s="24"/>
      <c r="O47" s="21"/>
    </row>
    <row r="48" spans="1:13" ht="12.75">
      <c r="A48" s="129"/>
      <c r="B48" s="129"/>
      <c r="C48" s="129"/>
      <c r="D48" s="129"/>
      <c r="E48" s="129"/>
      <c r="F48" s="129"/>
      <c r="G48" s="129"/>
      <c r="H48" s="129"/>
      <c r="I48" s="49" t="s">
        <v>76</v>
      </c>
      <c r="J48" s="15"/>
      <c r="K48" s="15"/>
      <c r="L48" s="15"/>
      <c r="M48" s="15"/>
    </row>
    <row r="49" spans="1:13" ht="12.75">
      <c r="A49" s="125"/>
      <c r="B49" s="125"/>
      <c r="C49" s="125"/>
      <c r="D49" s="125"/>
      <c r="E49" s="125"/>
      <c r="F49" s="125"/>
      <c r="G49" s="125"/>
      <c r="H49" s="125"/>
      <c r="I49" t="s">
        <v>68</v>
      </c>
      <c r="M49" s="15"/>
    </row>
    <row r="50" spans="1:13" ht="12.75">
      <c r="A50" s="125"/>
      <c r="B50" s="125"/>
      <c r="C50" s="125"/>
      <c r="D50" s="125"/>
      <c r="E50" s="125"/>
      <c r="F50" s="125"/>
      <c r="G50" s="125"/>
      <c r="H50" s="125"/>
      <c r="I50" s="12">
        <f>E20</f>
        <v>1936.5223502482559</v>
      </c>
      <c r="J50" s="81" t="s">
        <v>159</v>
      </c>
      <c r="M50" s="15"/>
    </row>
    <row r="51" spans="9:13" ht="12.75">
      <c r="I51" s="12">
        <f>E17</f>
        <v>496.671544049309</v>
      </c>
      <c r="J51" t="s">
        <v>6</v>
      </c>
      <c r="M51" s="24"/>
    </row>
    <row r="52" spans="9:13" ht="12.75">
      <c r="I52">
        <f>2189/2</f>
        <v>1094.5</v>
      </c>
      <c r="J52" t="s">
        <v>71</v>
      </c>
      <c r="M52" s="24"/>
    </row>
    <row r="53" spans="9:13" ht="12.75">
      <c r="I53">
        <f>2189/2</f>
        <v>1094.5</v>
      </c>
      <c r="J53" t="s">
        <v>94</v>
      </c>
      <c r="M53" s="24"/>
    </row>
    <row r="54" spans="1:9" ht="12.75">
      <c r="A54" s="81" t="s">
        <v>163</v>
      </c>
      <c r="I54" t="s">
        <v>50</v>
      </c>
    </row>
    <row r="55" spans="1:10" ht="12.75">
      <c r="A55" t="s">
        <v>8</v>
      </c>
      <c r="I55">
        <f>97*0</f>
        <v>0</v>
      </c>
      <c r="J55" s="81" t="s">
        <v>158</v>
      </c>
    </row>
    <row r="56" spans="1:10" ht="12.75">
      <c r="A56" t="s">
        <v>9</v>
      </c>
      <c r="I56">
        <f>I35*1000</f>
        <v>496671.544049309</v>
      </c>
      <c r="J56" t="s">
        <v>70</v>
      </c>
    </row>
    <row r="57" spans="9:10" ht="12.75">
      <c r="I57">
        <f>I52*3500</f>
        <v>3830750</v>
      </c>
      <c r="J57" t="s">
        <v>73</v>
      </c>
    </row>
    <row r="58" spans="9:13" ht="12.75">
      <c r="I58">
        <f>I53*500</f>
        <v>547250</v>
      </c>
      <c r="J58" s="81" t="s">
        <v>160</v>
      </c>
      <c r="M58" s="24"/>
    </row>
    <row r="59" spans="9:13" ht="12.75">
      <c r="I59">
        <f>500000*2</f>
        <v>1000000</v>
      </c>
      <c r="J59" t="s">
        <v>74</v>
      </c>
      <c r="M59" s="24"/>
    </row>
    <row r="60" spans="9:14" ht="12.75">
      <c r="I60">
        <f>SUM(I55:I59)</f>
        <v>5874671.544049309</v>
      </c>
      <c r="J60" t="s">
        <v>50</v>
      </c>
      <c r="K60" s="48">
        <f>I60/4623</f>
        <v>1270.7487657472007</v>
      </c>
      <c r="L60" t="s">
        <v>43</v>
      </c>
      <c r="N60" s="14"/>
    </row>
    <row r="61" spans="9:15" ht="12.75">
      <c r="I61" s="14">
        <f>I60/1000000</f>
        <v>5.874671544049309</v>
      </c>
      <c r="N61" s="14"/>
      <c r="O61" s="14"/>
    </row>
    <row r="62" spans="9:15" ht="12.75">
      <c r="I62" s="23">
        <f>I60/(3.31*365*2000)</f>
        <v>2.4312674519096587</v>
      </c>
      <c r="J62" s="21" t="s">
        <v>46</v>
      </c>
      <c r="N62" s="14"/>
      <c r="O62" s="14"/>
    </row>
    <row r="63" spans="9:15" ht="12.75">
      <c r="I63" s="14"/>
      <c r="N63" s="14"/>
      <c r="O63" s="14"/>
    </row>
    <row r="68" ht="12.75">
      <c r="A68" s="97"/>
    </row>
  </sheetData>
  <sheetProtection/>
  <mergeCells count="4">
    <mergeCell ref="A17:D21"/>
    <mergeCell ref="A24:D25"/>
    <mergeCell ref="A30:H32"/>
    <mergeCell ref="A46:H5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64"/>
  <sheetViews>
    <sheetView zoomScale="90" zoomScaleNormal="90" zoomScalePageLayoutView="0" workbookViewId="0" topLeftCell="A82">
      <selection activeCell="A37" sqref="A37"/>
    </sheetView>
  </sheetViews>
  <sheetFormatPr defaultColWidth="9.140625" defaultRowHeight="12.75"/>
  <cols>
    <col min="7" max="7" width="9.421875" style="0" bestFit="1" customWidth="1"/>
    <col min="9" max="9" width="9.57421875" style="0" bestFit="1" customWidth="1"/>
    <col min="15" max="15" width="11.57421875" style="0" bestFit="1" customWidth="1"/>
    <col min="17" max="17" width="9.140625" style="0" bestFit="1" customWidth="1"/>
    <col min="18" max="19" width="12.140625" style="0" bestFit="1" customWidth="1"/>
    <col min="20" max="20" width="9.140625" style="0" bestFit="1" customWidth="1"/>
  </cols>
  <sheetData>
    <row r="1" spans="6:16" ht="15">
      <c r="F1" s="21"/>
      <c r="O1" s="25"/>
      <c r="P1" s="25"/>
    </row>
    <row r="2" spans="5:16" ht="15">
      <c r="E2">
        <v>73336</v>
      </c>
      <c r="F2" t="s">
        <v>17</v>
      </c>
      <c r="G2" s="16"/>
      <c r="N2" s="12"/>
      <c r="P2" s="39">
        <f>18866/22913</f>
        <v>0.8233753764238642</v>
      </c>
    </row>
    <row r="3" spans="2:16" ht="15">
      <c r="B3" t="s">
        <v>84</v>
      </c>
      <c r="C3" t="s">
        <v>38</v>
      </c>
      <c r="E3" s="47">
        <v>19715.2915992919</v>
      </c>
      <c r="F3" s="81" t="s">
        <v>147</v>
      </c>
      <c r="N3" s="12"/>
      <c r="P3" s="39">
        <f>4047/22913</f>
        <v>0.17662462357613581</v>
      </c>
    </row>
    <row r="4" spans="1:16" ht="15">
      <c r="A4" s="46"/>
      <c r="L4" s="21"/>
      <c r="N4" s="26"/>
      <c r="P4" s="25"/>
    </row>
    <row r="5" spans="1:5" ht="12.75">
      <c r="A5" s="14"/>
      <c r="E5" s="12"/>
    </row>
    <row r="6" spans="1:6" ht="12.75">
      <c r="A6" s="14"/>
      <c r="E6">
        <f>E3/E2</f>
        <v>0.26883510962272145</v>
      </c>
      <c r="F6" t="s">
        <v>60</v>
      </c>
    </row>
    <row r="7" spans="5:11" ht="12.75">
      <c r="E7">
        <v>3899</v>
      </c>
      <c r="F7" s="81" t="s">
        <v>149</v>
      </c>
      <c r="K7" t="s">
        <v>18</v>
      </c>
    </row>
    <row r="8" spans="1:6" ht="12.75">
      <c r="A8" t="s">
        <v>87</v>
      </c>
      <c r="B8" s="12"/>
      <c r="E8" s="12">
        <f>3899*E6</f>
        <v>1048.188092418991</v>
      </c>
      <c r="F8" s="81" t="s">
        <v>150</v>
      </c>
    </row>
    <row r="9" spans="1:6" ht="12.75">
      <c r="A9" t="s">
        <v>88</v>
      </c>
      <c r="B9" s="12"/>
      <c r="E9" s="12">
        <f>2397*E6</f>
        <v>644.3977577656633</v>
      </c>
      <c r="F9" s="81" t="s">
        <v>148</v>
      </c>
    </row>
    <row r="10" spans="1:11" ht="12.75">
      <c r="A10" t="s">
        <v>89</v>
      </c>
      <c r="E10" s="41">
        <f>1000*E6</f>
        <v>268.83510962272146</v>
      </c>
      <c r="F10" t="s">
        <v>86</v>
      </c>
      <c r="K10" t="s">
        <v>18</v>
      </c>
    </row>
    <row r="11" spans="5:10" ht="12.75">
      <c r="E11" s="42">
        <f>2164</f>
        <v>2164</v>
      </c>
      <c r="F11" s="81" t="s">
        <v>151</v>
      </c>
      <c r="J11" s="81"/>
    </row>
    <row r="12" spans="5:6" ht="12.75">
      <c r="E12" s="44">
        <f>21450*E6</f>
        <v>5766.513101407375</v>
      </c>
      <c r="F12" s="81" t="s">
        <v>152</v>
      </c>
    </row>
    <row r="14" spans="5:6" ht="15">
      <c r="E14" s="11">
        <v>36423.90435440012</v>
      </c>
      <c r="F14" t="s">
        <v>85</v>
      </c>
    </row>
    <row r="15" spans="5:6" ht="12.75">
      <c r="E15" s="16">
        <f>E14/E3</f>
        <v>1.847495086286643</v>
      </c>
      <c r="F15" t="s">
        <v>61</v>
      </c>
    </row>
    <row r="16" ht="12.75">
      <c r="A16" s="46"/>
    </row>
    <row r="17" spans="1:6" ht="12.75">
      <c r="A17" s="125" t="s">
        <v>81</v>
      </c>
      <c r="B17" s="125"/>
      <c r="C17" s="125"/>
      <c r="D17" s="125"/>
      <c r="E17" s="12">
        <f>E10*E15</f>
        <v>496.6715440493089</v>
      </c>
      <c r="F17" t="s">
        <v>5</v>
      </c>
    </row>
    <row r="18" spans="1:17" ht="12.75">
      <c r="A18" s="125"/>
      <c r="B18" s="125"/>
      <c r="C18" s="125"/>
      <c r="D18" s="125"/>
      <c r="E18" s="12">
        <f>E11*E15</f>
        <v>3997.9793667242957</v>
      </c>
      <c r="F18" t="s">
        <v>72</v>
      </c>
      <c r="Q18" s="27"/>
    </row>
    <row r="19" spans="1:17" ht="12.75">
      <c r="A19" s="125"/>
      <c r="B19" s="125"/>
      <c r="C19" s="125"/>
      <c r="D19" s="125"/>
      <c r="E19" s="12">
        <f>E15*E12</f>
        <v>10653.604619857675</v>
      </c>
      <c r="F19" t="s">
        <v>62</v>
      </c>
      <c r="Q19" s="27"/>
    </row>
    <row r="20" spans="1:6" ht="12.75">
      <c r="A20" s="125"/>
      <c r="B20" s="125"/>
      <c r="C20" s="125"/>
      <c r="D20" s="125"/>
      <c r="E20" s="12">
        <f>E8*E15</f>
        <v>1936.5223502482554</v>
      </c>
      <c r="F20" t="s">
        <v>63</v>
      </c>
    </row>
    <row r="21" spans="1:19" ht="15">
      <c r="A21" s="125"/>
      <c r="B21" s="125"/>
      <c r="C21" s="125"/>
      <c r="D21" s="125"/>
      <c r="E21" s="12">
        <f>E9*E15</f>
        <v>1190.5216910861934</v>
      </c>
      <c r="F21" t="s">
        <v>64</v>
      </c>
      <c r="R21" s="25"/>
      <c r="S21" s="25"/>
    </row>
    <row r="22" spans="6:19" ht="15">
      <c r="F22" t="s">
        <v>16</v>
      </c>
      <c r="R22" s="25"/>
      <c r="S22" s="25"/>
    </row>
    <row r="23" spans="5:19" ht="15">
      <c r="E23" s="12" t="s">
        <v>38</v>
      </c>
      <c r="F23" t="s">
        <v>38</v>
      </c>
      <c r="R23" s="25"/>
      <c r="S23" s="25"/>
    </row>
    <row r="24" spans="1:19" ht="15">
      <c r="A24" s="126"/>
      <c r="B24" s="125"/>
      <c r="C24" s="125"/>
      <c r="D24" s="125"/>
      <c r="E24" s="12"/>
      <c r="R24" s="25"/>
      <c r="S24" s="25"/>
    </row>
    <row r="25" spans="1:19" ht="15">
      <c r="A25" s="125"/>
      <c r="B25" s="125"/>
      <c r="C25" s="125"/>
      <c r="D25" s="125"/>
      <c r="E25" s="12"/>
      <c r="M25" s="35"/>
      <c r="R25" s="25"/>
      <c r="S25" s="25"/>
    </row>
    <row r="26" spans="1:19" ht="15">
      <c r="A26" s="14"/>
      <c r="B26" s="14"/>
      <c r="C26" s="14"/>
      <c r="D26" s="14"/>
      <c r="E26" s="12"/>
      <c r="R26" s="25"/>
      <c r="S26" s="25"/>
    </row>
    <row r="27" spans="18:19" ht="15">
      <c r="R27" s="25"/>
      <c r="S27" s="25"/>
    </row>
    <row r="28" spans="5:19" ht="15">
      <c r="E28" s="21"/>
      <c r="R28" s="25"/>
      <c r="S28" s="25"/>
    </row>
    <row r="29" spans="1:19" ht="15">
      <c r="A29" s="21" t="s">
        <v>41</v>
      </c>
      <c r="M29" s="24"/>
      <c r="R29" s="25"/>
      <c r="S29" s="25"/>
    </row>
    <row r="30" spans="1:19" ht="14.25" customHeight="1">
      <c r="A30" s="126" t="s">
        <v>155</v>
      </c>
      <c r="B30" s="127"/>
      <c r="C30" s="127"/>
      <c r="D30" s="127"/>
      <c r="E30" s="127"/>
      <c r="F30" s="127"/>
      <c r="G30" s="127"/>
      <c r="H30" s="127"/>
      <c r="R30" s="25"/>
      <c r="S30" s="25"/>
    </row>
    <row r="31" spans="1:19" ht="15">
      <c r="A31" s="127"/>
      <c r="B31" s="127"/>
      <c r="C31" s="127"/>
      <c r="D31" s="127"/>
      <c r="E31" s="127"/>
      <c r="F31" s="127"/>
      <c r="G31" s="127"/>
      <c r="H31" s="127"/>
      <c r="R31" s="25"/>
      <c r="S31" s="25"/>
    </row>
    <row r="32" spans="1:19" ht="15">
      <c r="A32" s="127"/>
      <c r="B32" s="127"/>
      <c r="C32" s="127"/>
      <c r="D32" s="127"/>
      <c r="E32" s="127"/>
      <c r="F32" s="127"/>
      <c r="G32" s="127"/>
      <c r="H32" s="127"/>
      <c r="I32" s="21"/>
      <c r="N32" s="12"/>
      <c r="Q32" s="25"/>
      <c r="R32" s="25"/>
      <c r="S32" s="25"/>
    </row>
    <row r="33" spans="1:19" ht="15">
      <c r="A33" t="s">
        <v>13</v>
      </c>
      <c r="N33" s="12"/>
      <c r="Q33" s="25"/>
      <c r="R33" s="25"/>
      <c r="S33" s="25"/>
    </row>
    <row r="34" spans="1:19" ht="15">
      <c r="A34" s="81" t="s">
        <v>134</v>
      </c>
      <c r="I34" s="12"/>
      <c r="N34" s="12"/>
      <c r="Q34" s="25"/>
      <c r="R34" s="25"/>
      <c r="S34" s="25"/>
    </row>
    <row r="35" spans="1:19" ht="15">
      <c r="A35" t="s">
        <v>14</v>
      </c>
      <c r="I35" s="12"/>
      <c r="N35" s="12"/>
      <c r="Q35" s="25"/>
      <c r="R35" s="25"/>
      <c r="S35" s="25"/>
    </row>
    <row r="36" spans="1:19" ht="15">
      <c r="A36" s="97" t="s">
        <v>136</v>
      </c>
      <c r="B36" s="37"/>
      <c r="C36" s="37"/>
      <c r="D36" s="37"/>
      <c r="E36" s="37"/>
      <c r="F36" s="37"/>
      <c r="G36" s="37"/>
      <c r="I36" s="12"/>
      <c r="N36" s="12"/>
      <c r="Q36" s="25"/>
      <c r="R36" s="25"/>
      <c r="S36" s="25"/>
    </row>
    <row r="37" spans="1:19" ht="15">
      <c r="A37" s="37" t="s">
        <v>19</v>
      </c>
      <c r="B37" s="15"/>
      <c r="C37" s="15"/>
      <c r="D37" s="15"/>
      <c r="E37" s="15"/>
      <c r="F37" s="15"/>
      <c r="G37" s="15"/>
      <c r="Q37" s="25"/>
      <c r="R37" s="25"/>
      <c r="S37" s="25"/>
    </row>
    <row r="38" spans="1:19" ht="15">
      <c r="A38" s="97" t="s">
        <v>165</v>
      </c>
      <c r="B38" s="15"/>
      <c r="C38" s="15"/>
      <c r="D38" s="15"/>
      <c r="E38" s="15"/>
      <c r="F38" s="15"/>
      <c r="G38" s="15"/>
      <c r="Q38" s="25"/>
      <c r="R38" s="25"/>
      <c r="S38" s="25"/>
    </row>
    <row r="39" spans="6:8" ht="12.75">
      <c r="F39" s="36"/>
      <c r="G39" s="15"/>
      <c r="H39" s="15"/>
    </row>
    <row r="40" spans="1:9" ht="12.75">
      <c r="A40" s="36" t="s">
        <v>67</v>
      </c>
      <c r="B40" s="15"/>
      <c r="C40" s="15"/>
      <c r="D40" s="15"/>
      <c r="E40" s="15"/>
      <c r="F40" s="15"/>
      <c r="G40" s="15"/>
      <c r="I40" s="12"/>
    </row>
    <row r="41" ht="12.75">
      <c r="A41" s="15" t="s">
        <v>12</v>
      </c>
    </row>
    <row r="42" ht="12.75">
      <c r="A42" s="22"/>
    </row>
    <row r="43" spans="1:11" ht="12.75">
      <c r="A43" s="37"/>
      <c r="B43" s="37"/>
      <c r="C43" s="37"/>
      <c r="D43" s="37"/>
      <c r="E43" s="37"/>
      <c r="F43" s="37"/>
      <c r="G43" s="37"/>
      <c r="K43" s="48"/>
    </row>
    <row r="44" spans="1:7" ht="12.75">
      <c r="A44" s="37" t="s">
        <v>15</v>
      </c>
      <c r="B44" s="37"/>
      <c r="C44" s="37"/>
      <c r="D44" s="37"/>
      <c r="E44" s="37"/>
      <c r="F44" s="37"/>
      <c r="G44" s="37"/>
    </row>
    <row r="45" ht="12.75">
      <c r="M45" s="24"/>
    </row>
    <row r="46" spans="1:15" ht="12.75" customHeight="1">
      <c r="A46" s="128" t="s">
        <v>157</v>
      </c>
      <c r="B46" s="129"/>
      <c r="C46" s="129"/>
      <c r="D46" s="129"/>
      <c r="E46" s="129"/>
      <c r="F46" s="129"/>
      <c r="G46" s="129"/>
      <c r="H46" s="129"/>
      <c r="I46" s="23"/>
      <c r="J46" s="21"/>
      <c r="M46" s="24"/>
      <c r="O46" s="21"/>
    </row>
    <row r="47" spans="1:15" ht="12.75">
      <c r="A47" s="129"/>
      <c r="B47" s="129"/>
      <c r="C47" s="129"/>
      <c r="D47" s="129"/>
      <c r="E47" s="129"/>
      <c r="F47" s="129"/>
      <c r="G47" s="129"/>
      <c r="H47" s="129"/>
      <c r="I47" s="23"/>
      <c r="J47" s="21"/>
      <c r="M47" s="24"/>
      <c r="O47" s="21"/>
    </row>
    <row r="48" spans="1:13" ht="12.75">
      <c r="A48" s="129"/>
      <c r="B48" s="129"/>
      <c r="C48" s="129"/>
      <c r="D48" s="129"/>
      <c r="E48" s="129"/>
      <c r="F48" s="129"/>
      <c r="G48" s="129"/>
      <c r="H48" s="129"/>
      <c r="I48" s="49"/>
      <c r="J48" s="15"/>
      <c r="K48" s="15"/>
      <c r="L48" s="15"/>
      <c r="M48" s="15"/>
    </row>
    <row r="49" spans="1:13" ht="12.75">
      <c r="A49" s="125"/>
      <c r="B49" s="125"/>
      <c r="C49" s="125"/>
      <c r="D49" s="125"/>
      <c r="E49" s="125"/>
      <c r="F49" s="125"/>
      <c r="G49" s="125"/>
      <c r="H49" s="125"/>
      <c r="M49" s="15"/>
    </row>
    <row r="50" spans="1:13" ht="12.75">
      <c r="A50" s="125"/>
      <c r="B50" s="125"/>
      <c r="C50" s="125"/>
      <c r="D50" s="125"/>
      <c r="E50" s="125"/>
      <c r="F50" s="125"/>
      <c r="G50" s="125"/>
      <c r="H50" s="125"/>
      <c r="I50" s="12"/>
      <c r="M50" s="15"/>
    </row>
    <row r="51" spans="9:13" ht="12.75">
      <c r="I51" s="12"/>
      <c r="M51" s="24"/>
    </row>
    <row r="52" spans="9:15" ht="12.75">
      <c r="I52" s="14"/>
      <c r="N52" s="14"/>
      <c r="O52" s="14"/>
    </row>
    <row r="53" ht="12.75">
      <c r="E53" t="s">
        <v>78</v>
      </c>
    </row>
    <row r="55" spans="6:7" ht="12.75">
      <c r="F55" s="34">
        <f>E15</f>
        <v>1.847495086286643</v>
      </c>
      <c r="G55" t="s">
        <v>61</v>
      </c>
    </row>
    <row r="57" spans="2:7" ht="12.75">
      <c r="B57" s="125" t="s">
        <v>81</v>
      </c>
      <c r="C57" s="125"/>
      <c r="D57" s="125"/>
      <c r="E57" s="125"/>
      <c r="F57" s="12">
        <f>E17</f>
        <v>496.6715440493089</v>
      </c>
      <c r="G57" t="s">
        <v>5</v>
      </c>
    </row>
    <row r="58" spans="2:7" ht="12.75">
      <c r="B58" s="125"/>
      <c r="C58" s="125"/>
      <c r="D58" s="125"/>
      <c r="E58" s="125"/>
      <c r="F58" s="12">
        <f>E18</f>
        <v>3997.9793667242957</v>
      </c>
      <c r="G58" t="s">
        <v>72</v>
      </c>
    </row>
    <row r="59" spans="2:7" ht="12.75">
      <c r="B59" s="125"/>
      <c r="C59" s="125"/>
      <c r="D59" s="125"/>
      <c r="E59" s="125"/>
      <c r="F59" s="12">
        <f>E19</f>
        <v>10653.604619857675</v>
      </c>
      <c r="G59" t="s">
        <v>62</v>
      </c>
    </row>
    <row r="60" spans="2:7" ht="12.75">
      <c r="B60" s="125"/>
      <c r="C60" s="125"/>
      <c r="D60" s="125"/>
      <c r="E60" s="125"/>
      <c r="F60" s="12">
        <f>E20</f>
        <v>1936.5223502482554</v>
      </c>
      <c r="G60" t="s">
        <v>63</v>
      </c>
    </row>
    <row r="61" spans="2:7" ht="12.75">
      <c r="B61" s="125"/>
      <c r="C61" s="125"/>
      <c r="D61" s="125"/>
      <c r="E61" s="125"/>
      <c r="F61" s="12">
        <f>E21</f>
        <v>1190.5216910861934</v>
      </c>
      <c r="G61" t="s">
        <v>64</v>
      </c>
    </row>
    <row r="62" ht="12.75">
      <c r="G62" t="s">
        <v>92</v>
      </c>
    </row>
    <row r="63" spans="6:7" ht="12.75">
      <c r="F63" s="12" t="s">
        <v>38</v>
      </c>
      <c r="G63" t="s">
        <v>38</v>
      </c>
    </row>
    <row r="64" spans="2:7" ht="12.75">
      <c r="B64" s="125" t="s">
        <v>82</v>
      </c>
      <c r="C64" s="125"/>
      <c r="D64" s="125"/>
      <c r="E64" s="125"/>
      <c r="F64" s="12">
        <v>9365</v>
      </c>
      <c r="G64" t="s">
        <v>96</v>
      </c>
    </row>
    <row r="65" spans="2:14" ht="12.75">
      <c r="B65" s="125"/>
      <c r="C65" s="125"/>
      <c r="D65" s="125"/>
      <c r="E65" s="125"/>
      <c r="F65" s="12">
        <f>0.024*F64</f>
        <v>224.76</v>
      </c>
      <c r="G65" t="s">
        <v>95</v>
      </c>
      <c r="N65" s="35">
        <v>0.024</v>
      </c>
    </row>
    <row r="66" spans="2:14" ht="12.75">
      <c r="B66" s="125"/>
      <c r="C66" s="125"/>
      <c r="D66" s="125"/>
      <c r="E66" s="125"/>
      <c r="F66" s="12">
        <f>0.021*F64</f>
        <v>196.66500000000002</v>
      </c>
      <c r="G66" s="81" t="s">
        <v>137</v>
      </c>
      <c r="N66" s="35">
        <v>0.021</v>
      </c>
    </row>
    <row r="68" ht="12.75">
      <c r="G68" s="21" t="s">
        <v>75</v>
      </c>
    </row>
    <row r="69" ht="12.75">
      <c r="G69" t="s">
        <v>68</v>
      </c>
    </row>
    <row r="70" spans="1:8" ht="12.75">
      <c r="A70" s="81" t="s">
        <v>163</v>
      </c>
      <c r="G70" s="12">
        <f>F66</f>
        <v>196.66500000000002</v>
      </c>
      <c r="H70" s="81" t="s">
        <v>138</v>
      </c>
    </row>
    <row r="71" spans="1:8" ht="12.75">
      <c r="A71" t="s">
        <v>8</v>
      </c>
      <c r="G71" s="12">
        <f>F65</f>
        <v>224.76</v>
      </c>
      <c r="H71" t="s">
        <v>98</v>
      </c>
    </row>
    <row r="72" spans="1:8" ht="12.75">
      <c r="A72" t="s">
        <v>9</v>
      </c>
      <c r="G72" s="12">
        <f>F61-225</f>
        <v>965.5216910861934</v>
      </c>
      <c r="H72" t="s">
        <v>99</v>
      </c>
    </row>
    <row r="73" spans="7:8" ht="12.75">
      <c r="G73" s="12">
        <f>F60-F61</f>
        <v>746.000659162062</v>
      </c>
      <c r="H73" t="s">
        <v>97</v>
      </c>
    </row>
    <row r="74" spans="7:8" ht="12.75">
      <c r="G74" s="12">
        <f>F57</f>
        <v>496.6715440493089</v>
      </c>
      <c r="H74" t="s">
        <v>3</v>
      </c>
    </row>
    <row r="75" spans="7:8" ht="12.75">
      <c r="G75" s="12">
        <f>F58</f>
        <v>3997.9793667242957</v>
      </c>
      <c r="H75" t="s">
        <v>100</v>
      </c>
    </row>
    <row r="76" spans="7:8" ht="12.75">
      <c r="G76">
        <v>2678</v>
      </c>
      <c r="H76" t="s">
        <v>101</v>
      </c>
    </row>
    <row r="78" ht="12.75">
      <c r="G78" t="s">
        <v>102</v>
      </c>
    </row>
    <row r="79" spans="7:8" ht="12.75">
      <c r="G79">
        <f>197*10000</f>
        <v>1970000</v>
      </c>
      <c r="H79" s="81" t="s">
        <v>139</v>
      </c>
    </row>
    <row r="80" spans="7:8" ht="12.75" customHeight="1">
      <c r="G80">
        <v>0</v>
      </c>
      <c r="H80" t="s">
        <v>1</v>
      </c>
    </row>
    <row r="81" spans="7:8" ht="12.75">
      <c r="G81">
        <v>0</v>
      </c>
      <c r="H81" t="s">
        <v>2</v>
      </c>
    </row>
    <row r="82" spans="7:8" ht="12.75">
      <c r="G82">
        <f>G74*1000</f>
        <v>496671.5440493089</v>
      </c>
      <c r="H82" t="s">
        <v>4</v>
      </c>
    </row>
    <row r="83" spans="7:8" ht="12.75">
      <c r="G83">
        <f>3500*G75</f>
        <v>13992927.783535035</v>
      </c>
      <c r="H83" t="s">
        <v>7</v>
      </c>
    </row>
    <row r="84" spans="7:10" ht="12.75">
      <c r="G84">
        <f>G76*6000</f>
        <v>16068000</v>
      </c>
      <c r="H84" t="s">
        <v>0</v>
      </c>
      <c r="J84" s="12"/>
    </row>
    <row r="85" spans="7:10" ht="12.75">
      <c r="G85">
        <v>1000000</v>
      </c>
      <c r="H85" s="81" t="s">
        <v>135</v>
      </c>
      <c r="J85" s="12"/>
    </row>
    <row r="86" spans="7:8" ht="12.75">
      <c r="G86">
        <f>500000*2</f>
        <v>1000000</v>
      </c>
      <c r="H86" t="s">
        <v>74</v>
      </c>
    </row>
    <row r="87" spans="7:10" ht="12.75">
      <c r="G87">
        <f>SUM(G79:G86)</f>
        <v>34527599.32758434</v>
      </c>
      <c r="H87" t="s">
        <v>50</v>
      </c>
      <c r="I87" s="48">
        <f>G87/9365</f>
        <v>3686.876596645418</v>
      </c>
      <c r="J87" t="s">
        <v>43</v>
      </c>
    </row>
    <row r="88" spans="7:8" ht="12.75">
      <c r="G88" s="23">
        <f>G87/(6.91*365*2000)</f>
        <v>6.844874279401372</v>
      </c>
      <c r="H88" s="21" t="s">
        <v>79</v>
      </c>
    </row>
    <row r="89" ht="12.75">
      <c r="O89" s="21"/>
    </row>
    <row r="90" spans="5:7" ht="12.75">
      <c r="E90" s="21" t="s">
        <v>45</v>
      </c>
      <c r="G90" t="s">
        <v>11</v>
      </c>
    </row>
    <row r="91" spans="7:8" ht="12.75">
      <c r="G91" s="12">
        <f>G70</f>
        <v>196.66500000000002</v>
      </c>
      <c r="H91" s="81" t="s">
        <v>140</v>
      </c>
    </row>
    <row r="92" spans="7:8" ht="12.75">
      <c r="G92" s="12">
        <f>G71</f>
        <v>224.76</v>
      </c>
      <c r="H92" t="s">
        <v>98</v>
      </c>
    </row>
    <row r="93" spans="7:8" ht="12.75">
      <c r="G93" s="12">
        <f>G72</f>
        <v>965.5216910861934</v>
      </c>
      <c r="H93" t="s">
        <v>99</v>
      </c>
    </row>
    <row r="94" spans="7:8" ht="12.75">
      <c r="G94" s="12">
        <f>G73</f>
        <v>746.000659162062</v>
      </c>
      <c r="H94" t="s">
        <v>97</v>
      </c>
    </row>
    <row r="95" spans="1:16" ht="12.75">
      <c r="A95" s="15"/>
      <c r="B95" s="15"/>
      <c r="C95" s="15"/>
      <c r="D95" s="15"/>
      <c r="E95" s="15"/>
      <c r="F95" s="15"/>
      <c r="G95" s="12">
        <f>G74</f>
        <v>496.6715440493089</v>
      </c>
      <c r="H95" t="s">
        <v>3</v>
      </c>
      <c r="J95" s="15"/>
      <c r="K95" s="15"/>
      <c r="L95" s="15"/>
      <c r="M95" s="15"/>
      <c r="N95" s="15"/>
      <c r="O95" s="15"/>
      <c r="P95" s="15"/>
    </row>
    <row r="96" spans="1:16" ht="12.75">
      <c r="A96" s="15"/>
      <c r="B96" s="15"/>
      <c r="C96" s="15"/>
      <c r="D96" s="15"/>
      <c r="E96" s="24"/>
      <c r="F96" s="15"/>
      <c r="G96" s="12">
        <v>3367</v>
      </c>
      <c r="H96" t="s">
        <v>100</v>
      </c>
      <c r="J96" s="15"/>
      <c r="K96" s="15"/>
      <c r="L96" s="15"/>
      <c r="M96" s="15"/>
      <c r="N96" s="15"/>
      <c r="O96" s="15"/>
      <c r="P96" s="15"/>
    </row>
    <row r="97" spans="7:8" ht="12.75">
      <c r="G97">
        <v>3367</v>
      </c>
      <c r="H97" s="81" t="s">
        <v>164</v>
      </c>
    </row>
    <row r="100" ht="12.75">
      <c r="G100" t="s">
        <v>50</v>
      </c>
    </row>
    <row r="101" spans="7:8" ht="12.75">
      <c r="G101">
        <f>G91*2000</f>
        <v>393330.00000000006</v>
      </c>
      <c r="H101" s="81" t="s">
        <v>145</v>
      </c>
    </row>
    <row r="102" spans="7:8" ht="12.75">
      <c r="G102">
        <v>0</v>
      </c>
      <c r="H102" t="s">
        <v>1</v>
      </c>
    </row>
    <row r="103" spans="7:8" ht="12.75">
      <c r="G103">
        <v>0</v>
      </c>
      <c r="H103" t="s">
        <v>2</v>
      </c>
    </row>
    <row r="104" spans="7:8" ht="12.75">
      <c r="G104" s="12">
        <f>G95*1000</f>
        <v>496671.5440493089</v>
      </c>
      <c r="H104" t="s">
        <v>70</v>
      </c>
    </row>
    <row r="105" spans="7:8" ht="12.75">
      <c r="G105">
        <f>G96*3500</f>
        <v>11784500</v>
      </c>
      <c r="H105" t="s">
        <v>73</v>
      </c>
    </row>
    <row r="106" spans="7:8" ht="12.75">
      <c r="G106">
        <f>G97*500</f>
        <v>1683500</v>
      </c>
      <c r="H106" t="s">
        <v>77</v>
      </c>
    </row>
    <row r="107" spans="7:21" ht="12.75">
      <c r="G107">
        <v>1000000</v>
      </c>
      <c r="H107" s="81" t="s">
        <v>135</v>
      </c>
      <c r="U107" s="12"/>
    </row>
    <row r="108" spans="7:21" ht="12.75">
      <c r="G108">
        <f>500000*2</f>
        <v>1000000</v>
      </c>
      <c r="H108" t="s">
        <v>74</v>
      </c>
      <c r="U108" s="12"/>
    </row>
    <row r="109" spans="7:21" ht="12.75">
      <c r="G109">
        <f>SUM(G101:G108)</f>
        <v>16358001.54404931</v>
      </c>
      <c r="H109" t="s">
        <v>50</v>
      </c>
      <c r="I109" s="38">
        <f>G109/9365</f>
        <v>1746.7166624718964</v>
      </c>
      <c r="J109" t="s">
        <v>43</v>
      </c>
      <c r="U109" s="12"/>
    </row>
    <row r="110" spans="7:21" ht="12.75">
      <c r="G110" s="23">
        <f>G109/(6.91*365*2000)</f>
        <v>3.2428684939534347</v>
      </c>
      <c r="H110" s="21" t="s">
        <v>80</v>
      </c>
      <c r="U110" s="12"/>
    </row>
    <row r="111" ht="12.75">
      <c r="U111" s="12"/>
    </row>
    <row r="112" spans="1:16" ht="12.75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ht="14.25" customHeight="1"/>
    <row r="140" spans="18:34" ht="12.75"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</row>
    <row r="144" spans="17:19" ht="12.75">
      <c r="Q144" s="15"/>
      <c r="R144" s="15"/>
      <c r="S144" s="15"/>
    </row>
    <row r="145" spans="17:19" ht="12.75">
      <c r="Q145" s="15"/>
      <c r="R145" s="15"/>
      <c r="S145" s="15"/>
    </row>
    <row r="163" ht="12.75" customHeight="1">
      <c r="Q163" s="14"/>
    </row>
    <row r="164" ht="12.75">
      <c r="Q164" s="14"/>
    </row>
  </sheetData>
  <sheetProtection/>
  <mergeCells count="7">
    <mergeCell ref="R140:AH140"/>
    <mergeCell ref="B57:E61"/>
    <mergeCell ref="B64:E66"/>
    <mergeCell ref="A17:D21"/>
    <mergeCell ref="A24:D25"/>
    <mergeCell ref="A30:H32"/>
    <mergeCell ref="A46:H5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7"/>
  <sheetViews>
    <sheetView zoomScale="70" zoomScaleNormal="70" zoomScalePageLayoutView="0" workbookViewId="0" topLeftCell="A28">
      <selection activeCell="B32" sqref="B32"/>
    </sheetView>
  </sheetViews>
  <sheetFormatPr defaultColWidth="9.140625" defaultRowHeight="12.75"/>
  <cols>
    <col min="2" max="2" width="13.8515625" style="0" customWidth="1"/>
    <col min="3" max="3" width="10.28125" style="18" customWidth="1"/>
    <col min="4" max="4" width="13.421875" style="73" customWidth="1"/>
    <col min="5" max="5" width="12.421875" style="73" customWidth="1"/>
    <col min="6" max="6" width="11.421875" style="73" customWidth="1"/>
    <col min="7" max="7" width="8.7109375" style="12" customWidth="1"/>
    <col min="8" max="8" width="18.421875" style="0" customWidth="1"/>
    <col min="9" max="9" width="10.28125" style="0" customWidth="1"/>
    <col min="10" max="10" width="16.57421875" style="0" customWidth="1"/>
    <col min="14" max="14" width="10.8515625" style="0" bestFit="1" customWidth="1"/>
  </cols>
  <sheetData>
    <row r="1" ht="12.75">
      <c r="C1" s="96" t="s">
        <v>166</v>
      </c>
    </row>
    <row r="2" spans="1:16" ht="28.5" customHeight="1">
      <c r="A2" s="67" t="s">
        <v>103</v>
      </c>
      <c r="B2" s="70" t="s">
        <v>104</v>
      </c>
      <c r="C2" s="69" t="s">
        <v>103</v>
      </c>
      <c r="D2" s="75" t="s">
        <v>105</v>
      </c>
      <c r="E2" s="75" t="s">
        <v>106</v>
      </c>
      <c r="F2" s="99" t="s">
        <v>107</v>
      </c>
      <c r="G2" s="100" t="s">
        <v>108</v>
      </c>
      <c r="H2" s="81" t="s">
        <v>130</v>
      </c>
      <c r="I2" s="95" t="s">
        <v>115</v>
      </c>
      <c r="J2" s="81" t="s">
        <v>130</v>
      </c>
      <c r="K2" s="80" t="s">
        <v>112</v>
      </c>
      <c r="L2" s="87" t="s">
        <v>130</v>
      </c>
      <c r="N2" s="76" t="s">
        <v>118</v>
      </c>
      <c r="O2" s="76" t="s">
        <v>119</v>
      </c>
      <c r="P2" s="76" t="s">
        <v>121</v>
      </c>
    </row>
    <row r="3" spans="1:12" ht="15">
      <c r="A3" s="68">
        <v>2012</v>
      </c>
      <c r="D3" s="73">
        <v>19715.2915992919</v>
      </c>
      <c r="G3" s="12">
        <v>1048</v>
      </c>
      <c r="H3" s="76" t="s">
        <v>110</v>
      </c>
      <c r="I3" s="76">
        <v>269</v>
      </c>
      <c r="J3" s="76" t="s">
        <v>114</v>
      </c>
      <c r="K3">
        <v>2164</v>
      </c>
      <c r="L3" s="76" t="s">
        <v>113</v>
      </c>
    </row>
    <row r="4" spans="1:14" ht="15">
      <c r="A4" s="68">
        <v>2015</v>
      </c>
      <c r="B4" s="71">
        <v>0.04</v>
      </c>
      <c r="C4" s="72">
        <v>2015</v>
      </c>
      <c r="D4" s="74">
        <v>27021.39551310882</v>
      </c>
      <c r="E4" s="74">
        <v>1080.8558205243523</v>
      </c>
      <c r="F4" s="73">
        <f>D4/D3</f>
        <v>1.3705805657005512</v>
      </c>
      <c r="G4" s="12">
        <f>G3*F4</f>
        <v>1436.3684328541776</v>
      </c>
      <c r="H4" s="16"/>
      <c r="I4" s="12">
        <f>269*F4</f>
        <v>368.68617217344826</v>
      </c>
      <c r="J4" s="16"/>
      <c r="K4">
        <f>2164*F4</f>
        <v>2965.936344175993</v>
      </c>
      <c r="L4" s="16"/>
      <c r="N4">
        <f>H4*1000+J4*4000</f>
        <v>0</v>
      </c>
    </row>
    <row r="5" spans="1:14" ht="15">
      <c r="A5" s="68">
        <v>2016</v>
      </c>
      <c r="B5" s="71">
        <v>0.042</v>
      </c>
      <c r="C5" s="72">
        <v>2016</v>
      </c>
      <c r="D5" s="74">
        <v>28273.823928256294</v>
      </c>
      <c r="E5" s="74">
        <v>1187.5006049867645</v>
      </c>
      <c r="F5" s="73">
        <f>D5/D3</f>
        <v>1.4341063019971656</v>
      </c>
      <c r="G5" s="12">
        <f>G3*F5</f>
        <v>1502.9434044930294</v>
      </c>
      <c r="H5" s="16"/>
      <c r="I5" s="12">
        <f aca="true" t="shared" si="0" ref="I5:I24">269*F5</f>
        <v>385.7745952372375</v>
      </c>
      <c r="J5" s="16"/>
      <c r="K5">
        <f aca="true" t="shared" si="1" ref="K5:K24">2164*F5</f>
        <v>3103.4060375218664</v>
      </c>
      <c r="L5" s="16"/>
      <c r="N5">
        <f>H5*1000+J5*4000</f>
        <v>0</v>
      </c>
    </row>
    <row r="6" spans="1:14" ht="15">
      <c r="A6" s="68">
        <v>2017</v>
      </c>
      <c r="B6" s="71">
        <v>0.0441</v>
      </c>
      <c r="C6" s="72">
        <v>2017</v>
      </c>
      <c r="D6" s="74">
        <v>30175.693307751946</v>
      </c>
      <c r="E6" s="74">
        <v>1330.7480748718613</v>
      </c>
      <c r="F6" s="73">
        <f>D6/D3</f>
        <v>1.5305730151531587</v>
      </c>
      <c r="G6" s="12">
        <f>G3*F6</f>
        <v>1604.0405198805104</v>
      </c>
      <c r="H6" s="16"/>
      <c r="I6" s="12">
        <f t="shared" si="0"/>
        <v>411.7241410761997</v>
      </c>
      <c r="J6" s="16"/>
      <c r="K6">
        <f t="shared" si="1"/>
        <v>3312.1600047914353</v>
      </c>
      <c r="L6" s="16"/>
      <c r="N6">
        <f>H6*1000+J6*4000</f>
        <v>0</v>
      </c>
    </row>
    <row r="7" spans="1:14" ht="15">
      <c r="A7" s="68">
        <v>2018</v>
      </c>
      <c r="B7" s="71">
        <v>0.046305000000000006</v>
      </c>
      <c r="C7" s="72">
        <v>2018</v>
      </c>
      <c r="D7" s="74">
        <v>30589.692398706065</v>
      </c>
      <c r="E7" s="74">
        <v>1416.4557065220847</v>
      </c>
      <c r="F7" s="73">
        <f>D7/D3</f>
        <v>1.551571897612954</v>
      </c>
      <c r="G7" s="12">
        <f>G3*F7</f>
        <v>1626.0473486983758</v>
      </c>
      <c r="H7" s="16"/>
      <c r="I7" s="12">
        <f t="shared" si="0"/>
        <v>417.37284045788465</v>
      </c>
      <c r="J7" s="16"/>
      <c r="K7">
        <f t="shared" si="1"/>
        <v>3357.6015864344326</v>
      </c>
      <c r="L7" s="16"/>
      <c r="N7">
        <f>H7*1000+J7*4000</f>
        <v>0</v>
      </c>
    </row>
    <row r="8" spans="1:16" ht="15">
      <c r="A8" s="68">
        <v>2019</v>
      </c>
      <c r="B8" s="71">
        <v>0.04862025000000001</v>
      </c>
      <c r="C8" s="72">
        <v>2019</v>
      </c>
      <c r="D8" s="74">
        <v>30705.088718266798</v>
      </c>
      <c r="E8" s="74">
        <v>1492.889089754312</v>
      </c>
      <c r="F8" s="73">
        <f>D8/D3</f>
        <v>1.5574250354668662</v>
      </c>
      <c r="G8" s="12">
        <f>G3*F8</f>
        <v>1632.1814371692758</v>
      </c>
      <c r="H8" s="77" t="s">
        <v>109</v>
      </c>
      <c r="I8" s="12">
        <f t="shared" si="0"/>
        <v>418.947334540587</v>
      </c>
      <c r="J8" s="16"/>
      <c r="K8">
        <f t="shared" si="1"/>
        <v>3370.2677767502983</v>
      </c>
      <c r="L8" s="16"/>
      <c r="N8">
        <f>J8*4000</f>
        <v>0</v>
      </c>
      <c r="P8" s="81" t="s">
        <v>38</v>
      </c>
    </row>
    <row r="9" spans="1:15" ht="15">
      <c r="A9" s="68">
        <v>2020</v>
      </c>
      <c r="B9" s="71">
        <v>0.061051262500000016</v>
      </c>
      <c r="C9" s="72">
        <v>2020</v>
      </c>
      <c r="D9" s="74">
        <v>30744.219430739413</v>
      </c>
      <c r="E9" s="74">
        <v>1876.973410823673</v>
      </c>
      <c r="F9" s="73">
        <f>D9/D3</f>
        <v>1.5594098254090054</v>
      </c>
      <c r="G9" s="12">
        <f>G3*F9</f>
        <v>1634.2614970286377</v>
      </c>
      <c r="H9" s="12">
        <f aca="true" t="shared" si="2" ref="H9:H24">E9-G9</f>
        <v>242.71191379503534</v>
      </c>
      <c r="I9" s="12">
        <f t="shared" si="0"/>
        <v>419.48124303502243</v>
      </c>
      <c r="J9" s="16"/>
      <c r="K9">
        <f t="shared" si="1"/>
        <v>3374.562862185088</v>
      </c>
      <c r="L9" s="16"/>
      <c r="N9">
        <f>H9*1000+J9*3500</f>
        <v>242711.91379503533</v>
      </c>
      <c r="O9" s="81" t="s">
        <v>38</v>
      </c>
    </row>
    <row r="10" spans="1:15" ht="15">
      <c r="A10" s="68">
        <v>2021</v>
      </c>
      <c r="B10" s="71">
        <v>0.06410382562500001</v>
      </c>
      <c r="C10" s="72">
        <v>2021</v>
      </c>
      <c r="D10" s="74">
        <v>30489.962185903685</v>
      </c>
      <c r="E10" s="74">
        <v>1954.5232192780136</v>
      </c>
      <c r="F10" s="73">
        <f>D10/D3</f>
        <v>1.5465133768043668</v>
      </c>
      <c r="G10" s="12">
        <f>G3*F10</f>
        <v>1620.7460188909765</v>
      </c>
      <c r="H10" s="12">
        <f t="shared" si="2"/>
        <v>333.77720038703706</v>
      </c>
      <c r="I10" s="12">
        <f t="shared" si="0"/>
        <v>416.0120983603747</v>
      </c>
      <c r="J10" s="77" t="s">
        <v>111</v>
      </c>
      <c r="K10">
        <f t="shared" si="1"/>
        <v>3346.6549474046496</v>
      </c>
      <c r="L10" s="16"/>
      <c r="N10">
        <f>H10*1000</f>
        <v>333777.20038703707</v>
      </c>
      <c r="O10" s="81" t="s">
        <v>38</v>
      </c>
    </row>
    <row r="11" spans="1:16" ht="15">
      <c r="A11" s="68">
        <v>2022</v>
      </c>
      <c r="B11" s="71">
        <v>0.06730901690625002</v>
      </c>
      <c r="C11" s="72">
        <v>2022</v>
      </c>
      <c r="D11" s="74">
        <v>30467.485077178146</v>
      </c>
      <c r="E11" s="74">
        <v>2050.736468150704</v>
      </c>
      <c r="F11" s="73">
        <f>D11/D3</f>
        <v>1.545373291778876</v>
      </c>
      <c r="G11" s="12">
        <f>G3*F11</f>
        <v>1619.551209784262</v>
      </c>
      <c r="H11" s="12">
        <f t="shared" si="2"/>
        <v>431.18525836644176</v>
      </c>
      <c r="I11" s="12">
        <f t="shared" si="0"/>
        <v>415.70541548851764</v>
      </c>
      <c r="J11" s="12">
        <f aca="true" t="shared" si="3" ref="J11:J24">E11-G11-I11</f>
        <v>15.479842877924114</v>
      </c>
      <c r="K11">
        <f t="shared" si="1"/>
        <v>3344.187803409488</v>
      </c>
      <c r="L11" s="16"/>
      <c r="N11">
        <f>I11*1000+J11*3500</f>
        <v>469884.86556125205</v>
      </c>
      <c r="O11" s="81" t="s">
        <v>38</v>
      </c>
      <c r="P11" s="81" t="s">
        <v>38</v>
      </c>
    </row>
    <row r="12" spans="1:14" ht="15">
      <c r="A12" s="68">
        <v>2023</v>
      </c>
      <c r="B12" s="71">
        <v>0.07067446775156253</v>
      </c>
      <c r="C12" s="72">
        <v>2023</v>
      </c>
      <c r="D12" s="74">
        <v>30853.562692622698</v>
      </c>
      <c r="E12" s="74">
        <v>2180.5591215405757</v>
      </c>
      <c r="F12" s="73">
        <f>D12/D3</f>
        <v>1.5649559397706723</v>
      </c>
      <c r="G12" s="12">
        <f>G3*F12</f>
        <v>1640.0738248796645</v>
      </c>
      <c r="H12" s="12">
        <f t="shared" si="2"/>
        <v>540.4852966609112</v>
      </c>
      <c r="I12" s="12">
        <f t="shared" si="0"/>
        <v>420.97314779831083</v>
      </c>
      <c r="J12" s="12">
        <f t="shared" si="3"/>
        <v>119.51214886260038</v>
      </c>
      <c r="K12">
        <f t="shared" si="1"/>
        <v>3386.5646536637346</v>
      </c>
      <c r="L12" s="16"/>
      <c r="N12">
        <f aca="true" t="shared" si="4" ref="N12:N24">I12*1000+J12*3500</f>
        <v>839265.6688174121</v>
      </c>
    </row>
    <row r="13" spans="1:14" ht="15">
      <c r="A13" s="68">
        <v>2024</v>
      </c>
      <c r="B13" s="71">
        <v>0.07420819113914065</v>
      </c>
      <c r="C13" s="72">
        <v>2024</v>
      </c>
      <c r="D13" s="74">
        <v>31449.409430898027</v>
      </c>
      <c r="E13" s="74">
        <v>2333.8037862611736</v>
      </c>
      <c r="F13" s="73">
        <f>D13/D3</f>
        <v>1.5951785076325005</v>
      </c>
      <c r="G13" s="12">
        <f>G3*F13</f>
        <v>1671.7470759988605</v>
      </c>
      <c r="H13" s="12">
        <f t="shared" si="2"/>
        <v>662.0567102623131</v>
      </c>
      <c r="I13" s="12">
        <f t="shared" si="0"/>
        <v>429.10301855314265</v>
      </c>
      <c r="J13" s="12">
        <f t="shared" si="3"/>
        <v>232.95369170917047</v>
      </c>
      <c r="K13">
        <f t="shared" si="1"/>
        <v>3451.966290516731</v>
      </c>
      <c r="L13" s="16"/>
      <c r="N13">
        <f t="shared" si="4"/>
        <v>1244440.9395352392</v>
      </c>
    </row>
    <row r="14" spans="1:14" ht="15">
      <c r="A14" s="68">
        <v>2025</v>
      </c>
      <c r="B14" s="71">
        <v>0.07791860069609768</v>
      </c>
      <c r="C14" s="72">
        <v>2025</v>
      </c>
      <c r="D14" s="74">
        <v>32124.795743673934</v>
      </c>
      <c r="E14" s="74">
        <v>2503.1191319950276</v>
      </c>
      <c r="F14" s="73">
        <f>D14/D3</f>
        <v>1.6294354857438547</v>
      </c>
      <c r="G14" s="12">
        <f>G3*F14</f>
        <v>1707.6483890595596</v>
      </c>
      <c r="H14" s="12">
        <f t="shared" si="2"/>
        <v>795.470742935468</v>
      </c>
      <c r="I14" s="12">
        <f t="shared" si="0"/>
        <v>438.3181456650969</v>
      </c>
      <c r="J14" s="12">
        <f t="shared" si="3"/>
        <v>357.15259727037113</v>
      </c>
      <c r="K14">
        <f t="shared" si="1"/>
        <v>3526.0983911497015</v>
      </c>
      <c r="L14" s="16"/>
      <c r="N14">
        <f t="shared" si="4"/>
        <v>1688352.2361113958</v>
      </c>
    </row>
    <row r="15" spans="1:14" ht="15">
      <c r="A15" s="68">
        <v>2026</v>
      </c>
      <c r="B15" s="71">
        <v>0.08181453073090257</v>
      </c>
      <c r="C15" s="72">
        <v>2026</v>
      </c>
      <c r="D15" s="74">
        <v>32547.493791465185</v>
      </c>
      <c r="E15" s="74">
        <v>2662.8579310156892</v>
      </c>
      <c r="F15" s="73">
        <f>D15/D3</f>
        <v>1.6508755971245268</v>
      </c>
      <c r="G15" s="12">
        <f>G3*F15</f>
        <v>1730.117625786504</v>
      </c>
      <c r="H15" s="12">
        <f t="shared" si="2"/>
        <v>932.7403052291852</v>
      </c>
      <c r="I15" s="12">
        <f t="shared" si="0"/>
        <v>444.0855356264977</v>
      </c>
      <c r="J15" s="12">
        <f t="shared" si="3"/>
        <v>488.6547696026875</v>
      </c>
      <c r="K15">
        <f t="shared" si="1"/>
        <v>3572.494792177476</v>
      </c>
      <c r="L15" s="16"/>
      <c r="N15">
        <f t="shared" si="4"/>
        <v>2154377.229235904</v>
      </c>
    </row>
    <row r="16" spans="1:14" ht="15">
      <c r="A16" s="68">
        <v>2027</v>
      </c>
      <c r="B16" s="71">
        <v>0.0859052572674477</v>
      </c>
      <c r="C16" s="72">
        <v>2027</v>
      </c>
      <c r="D16" s="74">
        <v>32542.675880787843</v>
      </c>
      <c r="E16" s="74">
        <v>2795.586943710245</v>
      </c>
      <c r="F16" s="73">
        <f>D16/D3</f>
        <v>1.650631222819786</v>
      </c>
      <c r="G16" s="12">
        <f>G3*F16</f>
        <v>1729.8615215151356</v>
      </c>
      <c r="H16" s="12">
        <f t="shared" si="2"/>
        <v>1065.7254221951096</v>
      </c>
      <c r="I16" s="12">
        <f t="shared" si="0"/>
        <v>444.0197989385224</v>
      </c>
      <c r="J16" s="12">
        <f t="shared" si="3"/>
        <v>621.7056232565872</v>
      </c>
      <c r="K16">
        <f t="shared" si="1"/>
        <v>3571.965966182017</v>
      </c>
      <c r="L16" s="16"/>
      <c r="N16">
        <f t="shared" si="4"/>
        <v>2619989.4803365776</v>
      </c>
    </row>
    <row r="17" spans="1:14" ht="15">
      <c r="A17" s="68">
        <v>2028</v>
      </c>
      <c r="B17" s="71">
        <v>0.09020052013082008</v>
      </c>
      <c r="C17" s="72">
        <v>2028</v>
      </c>
      <c r="D17" s="74">
        <v>32993.914626836864</v>
      </c>
      <c r="E17" s="74">
        <v>2976.068260492557</v>
      </c>
      <c r="F17" s="73">
        <f>D17/D3</f>
        <v>1.673518976915456</v>
      </c>
      <c r="G17" s="12">
        <f>G3*F17</f>
        <v>1753.847887807398</v>
      </c>
      <c r="H17" s="12">
        <f t="shared" si="2"/>
        <v>1222.220372685159</v>
      </c>
      <c r="I17" s="12">
        <f t="shared" si="0"/>
        <v>450.17660479025767</v>
      </c>
      <c r="J17" s="12">
        <f t="shared" si="3"/>
        <v>772.0437678949013</v>
      </c>
      <c r="K17">
        <f t="shared" si="1"/>
        <v>3621.4950660450468</v>
      </c>
      <c r="L17" s="16"/>
      <c r="N17">
        <f t="shared" si="4"/>
        <v>3152329.7924224124</v>
      </c>
    </row>
    <row r="18" spans="1:14" ht="15">
      <c r="A18" s="68">
        <v>2029</v>
      </c>
      <c r="B18" s="71">
        <v>0.0947105461373611</v>
      </c>
      <c r="C18" s="72">
        <v>2029</v>
      </c>
      <c r="D18" s="74">
        <v>33493.594009025124</v>
      </c>
      <c r="E18" s="74">
        <v>3172.196580697815</v>
      </c>
      <c r="F18" s="73">
        <f>D18/D3</f>
        <v>1.6988637393640218</v>
      </c>
      <c r="G18" s="12">
        <f>G3*F18</f>
        <v>1780.409198853495</v>
      </c>
      <c r="H18" s="12">
        <f t="shared" si="2"/>
        <v>1391.7873818443202</v>
      </c>
      <c r="I18" s="12">
        <f t="shared" si="0"/>
        <v>456.9943458889219</v>
      </c>
      <c r="J18" s="12">
        <f t="shared" si="3"/>
        <v>934.7930359553983</v>
      </c>
      <c r="K18">
        <f t="shared" si="1"/>
        <v>3676.3411319837433</v>
      </c>
      <c r="L18" s="16"/>
      <c r="N18">
        <f t="shared" si="4"/>
        <v>3728769.971732816</v>
      </c>
    </row>
    <row r="19" spans="1:14" ht="15">
      <c r="A19" s="68">
        <v>2030</v>
      </c>
      <c r="B19" s="71">
        <v>0.09944607344422915</v>
      </c>
      <c r="C19" s="72">
        <v>2030</v>
      </c>
      <c r="D19" s="74">
        <v>33975.912848756845</v>
      </c>
      <c r="E19" s="74">
        <v>3378.771124492202</v>
      </c>
      <c r="F19" s="73">
        <f>D19/D3</f>
        <v>1.7233279395155958</v>
      </c>
      <c r="G19" s="12">
        <f>G3*F19</f>
        <v>1806.0476806123445</v>
      </c>
      <c r="H19" s="12">
        <f t="shared" si="2"/>
        <v>1572.7234438798575</v>
      </c>
      <c r="I19" s="12">
        <f t="shared" si="0"/>
        <v>463.5752157296953</v>
      </c>
      <c r="J19" s="12">
        <f t="shared" si="3"/>
        <v>1109.1482281501621</v>
      </c>
      <c r="K19">
        <f t="shared" si="1"/>
        <v>3729.281661111749</v>
      </c>
      <c r="L19" s="16"/>
      <c r="N19">
        <f t="shared" si="4"/>
        <v>4345594.014255263</v>
      </c>
    </row>
    <row r="20" spans="1:14" ht="15">
      <c r="A20" s="68">
        <v>2031</v>
      </c>
      <c r="B20" s="71">
        <v>0.10441837711644063</v>
      </c>
      <c r="C20" s="72">
        <v>2031</v>
      </c>
      <c r="D20" s="74">
        <v>34314.58158147656</v>
      </c>
      <c r="E20" s="74">
        <v>3583.072920167488</v>
      </c>
      <c r="F20" s="73">
        <f>D20/D3</f>
        <v>1.7405059118024413</v>
      </c>
      <c r="G20" s="12">
        <f>G3*F20</f>
        <v>1824.0501955689585</v>
      </c>
      <c r="H20" s="12">
        <f t="shared" si="2"/>
        <v>1759.0227245985295</v>
      </c>
      <c r="I20" s="12">
        <f t="shared" si="0"/>
        <v>468.1960902748567</v>
      </c>
      <c r="J20" s="12">
        <f t="shared" si="3"/>
        <v>1290.8266343236728</v>
      </c>
      <c r="K20">
        <f t="shared" si="1"/>
        <v>3766.454793140483</v>
      </c>
      <c r="L20" s="16"/>
      <c r="N20">
        <f t="shared" si="4"/>
        <v>4986089.310407711</v>
      </c>
    </row>
    <row r="21" spans="1:14" ht="15">
      <c r="A21" s="68">
        <v>2032</v>
      </c>
      <c r="B21" s="71">
        <v>0.10963929597226266</v>
      </c>
      <c r="C21" s="72">
        <v>2032</v>
      </c>
      <c r="D21" s="74">
        <v>34765.40732208284</v>
      </c>
      <c r="E21" s="74">
        <v>3811.6547829821097</v>
      </c>
      <c r="F21" s="73">
        <f>D21/D3</f>
        <v>1.7633727174155256</v>
      </c>
      <c r="G21" s="12">
        <f>G3*F21</f>
        <v>1848.0146078514708</v>
      </c>
      <c r="H21" s="12">
        <f t="shared" si="2"/>
        <v>1963.640175130639</v>
      </c>
      <c r="I21" s="12">
        <f t="shared" si="0"/>
        <v>474.34726098477637</v>
      </c>
      <c r="J21" s="12">
        <f t="shared" si="3"/>
        <v>1489.2929141458626</v>
      </c>
      <c r="K21">
        <f t="shared" si="1"/>
        <v>3815.9385604871973</v>
      </c>
      <c r="L21" s="16"/>
      <c r="N21">
        <f t="shared" si="4"/>
        <v>5686872.460495296</v>
      </c>
    </row>
    <row r="22" spans="1:14" ht="15">
      <c r="A22" s="68">
        <v>2033</v>
      </c>
      <c r="B22" s="71">
        <v>0.11512126077087577</v>
      </c>
      <c r="C22" s="72">
        <v>2033</v>
      </c>
      <c r="D22" s="74">
        <v>35314.988640918564</v>
      </c>
      <c r="E22" s="74">
        <v>4065.5060164517013</v>
      </c>
      <c r="F22" s="73">
        <f>D22/D3</f>
        <v>1.7912486083739663</v>
      </c>
      <c r="G22" s="12">
        <f>G3*F22</f>
        <v>1877.2285415759166</v>
      </c>
      <c r="H22" s="12">
        <f t="shared" si="2"/>
        <v>2188.2774748757847</v>
      </c>
      <c r="I22" s="12">
        <f t="shared" si="0"/>
        <v>481.84587565259693</v>
      </c>
      <c r="J22" s="12">
        <f t="shared" si="3"/>
        <v>1706.4315992231877</v>
      </c>
      <c r="K22">
        <f t="shared" si="1"/>
        <v>3876.261988521263</v>
      </c>
      <c r="L22" s="16"/>
      <c r="N22">
        <f t="shared" si="4"/>
        <v>6454356.472933754</v>
      </c>
    </row>
    <row r="23" spans="1:16" ht="15">
      <c r="A23" s="68">
        <v>2034</v>
      </c>
      <c r="B23" s="71">
        <v>0.12087732380941957</v>
      </c>
      <c r="C23" s="72">
        <v>2034</v>
      </c>
      <c r="D23" s="74">
        <v>35893.49415041843</v>
      </c>
      <c r="E23" s="74">
        <v>4338.709515071638</v>
      </c>
      <c r="F23" s="73">
        <f>D23/D3</f>
        <v>1.8205915935682935</v>
      </c>
      <c r="G23" s="12">
        <f>G3*F23</f>
        <v>1907.9799900595715</v>
      </c>
      <c r="H23" s="12">
        <f t="shared" si="2"/>
        <v>2430.729525012066</v>
      </c>
      <c r="I23" s="12">
        <f t="shared" si="0"/>
        <v>489.73913866987095</v>
      </c>
      <c r="J23" s="12">
        <f t="shared" si="3"/>
        <v>1940.990386342195</v>
      </c>
      <c r="K23">
        <f t="shared" si="1"/>
        <v>3939.7602084817872</v>
      </c>
      <c r="L23" s="16"/>
      <c r="N23">
        <f t="shared" si="4"/>
        <v>7283205.490867553</v>
      </c>
      <c r="P23" s="76"/>
    </row>
    <row r="24" spans="1:16" ht="15">
      <c r="A24" s="68">
        <v>2035</v>
      </c>
      <c r="B24" s="71">
        <v>0.12692118999989055</v>
      </c>
      <c r="C24" s="72">
        <v>2035</v>
      </c>
      <c r="D24" s="74">
        <v>36423.90435440012</v>
      </c>
      <c r="E24" s="74">
        <v>4622.965285102659</v>
      </c>
      <c r="F24" s="73">
        <f>D24/D3</f>
        <v>1.847495086286643</v>
      </c>
      <c r="G24" s="12">
        <f>G3*F24</f>
        <v>1936.174850428402</v>
      </c>
      <c r="H24" s="12">
        <f t="shared" si="2"/>
        <v>2686.7904346742575</v>
      </c>
      <c r="I24" s="12">
        <f t="shared" si="0"/>
        <v>496.97617821110697</v>
      </c>
      <c r="J24" s="12">
        <f t="shared" si="3"/>
        <v>2189.8142564631507</v>
      </c>
      <c r="K24">
        <f t="shared" si="1"/>
        <v>3997.9793667242957</v>
      </c>
      <c r="L24" s="77" t="s">
        <v>117</v>
      </c>
      <c r="N24">
        <f t="shared" si="4"/>
        <v>8161326.075832134</v>
      </c>
      <c r="O24">
        <f>12*20000</f>
        <v>240000</v>
      </c>
      <c r="P24">
        <v>500000</v>
      </c>
    </row>
    <row r="25" ht="12.75">
      <c r="E25" s="73">
        <f>SUM(E4:E24)</f>
        <v>54815.55379489265</v>
      </c>
    </row>
    <row r="26" spans="13:14" ht="12.75">
      <c r="M26" s="76" t="s">
        <v>120</v>
      </c>
      <c r="N26" s="16">
        <f>(SUM(N4:N24)+O24+P24)/1000000</f>
        <v>54.13134312272679</v>
      </c>
    </row>
    <row r="27" spans="14:15" ht="12.75">
      <c r="N27" s="16">
        <f>1000000*N26/E25</f>
        <v>987.5179465535272</v>
      </c>
      <c r="O27" s="81" t="s">
        <v>131</v>
      </c>
    </row>
    <row r="28" spans="3:14" ht="12.75">
      <c r="C28" s="96" t="s">
        <v>45</v>
      </c>
      <c r="N28" s="81" t="s">
        <v>38</v>
      </c>
    </row>
    <row r="29" ht="12.75">
      <c r="N29" s="81" t="s">
        <v>38</v>
      </c>
    </row>
    <row r="30" spans="1:16" ht="15">
      <c r="A30" s="67" t="s">
        <v>103</v>
      </c>
      <c r="B30" s="70" t="s">
        <v>104</v>
      </c>
      <c r="C30" s="69" t="s">
        <v>103</v>
      </c>
      <c r="D30" s="75" t="s">
        <v>105</v>
      </c>
      <c r="E30" s="75" t="s">
        <v>106</v>
      </c>
      <c r="F30" s="78" t="s">
        <v>107</v>
      </c>
      <c r="G30" s="79" t="s">
        <v>108</v>
      </c>
      <c r="H30" s="76" t="s">
        <v>116</v>
      </c>
      <c r="I30" s="76" t="s">
        <v>115</v>
      </c>
      <c r="J30" s="76" t="s">
        <v>116</v>
      </c>
      <c r="K30" s="80" t="s">
        <v>112</v>
      </c>
      <c r="L30" s="80" t="s">
        <v>116</v>
      </c>
      <c r="N30" s="76" t="s">
        <v>118</v>
      </c>
      <c r="O30" s="76" t="s">
        <v>119</v>
      </c>
      <c r="P30" s="76" t="s">
        <v>121</v>
      </c>
    </row>
    <row r="31" spans="1:12" ht="15">
      <c r="A31" s="68">
        <v>2012</v>
      </c>
      <c r="D31" s="73">
        <v>19715.2915992919</v>
      </c>
      <c r="G31" s="12">
        <v>1048</v>
      </c>
      <c r="H31" s="76" t="s">
        <v>110</v>
      </c>
      <c r="I31" s="76">
        <v>269</v>
      </c>
      <c r="J31" s="76" t="s">
        <v>114</v>
      </c>
      <c r="K31">
        <v>2164</v>
      </c>
      <c r="L31" s="76" t="s">
        <v>113</v>
      </c>
    </row>
    <row r="32" spans="1:14" ht="15">
      <c r="A32" s="68">
        <v>2015</v>
      </c>
      <c r="B32" s="71">
        <v>0.04</v>
      </c>
      <c r="C32" s="72">
        <v>2015</v>
      </c>
      <c r="D32" s="74">
        <v>27021.39551310882</v>
      </c>
      <c r="E32" s="74">
        <v>1080.8558205243523</v>
      </c>
      <c r="F32" s="73">
        <f>D32/D31</f>
        <v>1.3705805657005512</v>
      </c>
      <c r="G32" s="12">
        <f>G31*F32</f>
        <v>1436.3684328541776</v>
      </c>
      <c r="H32" s="16"/>
      <c r="I32" s="12">
        <f>269*F32</f>
        <v>368.68617217344826</v>
      </c>
      <c r="J32" s="16"/>
      <c r="K32">
        <f>2164*F32</f>
        <v>2965.936344175993</v>
      </c>
      <c r="L32" s="16"/>
      <c r="N32">
        <f>H32*1000+J32*4000</f>
        <v>0</v>
      </c>
    </row>
    <row r="33" spans="1:14" ht="15">
      <c r="A33" s="68">
        <v>2016</v>
      </c>
      <c r="B33" s="71">
        <v>0.042</v>
      </c>
      <c r="C33" s="72">
        <v>2016</v>
      </c>
      <c r="D33" s="74">
        <v>28273.823928256294</v>
      </c>
      <c r="E33" s="74">
        <v>1187.5006049867645</v>
      </c>
      <c r="F33" s="73">
        <f>D33/D31</f>
        <v>1.4341063019971656</v>
      </c>
      <c r="G33" s="12">
        <f>G31*F33</f>
        <v>1502.9434044930294</v>
      </c>
      <c r="H33" s="16"/>
      <c r="I33" s="12">
        <f aca="true" t="shared" si="5" ref="I33:I52">269*F33</f>
        <v>385.7745952372375</v>
      </c>
      <c r="J33" s="16"/>
      <c r="K33">
        <f aca="true" t="shared" si="6" ref="K33:K52">2164*F33</f>
        <v>3103.4060375218664</v>
      </c>
      <c r="L33" s="16"/>
      <c r="N33">
        <f>H33*1000+J33*4000</f>
        <v>0</v>
      </c>
    </row>
    <row r="34" spans="1:14" ht="15">
      <c r="A34" s="68">
        <v>2017</v>
      </c>
      <c r="B34" s="71">
        <v>0.0441</v>
      </c>
      <c r="C34" s="72">
        <v>2017</v>
      </c>
      <c r="D34" s="74">
        <v>30175.693307751946</v>
      </c>
      <c r="E34" s="74">
        <v>1330.7480748718613</v>
      </c>
      <c r="F34" s="73">
        <f>D34/D31</f>
        <v>1.5305730151531587</v>
      </c>
      <c r="G34" s="12">
        <f>G31*F34</f>
        <v>1604.0405198805104</v>
      </c>
      <c r="H34" s="16"/>
      <c r="I34" s="12">
        <f t="shared" si="5"/>
        <v>411.7241410761997</v>
      </c>
      <c r="J34" s="16"/>
      <c r="K34">
        <f t="shared" si="6"/>
        <v>3312.1600047914353</v>
      </c>
      <c r="L34" s="16"/>
      <c r="N34">
        <f>H34*1000+J34*4000</f>
        <v>0</v>
      </c>
    </row>
    <row r="35" spans="1:14" ht="15">
      <c r="A35" s="68">
        <v>2018</v>
      </c>
      <c r="B35" s="71">
        <v>0.046305000000000006</v>
      </c>
      <c r="C35" s="72">
        <v>2018</v>
      </c>
      <c r="D35" s="74">
        <v>30589.692398706065</v>
      </c>
      <c r="E35" s="74">
        <v>1416.4557065220847</v>
      </c>
      <c r="F35" s="73">
        <f>D35/D31</f>
        <v>1.551571897612954</v>
      </c>
      <c r="G35" s="12">
        <f>G31*F35</f>
        <v>1626.0473486983758</v>
      </c>
      <c r="H35" s="16"/>
      <c r="I35" s="12">
        <f t="shared" si="5"/>
        <v>417.37284045788465</v>
      </c>
      <c r="J35" s="16"/>
      <c r="K35">
        <f t="shared" si="6"/>
        <v>3357.6015864344326</v>
      </c>
      <c r="L35" s="16"/>
      <c r="N35">
        <f>H35*1000+J35*4000</f>
        <v>0</v>
      </c>
    </row>
    <row r="36" spans="1:14" ht="15">
      <c r="A36" s="68">
        <v>2019</v>
      </c>
      <c r="B36" s="71">
        <v>0.04862025000000001</v>
      </c>
      <c r="C36" s="72">
        <v>2019</v>
      </c>
      <c r="D36" s="74">
        <v>30705.088718266798</v>
      </c>
      <c r="E36" s="74">
        <v>1492.889089754312</v>
      </c>
      <c r="F36" s="73">
        <f>D36/D31</f>
        <v>1.5574250354668662</v>
      </c>
      <c r="G36" s="12">
        <f>G31*F36</f>
        <v>1632.1814371692758</v>
      </c>
      <c r="H36" s="77" t="s">
        <v>109</v>
      </c>
      <c r="I36" s="12">
        <f t="shared" si="5"/>
        <v>418.947334540587</v>
      </c>
      <c r="J36" s="16"/>
      <c r="K36">
        <f t="shared" si="6"/>
        <v>3370.2677767502983</v>
      </c>
      <c r="L36" s="16"/>
      <c r="N36">
        <f>J36*4000</f>
        <v>0</v>
      </c>
    </row>
    <row r="37" spans="1:15" ht="15">
      <c r="A37" s="68">
        <v>2020</v>
      </c>
      <c r="B37" s="71">
        <v>0.061051262500000016</v>
      </c>
      <c r="C37" s="72">
        <v>2020</v>
      </c>
      <c r="D37" s="74">
        <v>30744.219430739413</v>
      </c>
      <c r="E37" s="74">
        <v>1876.973410823673</v>
      </c>
      <c r="F37" s="73">
        <f>D37/D31</f>
        <v>1.5594098254090054</v>
      </c>
      <c r="G37" s="12">
        <f>G31*F37</f>
        <v>1634.2614970286377</v>
      </c>
      <c r="H37" s="12">
        <f aca="true" t="shared" si="7" ref="H37:H52">E37-G37</f>
        <v>242.71191379503534</v>
      </c>
      <c r="I37" s="12">
        <f t="shared" si="5"/>
        <v>419.48124303502243</v>
      </c>
      <c r="J37" s="16"/>
      <c r="K37">
        <f t="shared" si="6"/>
        <v>3374.562862185088</v>
      </c>
      <c r="L37" s="16"/>
      <c r="N37">
        <f>H37*1000</f>
        <v>242711.91379503533</v>
      </c>
      <c r="O37" s="81" t="s">
        <v>38</v>
      </c>
    </row>
    <row r="38" spans="1:15" ht="15">
      <c r="A38" s="68">
        <v>2021</v>
      </c>
      <c r="B38" s="71">
        <v>0.06410382562500001</v>
      </c>
      <c r="C38" s="72">
        <v>2021</v>
      </c>
      <c r="D38" s="74">
        <v>30489.962185903685</v>
      </c>
      <c r="E38" s="74">
        <v>1954.5232192780136</v>
      </c>
      <c r="F38" s="73">
        <f>D38/D31</f>
        <v>1.5465133768043668</v>
      </c>
      <c r="G38" s="12">
        <f>G31*F38</f>
        <v>1620.7460188909765</v>
      </c>
      <c r="H38" s="12">
        <f t="shared" si="7"/>
        <v>333.77720038703706</v>
      </c>
      <c r="I38" s="12">
        <f t="shared" si="5"/>
        <v>416.0120983603747</v>
      </c>
      <c r="J38" s="77" t="s">
        <v>111</v>
      </c>
      <c r="K38">
        <f t="shared" si="6"/>
        <v>3346.6549474046496</v>
      </c>
      <c r="L38" s="16"/>
      <c r="N38">
        <f>H38*1000</f>
        <v>333777.20038703707</v>
      </c>
      <c r="O38" s="81" t="s">
        <v>38</v>
      </c>
    </row>
    <row r="39" spans="1:15" ht="15">
      <c r="A39" s="68">
        <v>2022</v>
      </c>
      <c r="B39" s="71">
        <v>0.06730901690625002</v>
      </c>
      <c r="C39" s="72">
        <v>2022</v>
      </c>
      <c r="D39" s="74">
        <v>30467.485077178146</v>
      </c>
      <c r="E39" s="74">
        <v>2050.736468150704</v>
      </c>
      <c r="F39" s="73">
        <f>D39/D31</f>
        <v>1.545373291778876</v>
      </c>
      <c r="G39" s="12">
        <f>G31*F39</f>
        <v>1619.551209784262</v>
      </c>
      <c r="H39" s="12">
        <f t="shared" si="7"/>
        <v>431.18525836644176</v>
      </c>
      <c r="I39" s="12">
        <f t="shared" si="5"/>
        <v>415.70541548851764</v>
      </c>
      <c r="J39" s="12">
        <f aca="true" t="shared" si="8" ref="J39:J52">E39-G39-I39</f>
        <v>15.479842877924114</v>
      </c>
      <c r="K39">
        <f t="shared" si="6"/>
        <v>3344.187803409488</v>
      </c>
      <c r="L39" s="16"/>
      <c r="N39">
        <f>I39*1000+0.5*J39*3500+0.5*J39*500</f>
        <v>446665.1012443659</v>
      </c>
      <c r="O39" s="81" t="s">
        <v>38</v>
      </c>
    </row>
    <row r="40" spans="1:14" ht="15">
      <c r="A40" s="68">
        <v>2023</v>
      </c>
      <c r="B40" s="71">
        <v>0.07067446775156253</v>
      </c>
      <c r="C40" s="72">
        <v>2023</v>
      </c>
      <c r="D40" s="74">
        <v>30853.562692622698</v>
      </c>
      <c r="E40" s="74">
        <v>2180.5591215405757</v>
      </c>
      <c r="F40" s="73">
        <f>D40/D31</f>
        <v>1.5649559397706723</v>
      </c>
      <c r="G40" s="12">
        <f>G31*F40</f>
        <v>1640.0738248796645</v>
      </c>
      <c r="H40" s="12">
        <f t="shared" si="7"/>
        <v>540.4852966609112</v>
      </c>
      <c r="I40" s="12">
        <f t="shared" si="5"/>
        <v>420.97314779831083</v>
      </c>
      <c r="J40" s="12">
        <f t="shared" si="8"/>
        <v>119.51214886260038</v>
      </c>
      <c r="K40">
        <f t="shared" si="6"/>
        <v>3386.5646536637346</v>
      </c>
      <c r="L40" s="16"/>
      <c r="N40">
        <f aca="true" t="shared" si="9" ref="N40:N52">I40*1000+0.5*J40*3500+0.5*J40*500</f>
        <v>659997.4455235116</v>
      </c>
    </row>
    <row r="41" spans="1:15" ht="15">
      <c r="A41" s="68">
        <v>2024</v>
      </c>
      <c r="B41" s="71">
        <v>0.07420819113914065</v>
      </c>
      <c r="C41" s="72">
        <v>2024</v>
      </c>
      <c r="D41" s="74">
        <v>31449.409430898027</v>
      </c>
      <c r="E41" s="74">
        <v>2333.8037862611736</v>
      </c>
      <c r="F41" s="73">
        <f>D41/D31</f>
        <v>1.5951785076325005</v>
      </c>
      <c r="G41" s="12">
        <f>G31*F41</f>
        <v>1671.7470759988605</v>
      </c>
      <c r="H41" s="12">
        <f t="shared" si="7"/>
        <v>662.0567102623131</v>
      </c>
      <c r="I41" s="12">
        <f t="shared" si="5"/>
        <v>429.10301855314265</v>
      </c>
      <c r="J41" s="12">
        <f t="shared" si="8"/>
        <v>232.95369170917047</v>
      </c>
      <c r="K41">
        <f t="shared" si="6"/>
        <v>3451.966290516731</v>
      </c>
      <c r="L41" s="16"/>
      <c r="N41">
        <f t="shared" si="9"/>
        <v>895010.4019714837</v>
      </c>
      <c r="O41" s="76"/>
    </row>
    <row r="42" spans="1:14" ht="15">
      <c r="A42" s="68">
        <v>2025</v>
      </c>
      <c r="B42" s="71">
        <v>0.07791860069609768</v>
      </c>
      <c r="C42" s="72">
        <v>2025</v>
      </c>
      <c r="D42" s="74">
        <v>32124.795743673934</v>
      </c>
      <c r="E42" s="74">
        <v>2503.1191319950276</v>
      </c>
      <c r="F42" s="73">
        <f>D42/D31</f>
        <v>1.6294354857438547</v>
      </c>
      <c r="G42" s="12">
        <f>G31*F42</f>
        <v>1707.6483890595596</v>
      </c>
      <c r="H42" s="12">
        <f t="shared" si="7"/>
        <v>795.470742935468</v>
      </c>
      <c r="I42" s="12">
        <f t="shared" si="5"/>
        <v>438.3181456650969</v>
      </c>
      <c r="J42" s="12">
        <f t="shared" si="8"/>
        <v>357.15259727037113</v>
      </c>
      <c r="K42">
        <f t="shared" si="6"/>
        <v>3526.0983911497015</v>
      </c>
      <c r="L42" s="16"/>
      <c r="N42">
        <f t="shared" si="9"/>
        <v>1152623.3402058391</v>
      </c>
    </row>
    <row r="43" spans="1:15" ht="15">
      <c r="A43" s="68">
        <v>2026</v>
      </c>
      <c r="B43" s="71">
        <v>0.08181453073090257</v>
      </c>
      <c r="C43" s="72">
        <v>2026</v>
      </c>
      <c r="D43" s="74">
        <v>32547.493791465185</v>
      </c>
      <c r="E43" s="74">
        <v>2662.8579310156892</v>
      </c>
      <c r="F43" s="73">
        <f>D43/D31</f>
        <v>1.6508755971245268</v>
      </c>
      <c r="G43" s="12">
        <f>G31*F43</f>
        <v>1730.117625786504</v>
      </c>
      <c r="H43" s="12">
        <f t="shared" si="7"/>
        <v>932.7403052291852</v>
      </c>
      <c r="I43" s="12">
        <f t="shared" si="5"/>
        <v>444.0855356264977</v>
      </c>
      <c r="J43" s="12">
        <f t="shared" si="8"/>
        <v>488.6547696026875</v>
      </c>
      <c r="K43">
        <f t="shared" si="6"/>
        <v>3572.494792177476</v>
      </c>
      <c r="L43" s="16"/>
      <c r="N43">
        <f t="shared" si="9"/>
        <v>1421395.0748318725</v>
      </c>
      <c r="O43" s="76"/>
    </row>
    <row r="44" spans="1:14" ht="15">
      <c r="A44" s="68">
        <v>2027</v>
      </c>
      <c r="B44" s="71">
        <v>0.0859052572674477</v>
      </c>
      <c r="C44" s="72">
        <v>2027</v>
      </c>
      <c r="D44" s="74">
        <v>32542.675880787843</v>
      </c>
      <c r="E44" s="74">
        <v>2795.586943710245</v>
      </c>
      <c r="F44" s="73">
        <f>D44/D31</f>
        <v>1.650631222819786</v>
      </c>
      <c r="G44" s="12">
        <f>G31*F44</f>
        <v>1729.8615215151356</v>
      </c>
      <c r="H44" s="12">
        <f t="shared" si="7"/>
        <v>1065.7254221951096</v>
      </c>
      <c r="I44" s="12">
        <f t="shared" si="5"/>
        <v>444.0197989385224</v>
      </c>
      <c r="J44" s="12">
        <f t="shared" si="8"/>
        <v>621.7056232565872</v>
      </c>
      <c r="K44">
        <f t="shared" si="6"/>
        <v>3571.965966182017</v>
      </c>
      <c r="L44" s="16"/>
      <c r="N44">
        <f t="shared" si="9"/>
        <v>1687431.0454516967</v>
      </c>
    </row>
    <row r="45" spans="1:14" ht="15">
      <c r="A45" s="68">
        <v>2028</v>
      </c>
      <c r="B45" s="71">
        <v>0.09020052013082008</v>
      </c>
      <c r="C45" s="72">
        <v>2028</v>
      </c>
      <c r="D45" s="74">
        <v>32993.914626836864</v>
      </c>
      <c r="E45" s="74">
        <v>2976.068260492557</v>
      </c>
      <c r="F45" s="73">
        <f>D45/D31</f>
        <v>1.673518976915456</v>
      </c>
      <c r="G45" s="12">
        <f>G31*F45</f>
        <v>1753.847887807398</v>
      </c>
      <c r="H45" s="12">
        <f t="shared" si="7"/>
        <v>1222.220372685159</v>
      </c>
      <c r="I45" s="12">
        <f t="shared" si="5"/>
        <v>450.17660479025767</v>
      </c>
      <c r="J45" s="12">
        <f t="shared" si="8"/>
        <v>772.0437678949013</v>
      </c>
      <c r="K45">
        <f t="shared" si="6"/>
        <v>3621.4950660450468</v>
      </c>
      <c r="L45" s="16"/>
      <c r="N45">
        <f t="shared" si="9"/>
        <v>1994264.1405800604</v>
      </c>
    </row>
    <row r="46" spans="1:14" ht="15">
      <c r="A46" s="68">
        <v>2029</v>
      </c>
      <c r="B46" s="71">
        <v>0.0947105461373611</v>
      </c>
      <c r="C46" s="72">
        <v>2029</v>
      </c>
      <c r="D46" s="74">
        <v>33493.594009025124</v>
      </c>
      <c r="E46" s="74">
        <v>3172.196580697815</v>
      </c>
      <c r="F46" s="73">
        <f>D46/D31</f>
        <v>1.6988637393640218</v>
      </c>
      <c r="G46" s="12">
        <f>G31*F46</f>
        <v>1780.409198853495</v>
      </c>
      <c r="H46" s="12">
        <f t="shared" si="7"/>
        <v>1391.7873818443202</v>
      </c>
      <c r="I46" s="12">
        <f t="shared" si="5"/>
        <v>456.9943458889219</v>
      </c>
      <c r="J46" s="12">
        <f t="shared" si="8"/>
        <v>934.7930359553983</v>
      </c>
      <c r="K46">
        <f t="shared" si="6"/>
        <v>3676.3411319837433</v>
      </c>
      <c r="L46" s="16"/>
      <c r="N46">
        <f t="shared" si="9"/>
        <v>2326580.4177997187</v>
      </c>
    </row>
    <row r="47" spans="1:14" ht="15">
      <c r="A47" s="68">
        <v>2030</v>
      </c>
      <c r="B47" s="71">
        <v>0.09944607344422915</v>
      </c>
      <c r="C47" s="72">
        <v>2030</v>
      </c>
      <c r="D47" s="74">
        <v>33975.912848756845</v>
      </c>
      <c r="E47" s="74">
        <v>3378.771124492202</v>
      </c>
      <c r="F47" s="73">
        <f>D47/D31</f>
        <v>1.7233279395155958</v>
      </c>
      <c r="G47" s="12">
        <f>G31*F47</f>
        <v>1806.0476806123445</v>
      </c>
      <c r="H47" s="12">
        <f t="shared" si="7"/>
        <v>1572.7234438798575</v>
      </c>
      <c r="I47" s="12">
        <f t="shared" si="5"/>
        <v>463.5752157296953</v>
      </c>
      <c r="J47" s="12">
        <f t="shared" si="8"/>
        <v>1109.1482281501621</v>
      </c>
      <c r="K47">
        <f t="shared" si="6"/>
        <v>3729.281661111749</v>
      </c>
      <c r="L47" s="16"/>
      <c r="N47">
        <f>I47*1000+0.5*J47*3500+0.5*J47*500</f>
        <v>2681871.6720300196</v>
      </c>
    </row>
    <row r="48" spans="1:14" ht="15">
      <c r="A48" s="68">
        <v>2031</v>
      </c>
      <c r="B48" s="71">
        <v>0.10441837711644063</v>
      </c>
      <c r="C48" s="72">
        <v>2031</v>
      </c>
      <c r="D48" s="74">
        <v>34314.58158147656</v>
      </c>
      <c r="E48" s="74">
        <v>3583.072920167488</v>
      </c>
      <c r="F48" s="73">
        <f>D48/D31</f>
        <v>1.7405059118024413</v>
      </c>
      <c r="G48" s="12">
        <f>G31*F48</f>
        <v>1824.0501955689585</v>
      </c>
      <c r="H48" s="12">
        <f t="shared" si="7"/>
        <v>1759.0227245985295</v>
      </c>
      <c r="I48" s="12">
        <f t="shared" si="5"/>
        <v>468.1960902748567</v>
      </c>
      <c r="J48" s="12">
        <f t="shared" si="8"/>
        <v>1290.8266343236728</v>
      </c>
      <c r="K48">
        <f t="shared" si="6"/>
        <v>3766.454793140483</v>
      </c>
      <c r="L48" s="16"/>
      <c r="N48">
        <f t="shared" si="9"/>
        <v>3049849.3589222026</v>
      </c>
    </row>
    <row r="49" spans="1:14" ht="15">
      <c r="A49" s="68">
        <v>2032</v>
      </c>
      <c r="B49" s="71">
        <v>0.10963929597226266</v>
      </c>
      <c r="C49" s="72">
        <v>2032</v>
      </c>
      <c r="D49" s="74">
        <v>34765.40732208284</v>
      </c>
      <c r="E49" s="74">
        <v>3811.6547829821097</v>
      </c>
      <c r="F49" s="73">
        <f>D49/D31</f>
        <v>1.7633727174155256</v>
      </c>
      <c r="G49" s="12">
        <f>G31*F49</f>
        <v>1848.0146078514708</v>
      </c>
      <c r="H49" s="12">
        <f t="shared" si="7"/>
        <v>1963.640175130639</v>
      </c>
      <c r="I49" s="12">
        <f t="shared" si="5"/>
        <v>474.34726098477637</v>
      </c>
      <c r="J49" s="12">
        <f t="shared" si="8"/>
        <v>1489.2929141458626</v>
      </c>
      <c r="K49">
        <f t="shared" si="6"/>
        <v>3815.9385604871973</v>
      </c>
      <c r="L49" s="16"/>
      <c r="N49">
        <f t="shared" si="9"/>
        <v>3452933.089276502</v>
      </c>
    </row>
    <row r="50" spans="1:14" ht="15">
      <c r="A50" s="68">
        <v>2033</v>
      </c>
      <c r="B50" s="71">
        <v>0.11512126077087577</v>
      </c>
      <c r="C50" s="72">
        <v>2033</v>
      </c>
      <c r="D50" s="74">
        <v>35314.988640918564</v>
      </c>
      <c r="E50" s="74">
        <v>4065.5060164517013</v>
      </c>
      <c r="F50" s="73">
        <f>D50/D31</f>
        <v>1.7912486083739663</v>
      </c>
      <c r="G50" s="12">
        <f>G31*F50</f>
        <v>1877.2285415759166</v>
      </c>
      <c r="H50" s="12">
        <f t="shared" si="7"/>
        <v>2188.2774748757847</v>
      </c>
      <c r="I50" s="12">
        <f t="shared" si="5"/>
        <v>481.84587565259693</v>
      </c>
      <c r="J50" s="12">
        <f t="shared" si="8"/>
        <v>1706.4315992231877</v>
      </c>
      <c r="K50">
        <f t="shared" si="6"/>
        <v>3876.261988521263</v>
      </c>
      <c r="L50" s="16"/>
      <c r="N50">
        <f t="shared" si="9"/>
        <v>3894709.074098972</v>
      </c>
    </row>
    <row r="51" spans="1:16" ht="15">
      <c r="A51" s="68">
        <v>2034</v>
      </c>
      <c r="B51" s="71">
        <v>0.12087732380941957</v>
      </c>
      <c r="C51" s="72">
        <v>2034</v>
      </c>
      <c r="D51" s="74">
        <v>35893.49415041843</v>
      </c>
      <c r="E51" s="74">
        <v>4338.709515071638</v>
      </c>
      <c r="F51" s="73">
        <f>D51/D31</f>
        <v>1.8205915935682935</v>
      </c>
      <c r="G51" s="12">
        <f>G31*F51</f>
        <v>1907.9799900595715</v>
      </c>
      <c r="H51" s="12">
        <f t="shared" si="7"/>
        <v>2430.729525012066</v>
      </c>
      <c r="I51" s="12">
        <f t="shared" si="5"/>
        <v>489.73913866987095</v>
      </c>
      <c r="J51" s="12">
        <f t="shared" si="8"/>
        <v>1940.990386342195</v>
      </c>
      <c r="K51">
        <f t="shared" si="6"/>
        <v>3939.7602084817872</v>
      </c>
      <c r="L51" s="16"/>
      <c r="N51">
        <f t="shared" si="9"/>
        <v>4371719.9113542605</v>
      </c>
      <c r="P51" s="76"/>
    </row>
    <row r="52" spans="1:16" ht="15">
      <c r="A52" s="68">
        <v>2035</v>
      </c>
      <c r="B52" s="71">
        <v>0.12692118999989055</v>
      </c>
      <c r="C52" s="72">
        <v>2035</v>
      </c>
      <c r="D52" s="74">
        <v>36423.90435440012</v>
      </c>
      <c r="E52" s="74">
        <v>4622.965285102659</v>
      </c>
      <c r="F52" s="73">
        <f>D52/D31</f>
        <v>1.847495086286643</v>
      </c>
      <c r="G52" s="12">
        <f>G31*F52</f>
        <v>1936.174850428402</v>
      </c>
      <c r="H52" s="12">
        <f t="shared" si="7"/>
        <v>2686.7904346742575</v>
      </c>
      <c r="I52" s="12">
        <f t="shared" si="5"/>
        <v>496.97617821110697</v>
      </c>
      <c r="J52" s="12">
        <f t="shared" si="8"/>
        <v>2189.8142564631507</v>
      </c>
      <c r="K52">
        <f t="shared" si="6"/>
        <v>3997.9793667242957</v>
      </c>
      <c r="L52" s="77" t="s">
        <v>117</v>
      </c>
      <c r="N52">
        <f t="shared" si="9"/>
        <v>4876604.691137409</v>
      </c>
      <c r="O52">
        <f>13*20000</f>
        <v>260000</v>
      </c>
      <c r="P52">
        <f>5*500000</f>
        <v>2500000</v>
      </c>
    </row>
    <row r="53" ht="12.75">
      <c r="J53" s="76" t="s">
        <v>122</v>
      </c>
    </row>
    <row r="54" spans="13:14" ht="12.75">
      <c r="M54" s="76" t="s">
        <v>120</v>
      </c>
      <c r="N54" s="16">
        <f>(SUM(N32:N52)+O52+P52)/1000000</f>
        <v>36.24814387860999</v>
      </c>
    </row>
    <row r="55" spans="14:15" ht="12.75">
      <c r="N55" s="16">
        <f>1000000*N54/E25</f>
        <v>661.274790988016</v>
      </c>
      <c r="O55" s="81" t="s">
        <v>131</v>
      </c>
    </row>
    <row r="56" ht="12.75">
      <c r="N56" s="81" t="s">
        <v>38</v>
      </c>
    </row>
    <row r="57" ht="12.75">
      <c r="N57" s="81" t="s">
        <v>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5"/>
  <sheetViews>
    <sheetView zoomScale="70" zoomScaleNormal="70" zoomScalePageLayoutView="0" workbookViewId="0" topLeftCell="B1">
      <selection activeCell="P27" sqref="P27"/>
    </sheetView>
  </sheetViews>
  <sheetFormatPr defaultColWidth="9.140625" defaultRowHeight="12.75"/>
  <cols>
    <col min="2" max="2" width="10.57421875" style="0" customWidth="1"/>
    <col min="5" max="5" width="11.421875" style="18" bestFit="1" customWidth="1"/>
    <col min="6" max="6" width="11.421875" style="18" customWidth="1"/>
    <col min="7" max="8" width="13.28125" style="18" customWidth="1"/>
    <col min="10" max="11" width="11.140625" style="85" customWidth="1"/>
    <col min="12" max="12" width="14.140625" style="12" customWidth="1"/>
    <col min="13" max="13" width="8.7109375" style="85" customWidth="1"/>
    <col min="14" max="14" width="12.421875" style="0" customWidth="1"/>
    <col min="15" max="15" width="9.8515625" style="85" bestFit="1" customWidth="1"/>
    <col min="16" max="16" width="12.57421875" style="0" customWidth="1"/>
    <col min="17" max="17" width="9.8515625" style="0" bestFit="1" customWidth="1"/>
  </cols>
  <sheetData>
    <row r="1" ht="12.75">
      <c r="A1" s="81" t="s">
        <v>166</v>
      </c>
    </row>
    <row r="2" spans="1:19" s="14" customFormat="1" ht="30">
      <c r="A2" s="101" t="s">
        <v>103</v>
      </c>
      <c r="B2" s="102" t="s">
        <v>123</v>
      </c>
      <c r="C2" s="103" t="s">
        <v>103</v>
      </c>
      <c r="D2" s="104" t="s">
        <v>105</v>
      </c>
      <c r="E2" s="105" t="s">
        <v>125</v>
      </c>
      <c r="F2" s="106" t="s">
        <v>128</v>
      </c>
      <c r="G2" s="106" t="s">
        <v>126</v>
      </c>
      <c r="H2" s="106" t="s">
        <v>127</v>
      </c>
      <c r="I2" s="99" t="s">
        <v>107</v>
      </c>
      <c r="J2" s="107" t="s">
        <v>108</v>
      </c>
      <c r="K2" s="107" t="s">
        <v>167</v>
      </c>
      <c r="L2" s="100" t="s">
        <v>116</v>
      </c>
      <c r="M2" s="108" t="s">
        <v>115</v>
      </c>
      <c r="N2" s="95" t="s">
        <v>116</v>
      </c>
      <c r="O2" s="109" t="s">
        <v>143</v>
      </c>
      <c r="P2" s="110" t="s">
        <v>116</v>
      </c>
      <c r="Q2" s="95" t="s">
        <v>118</v>
      </c>
      <c r="R2" s="95" t="s">
        <v>119</v>
      </c>
      <c r="S2" s="95" t="s">
        <v>121</v>
      </c>
    </row>
    <row r="3" spans="1:16" s="14" customFormat="1" ht="29.25" customHeight="1">
      <c r="A3" s="68">
        <v>2012</v>
      </c>
      <c r="B3" s="98" t="s">
        <v>124</v>
      </c>
      <c r="C3" s="111"/>
      <c r="D3" s="112">
        <v>19715.2915992919</v>
      </c>
      <c r="E3" s="112"/>
      <c r="F3" s="112"/>
      <c r="G3" s="112"/>
      <c r="H3" s="112"/>
      <c r="I3" s="112"/>
      <c r="J3" s="107">
        <v>1048</v>
      </c>
      <c r="K3" s="107"/>
      <c r="L3" s="113" t="s">
        <v>141</v>
      </c>
      <c r="M3" s="108">
        <v>269</v>
      </c>
      <c r="N3" s="98" t="s">
        <v>142</v>
      </c>
      <c r="O3" s="108">
        <v>2164</v>
      </c>
      <c r="P3" s="95" t="s">
        <v>113</v>
      </c>
    </row>
    <row r="4" spans="1:17" ht="15">
      <c r="A4" s="68">
        <v>2015</v>
      </c>
      <c r="B4" s="71">
        <v>0.08002</v>
      </c>
      <c r="C4" s="72">
        <v>2015</v>
      </c>
      <c r="D4" s="74">
        <v>27021.39551310882</v>
      </c>
      <c r="E4" s="82">
        <f>B4*D4</f>
        <v>2162.2520689589674</v>
      </c>
      <c r="F4" s="83">
        <f>E4</f>
        <v>2162.2520689589674</v>
      </c>
      <c r="I4" s="73">
        <f>D4/D3</f>
        <v>1.3705805657005512</v>
      </c>
      <c r="J4" s="84">
        <f>J3*I4</f>
        <v>1436.3684328541776</v>
      </c>
      <c r="K4" s="84"/>
      <c r="L4" s="12">
        <f>E4-J4</f>
        <v>725.8836361047897</v>
      </c>
      <c r="M4" s="84">
        <f aca="true" t="shared" si="0" ref="M4:M24">269*I4</f>
        <v>368.68617217344826</v>
      </c>
      <c r="N4" s="12">
        <f aca="true" t="shared" si="1" ref="N4:N23">E4-J4-M4-K4</f>
        <v>357.1974639313415</v>
      </c>
      <c r="O4" s="84">
        <f>O3*I4</f>
        <v>2965.936344175993</v>
      </c>
      <c r="P4" s="12">
        <f>E4-J4-M4-N4</f>
        <v>0</v>
      </c>
      <c r="Q4">
        <f>1000*M4+3500*N4</f>
        <v>1618877.2959331432</v>
      </c>
    </row>
    <row r="5" spans="1:17" ht="15">
      <c r="A5" s="68">
        <v>2016</v>
      </c>
      <c r="B5" s="71">
        <v>0.08402099999999998</v>
      </c>
      <c r="C5" s="72">
        <v>2016</v>
      </c>
      <c r="D5" s="74">
        <v>28273.823928256294</v>
      </c>
      <c r="E5" s="82">
        <f aca="true" t="shared" si="2" ref="E5:E24">B5*D5</f>
        <v>2375.5949602760215</v>
      </c>
      <c r="F5" s="83">
        <f>E5</f>
        <v>2375.5949602760215</v>
      </c>
      <c r="G5" s="83"/>
      <c r="H5" s="83"/>
      <c r="I5" s="73">
        <f>D5/D3</f>
        <v>1.4341063019971656</v>
      </c>
      <c r="J5" s="84">
        <f>J3*I5</f>
        <v>1502.9434044930294</v>
      </c>
      <c r="K5" s="84"/>
      <c r="L5" s="12">
        <f>E5-J5</f>
        <v>872.6515557829921</v>
      </c>
      <c r="M5" s="84">
        <f t="shared" si="0"/>
        <v>385.7745952372375</v>
      </c>
      <c r="N5" s="12">
        <f t="shared" si="1"/>
        <v>486.87696054575457</v>
      </c>
      <c r="O5" s="84">
        <f>O3*I5</f>
        <v>3103.4060375218664</v>
      </c>
      <c r="P5" s="12">
        <f>E5-J5-M5-N5</f>
        <v>0</v>
      </c>
      <c r="Q5">
        <f>1000*M5+3500*N5</f>
        <v>2089843.9571473785</v>
      </c>
    </row>
    <row r="6" spans="1:17" ht="15">
      <c r="A6" s="68">
        <v>2017</v>
      </c>
      <c r="B6" s="71">
        <v>0.09820000000000001</v>
      </c>
      <c r="C6" s="72">
        <v>2017</v>
      </c>
      <c r="D6" s="74">
        <v>30175.693307751946</v>
      </c>
      <c r="E6" s="82">
        <f t="shared" si="2"/>
        <v>2963.2530828212416</v>
      </c>
      <c r="F6" s="83">
        <f>E6-G6</f>
        <v>2693.0391276901532</v>
      </c>
      <c r="G6" s="83">
        <f>D4*0.01</f>
        <v>270.2139551310882</v>
      </c>
      <c r="H6" s="83"/>
      <c r="I6" s="73">
        <f>D6/D3</f>
        <v>1.5305730151531587</v>
      </c>
      <c r="J6" s="84">
        <f>J3*I6</f>
        <v>1604.0405198805104</v>
      </c>
      <c r="K6" s="84"/>
      <c r="L6" s="12">
        <f>E6-J6</f>
        <v>1359.2125629407312</v>
      </c>
      <c r="M6" s="84">
        <f t="shared" si="0"/>
        <v>411.7241410761997</v>
      </c>
      <c r="N6" s="12">
        <f t="shared" si="1"/>
        <v>947.4884218645316</v>
      </c>
      <c r="O6" s="84">
        <f>O3*I6</f>
        <v>3312.1600047914353</v>
      </c>
      <c r="P6" s="12">
        <f>E6-J6-M6-N6</f>
        <v>0</v>
      </c>
      <c r="Q6">
        <f>1000*M6+3500*N6</f>
        <v>3727933.61760206</v>
      </c>
    </row>
    <row r="7" spans="1:17" ht="15">
      <c r="A7" s="68">
        <v>2018</v>
      </c>
      <c r="B7" s="71">
        <v>0.10311000000000002</v>
      </c>
      <c r="C7" s="72">
        <v>2018</v>
      </c>
      <c r="D7" s="74">
        <v>30589.692398706065</v>
      </c>
      <c r="E7" s="82">
        <f t="shared" si="2"/>
        <v>3154.103183230583</v>
      </c>
      <c r="F7" s="83">
        <f>E7-G7</f>
        <v>2843.091120019764</v>
      </c>
      <c r="G7" s="83">
        <f>D5*0.011</f>
        <v>311.01206321081924</v>
      </c>
      <c r="H7" s="83"/>
      <c r="I7" s="73">
        <f>D7/D3</f>
        <v>1.551571897612954</v>
      </c>
      <c r="J7" s="84">
        <f>J3*I7</f>
        <v>1626.0473486983758</v>
      </c>
      <c r="K7" s="84"/>
      <c r="L7" s="12">
        <f>E7-J7</f>
        <v>1528.0558345322072</v>
      </c>
      <c r="M7" s="84">
        <f t="shared" si="0"/>
        <v>417.37284045788465</v>
      </c>
      <c r="N7" s="12">
        <f t="shared" si="1"/>
        <v>1110.6829940743226</v>
      </c>
      <c r="O7" s="84">
        <f>O3*I7</f>
        <v>3357.6015864344326</v>
      </c>
      <c r="P7" s="12">
        <f>E7-J7-M7-N7</f>
        <v>0</v>
      </c>
      <c r="Q7">
        <f>1000*M7+3500*N7</f>
        <v>4304763.3197180135</v>
      </c>
    </row>
    <row r="8" spans="1:17" ht="15">
      <c r="A8" s="68">
        <v>2019</v>
      </c>
      <c r="B8" s="71">
        <v>0.10826550000000001</v>
      </c>
      <c r="C8" s="72">
        <v>2019</v>
      </c>
      <c r="D8" s="74">
        <v>30705.088718266798</v>
      </c>
      <c r="E8" s="82">
        <f t="shared" si="2"/>
        <v>3324.3017826275145</v>
      </c>
      <c r="F8" s="83">
        <f>E8-G8</f>
        <v>2992.369156242243</v>
      </c>
      <c r="G8" s="83">
        <f>D6*0.011</f>
        <v>331.93262638527136</v>
      </c>
      <c r="H8" s="83"/>
      <c r="I8" s="73">
        <f>D8/D3</f>
        <v>1.5574250354668662</v>
      </c>
      <c r="J8" s="84">
        <f>J3*I8</f>
        <v>1632.1814371692758</v>
      </c>
      <c r="K8" s="84"/>
      <c r="L8" s="12">
        <f>E8-J8</f>
        <v>1692.1203454582387</v>
      </c>
      <c r="M8" s="84">
        <f t="shared" si="0"/>
        <v>418.947334540587</v>
      </c>
      <c r="N8" s="12">
        <f t="shared" si="1"/>
        <v>1273.1730109176517</v>
      </c>
      <c r="O8" s="84">
        <f>O3*I8</f>
        <v>3370.2677767502983</v>
      </c>
      <c r="P8" s="12">
        <f>E8-J8-M8-N8</f>
        <v>0</v>
      </c>
      <c r="Q8">
        <f>1000*M8+3500*N8</f>
        <v>4875052.8727523675</v>
      </c>
    </row>
    <row r="9" spans="1:18" ht="15">
      <c r="A9" s="68">
        <v>2020</v>
      </c>
      <c r="B9" s="71">
        <v>0.12367877500000002</v>
      </c>
      <c r="C9" s="72">
        <v>2020</v>
      </c>
      <c r="D9" s="74">
        <v>30744.219430739413</v>
      </c>
      <c r="E9" s="82">
        <f t="shared" si="2"/>
        <v>3802.4073975250485</v>
      </c>
      <c r="F9" s="83">
        <f>E9-G9-H9</f>
        <v>3397.307014765325</v>
      </c>
      <c r="G9" s="83">
        <f>D7*0.012</f>
        <v>367.0763087844728</v>
      </c>
      <c r="H9" s="83">
        <f>E9*0.01</f>
        <v>38.02407397525049</v>
      </c>
      <c r="I9" s="73">
        <f>D9/D3</f>
        <v>1.5594098254090054</v>
      </c>
      <c r="J9" s="84">
        <f>J3*I9</f>
        <v>1634.2614970286377</v>
      </c>
      <c r="K9" s="83">
        <v>38.02407397525049</v>
      </c>
      <c r="L9" s="12">
        <f>E9-J9-K9</f>
        <v>2130.1218265211605</v>
      </c>
      <c r="M9" s="84">
        <f t="shared" si="0"/>
        <v>419.48124303502243</v>
      </c>
      <c r="N9" s="12">
        <f t="shared" si="1"/>
        <v>1710.6405834861378</v>
      </c>
      <c r="O9" s="84">
        <f>O3*I9</f>
        <v>3374.562862185088</v>
      </c>
      <c r="P9" s="12">
        <f aca="true" t="shared" si="3" ref="P9:P14">E9-J9-M9-N9-K9</f>
        <v>0</v>
      </c>
      <c r="Q9">
        <f>1000*M9+3500*N9+10000*K9</f>
        <v>6786964.024989009</v>
      </c>
      <c r="R9" s="81" t="s">
        <v>38</v>
      </c>
    </row>
    <row r="10" spans="1:17" ht="15">
      <c r="A10" s="68">
        <v>2021</v>
      </c>
      <c r="B10" s="71">
        <v>0.12986271375000005</v>
      </c>
      <c r="C10" s="72">
        <v>2021</v>
      </c>
      <c r="D10" s="74">
        <v>30489.962185903685</v>
      </c>
      <c r="E10" s="82">
        <f t="shared" si="2"/>
        <v>3959.509231596336</v>
      </c>
      <c r="F10" s="83">
        <f aca="true" t="shared" si="4" ref="F10:F24">E10-G10-H10</f>
        <v>3547.4935654295746</v>
      </c>
      <c r="G10" s="83">
        <f>D8*0.012</f>
        <v>368.4610646192016</v>
      </c>
      <c r="H10" s="83">
        <f>E10*0.011</f>
        <v>43.55460154755969</v>
      </c>
      <c r="I10" s="73">
        <f>D10/D3</f>
        <v>1.5465133768043668</v>
      </c>
      <c r="J10" s="84">
        <f>J3*I10</f>
        <v>1620.7460188909765</v>
      </c>
      <c r="K10" s="83">
        <v>43.55460154755969</v>
      </c>
      <c r="L10" s="12">
        <f aca="true" t="shared" si="5" ref="L10:L24">E10-J10-K10</f>
        <v>2295.2086111577996</v>
      </c>
      <c r="M10" s="84">
        <f t="shared" si="0"/>
        <v>416.0120983603747</v>
      </c>
      <c r="N10" s="12">
        <f t="shared" si="1"/>
        <v>1879.196512797425</v>
      </c>
      <c r="O10" s="84">
        <f>O3*I10</f>
        <v>3346.6549474046496</v>
      </c>
      <c r="P10" s="12">
        <f t="shared" si="3"/>
        <v>0</v>
      </c>
      <c r="Q10">
        <f aca="true" t="shared" si="6" ref="Q10:Q16">1000*M10+3500*N10+10000*K10</f>
        <v>7428745.908626959</v>
      </c>
    </row>
    <row r="11" spans="1:17" ht="15">
      <c r="A11" s="68">
        <v>2022</v>
      </c>
      <c r="B11" s="71">
        <v>0.13635584943750004</v>
      </c>
      <c r="C11" s="72">
        <v>2022</v>
      </c>
      <c r="D11" s="74">
        <v>30467.485077178146</v>
      </c>
      <c r="E11" s="82">
        <f t="shared" si="2"/>
        <v>4154.419807922983</v>
      </c>
      <c r="F11" s="83">
        <f t="shared" si="4"/>
        <v>3709.0463374362175</v>
      </c>
      <c r="G11" s="83">
        <f>D9*0.013</f>
        <v>399.67485259961234</v>
      </c>
      <c r="H11" s="83">
        <f>E11*0.011</f>
        <v>45.69861788715281</v>
      </c>
      <c r="I11" s="73">
        <f>D11/D3</f>
        <v>1.545373291778876</v>
      </c>
      <c r="J11" s="84">
        <f>J3*I11</f>
        <v>1619.551209784262</v>
      </c>
      <c r="K11" s="83">
        <v>45.69861788715281</v>
      </c>
      <c r="L11" s="12">
        <f t="shared" si="5"/>
        <v>2489.1699802515677</v>
      </c>
      <c r="M11" s="84">
        <f t="shared" si="0"/>
        <v>415.70541548851764</v>
      </c>
      <c r="N11" s="12">
        <f t="shared" si="1"/>
        <v>2073.46456476305</v>
      </c>
      <c r="O11" s="84">
        <f>O3*I11</f>
        <v>3344.187803409488</v>
      </c>
      <c r="P11" s="12">
        <f t="shared" si="3"/>
        <v>1.7053025658242404E-13</v>
      </c>
      <c r="Q11">
        <f t="shared" si="6"/>
        <v>8129817.571030721</v>
      </c>
    </row>
    <row r="12" spans="1:17" ht="15">
      <c r="A12" s="68">
        <v>2023</v>
      </c>
      <c r="B12" s="71">
        <v>0.14317364190937504</v>
      </c>
      <c r="C12" s="72">
        <v>2023</v>
      </c>
      <c r="D12" s="74">
        <v>30853.562692622698</v>
      </c>
      <c r="E12" s="82">
        <f t="shared" si="2"/>
        <v>4417.416936582015</v>
      </c>
      <c r="F12" s="83">
        <f t="shared" si="4"/>
        <v>3968.038424926283</v>
      </c>
      <c r="G12" s="83">
        <f>D10*0.013</f>
        <v>396.36950841674786</v>
      </c>
      <c r="H12" s="83">
        <f>E12*0.012</f>
        <v>53.009003238984185</v>
      </c>
      <c r="I12" s="73">
        <f>D12/D3</f>
        <v>1.5649559397706723</v>
      </c>
      <c r="J12" s="84">
        <f>J3*I12</f>
        <v>1640.0738248796645</v>
      </c>
      <c r="K12" s="83">
        <v>53.009003238984185</v>
      </c>
      <c r="L12" s="12">
        <f t="shared" si="5"/>
        <v>2724.3341084633666</v>
      </c>
      <c r="M12" s="84">
        <f t="shared" si="0"/>
        <v>420.97314779831083</v>
      </c>
      <c r="N12" s="12">
        <f t="shared" si="1"/>
        <v>2303.3609606650557</v>
      </c>
      <c r="O12" s="84">
        <f>O3*I12</f>
        <v>3386.5646536637346</v>
      </c>
      <c r="P12" s="12">
        <f t="shared" si="3"/>
        <v>2.2026824808563106E-13</v>
      </c>
      <c r="Q12">
        <f t="shared" si="6"/>
        <v>9012826.542515848</v>
      </c>
    </row>
    <row r="13" spans="1:17" ht="15">
      <c r="A13" s="68">
        <v>2024</v>
      </c>
      <c r="B13" s="71">
        <v>0.1503323240048438</v>
      </c>
      <c r="C13" s="72">
        <v>2024</v>
      </c>
      <c r="D13" s="74">
        <v>31449.409430898027</v>
      </c>
      <c r="E13" s="82">
        <f t="shared" si="2"/>
        <v>4727.862808326753</v>
      </c>
      <c r="F13" s="83">
        <f t="shared" si="4"/>
        <v>4244.583663546337</v>
      </c>
      <c r="G13" s="83">
        <f>D11*0.014</f>
        <v>426.54479108049406</v>
      </c>
      <c r="H13" s="83">
        <f>E13*0.012</f>
        <v>56.73435369992104</v>
      </c>
      <c r="I13" s="73">
        <f>D13/D3</f>
        <v>1.5951785076325005</v>
      </c>
      <c r="J13" s="84">
        <f>J3*I13</f>
        <v>1671.7470759988605</v>
      </c>
      <c r="K13" s="83">
        <v>56.73435369992104</v>
      </c>
      <c r="L13" s="12">
        <f t="shared" si="5"/>
        <v>2999.3813786279716</v>
      </c>
      <c r="M13" s="84">
        <f t="shared" si="0"/>
        <v>429.10301855314265</v>
      </c>
      <c r="N13" s="12">
        <f t="shared" si="1"/>
        <v>2570.278360074829</v>
      </c>
      <c r="O13" s="84">
        <f>O3*I13</f>
        <v>3451.966290516731</v>
      </c>
      <c r="P13" s="12">
        <f t="shared" si="3"/>
        <v>0</v>
      </c>
      <c r="Q13">
        <f t="shared" si="6"/>
        <v>9992420.815814255</v>
      </c>
    </row>
    <row r="14" spans="1:17" ht="15">
      <c r="A14" s="68">
        <v>2025</v>
      </c>
      <c r="B14" s="71">
        <v>0.157848940205086</v>
      </c>
      <c r="C14" s="72">
        <v>2025</v>
      </c>
      <c r="D14" s="74">
        <v>32124.795743673934</v>
      </c>
      <c r="E14" s="82">
        <f t="shared" si="2"/>
        <v>5070.864962443788</v>
      </c>
      <c r="F14" s="83">
        <f t="shared" si="4"/>
        <v>4542.140277542678</v>
      </c>
      <c r="G14" s="83">
        <f>D12*0.015</f>
        <v>462.80344038934044</v>
      </c>
      <c r="H14" s="83">
        <f>E14*0.013</f>
        <v>65.92124451176923</v>
      </c>
      <c r="I14" s="73">
        <f>D14/D3</f>
        <v>1.6294354857438547</v>
      </c>
      <c r="J14" s="84">
        <f>J3*I14</f>
        <v>1707.6483890595596</v>
      </c>
      <c r="K14" s="83">
        <v>65.92124451176923</v>
      </c>
      <c r="L14" s="12">
        <f t="shared" si="5"/>
        <v>3297.295328872459</v>
      </c>
      <c r="M14" s="84">
        <f t="shared" si="0"/>
        <v>438.3181456650969</v>
      </c>
      <c r="N14" s="12">
        <f t="shared" si="1"/>
        <v>2858.977183207362</v>
      </c>
      <c r="O14" s="84">
        <f>O3*I14</f>
        <v>3526.0983911497015</v>
      </c>
      <c r="P14" s="12">
        <f t="shared" si="3"/>
        <v>0</v>
      </c>
      <c r="Q14">
        <f t="shared" si="6"/>
        <v>11103950.732008554</v>
      </c>
    </row>
    <row r="15" spans="1:17" ht="15">
      <c r="A15" s="68">
        <v>2026</v>
      </c>
      <c r="B15" s="71">
        <v>0.1657413872153403</v>
      </c>
      <c r="C15" s="72">
        <v>2026</v>
      </c>
      <c r="D15" s="74">
        <v>32547.493791465185</v>
      </c>
      <c r="E15" s="82">
        <f t="shared" si="2"/>
        <v>5394.4667713801155</v>
      </c>
      <c r="F15" s="83">
        <f t="shared" si="4"/>
        <v>4821.148152457806</v>
      </c>
      <c r="G15" s="83">
        <f>D13*0.016</f>
        <v>503.19055089436847</v>
      </c>
      <c r="H15" s="83">
        <f>E15*0.013</f>
        <v>70.1280680279415</v>
      </c>
      <c r="I15" s="73">
        <f>D15/D3</f>
        <v>1.6508755971245268</v>
      </c>
      <c r="J15" s="84">
        <f>J3*I15</f>
        <v>1730.117625786504</v>
      </c>
      <c r="K15" s="83">
        <v>70.1280680279415</v>
      </c>
      <c r="L15" s="12">
        <f t="shared" si="5"/>
        <v>3594.22107756567</v>
      </c>
      <c r="M15" s="84">
        <f t="shared" si="0"/>
        <v>444.0855356264977</v>
      </c>
      <c r="N15" s="12">
        <f t="shared" si="1"/>
        <v>3150.135541939172</v>
      </c>
      <c r="O15" s="84">
        <f>O3*I15</f>
        <v>3572.494792177476</v>
      </c>
      <c r="P15" s="12">
        <f>E15-J15-M15-N15-K15</f>
        <v>0</v>
      </c>
      <c r="Q15">
        <f t="shared" si="6"/>
        <v>12170840.612693014</v>
      </c>
    </row>
    <row r="16" spans="1:17" ht="15">
      <c r="A16" s="68">
        <v>2027</v>
      </c>
      <c r="B16" s="71">
        <v>0.1740284565761073</v>
      </c>
      <c r="C16" s="72">
        <v>2027</v>
      </c>
      <c r="D16" s="74">
        <v>32542.675880787843</v>
      </c>
      <c r="E16" s="82">
        <f t="shared" si="2"/>
        <v>5663.351656390021</v>
      </c>
      <c r="F16" s="83">
        <f t="shared" si="4"/>
        <v>5070.068001301778</v>
      </c>
      <c r="G16" s="83">
        <f>D14*0.016</f>
        <v>513.996731898783</v>
      </c>
      <c r="H16" s="83">
        <f>E16*0.014</f>
        <v>79.2869231894603</v>
      </c>
      <c r="I16" s="73">
        <f>D16/D3</f>
        <v>1.650631222819786</v>
      </c>
      <c r="J16" s="84">
        <f>J3*I16</f>
        <v>1729.8615215151356</v>
      </c>
      <c r="K16" s="83">
        <v>79.2869231894603</v>
      </c>
      <c r="L16" s="12">
        <f t="shared" si="5"/>
        <v>3854.2032116854252</v>
      </c>
      <c r="M16" s="84">
        <f t="shared" si="0"/>
        <v>444.0197989385224</v>
      </c>
      <c r="N16" s="12">
        <f t="shared" si="1"/>
        <v>3410.183412746903</v>
      </c>
      <c r="O16" s="84">
        <f>O3*I16</f>
        <v>3571.965966182017</v>
      </c>
      <c r="P16" s="12">
        <f>E16-J16-M16-N16-K16</f>
        <v>-1.5631940186722204E-13</v>
      </c>
      <c r="Q16">
        <f t="shared" si="6"/>
        <v>13172530.975447286</v>
      </c>
    </row>
    <row r="17" spans="1:17" ht="15">
      <c r="A17" s="68">
        <v>2028</v>
      </c>
      <c r="B17" s="71">
        <v>0.18272987940491267</v>
      </c>
      <c r="C17" s="72">
        <v>2028</v>
      </c>
      <c r="D17" s="74">
        <v>32993.914626836864</v>
      </c>
      <c r="E17" s="82">
        <f t="shared" si="2"/>
        <v>6028.974040857885</v>
      </c>
      <c r="F17" s="83">
        <f t="shared" si="4"/>
        <v>5385.232035790108</v>
      </c>
      <c r="G17" s="83">
        <f>D15*0.017</f>
        <v>553.3073944549081</v>
      </c>
      <c r="H17" s="83">
        <f>E17*0.015</f>
        <v>90.43461061286827</v>
      </c>
      <c r="I17" s="73">
        <f>D17/D3</f>
        <v>1.673518976915456</v>
      </c>
      <c r="J17" s="84">
        <f>J3*I17</f>
        <v>1753.847887807398</v>
      </c>
      <c r="K17" s="83">
        <v>90.43461061286827</v>
      </c>
      <c r="L17" s="12">
        <f t="shared" si="5"/>
        <v>4184.691542437618</v>
      </c>
      <c r="M17" s="84">
        <f t="shared" si="0"/>
        <v>450.17660479025767</v>
      </c>
      <c r="N17" s="12">
        <f t="shared" si="1"/>
        <v>3734.5149376473614</v>
      </c>
      <c r="O17" s="84">
        <f>O3*I17</f>
        <v>3621.4950660450468</v>
      </c>
      <c r="P17" s="12">
        <f aca="true" t="shared" si="7" ref="P17:P23">E17-J17-M17-O17-K17</f>
        <v>113.01987160231464</v>
      </c>
      <c r="Q17">
        <f>1000*M17+3500*O17+6000*P17+10000*K9</f>
        <v>14183769.305314314</v>
      </c>
    </row>
    <row r="18" spans="1:17" ht="15">
      <c r="A18" s="68">
        <v>2029</v>
      </c>
      <c r="B18" s="71">
        <v>0.1918663733751583</v>
      </c>
      <c r="C18" s="72">
        <v>2029</v>
      </c>
      <c r="D18" s="74">
        <v>33493.594009025124</v>
      </c>
      <c r="E18" s="82">
        <f t="shared" si="2"/>
        <v>6426.29441381158</v>
      </c>
      <c r="F18" s="83">
        <f t="shared" si="4"/>
        <v>5737.705537336413</v>
      </c>
      <c r="G18" s="83">
        <f>D16*0.018</f>
        <v>585.7681658541811</v>
      </c>
      <c r="H18" s="83">
        <f>E18*0.016</f>
        <v>102.82071062098528</v>
      </c>
      <c r="I18" s="73">
        <f>D18/D3</f>
        <v>1.6988637393640218</v>
      </c>
      <c r="J18" s="84">
        <f>J3*I18</f>
        <v>1780.409198853495</v>
      </c>
      <c r="K18" s="83">
        <v>102.82071062098528</v>
      </c>
      <c r="L18" s="12">
        <f t="shared" si="5"/>
        <v>4543.0645043371</v>
      </c>
      <c r="M18" s="84">
        <f t="shared" si="0"/>
        <v>456.9943458889219</v>
      </c>
      <c r="N18" s="12">
        <f t="shared" si="1"/>
        <v>4086.070158448178</v>
      </c>
      <c r="O18" s="84">
        <f>O3*I18</f>
        <v>3676.3411319837433</v>
      </c>
      <c r="P18" s="12">
        <f t="shared" si="7"/>
        <v>409.72902646443475</v>
      </c>
      <c r="Q18">
        <f aca="true" t="shared" si="8" ref="Q18:Q24">1000*M18+3500*O18+6000*P18+10000*K10</f>
        <v>16218108.482094228</v>
      </c>
    </row>
    <row r="19" spans="1:17" ht="15">
      <c r="A19" s="68">
        <v>2030</v>
      </c>
      <c r="B19" s="71">
        <v>0.20145969204391623</v>
      </c>
      <c r="C19" s="72">
        <v>2030</v>
      </c>
      <c r="D19" s="74">
        <v>33975.912848756845</v>
      </c>
      <c r="E19" s="82">
        <f t="shared" si="2"/>
        <v>6844.77693942149</v>
      </c>
      <c r="F19" s="83">
        <f t="shared" si="4"/>
        <v>6108.376130480846</v>
      </c>
      <c r="G19" s="83">
        <f>D17*0.019</f>
        <v>626.8843779099004</v>
      </c>
      <c r="H19" s="83">
        <f>E19*0.016</f>
        <v>109.51643103074385</v>
      </c>
      <c r="I19" s="73">
        <f>D19/D3</f>
        <v>1.7233279395155958</v>
      </c>
      <c r="J19" s="84">
        <f>J3*I19</f>
        <v>1806.0476806123445</v>
      </c>
      <c r="K19" s="83">
        <v>109.51643103074385</v>
      </c>
      <c r="L19" s="12">
        <f t="shared" si="5"/>
        <v>4929.212827778402</v>
      </c>
      <c r="M19" s="84">
        <f t="shared" si="0"/>
        <v>463.5752157296953</v>
      </c>
      <c r="N19" s="12">
        <f t="shared" si="1"/>
        <v>4465.637612048707</v>
      </c>
      <c r="O19" s="84">
        <f>O3*I19</f>
        <v>3729.281661111749</v>
      </c>
      <c r="P19" s="12">
        <f t="shared" si="7"/>
        <v>736.3559509369572</v>
      </c>
      <c r="Q19">
        <f t="shared" si="8"/>
        <v>18391182.914114088</v>
      </c>
    </row>
    <row r="20" spans="1:17" ht="15">
      <c r="A20" s="68">
        <v>2031</v>
      </c>
      <c r="B20" s="71">
        <v>0.21153267664611206</v>
      </c>
      <c r="C20" s="72">
        <v>2031</v>
      </c>
      <c r="D20" s="74">
        <v>34314.58158147656</v>
      </c>
      <c r="E20" s="82">
        <f t="shared" si="2"/>
        <v>7258.655289921114</v>
      </c>
      <c r="F20" s="83">
        <f t="shared" si="4"/>
        <v>6465.386269811952</v>
      </c>
      <c r="G20" s="83">
        <f>D18*0.02</f>
        <v>669.8718801805024</v>
      </c>
      <c r="H20" s="83">
        <f>E20*0.017</f>
        <v>123.39713992865894</v>
      </c>
      <c r="I20" s="73">
        <f>D20/D3</f>
        <v>1.7405059118024413</v>
      </c>
      <c r="J20" s="84">
        <f>J3*I20</f>
        <v>1824.0501955689585</v>
      </c>
      <c r="K20" s="83">
        <v>123.39713992865894</v>
      </c>
      <c r="L20" s="12">
        <f t="shared" si="5"/>
        <v>5311.207954423496</v>
      </c>
      <c r="M20" s="84">
        <f t="shared" si="0"/>
        <v>468.1960902748567</v>
      </c>
      <c r="N20" s="12">
        <f t="shared" si="1"/>
        <v>4843.011864148639</v>
      </c>
      <c r="O20" s="84">
        <f>O3*I20</f>
        <v>3766.454793140483</v>
      </c>
      <c r="P20" s="12">
        <f t="shared" si="7"/>
        <v>1076.5570710081558</v>
      </c>
      <c r="Q20">
        <f t="shared" si="8"/>
        <v>20640220.324705325</v>
      </c>
    </row>
    <row r="21" spans="1:18" ht="15">
      <c r="A21" s="68">
        <v>2032</v>
      </c>
      <c r="B21" s="71">
        <v>0.22210931047841764</v>
      </c>
      <c r="C21" s="72">
        <v>2032</v>
      </c>
      <c r="D21" s="74">
        <v>34765.40732208284</v>
      </c>
      <c r="E21" s="82">
        <f t="shared" si="2"/>
        <v>7721.720648809152</v>
      </c>
      <c r="F21" s="83">
        <f t="shared" si="4"/>
        <v>6869.235507306694</v>
      </c>
      <c r="G21" s="83">
        <f>D19*0.021</f>
        <v>713.4941698238938</v>
      </c>
      <c r="H21" s="83">
        <f>E21*0.018</f>
        <v>138.99097167856473</v>
      </c>
      <c r="I21" s="73">
        <f>D21/D3</f>
        <v>1.7633727174155256</v>
      </c>
      <c r="J21" s="84">
        <f>J3*I21</f>
        <v>1848.0146078514708</v>
      </c>
      <c r="K21" s="83">
        <v>138.99097167856473</v>
      </c>
      <c r="L21" s="12">
        <f t="shared" si="5"/>
        <v>5734.7150692791165</v>
      </c>
      <c r="M21" s="84">
        <f t="shared" si="0"/>
        <v>474.34726098477637</v>
      </c>
      <c r="N21" s="12">
        <f t="shared" si="1"/>
        <v>5260.36780829434</v>
      </c>
      <c r="O21" s="84">
        <f>O3*I21</f>
        <v>3815.9385604871973</v>
      </c>
      <c r="P21" s="12">
        <f t="shared" si="7"/>
        <v>1444.429247807143</v>
      </c>
      <c r="Q21">
        <f t="shared" si="8"/>
        <v>23064051.246532038</v>
      </c>
      <c r="R21" s="81" t="s">
        <v>38</v>
      </c>
    </row>
    <row r="22" spans="1:17" ht="15">
      <c r="A22" s="68">
        <v>2033</v>
      </c>
      <c r="B22" s="71">
        <v>0.23321477600233853</v>
      </c>
      <c r="C22" s="72">
        <v>2033</v>
      </c>
      <c r="D22" s="74">
        <v>35314.988640918564</v>
      </c>
      <c r="E22" s="82">
        <f t="shared" si="2"/>
        <v>8235.977165416953</v>
      </c>
      <c r="F22" s="83">
        <f t="shared" si="4"/>
        <v>7324.572804481546</v>
      </c>
      <c r="G22" s="83">
        <f>D20*0.022</f>
        <v>754.9207947924842</v>
      </c>
      <c r="H22" s="83">
        <f>E22*0.019</f>
        <v>156.4835661429221</v>
      </c>
      <c r="I22" s="73">
        <f>D22/D3</f>
        <v>1.7912486083739663</v>
      </c>
      <c r="J22" s="84">
        <f>J3*I22</f>
        <v>1877.2285415759166</v>
      </c>
      <c r="K22" s="83">
        <v>156.4835661429221</v>
      </c>
      <c r="L22" s="12">
        <f t="shared" si="5"/>
        <v>6202.265057698114</v>
      </c>
      <c r="M22" s="84">
        <f t="shared" si="0"/>
        <v>481.84587565259693</v>
      </c>
      <c r="N22" s="12">
        <f t="shared" si="1"/>
        <v>5720.419182045517</v>
      </c>
      <c r="O22" s="84">
        <f>O3*I22</f>
        <v>3876.261988521263</v>
      </c>
      <c r="P22" s="12">
        <f t="shared" si="7"/>
        <v>1844.1571935242546</v>
      </c>
      <c r="Q22">
        <f t="shared" si="8"/>
        <v>25772918.441740237</v>
      </c>
    </row>
    <row r="23" spans="1:19" ht="15">
      <c r="A23" s="68">
        <v>2034</v>
      </c>
      <c r="B23" s="71">
        <v>0.2448755148024555</v>
      </c>
      <c r="C23" s="72">
        <v>2034</v>
      </c>
      <c r="D23" s="74">
        <v>35893.49415041843</v>
      </c>
      <c r="E23" s="82">
        <f t="shared" si="2"/>
        <v>8789.437858142639</v>
      </c>
      <c r="F23" s="83">
        <f t="shared" si="4"/>
        <v>7814.0447325718815</v>
      </c>
      <c r="G23" s="83">
        <f>D21*0.023</f>
        <v>799.6043684079053</v>
      </c>
      <c r="H23" s="83">
        <f>E23*0.02</f>
        <v>175.7887571628528</v>
      </c>
      <c r="I23" s="73">
        <f>D23/D3</f>
        <v>1.8205915935682935</v>
      </c>
      <c r="J23" s="84">
        <f>J3*I23</f>
        <v>1907.9799900595715</v>
      </c>
      <c r="K23" s="83">
        <v>175.7887571628528</v>
      </c>
      <c r="L23" s="12">
        <f t="shared" si="5"/>
        <v>6705.669110920215</v>
      </c>
      <c r="M23" s="84">
        <f t="shared" si="0"/>
        <v>489.73913866987095</v>
      </c>
      <c r="N23" s="12">
        <f t="shared" si="1"/>
        <v>6215.929972250344</v>
      </c>
      <c r="O23" s="84">
        <f>O3*I23</f>
        <v>3939.7602084817872</v>
      </c>
      <c r="P23" s="12">
        <f t="shared" si="7"/>
        <v>2276.1697637685565</v>
      </c>
      <c r="Q23">
        <f t="shared" si="8"/>
        <v>28637199.13124688</v>
      </c>
      <c r="S23" s="76"/>
    </row>
    <row r="24" spans="1:19" ht="15">
      <c r="A24" s="68">
        <v>2035</v>
      </c>
      <c r="B24" s="71">
        <v>0.2571192905425782</v>
      </c>
      <c r="C24" s="72">
        <v>2035</v>
      </c>
      <c r="D24" s="74">
        <v>36423.90435440012</v>
      </c>
      <c r="E24" s="82">
        <f t="shared" si="2"/>
        <v>9365.288446394083</v>
      </c>
      <c r="F24" s="83">
        <f t="shared" si="4"/>
        <v>8321.05766163776</v>
      </c>
      <c r="G24" s="83">
        <f>D22*0.024</f>
        <v>847.5597273820456</v>
      </c>
      <c r="H24" s="83">
        <f>E24*0.021</f>
        <v>196.67105737427576</v>
      </c>
      <c r="I24" s="73">
        <f>D24/D3</f>
        <v>1.847495086286643</v>
      </c>
      <c r="J24" s="84">
        <f>J3*I24</f>
        <v>1936.174850428402</v>
      </c>
      <c r="K24" s="83">
        <v>196.67105737427576</v>
      </c>
      <c r="L24" s="12">
        <f t="shared" si="5"/>
        <v>7232.442538591405</v>
      </c>
      <c r="M24" s="84">
        <f t="shared" si="0"/>
        <v>496.97617821110697</v>
      </c>
      <c r="N24" s="12">
        <f>E24-J24-M24-K24</f>
        <v>6735.466360380297</v>
      </c>
      <c r="O24" s="84">
        <f>O3*I24</f>
        <v>3997.9793667242957</v>
      </c>
      <c r="P24" s="12">
        <f>E24-J24-M24-O24-K24</f>
        <v>2737.4869936560017</v>
      </c>
      <c r="Q24">
        <f t="shared" si="8"/>
        <v>31707695.155576758</v>
      </c>
      <c r="R24">
        <f>18*20000</f>
        <v>360000</v>
      </c>
      <c r="S24" s="81">
        <f>5*1000000+500000</f>
        <v>5500000</v>
      </c>
    </row>
    <row r="25" spans="3:11" ht="12.75">
      <c r="C25" s="18"/>
      <c r="D25" s="73"/>
      <c r="E25" s="73"/>
      <c r="F25" s="73"/>
      <c r="G25" s="86" t="s">
        <v>38</v>
      </c>
      <c r="H25" s="73"/>
      <c r="I25" s="73"/>
      <c r="J25" s="84" t="s">
        <v>129</v>
      </c>
      <c r="K25" s="84"/>
    </row>
    <row r="26" spans="3:17" ht="12.75">
      <c r="C26" s="18"/>
      <c r="D26" s="73"/>
      <c r="E26" s="73"/>
      <c r="F26" s="73"/>
      <c r="G26" s="73"/>
      <c r="H26" s="73"/>
      <c r="I26" s="73"/>
      <c r="J26" s="84"/>
      <c r="K26" s="84"/>
      <c r="P26" s="114" t="s">
        <v>120</v>
      </c>
      <c r="Q26" s="115">
        <f>(SUM(Q4:Q24)+R24+S24)/1000000</f>
        <v>278.8897132476025</v>
      </c>
    </row>
    <row r="27" spans="17:18" ht="12.75">
      <c r="Q27" s="115">
        <f>1000000*Q26/E60</f>
        <v>2493.6283578111843</v>
      </c>
      <c r="R27" s="81" t="s">
        <v>131</v>
      </c>
    </row>
    <row r="29" ht="12.75">
      <c r="H29" s="96"/>
    </row>
    <row r="30" ht="12.75">
      <c r="G30" s="96"/>
    </row>
    <row r="33" ht="12.75">
      <c r="A33" s="81" t="s">
        <v>45</v>
      </c>
    </row>
    <row r="34" ht="12.75">
      <c r="A34" s="81" t="s">
        <v>168</v>
      </c>
    </row>
    <row r="35" ht="12.75">
      <c r="C35" s="81" t="s">
        <v>144</v>
      </c>
    </row>
    <row r="37" spans="1:19" s="115" customFormat="1" ht="30">
      <c r="A37" s="116" t="s">
        <v>103</v>
      </c>
      <c r="B37" s="117" t="s">
        <v>123</v>
      </c>
      <c r="C37" s="105" t="s">
        <v>103</v>
      </c>
      <c r="D37" s="104" t="s">
        <v>105</v>
      </c>
      <c r="E37" s="105" t="s">
        <v>125</v>
      </c>
      <c r="F37" s="106" t="s">
        <v>128</v>
      </c>
      <c r="G37" s="106" t="s">
        <v>126</v>
      </c>
      <c r="H37" s="106" t="s">
        <v>127</v>
      </c>
      <c r="I37" s="99" t="s">
        <v>107</v>
      </c>
      <c r="J37" s="118" t="s">
        <v>108</v>
      </c>
      <c r="K37" s="118"/>
      <c r="L37" s="119" t="s">
        <v>130</v>
      </c>
      <c r="M37" s="118" t="s">
        <v>115</v>
      </c>
      <c r="N37" s="119" t="s">
        <v>130</v>
      </c>
      <c r="O37" s="120" t="s">
        <v>112</v>
      </c>
      <c r="P37" s="121" t="s">
        <v>130</v>
      </c>
      <c r="Q37" s="122" t="s">
        <v>118</v>
      </c>
      <c r="R37" s="122" t="s">
        <v>119</v>
      </c>
      <c r="S37" s="122" t="s">
        <v>121</v>
      </c>
    </row>
    <row r="38" spans="1:16" ht="39">
      <c r="A38" s="68">
        <v>2012</v>
      </c>
      <c r="B38" s="81" t="s">
        <v>124</v>
      </c>
      <c r="C38" s="18"/>
      <c r="D38" s="73">
        <v>19715.2915992919</v>
      </c>
      <c r="E38" s="73"/>
      <c r="F38" s="73"/>
      <c r="G38" s="73"/>
      <c r="H38" s="73"/>
      <c r="I38" s="73"/>
      <c r="J38" s="84">
        <v>1048</v>
      </c>
      <c r="K38" s="84"/>
      <c r="L38" s="113" t="s">
        <v>141</v>
      </c>
      <c r="M38" s="85">
        <v>269</v>
      </c>
      <c r="N38" s="95" t="s">
        <v>114</v>
      </c>
      <c r="O38" s="85">
        <v>2164</v>
      </c>
      <c r="P38" s="95" t="s">
        <v>113</v>
      </c>
    </row>
    <row r="39" spans="1:18" ht="15">
      <c r="A39" s="68">
        <v>2015</v>
      </c>
      <c r="B39" s="71">
        <v>0.08002</v>
      </c>
      <c r="C39" s="72">
        <v>2015</v>
      </c>
      <c r="D39" s="74">
        <v>27021.39551310882</v>
      </c>
      <c r="E39" s="82">
        <f>B39*D39</f>
        <v>2162.2520689589674</v>
      </c>
      <c r="F39" s="83">
        <f>E39</f>
        <v>2162.2520689589674</v>
      </c>
      <c r="I39" s="73">
        <f>D39/D38</f>
        <v>1.3705805657005512</v>
      </c>
      <c r="J39" s="84">
        <f>J38*I39</f>
        <v>1436.3684328541776</v>
      </c>
      <c r="K39" s="84"/>
      <c r="L39" s="12">
        <f>E39-J39</f>
        <v>725.8836361047897</v>
      </c>
      <c r="M39" s="84">
        <f aca="true" t="shared" si="9" ref="M39:M59">269*I39</f>
        <v>368.68617217344826</v>
      </c>
      <c r="N39" s="12">
        <f>E39-J39-M39</f>
        <v>357.1974639313415</v>
      </c>
      <c r="O39" s="84">
        <f>O38*I39</f>
        <v>2965.936344175993</v>
      </c>
      <c r="P39" s="12">
        <f>E39-J39-M39-N39</f>
        <v>0</v>
      </c>
      <c r="Q39">
        <f>1000*M39+3500*N39*0.5+500*N39*0.5</f>
        <v>1083081.1000361312</v>
      </c>
      <c r="R39" s="81"/>
    </row>
    <row r="40" spans="1:18" ht="15">
      <c r="A40" s="68">
        <v>2016</v>
      </c>
      <c r="B40" s="71">
        <v>0.08402099999999998</v>
      </c>
      <c r="C40" s="72">
        <v>2016</v>
      </c>
      <c r="D40" s="74">
        <v>28273.823928256294</v>
      </c>
      <c r="E40" s="82">
        <f aca="true" t="shared" si="10" ref="E40:E59">B40*D40</f>
        <v>2375.5949602760215</v>
      </c>
      <c r="F40" s="83">
        <f>E40</f>
        <v>2375.5949602760215</v>
      </c>
      <c r="G40" s="83"/>
      <c r="H40" s="83"/>
      <c r="I40" s="73">
        <f>D40/D38</f>
        <v>1.4341063019971656</v>
      </c>
      <c r="J40" s="84">
        <f>J38*I40</f>
        <v>1502.9434044930294</v>
      </c>
      <c r="K40" s="84"/>
      <c r="L40" s="12">
        <f>E40-J40</f>
        <v>872.6515557829921</v>
      </c>
      <c r="M40" s="84">
        <f t="shared" si="9"/>
        <v>385.7745952372375</v>
      </c>
      <c r="N40" s="12">
        <f>E40-J40-M40</f>
        <v>486.87696054575457</v>
      </c>
      <c r="O40" s="84">
        <f>O38*I40</f>
        <v>3103.4060375218664</v>
      </c>
      <c r="P40" s="12">
        <f>E40-J40-M40-N40</f>
        <v>0</v>
      </c>
      <c r="Q40">
        <f>1000*M40+3500*N40*0.5+500*N40*0.5</f>
        <v>1359528.5163287467</v>
      </c>
      <c r="R40" s="81"/>
    </row>
    <row r="41" spans="1:18" ht="15">
      <c r="A41" s="68">
        <v>2017</v>
      </c>
      <c r="B41" s="71">
        <v>0.09820000000000001</v>
      </c>
      <c r="C41" s="72">
        <v>2017</v>
      </c>
      <c r="D41" s="74">
        <v>30175.693307751946</v>
      </c>
      <c r="E41" s="82">
        <f t="shared" si="10"/>
        <v>2963.2530828212416</v>
      </c>
      <c r="F41" s="83">
        <f>E41-G41</f>
        <v>2693.0391276901532</v>
      </c>
      <c r="G41" s="83">
        <f>D39*0.01</f>
        <v>270.2139551310882</v>
      </c>
      <c r="H41" s="83"/>
      <c r="I41" s="73">
        <f>D41/D38</f>
        <v>1.5305730151531587</v>
      </c>
      <c r="J41" s="84">
        <f>J38*I41</f>
        <v>1604.0405198805104</v>
      </c>
      <c r="K41" s="84"/>
      <c r="L41" s="12">
        <f>E41-J41</f>
        <v>1359.2125629407312</v>
      </c>
      <c r="M41" s="84">
        <f t="shared" si="9"/>
        <v>411.7241410761997</v>
      </c>
      <c r="N41" s="12">
        <f>E41-J41-M41</f>
        <v>947.4884218645316</v>
      </c>
      <c r="O41" s="84">
        <f>O38*I41</f>
        <v>3312.1600047914353</v>
      </c>
      <c r="P41" s="12">
        <f>E41-J41-M41-N41</f>
        <v>0</v>
      </c>
      <c r="Q41">
        <f>1000*M41+3500*N41*0.5+500*N41*0.5</f>
        <v>2306700.9848052626</v>
      </c>
      <c r="R41" s="81"/>
    </row>
    <row r="42" spans="1:18" ht="15">
      <c r="A42" s="68">
        <v>2018</v>
      </c>
      <c r="B42" s="71">
        <v>0.10311000000000002</v>
      </c>
      <c r="C42" s="72">
        <v>2018</v>
      </c>
      <c r="D42" s="74">
        <v>30589.692398706065</v>
      </c>
      <c r="E42" s="82">
        <f t="shared" si="10"/>
        <v>3154.103183230583</v>
      </c>
      <c r="F42" s="83">
        <f>E42-G42</f>
        <v>2843.091120019764</v>
      </c>
      <c r="G42" s="83">
        <f>D40*0.011</f>
        <v>311.01206321081924</v>
      </c>
      <c r="H42" s="83"/>
      <c r="I42" s="73">
        <f>D42/D38</f>
        <v>1.551571897612954</v>
      </c>
      <c r="J42" s="84">
        <f>J38*I42</f>
        <v>1626.0473486983758</v>
      </c>
      <c r="K42" s="84"/>
      <c r="L42" s="12">
        <f>E42-J42</f>
        <v>1528.0558345322072</v>
      </c>
      <c r="M42" s="84">
        <f t="shared" si="9"/>
        <v>417.37284045788465</v>
      </c>
      <c r="N42" s="12">
        <f>E42-J42-M42</f>
        <v>1110.6829940743226</v>
      </c>
      <c r="O42" s="84">
        <f>O38*I42</f>
        <v>3357.6015864344326</v>
      </c>
      <c r="P42" s="12">
        <f>E42-J42-M42-N42</f>
        <v>0</v>
      </c>
      <c r="Q42">
        <f>1000*M42+3500*N42*0.5+500*N42*0.5</f>
        <v>2638738.8286065296</v>
      </c>
      <c r="R42" s="81"/>
    </row>
    <row r="43" spans="1:18" ht="15">
      <c r="A43" s="68">
        <v>2019</v>
      </c>
      <c r="B43" s="71">
        <v>0.10826550000000001</v>
      </c>
      <c r="C43" s="72">
        <v>2019</v>
      </c>
      <c r="D43" s="74">
        <v>30705.088718266798</v>
      </c>
      <c r="E43" s="82">
        <f t="shared" si="10"/>
        <v>3324.3017826275145</v>
      </c>
      <c r="F43" s="83">
        <f>E43-G43</f>
        <v>2992.369156242243</v>
      </c>
      <c r="G43" s="83">
        <f>D41*0.011</f>
        <v>331.93262638527136</v>
      </c>
      <c r="H43" s="83"/>
      <c r="I43" s="73">
        <f>D43/D38</f>
        <v>1.5574250354668662</v>
      </c>
      <c r="J43" s="84">
        <f>J38*I43</f>
        <v>1632.1814371692758</v>
      </c>
      <c r="K43" s="84"/>
      <c r="L43" s="12">
        <f>E43-J43</f>
        <v>1692.1203454582387</v>
      </c>
      <c r="M43" s="84">
        <f t="shared" si="9"/>
        <v>418.947334540587</v>
      </c>
      <c r="N43" s="12">
        <f>E43-J43-M43</f>
        <v>1273.1730109176517</v>
      </c>
      <c r="O43" s="84">
        <f>O38*I43</f>
        <v>3370.2677767502983</v>
      </c>
      <c r="P43" s="12">
        <f>E43-J43-M43-N43</f>
        <v>0</v>
      </c>
      <c r="Q43">
        <f>1000*M43+3500*N43*0.5+500*N43*0.5</f>
        <v>2965293.3563758903</v>
      </c>
      <c r="R43" s="81"/>
    </row>
    <row r="44" spans="1:18" ht="15">
      <c r="A44" s="68">
        <v>2020</v>
      </c>
      <c r="B44" s="71">
        <v>0.12367877500000002</v>
      </c>
      <c r="C44" s="72">
        <v>2020</v>
      </c>
      <c r="D44" s="74">
        <v>30744.219430739413</v>
      </c>
      <c r="E44" s="82">
        <f t="shared" si="10"/>
        <v>3802.4073975250485</v>
      </c>
      <c r="F44" s="83">
        <f>E44-G44-H44</f>
        <v>3397.307014765325</v>
      </c>
      <c r="G44" s="83">
        <f>D42*0.012</f>
        <v>367.0763087844728</v>
      </c>
      <c r="H44" s="83">
        <f>E44*0.01</f>
        <v>38.02407397525049</v>
      </c>
      <c r="I44" s="73">
        <f>D44/D38</f>
        <v>1.5594098254090054</v>
      </c>
      <c r="J44" s="84">
        <f>J38*I44</f>
        <v>1634.2614970286377</v>
      </c>
      <c r="K44" s="83">
        <v>38.02407397525049</v>
      </c>
      <c r="L44" s="12">
        <f>E44-J44-K44</f>
        <v>2130.1218265211605</v>
      </c>
      <c r="M44" s="84">
        <f t="shared" si="9"/>
        <v>419.48124303502243</v>
      </c>
      <c r="N44" s="12">
        <f>E44-J44-M44-K44</f>
        <v>1710.6405834861378</v>
      </c>
      <c r="O44" s="84">
        <f>O38*I44</f>
        <v>3374.562862185088</v>
      </c>
      <c r="P44" s="12">
        <f>E44-J44-M44-N44-K44</f>
        <v>0</v>
      </c>
      <c r="Q44">
        <f>1000*M44+3500*N44*0.5+500*N44*0.5+2000*K44</f>
        <v>3916810.5579577987</v>
      </c>
      <c r="R44" s="81"/>
    </row>
    <row r="45" spans="1:18" ht="15">
      <c r="A45" s="68">
        <v>2021</v>
      </c>
      <c r="B45" s="71">
        <v>0.12986271375000005</v>
      </c>
      <c r="C45" s="72">
        <v>2021</v>
      </c>
      <c r="D45" s="74">
        <v>30489.962185903685</v>
      </c>
      <c r="E45" s="82">
        <f t="shared" si="10"/>
        <v>3959.509231596336</v>
      </c>
      <c r="F45" s="83">
        <f aca="true" t="shared" si="11" ref="F45:F59">E45-G45-H45</f>
        <v>3547.4935654295746</v>
      </c>
      <c r="G45" s="83">
        <f>D43*0.012</f>
        <v>368.4610646192016</v>
      </c>
      <c r="H45" s="83">
        <f>E45*0.011</f>
        <v>43.55460154755969</v>
      </c>
      <c r="I45" s="73">
        <f>D45/D38</f>
        <v>1.5465133768043668</v>
      </c>
      <c r="J45" s="84">
        <f>J38*I45</f>
        <v>1620.7460188909765</v>
      </c>
      <c r="K45" s="83">
        <v>43.55460154755969</v>
      </c>
      <c r="L45" s="12">
        <f aca="true" t="shared" si="12" ref="L45:L59">E45-J45-K45</f>
        <v>2295.2086111577996</v>
      </c>
      <c r="M45" s="84">
        <f t="shared" si="9"/>
        <v>416.0120983603747</v>
      </c>
      <c r="N45" s="12">
        <f aca="true" t="shared" si="13" ref="N45:N59">E45-J45-M45-K45</f>
        <v>1879.196512797425</v>
      </c>
      <c r="O45" s="84">
        <f>O38*I45</f>
        <v>3346.6549474046496</v>
      </c>
      <c r="P45" s="12">
        <f aca="true" t="shared" si="14" ref="P45:P51">E45-J45-M45-N45-K45</f>
        <v>0</v>
      </c>
      <c r="Q45">
        <f aca="true" t="shared" si="15" ref="Q45:Q51">1000*M45+3500*N45*0.5+500*N45*0.5+2000*K45</f>
        <v>4261514.327050343</v>
      </c>
      <c r="R45" s="81"/>
    </row>
    <row r="46" spans="1:18" ht="15">
      <c r="A46" s="68">
        <v>2022</v>
      </c>
      <c r="B46" s="71">
        <v>0.13635584943750004</v>
      </c>
      <c r="C46" s="72">
        <v>2022</v>
      </c>
      <c r="D46" s="74">
        <v>30467.485077178146</v>
      </c>
      <c r="E46" s="82">
        <f t="shared" si="10"/>
        <v>4154.419807922983</v>
      </c>
      <c r="F46" s="83">
        <f t="shared" si="11"/>
        <v>3709.0463374362175</v>
      </c>
      <c r="G46" s="83">
        <f>D44*0.013</f>
        <v>399.67485259961234</v>
      </c>
      <c r="H46" s="83">
        <f>E46*0.011</f>
        <v>45.69861788715281</v>
      </c>
      <c r="I46" s="73">
        <f>D46/D38</f>
        <v>1.545373291778876</v>
      </c>
      <c r="J46" s="84">
        <f>J38*I46</f>
        <v>1619.551209784262</v>
      </c>
      <c r="K46" s="83">
        <v>45.69861788715281</v>
      </c>
      <c r="L46" s="12">
        <f t="shared" si="12"/>
        <v>2489.1699802515677</v>
      </c>
      <c r="M46" s="84">
        <f t="shared" si="9"/>
        <v>415.70541548851764</v>
      </c>
      <c r="N46" s="12">
        <f t="shared" si="13"/>
        <v>2073.46456476305</v>
      </c>
      <c r="O46" s="84">
        <f>O38*I46</f>
        <v>3344.187803409488</v>
      </c>
      <c r="P46" s="12">
        <f t="shared" si="14"/>
        <v>1.7053025658242404E-13</v>
      </c>
      <c r="Q46">
        <f t="shared" si="15"/>
        <v>4654031.780788924</v>
      </c>
      <c r="R46" s="81"/>
    </row>
    <row r="47" spans="1:18" ht="15">
      <c r="A47" s="68">
        <v>2023</v>
      </c>
      <c r="B47" s="71">
        <v>0.14317364190937504</v>
      </c>
      <c r="C47" s="72">
        <v>2023</v>
      </c>
      <c r="D47" s="74">
        <v>30853.562692622698</v>
      </c>
      <c r="E47" s="82">
        <f t="shared" si="10"/>
        <v>4417.416936582015</v>
      </c>
      <c r="F47" s="83">
        <f t="shared" si="11"/>
        <v>3968.038424926283</v>
      </c>
      <c r="G47" s="83">
        <f>D45*0.013</f>
        <v>396.36950841674786</v>
      </c>
      <c r="H47" s="83">
        <f>E47*0.012</f>
        <v>53.009003238984185</v>
      </c>
      <c r="I47" s="73">
        <f>D47/D38</f>
        <v>1.5649559397706723</v>
      </c>
      <c r="J47" s="84">
        <f>J38*I47</f>
        <v>1640.0738248796645</v>
      </c>
      <c r="K47" s="83">
        <v>53.009003238984185</v>
      </c>
      <c r="L47" s="12">
        <f t="shared" si="12"/>
        <v>2724.3341084633666</v>
      </c>
      <c r="M47" s="84">
        <f t="shared" si="9"/>
        <v>420.97314779831083</v>
      </c>
      <c r="N47" s="12">
        <f t="shared" si="13"/>
        <v>2303.3609606650557</v>
      </c>
      <c r="O47" s="84">
        <f>O38*I47</f>
        <v>3386.5646536637346</v>
      </c>
      <c r="P47" s="12">
        <f t="shared" si="14"/>
        <v>2.2026824808563106E-13</v>
      </c>
      <c r="Q47">
        <f t="shared" si="15"/>
        <v>5133713.075606391</v>
      </c>
      <c r="R47" s="81"/>
    </row>
    <row r="48" spans="1:18" ht="15">
      <c r="A48" s="68">
        <v>2024</v>
      </c>
      <c r="B48" s="71">
        <v>0.1503323240048438</v>
      </c>
      <c r="C48" s="72">
        <v>2024</v>
      </c>
      <c r="D48" s="74">
        <v>31449.409430898027</v>
      </c>
      <c r="E48" s="82">
        <f t="shared" si="10"/>
        <v>4727.862808326753</v>
      </c>
      <c r="F48" s="83">
        <f t="shared" si="11"/>
        <v>4244.583663546337</v>
      </c>
      <c r="G48" s="83">
        <f>D46*0.014</f>
        <v>426.54479108049406</v>
      </c>
      <c r="H48" s="83">
        <f>E48*0.012</f>
        <v>56.73435369992104</v>
      </c>
      <c r="I48" s="73">
        <f>D48/D38</f>
        <v>1.5951785076325005</v>
      </c>
      <c r="J48" s="84">
        <f>J38*I48</f>
        <v>1671.7470759988605</v>
      </c>
      <c r="K48" s="83">
        <v>56.73435369992104</v>
      </c>
      <c r="L48" s="12">
        <f t="shared" si="12"/>
        <v>2999.3813786279716</v>
      </c>
      <c r="M48" s="84">
        <f t="shared" si="9"/>
        <v>429.10301855314265</v>
      </c>
      <c r="N48" s="12">
        <f t="shared" si="13"/>
        <v>2570.278360074829</v>
      </c>
      <c r="O48" s="84">
        <f>O38*I48</f>
        <v>3451.966290516731</v>
      </c>
      <c r="P48" s="12">
        <f t="shared" si="14"/>
        <v>0</v>
      </c>
      <c r="Q48">
        <f t="shared" si="15"/>
        <v>5683128.446102642</v>
      </c>
      <c r="R48" s="81"/>
    </row>
    <row r="49" spans="1:18" ht="15">
      <c r="A49" s="68">
        <v>2025</v>
      </c>
      <c r="B49" s="71">
        <v>0.157848940205086</v>
      </c>
      <c r="C49" s="72">
        <v>2025</v>
      </c>
      <c r="D49" s="74">
        <v>32124.795743673934</v>
      </c>
      <c r="E49" s="82">
        <f t="shared" si="10"/>
        <v>5070.864962443788</v>
      </c>
      <c r="F49" s="83">
        <f t="shared" si="11"/>
        <v>4542.140277542678</v>
      </c>
      <c r="G49" s="83">
        <f>D47*0.015</f>
        <v>462.80344038934044</v>
      </c>
      <c r="H49" s="83">
        <f>E49*0.013</f>
        <v>65.92124451176923</v>
      </c>
      <c r="I49" s="73">
        <f>D49/D38</f>
        <v>1.6294354857438547</v>
      </c>
      <c r="J49" s="84">
        <f>J38*I49</f>
        <v>1707.6483890595596</v>
      </c>
      <c r="K49" s="83">
        <v>65.92124451176923</v>
      </c>
      <c r="L49" s="12">
        <f t="shared" si="12"/>
        <v>3297.295328872459</v>
      </c>
      <c r="M49" s="84">
        <f t="shared" si="9"/>
        <v>438.3181456650969</v>
      </c>
      <c r="N49" s="12">
        <f t="shared" si="13"/>
        <v>2858.977183207362</v>
      </c>
      <c r="O49" s="84">
        <f>O38*I49</f>
        <v>3526.0983911497015</v>
      </c>
      <c r="P49" s="12">
        <f t="shared" si="14"/>
        <v>0</v>
      </c>
      <c r="Q49">
        <f t="shared" si="15"/>
        <v>6288115.001103359</v>
      </c>
      <c r="R49" s="81"/>
    </row>
    <row r="50" spans="1:18" ht="15">
      <c r="A50" s="68">
        <v>2026</v>
      </c>
      <c r="B50" s="71">
        <v>0.1657413872153403</v>
      </c>
      <c r="C50" s="72">
        <v>2026</v>
      </c>
      <c r="D50" s="74">
        <v>32547.493791465185</v>
      </c>
      <c r="E50" s="82">
        <f t="shared" si="10"/>
        <v>5394.4667713801155</v>
      </c>
      <c r="F50" s="83">
        <f t="shared" si="11"/>
        <v>4821.148152457806</v>
      </c>
      <c r="G50" s="83">
        <f>D48*0.016</f>
        <v>503.19055089436847</v>
      </c>
      <c r="H50" s="83">
        <f>E50*0.013</f>
        <v>70.1280680279415</v>
      </c>
      <c r="I50" s="73">
        <f>D50/D38</f>
        <v>1.6508755971245268</v>
      </c>
      <c r="J50" s="84">
        <f>J38*I50</f>
        <v>1730.117625786504</v>
      </c>
      <c r="K50" s="83">
        <v>70.1280680279415</v>
      </c>
      <c r="L50" s="12">
        <f t="shared" si="12"/>
        <v>3594.22107756567</v>
      </c>
      <c r="M50" s="84">
        <f t="shared" si="9"/>
        <v>444.0855356264977</v>
      </c>
      <c r="N50" s="12">
        <f t="shared" si="13"/>
        <v>3150.135541939172</v>
      </c>
      <c r="O50" s="84">
        <f>O38*I50</f>
        <v>3572.494792177476</v>
      </c>
      <c r="P50" s="12">
        <f t="shared" si="14"/>
        <v>0</v>
      </c>
      <c r="Q50">
        <f t="shared" si="15"/>
        <v>6884612.755560725</v>
      </c>
      <c r="R50" s="81"/>
    </row>
    <row r="51" spans="1:18" ht="15">
      <c r="A51" s="68">
        <v>2027</v>
      </c>
      <c r="B51" s="71">
        <v>0.1740284565761073</v>
      </c>
      <c r="C51" s="72">
        <v>2027</v>
      </c>
      <c r="D51" s="74">
        <v>32542.675880787843</v>
      </c>
      <c r="E51" s="82">
        <f t="shared" si="10"/>
        <v>5663.351656390021</v>
      </c>
      <c r="F51" s="83">
        <f t="shared" si="11"/>
        <v>5070.068001301778</v>
      </c>
      <c r="G51" s="83">
        <f>D49*0.016</f>
        <v>513.996731898783</v>
      </c>
      <c r="H51" s="83">
        <f>E51*0.014</f>
        <v>79.2869231894603</v>
      </c>
      <c r="I51" s="73">
        <f>D51/D38</f>
        <v>1.650631222819786</v>
      </c>
      <c r="J51" s="84">
        <f>J38*I51</f>
        <v>1729.8615215151356</v>
      </c>
      <c r="K51" s="83">
        <v>79.2869231894603</v>
      </c>
      <c r="L51" s="12">
        <f t="shared" si="12"/>
        <v>3854.2032116854252</v>
      </c>
      <c r="M51" s="84">
        <f t="shared" si="9"/>
        <v>444.0197989385224</v>
      </c>
      <c r="N51" s="12">
        <f t="shared" si="13"/>
        <v>3410.183412746903</v>
      </c>
      <c r="O51" s="84">
        <f>O38*I51</f>
        <v>3571.965966182017</v>
      </c>
      <c r="P51" s="12">
        <f t="shared" si="14"/>
        <v>-1.5631940186722204E-13</v>
      </c>
      <c r="Q51">
        <f t="shared" si="15"/>
        <v>7422960.470811249</v>
      </c>
      <c r="R51" s="81"/>
    </row>
    <row r="52" spans="1:18" ht="15">
      <c r="A52" s="68">
        <v>2028</v>
      </c>
      <c r="B52" s="71">
        <v>0.18272987940491267</v>
      </c>
      <c r="C52" s="72">
        <v>2028</v>
      </c>
      <c r="D52" s="74">
        <v>32993.914626836864</v>
      </c>
      <c r="E52" s="82">
        <f t="shared" si="10"/>
        <v>6028.974040857885</v>
      </c>
      <c r="F52" s="83">
        <f t="shared" si="11"/>
        <v>5385.232035790108</v>
      </c>
      <c r="G52" s="83">
        <f>D50*0.017</f>
        <v>553.3073944549081</v>
      </c>
      <c r="H52" s="83">
        <f>E52*0.015</f>
        <v>90.43461061286827</v>
      </c>
      <c r="I52" s="73">
        <f>D52/D38</f>
        <v>1.673518976915456</v>
      </c>
      <c r="J52" s="84">
        <f>J38*I52</f>
        <v>1753.847887807398</v>
      </c>
      <c r="K52" s="83">
        <v>90.43461061286827</v>
      </c>
      <c r="L52" s="12">
        <f t="shared" si="12"/>
        <v>4184.691542437618</v>
      </c>
      <c r="M52" s="84">
        <f t="shared" si="9"/>
        <v>450.17660479025767</v>
      </c>
      <c r="N52" s="12">
        <f t="shared" si="13"/>
        <v>3734.5149376473614</v>
      </c>
      <c r="O52" s="84">
        <f>O38*I52</f>
        <v>3621.4950660450468</v>
      </c>
      <c r="P52" s="12">
        <f>E52-J52-M52-O52-K52</f>
        <v>113.01987160231464</v>
      </c>
      <c r="Q52">
        <f>1000*M52+3500*O52*0.5+0.5*500*O52+6000*P52*0.5+500*P52*0.5+2000*K52</f>
        <v>8241350.54081361</v>
      </c>
      <c r="R52" s="81" t="s">
        <v>38</v>
      </c>
    </row>
    <row r="53" spans="1:18" ht="15">
      <c r="A53" s="68">
        <v>2029</v>
      </c>
      <c r="B53" s="71">
        <v>0.1918663733751583</v>
      </c>
      <c r="C53" s="72">
        <v>2029</v>
      </c>
      <c r="D53" s="74">
        <v>33493.594009025124</v>
      </c>
      <c r="E53" s="82">
        <f t="shared" si="10"/>
        <v>6426.29441381158</v>
      </c>
      <c r="F53" s="83">
        <f t="shared" si="11"/>
        <v>5737.705537336413</v>
      </c>
      <c r="G53" s="83">
        <f>D51*0.018</f>
        <v>585.7681658541811</v>
      </c>
      <c r="H53" s="83">
        <f>E53*0.016</f>
        <v>102.82071062098528</v>
      </c>
      <c r="I53" s="73">
        <f>D53/D38</f>
        <v>1.6988637393640218</v>
      </c>
      <c r="J53" s="84">
        <f>J38*I53</f>
        <v>1780.409198853495</v>
      </c>
      <c r="K53" s="83">
        <v>102.82071062098528</v>
      </c>
      <c r="L53" s="12">
        <f t="shared" si="12"/>
        <v>4543.0645043371</v>
      </c>
      <c r="M53" s="84">
        <f t="shared" si="9"/>
        <v>456.9943458889219</v>
      </c>
      <c r="N53" s="12">
        <f t="shared" si="13"/>
        <v>4086.070158448178</v>
      </c>
      <c r="O53" s="84">
        <f>O38*I53</f>
        <v>3676.3411319837433</v>
      </c>
      <c r="P53" s="12">
        <f aca="true" t="shared" si="16" ref="P53:P59">E53-J53-M53-O53-K53</f>
        <v>409.72902646443475</v>
      </c>
      <c r="Q53">
        <f aca="true" t="shared" si="17" ref="Q53:Q59">1000*M53+3500*O53*0.5+0.5*500*O53+6000*P53*0.5+500*P53*0.5+2000*K53</f>
        <v>9346937.367107792</v>
      </c>
      <c r="R53" s="81" t="s">
        <v>38</v>
      </c>
    </row>
    <row r="54" spans="1:18" ht="15">
      <c r="A54" s="68">
        <v>2030</v>
      </c>
      <c r="B54" s="71">
        <v>0.20145969204391623</v>
      </c>
      <c r="C54" s="72">
        <v>2030</v>
      </c>
      <c r="D54" s="74">
        <v>33975.912848756845</v>
      </c>
      <c r="E54" s="82">
        <f t="shared" si="10"/>
        <v>6844.77693942149</v>
      </c>
      <c r="F54" s="83">
        <f t="shared" si="11"/>
        <v>6108.376130480846</v>
      </c>
      <c r="G54" s="83">
        <f>D52*0.019</f>
        <v>626.8843779099004</v>
      </c>
      <c r="H54" s="83">
        <f>E54*0.016</f>
        <v>109.51643103074385</v>
      </c>
      <c r="I54" s="73">
        <f>D54/D38</f>
        <v>1.7233279395155958</v>
      </c>
      <c r="J54" s="84">
        <f>J38*I54</f>
        <v>1806.0476806123445</v>
      </c>
      <c r="K54" s="83">
        <v>109.51643103074385</v>
      </c>
      <c r="L54" s="12">
        <f t="shared" si="12"/>
        <v>4929.212827778402</v>
      </c>
      <c r="M54" s="84">
        <f t="shared" si="9"/>
        <v>463.5752157296953</v>
      </c>
      <c r="N54" s="12">
        <f t="shared" si="13"/>
        <v>4465.637612048707</v>
      </c>
      <c r="O54" s="84">
        <f>O38*I54</f>
        <v>3729.281661111749</v>
      </c>
      <c r="P54" s="12">
        <f t="shared" si="16"/>
        <v>736.3559509369572</v>
      </c>
      <c r="Q54">
        <f t="shared" si="17"/>
        <v>10534328.240559792</v>
      </c>
      <c r="R54" s="81" t="s">
        <v>38</v>
      </c>
    </row>
    <row r="55" spans="1:17" ht="15">
      <c r="A55" s="68">
        <v>2031</v>
      </c>
      <c r="B55" s="71">
        <v>0.21153267664611206</v>
      </c>
      <c r="C55" s="72">
        <v>2031</v>
      </c>
      <c r="D55" s="74">
        <v>34314.58158147656</v>
      </c>
      <c r="E55" s="82">
        <f t="shared" si="10"/>
        <v>7258.655289921114</v>
      </c>
      <c r="F55" s="83">
        <f t="shared" si="11"/>
        <v>6465.386269811952</v>
      </c>
      <c r="G55" s="83">
        <f>D53*0.02</f>
        <v>669.8718801805024</v>
      </c>
      <c r="H55" s="83">
        <f>E55*0.017</f>
        <v>123.39713992865894</v>
      </c>
      <c r="I55" s="73">
        <f>D55/D38</f>
        <v>1.7405059118024413</v>
      </c>
      <c r="J55" s="84">
        <f>J38*I55</f>
        <v>1824.0501955689585</v>
      </c>
      <c r="K55" s="83">
        <v>123.39713992865894</v>
      </c>
      <c r="L55" s="12">
        <f t="shared" si="12"/>
        <v>5311.207954423496</v>
      </c>
      <c r="M55" s="84">
        <f t="shared" si="9"/>
        <v>468.1960902748567</v>
      </c>
      <c r="N55" s="12">
        <f t="shared" si="13"/>
        <v>4843.011864148639</v>
      </c>
      <c r="O55" s="84">
        <f>O38*I55</f>
        <v>3766.454793140483</v>
      </c>
      <c r="P55" s="12">
        <f t="shared" si="16"/>
        <v>1076.5570710081558</v>
      </c>
      <c r="Q55">
        <f t="shared" si="17"/>
        <v>11746710.437189646</v>
      </c>
    </row>
    <row r="56" spans="1:18" ht="15">
      <c r="A56" s="68">
        <v>2032</v>
      </c>
      <c r="B56" s="71">
        <v>0.22210931047841764</v>
      </c>
      <c r="C56" s="72">
        <v>2032</v>
      </c>
      <c r="D56" s="74">
        <v>34765.40732208284</v>
      </c>
      <c r="E56" s="82">
        <f t="shared" si="10"/>
        <v>7721.720648809152</v>
      </c>
      <c r="F56" s="83">
        <f t="shared" si="11"/>
        <v>6869.235507306694</v>
      </c>
      <c r="G56" s="83">
        <f>D54*0.021</f>
        <v>713.4941698238938</v>
      </c>
      <c r="H56" s="83">
        <f>E56*0.018</f>
        <v>138.99097167856473</v>
      </c>
      <c r="I56" s="73">
        <f>D56/D38</f>
        <v>1.7633727174155256</v>
      </c>
      <c r="J56" s="84">
        <f>J38*I56</f>
        <v>1848.0146078514708</v>
      </c>
      <c r="K56" s="83">
        <v>138.99097167856473</v>
      </c>
      <c r="L56" s="12">
        <f t="shared" si="12"/>
        <v>5734.7150692791165</v>
      </c>
      <c r="M56" s="84">
        <f t="shared" si="9"/>
        <v>474.34726098477637</v>
      </c>
      <c r="N56" s="12">
        <f t="shared" si="13"/>
        <v>5260.36780829434</v>
      </c>
      <c r="O56" s="84">
        <f>O38*I56</f>
        <v>3815.9385604871973</v>
      </c>
      <c r="P56" s="12">
        <f t="shared" si="16"/>
        <v>1444.429247807143</v>
      </c>
      <c r="Q56">
        <f t="shared" si="17"/>
        <v>13078601.380689515</v>
      </c>
      <c r="R56" s="81"/>
    </row>
    <row r="57" spans="1:17" ht="15">
      <c r="A57" s="68">
        <v>2033</v>
      </c>
      <c r="B57" s="71">
        <v>0.23321477600233853</v>
      </c>
      <c r="C57" s="72">
        <v>2033</v>
      </c>
      <c r="D57" s="74">
        <v>35314.988640918564</v>
      </c>
      <c r="E57" s="82">
        <f t="shared" si="10"/>
        <v>8235.977165416953</v>
      </c>
      <c r="F57" s="83">
        <f t="shared" si="11"/>
        <v>7324.572804481546</v>
      </c>
      <c r="G57" s="83">
        <f>D55*0.022</f>
        <v>754.9207947924842</v>
      </c>
      <c r="H57" s="83">
        <f>E57*0.019</f>
        <v>156.4835661429221</v>
      </c>
      <c r="I57" s="73">
        <f>D57/D38</f>
        <v>1.7912486083739663</v>
      </c>
      <c r="J57" s="84">
        <f>J38*I57</f>
        <v>1877.2285415759166</v>
      </c>
      <c r="K57" s="83">
        <v>156.4835661429221</v>
      </c>
      <c r="L57" s="12">
        <f t="shared" si="12"/>
        <v>6202.265057698114</v>
      </c>
      <c r="M57" s="84">
        <f t="shared" si="9"/>
        <v>481.84587565259693</v>
      </c>
      <c r="N57" s="12">
        <f t="shared" si="13"/>
        <v>5720.419182045517</v>
      </c>
      <c r="O57" s="84">
        <f>O38*I57</f>
        <v>3876.261988521263</v>
      </c>
      <c r="P57" s="12">
        <f t="shared" si="16"/>
        <v>1844.1571935242546</v>
      </c>
      <c r="Q57">
        <f t="shared" si="17"/>
        <v>14540847.863934796</v>
      </c>
    </row>
    <row r="58" spans="1:19" ht="15">
      <c r="A58" s="68">
        <v>2034</v>
      </c>
      <c r="B58" s="71">
        <v>0.2448755148024555</v>
      </c>
      <c r="C58" s="72">
        <v>2034</v>
      </c>
      <c r="D58" s="74">
        <v>35893.49415041843</v>
      </c>
      <c r="E58" s="82">
        <f t="shared" si="10"/>
        <v>8789.437858142639</v>
      </c>
      <c r="F58" s="83">
        <f t="shared" si="11"/>
        <v>7814.0447325718815</v>
      </c>
      <c r="G58" s="83">
        <f>D56*0.023</f>
        <v>799.6043684079053</v>
      </c>
      <c r="H58" s="83">
        <f>E58*0.02</f>
        <v>175.7887571628528</v>
      </c>
      <c r="I58" s="73">
        <f>D58/D38</f>
        <v>1.8205915935682935</v>
      </c>
      <c r="J58" s="84">
        <f>J38*I58</f>
        <v>1907.9799900595715</v>
      </c>
      <c r="K58" s="83">
        <v>175.7887571628528</v>
      </c>
      <c r="L58" s="12">
        <f t="shared" si="12"/>
        <v>6705.669110920215</v>
      </c>
      <c r="M58" s="84">
        <f t="shared" si="9"/>
        <v>489.73913866987095</v>
      </c>
      <c r="N58" s="12">
        <f t="shared" si="13"/>
        <v>6215.929972250344</v>
      </c>
      <c r="O58" s="84">
        <f>O38*I58</f>
        <v>3939.7602084817872</v>
      </c>
      <c r="P58" s="12">
        <f t="shared" si="16"/>
        <v>2276.1697637685565</v>
      </c>
      <c r="Q58">
        <f t="shared" si="17"/>
        <v>16118388.80220696</v>
      </c>
      <c r="S58" s="76"/>
    </row>
    <row r="59" spans="1:19" ht="15">
      <c r="A59" s="68">
        <v>2035</v>
      </c>
      <c r="B59" s="71">
        <v>0.2571192905425782</v>
      </c>
      <c r="C59" s="72">
        <v>2035</v>
      </c>
      <c r="D59" s="74">
        <v>36423.90435440012</v>
      </c>
      <c r="E59" s="82">
        <f t="shared" si="10"/>
        <v>9365.288446394083</v>
      </c>
      <c r="F59" s="83">
        <f t="shared" si="11"/>
        <v>8321.05766163776</v>
      </c>
      <c r="G59" s="83">
        <f>D57*0.024</f>
        <v>847.5597273820456</v>
      </c>
      <c r="H59" s="83">
        <f>E59*0.021</f>
        <v>196.67105737427576</v>
      </c>
      <c r="I59" s="73">
        <f>D59/D38</f>
        <v>1.847495086286643</v>
      </c>
      <c r="J59" s="84">
        <f>J38*I59</f>
        <v>1936.174850428402</v>
      </c>
      <c r="K59" s="83">
        <v>196.67105737427576</v>
      </c>
      <c r="L59" s="12">
        <f t="shared" si="12"/>
        <v>7232.442538591405</v>
      </c>
      <c r="M59" s="84">
        <f t="shared" si="9"/>
        <v>496.97617821110697</v>
      </c>
      <c r="N59" s="12">
        <f t="shared" si="13"/>
        <v>6735.466360380297</v>
      </c>
      <c r="O59" s="84">
        <f>O38*I59</f>
        <v>3997.9793667242957</v>
      </c>
      <c r="P59" s="12">
        <f t="shared" si="16"/>
        <v>2737.4869936560017</v>
      </c>
      <c r="Q59">
        <f t="shared" si="17"/>
        <v>17783109.755790256</v>
      </c>
      <c r="R59">
        <f>23*20000</f>
        <v>460000</v>
      </c>
      <c r="S59" s="81">
        <f>6*1000000+500000</f>
        <v>6500000</v>
      </c>
    </row>
    <row r="60" spans="3:17" ht="12.75">
      <c r="C60" s="18"/>
      <c r="D60" s="73"/>
      <c r="E60" s="73">
        <f>SUM(E39:E59)</f>
        <v>111840.92945285629</v>
      </c>
      <c r="F60" s="73"/>
      <c r="G60" s="86" t="s">
        <v>38</v>
      </c>
      <c r="H60" s="73"/>
      <c r="I60" s="73"/>
      <c r="J60" s="84" t="s">
        <v>129</v>
      </c>
      <c r="K60" s="84"/>
      <c r="Q60">
        <f>SUM(Q39:Q59)/1000000</f>
        <v>155.98850358942636</v>
      </c>
    </row>
    <row r="61" spans="3:17" ht="12.75">
      <c r="C61" s="18"/>
      <c r="D61" s="73"/>
      <c r="E61" s="73"/>
      <c r="F61" s="73"/>
      <c r="G61" s="73"/>
      <c r="H61" s="73"/>
      <c r="I61" s="73"/>
      <c r="J61" s="84"/>
      <c r="K61" s="84"/>
      <c r="P61" s="114" t="s">
        <v>120</v>
      </c>
      <c r="Q61" s="16">
        <f>(Q60*1000000+S59+R46)/1000000</f>
        <v>162.48850358942636</v>
      </c>
    </row>
    <row r="62" spans="17:18" ht="12.75">
      <c r="Q62" s="16">
        <f>1000000*Q61/E60</f>
        <v>1452.8536590704862</v>
      </c>
      <c r="R62" s="81" t="s">
        <v>131</v>
      </c>
    </row>
    <row r="71" spans="6:13" ht="12.75">
      <c r="F71" s="85"/>
      <c r="G71" s="12"/>
      <c r="H71" s="85"/>
      <c r="L71"/>
      <c r="M71"/>
    </row>
    <row r="72" spans="6:13" ht="12.75">
      <c r="F72" s="85"/>
      <c r="G72" s="12"/>
      <c r="H72" s="85"/>
      <c r="L72"/>
      <c r="M72"/>
    </row>
    <row r="73" spans="6:13" ht="12.75">
      <c r="F73" s="85"/>
      <c r="G73" s="12"/>
      <c r="H73" s="85"/>
      <c r="L73"/>
      <c r="M73"/>
    </row>
    <row r="74" spans="6:13" ht="12.75">
      <c r="F74" s="85"/>
      <c r="G74" s="12"/>
      <c r="H74" s="85"/>
      <c r="L74"/>
      <c r="M74"/>
    </row>
    <row r="75" spans="6:13" ht="12.75">
      <c r="F75" s="85"/>
      <c r="G75" s="12"/>
      <c r="H75" s="85"/>
      <c r="L75"/>
      <c r="M75"/>
    </row>
    <row r="76" spans="6:13" ht="12.75">
      <c r="F76" s="85"/>
      <c r="G76" s="12"/>
      <c r="H76" s="85"/>
      <c r="L76"/>
      <c r="M76"/>
    </row>
    <row r="77" spans="6:13" ht="12.75">
      <c r="F77" s="85"/>
      <c r="G77" s="12"/>
      <c r="H77" s="85"/>
      <c r="L77"/>
      <c r="M77"/>
    </row>
    <row r="78" spans="6:13" ht="12.75">
      <c r="F78" s="85"/>
      <c r="G78" s="12"/>
      <c r="H78" s="85"/>
      <c r="L78"/>
      <c r="M78"/>
    </row>
    <row r="79" spans="6:13" ht="12.75">
      <c r="F79" s="85"/>
      <c r="G79" s="12"/>
      <c r="H79" s="85"/>
      <c r="L79"/>
      <c r="M79"/>
    </row>
    <row r="80" spans="6:17" ht="12.75">
      <c r="F80" s="85"/>
      <c r="G80" s="12"/>
      <c r="H80" s="85"/>
      <c r="L80"/>
      <c r="M80"/>
      <c r="Q80" s="35"/>
    </row>
    <row r="81" spans="6:13" ht="12.75">
      <c r="F81" s="85"/>
      <c r="G81" s="12"/>
      <c r="H81" s="85"/>
      <c r="L81"/>
      <c r="M81"/>
    </row>
    <row r="82" spans="6:13" ht="12.75">
      <c r="F82" s="85"/>
      <c r="G82" s="12"/>
      <c r="H82" s="85"/>
      <c r="L82"/>
      <c r="M82"/>
    </row>
    <row r="83" spans="6:13" ht="12.75">
      <c r="F83" s="85"/>
      <c r="G83" s="12"/>
      <c r="H83" s="85"/>
      <c r="L83"/>
      <c r="M83"/>
    </row>
    <row r="84" spans="6:13" ht="12.75">
      <c r="F84" s="85"/>
      <c r="G84" s="12"/>
      <c r="H84" s="85"/>
      <c r="L84"/>
      <c r="M84"/>
    </row>
    <row r="85" spans="6:13" ht="12.75">
      <c r="F85" s="85"/>
      <c r="G85" s="12"/>
      <c r="H85" s="85"/>
      <c r="L85"/>
      <c r="M8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Bekken</dc:creator>
  <cp:keywords/>
  <dc:description/>
  <cp:lastModifiedBy>Todd Sterling</cp:lastModifiedBy>
  <dcterms:created xsi:type="dcterms:W3CDTF">2013-08-15T21:04:51Z</dcterms:created>
  <dcterms:modified xsi:type="dcterms:W3CDTF">2013-10-22T17:17:48Z</dcterms:modified>
  <cp:category/>
  <cp:version/>
  <cp:contentType/>
  <cp:contentStatus/>
</cp:coreProperties>
</file>