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ramesh\Desktop\"/>
    </mc:Choice>
  </mc:AlternateContent>
  <bookViews>
    <workbookView xWindow="0" yWindow="0" windowWidth="16580" windowHeight="10320"/>
  </bookViews>
  <sheets>
    <sheet name="Preferred Alternative" sheetId="1" r:id="rId1"/>
    <sheet name="Cert. &amp; Labelling " sheetId="5" r:id="rId2"/>
    <sheet name="CA Credit Tracking" sheetId="6" r:id="rId3"/>
    <sheet name="AC Reporting" sheetId="8" r:id="rId4"/>
    <sheet name="Low-GWP Cost" sheetId="9" r:id="rId5"/>
    <sheet name="2b-3 Consumer Window Label" sheetId="7" r:id="rId6"/>
    <sheet name="CARB PYs" sheetId="4" r:id="rId7"/>
    <sheet name="Alternative 1" sheetId="2" r:id="rId8"/>
    <sheet name="Alternative 2" sheetId="3"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9" l="1"/>
  <c r="C9" i="9"/>
  <c r="C12" i="9" s="1"/>
  <c r="C8" i="9"/>
  <c r="C6" i="9"/>
  <c r="H18" i="9" s="1"/>
  <c r="C5" i="9"/>
  <c r="L21" i="9" s="1"/>
  <c r="L22" i="9" s="1"/>
  <c r="F44" i="8"/>
  <c r="G44" i="8" s="1"/>
  <c r="E44" i="8"/>
  <c r="C24" i="8"/>
  <c r="C23" i="8"/>
  <c r="C26" i="8" s="1"/>
  <c r="C22" i="8"/>
  <c r="C20" i="8"/>
  <c r="C19" i="8"/>
  <c r="C17" i="8"/>
  <c r="C13" i="8"/>
  <c r="L33" i="8" s="1"/>
  <c r="C11" i="8"/>
  <c r="L32" i="8" s="1"/>
  <c r="C10" i="8"/>
  <c r="E21" i="9" l="1"/>
  <c r="F21" i="9"/>
  <c r="E18" i="9"/>
  <c r="E22" i="9" s="1"/>
  <c r="I21" i="9"/>
  <c r="I22" i="9" s="1"/>
  <c r="H21" i="9"/>
  <c r="H22" i="9" s="1"/>
  <c r="F18" i="9"/>
  <c r="F22" i="9" s="1"/>
  <c r="J21" i="9"/>
  <c r="J22" i="9" s="1"/>
  <c r="G18" i="9"/>
  <c r="K21" i="9"/>
  <c r="K22" i="9" s="1"/>
  <c r="G21" i="9"/>
  <c r="L34" i="8"/>
  <c r="E32" i="8"/>
  <c r="E34" i="8" s="1"/>
  <c r="F33" i="8"/>
  <c r="F32" i="8"/>
  <c r="G33" i="8"/>
  <c r="G32" i="8"/>
  <c r="G34" i="8" s="1"/>
  <c r="H33" i="8"/>
  <c r="H32" i="8"/>
  <c r="I33" i="8"/>
  <c r="I32" i="8"/>
  <c r="I34" i="8" s="1"/>
  <c r="J33" i="8"/>
  <c r="J32" i="8"/>
  <c r="K33" i="8"/>
  <c r="K32" i="8"/>
  <c r="K34" i="8" s="1"/>
  <c r="M29" i="1"/>
  <c r="M25" i="1"/>
  <c r="C25" i="1"/>
  <c r="D25" i="1"/>
  <c r="E25" i="1"/>
  <c r="F25" i="1"/>
  <c r="G25" i="1"/>
  <c r="H25" i="1"/>
  <c r="I25" i="1"/>
  <c r="J25" i="1"/>
  <c r="K25" i="1"/>
  <c r="L25" i="1"/>
  <c r="B25" i="1"/>
  <c r="M24" i="1"/>
  <c r="G22" i="9" l="1"/>
  <c r="M22" i="9" s="1"/>
  <c r="J34" i="8"/>
  <c r="F34" i="8"/>
  <c r="H34" i="8"/>
  <c r="M34" i="8"/>
  <c r="J19" i="3"/>
  <c r="C19" i="3"/>
  <c r="D19" i="3"/>
  <c r="E19" i="3"/>
  <c r="F19" i="3"/>
  <c r="G19" i="3"/>
  <c r="H19" i="3"/>
  <c r="I19" i="3"/>
  <c r="B19" i="3"/>
  <c r="C17" i="3"/>
  <c r="D17" i="3"/>
  <c r="E17" i="3"/>
  <c r="F17" i="3"/>
  <c r="G17" i="3"/>
  <c r="H17" i="3"/>
  <c r="J17" i="3" s="1"/>
  <c r="I17" i="3"/>
  <c r="B17" i="3"/>
  <c r="J16" i="3"/>
  <c r="I14" i="3"/>
  <c r="H14" i="3"/>
  <c r="G14" i="3"/>
  <c r="F14" i="3"/>
  <c r="E14" i="3"/>
  <c r="J13" i="3"/>
  <c r="J11" i="3"/>
  <c r="J10" i="3"/>
  <c r="H9" i="3"/>
  <c r="E9" i="3"/>
  <c r="J9" i="3" s="1"/>
  <c r="J8" i="3"/>
  <c r="I7" i="3"/>
  <c r="H7" i="3"/>
  <c r="G7" i="3"/>
  <c r="F7" i="3"/>
  <c r="E7" i="3"/>
  <c r="I6" i="3"/>
  <c r="H6" i="3"/>
  <c r="G6" i="3"/>
  <c r="F6" i="3"/>
  <c r="E6" i="3"/>
  <c r="I11" i="2"/>
  <c r="H11" i="2"/>
  <c r="I26" i="2"/>
  <c r="I33" i="2" s="1"/>
  <c r="H26" i="2"/>
  <c r="H33" i="2" s="1"/>
  <c r="G26" i="2"/>
  <c r="G33" i="2" s="1"/>
  <c r="F26" i="2"/>
  <c r="F33" i="2" s="1"/>
  <c r="E26" i="2"/>
  <c r="E33" i="2" s="1"/>
  <c r="D26" i="2"/>
  <c r="D33" i="2" s="1"/>
  <c r="C26" i="2"/>
  <c r="C33" i="2" s="1"/>
  <c r="B26" i="2"/>
  <c r="B33" i="2" s="1"/>
  <c r="I25" i="2"/>
  <c r="I32" i="2" s="1"/>
  <c r="I34" i="2" s="1"/>
  <c r="I39" i="2" s="1"/>
  <c r="I44" i="2" s="1"/>
  <c r="I45" i="2" s="1"/>
  <c r="H25" i="2"/>
  <c r="H32" i="2" s="1"/>
  <c r="H34" i="2" s="1"/>
  <c r="H39" i="2" s="1"/>
  <c r="H44" i="2" s="1"/>
  <c r="H45" i="2" s="1"/>
  <c r="G25" i="2"/>
  <c r="G32" i="2" s="1"/>
  <c r="G34" i="2" s="1"/>
  <c r="G39" i="2" s="1"/>
  <c r="G44" i="2" s="1"/>
  <c r="G45" i="2" s="1"/>
  <c r="F25" i="2"/>
  <c r="F32" i="2" s="1"/>
  <c r="F34" i="2" s="1"/>
  <c r="F39" i="2" s="1"/>
  <c r="F44" i="2" s="1"/>
  <c r="F45" i="2" s="1"/>
  <c r="E25" i="2"/>
  <c r="E32" i="2" s="1"/>
  <c r="D25" i="2"/>
  <c r="D32" i="2" s="1"/>
  <c r="D34" i="2" s="1"/>
  <c r="D39" i="2" s="1"/>
  <c r="D44" i="2" s="1"/>
  <c r="D45" i="2" s="1"/>
  <c r="C25" i="2"/>
  <c r="C32" i="2" s="1"/>
  <c r="C34" i="2" s="1"/>
  <c r="C39" i="2" s="1"/>
  <c r="C44" i="2" s="1"/>
  <c r="C45" i="2" s="1"/>
  <c r="B25" i="2"/>
  <c r="B32" i="2" s="1"/>
  <c r="B34" i="2" s="1"/>
  <c r="B39" i="2" s="1"/>
  <c r="B44" i="2" s="1"/>
  <c r="B45" i="2" s="1"/>
  <c r="J6" i="3" l="1"/>
  <c r="J14" i="3"/>
  <c r="J7" i="3"/>
  <c r="J15" i="3"/>
  <c r="E34" i="2"/>
  <c r="E39" i="2" s="1"/>
  <c r="E44" i="2" s="1"/>
  <c r="E45" i="2" s="1"/>
  <c r="C10" i="2" l="1"/>
  <c r="C12" i="2" s="1"/>
  <c r="D10" i="2"/>
  <c r="D12" i="2" s="1"/>
  <c r="B10" i="2"/>
  <c r="B12" i="2" s="1"/>
  <c r="G7" i="2"/>
  <c r="H7" i="2"/>
  <c r="I7" i="2"/>
  <c r="F7" i="2"/>
  <c r="E7" i="2"/>
  <c r="E31" i="1"/>
  <c r="F31" i="1"/>
  <c r="G31" i="1"/>
  <c r="H31" i="1"/>
  <c r="I31" i="1"/>
  <c r="J31" i="1"/>
  <c r="K31" i="1"/>
  <c r="L31" i="1"/>
  <c r="D31" i="1"/>
  <c r="G30" i="1"/>
  <c r="H30" i="1"/>
  <c r="I30" i="1"/>
  <c r="J30" i="1"/>
  <c r="K30" i="1"/>
  <c r="L30" i="1"/>
  <c r="F30" i="1"/>
  <c r="E30" i="1"/>
  <c r="D30" i="1"/>
  <c r="E29" i="1"/>
  <c r="D29" i="1"/>
  <c r="B29" i="1"/>
  <c r="F29" i="1"/>
  <c r="G29" i="1"/>
  <c r="H29" i="1"/>
  <c r="I29" i="1"/>
  <c r="J29" i="1"/>
  <c r="K29" i="1"/>
  <c r="L29" i="1"/>
  <c r="C29" i="1" l="1"/>
  <c r="F57" i="5"/>
  <c r="F65" i="5"/>
  <c r="F62" i="5"/>
  <c r="F63" i="5"/>
  <c r="F61" i="5"/>
  <c r="F60" i="5"/>
  <c r="F56" i="5"/>
  <c r="F55" i="5"/>
  <c r="F54" i="5"/>
  <c r="C54" i="5"/>
  <c r="C55" i="5"/>
  <c r="C56" i="5"/>
  <c r="C59" i="5"/>
  <c r="C60" i="5"/>
  <c r="C61" i="5"/>
  <c r="C63" i="5"/>
  <c r="E65" i="5"/>
  <c r="B63" i="5"/>
  <c r="I8" i="7" l="1"/>
  <c r="H8" i="7"/>
  <c r="G8" i="7"/>
  <c r="F8" i="7"/>
  <c r="E8" i="7"/>
  <c r="D8" i="7"/>
  <c r="C8" i="7"/>
  <c r="B8" i="7"/>
  <c r="I5" i="7"/>
  <c r="I10" i="7" s="1"/>
  <c r="H5" i="7"/>
  <c r="H10" i="7" s="1"/>
  <c r="G5" i="7"/>
  <c r="G10" i="7" s="1"/>
  <c r="F5" i="7"/>
  <c r="F10" i="7" s="1"/>
  <c r="E5" i="7"/>
  <c r="E10" i="7" s="1"/>
  <c r="D5" i="7"/>
  <c r="D10" i="7" s="1"/>
  <c r="C5" i="7"/>
  <c r="C10" i="7" s="1"/>
  <c r="B5" i="7"/>
  <c r="B10" i="7" s="1"/>
  <c r="J10" i="7" s="1"/>
  <c r="C12" i="6" l="1"/>
  <c r="L12" i="6" s="1"/>
  <c r="L11" i="6"/>
  <c r="K11" i="6"/>
  <c r="M11" i="6" s="1"/>
  <c r="C11" i="6"/>
  <c r="C10" i="6"/>
  <c r="L10" i="6" s="1"/>
  <c r="C9" i="6"/>
  <c r="E8" i="6"/>
  <c r="E9" i="6" s="1"/>
  <c r="C8" i="6"/>
  <c r="L8" i="6" s="1"/>
  <c r="K7" i="6"/>
  <c r="C7" i="6"/>
  <c r="L7" i="6" s="1"/>
  <c r="C6" i="6"/>
  <c r="K6" i="6" s="1"/>
  <c r="K5" i="6"/>
  <c r="C5" i="6"/>
  <c r="L5" i="6" s="1"/>
  <c r="K9" i="6" l="1"/>
  <c r="M9" i="6" s="1"/>
  <c r="M5" i="6"/>
  <c r="M6" i="6"/>
  <c r="M7" i="6"/>
  <c r="L9" i="6"/>
  <c r="K8" i="6"/>
  <c r="M8" i="6" s="1"/>
  <c r="L6" i="6"/>
  <c r="K10" i="6"/>
  <c r="M10" i="6" s="1"/>
  <c r="K12" i="6"/>
  <c r="M12" i="6" s="1"/>
  <c r="M13" i="6" l="1"/>
  <c r="C47" i="5" l="1"/>
  <c r="D47" i="5" s="1"/>
  <c r="B47" i="5"/>
  <c r="D46" i="5"/>
  <c r="D45" i="5"/>
  <c r="D44" i="5"/>
  <c r="D43" i="5"/>
  <c r="D42" i="5"/>
  <c r="C34" i="5" s="1"/>
  <c r="D34" i="5" s="1"/>
  <c r="C36" i="5"/>
  <c r="D36" i="5" s="1"/>
  <c r="C35" i="5"/>
  <c r="D35" i="5" s="1"/>
  <c r="C27" i="5"/>
  <c r="D25" i="5"/>
  <c r="D27" i="5" s="1"/>
  <c r="C25" i="5"/>
  <c r="B25" i="5"/>
  <c r="B27" i="5" s="1"/>
  <c r="F27" i="5" s="1"/>
  <c r="I27" i="5" s="1"/>
  <c r="F23" i="5"/>
  <c r="F25" i="5" s="1"/>
  <c r="D18" i="5"/>
  <c r="C18" i="5"/>
  <c r="E16" i="5"/>
  <c r="E18" i="5" s="1"/>
  <c r="D16" i="5"/>
  <c r="C16" i="5"/>
  <c r="B16" i="5"/>
  <c r="B18" i="5" s="1"/>
  <c r="F14" i="5"/>
  <c r="F16" i="5" s="1"/>
  <c r="B9" i="5"/>
  <c r="E7" i="5"/>
  <c r="E9" i="5" s="1"/>
  <c r="D7" i="5"/>
  <c r="D9" i="5" s="1"/>
  <c r="C7" i="5"/>
  <c r="C9" i="5" s="1"/>
  <c r="B7" i="5"/>
  <c r="F5" i="5"/>
  <c r="F7" i="5" s="1"/>
  <c r="F9" i="5" l="1"/>
  <c r="I9" i="5" s="1"/>
  <c r="F18" i="5"/>
  <c r="I18" i="5" s="1"/>
  <c r="D15" i="4" l="1"/>
  <c r="M14" i="4"/>
  <c r="L14" i="4"/>
  <c r="K14" i="4"/>
  <c r="J14" i="4"/>
  <c r="I14" i="4"/>
  <c r="H14" i="4"/>
  <c r="M13" i="4"/>
  <c r="L13" i="4"/>
  <c r="K13" i="4"/>
  <c r="J13" i="4"/>
  <c r="I13" i="4"/>
  <c r="H13" i="4"/>
  <c r="G13" i="4"/>
  <c r="M12" i="4"/>
  <c r="L12" i="4"/>
  <c r="K12" i="4"/>
  <c r="J12" i="4"/>
  <c r="I12" i="4"/>
  <c r="H12" i="4"/>
  <c r="J11" i="4"/>
  <c r="J15" i="4" s="1"/>
  <c r="I11" i="4"/>
  <c r="I15" i="4" s="1"/>
  <c r="D11" i="4"/>
  <c r="C11" i="4"/>
  <c r="C15" i="4" s="1"/>
  <c r="M10" i="4"/>
  <c r="L10" i="4"/>
  <c r="K10" i="4"/>
  <c r="J10" i="4"/>
  <c r="I10" i="4"/>
  <c r="H10" i="4"/>
  <c r="G10" i="4"/>
  <c r="F10" i="4"/>
  <c r="M9" i="4"/>
  <c r="L9" i="4"/>
  <c r="K9" i="4"/>
  <c r="J9" i="4"/>
  <c r="I9" i="4"/>
  <c r="H9" i="4"/>
  <c r="G9" i="4"/>
  <c r="M8" i="4"/>
  <c r="L8" i="4"/>
  <c r="K8" i="4"/>
  <c r="J8" i="4"/>
  <c r="I8" i="4"/>
  <c r="H8" i="4"/>
  <c r="G8" i="4"/>
  <c r="F8" i="4"/>
  <c r="M7" i="4"/>
  <c r="L7" i="4"/>
  <c r="K7" i="4"/>
  <c r="J7" i="4"/>
  <c r="I7" i="4"/>
  <c r="H7" i="4"/>
  <c r="G7" i="4"/>
  <c r="F7" i="4"/>
  <c r="M6" i="4"/>
  <c r="L6" i="4"/>
  <c r="K6" i="4"/>
  <c r="K11" i="4" s="1"/>
  <c r="K15" i="4" s="1"/>
  <c r="J6" i="4"/>
  <c r="I6" i="4"/>
  <c r="H6" i="4"/>
  <c r="G6" i="4"/>
  <c r="F6" i="4"/>
  <c r="E6" i="4"/>
  <c r="M5" i="4"/>
  <c r="L5" i="4"/>
  <c r="L11" i="4" s="1"/>
  <c r="L15" i="4" s="1"/>
  <c r="K5" i="4"/>
  <c r="J5" i="4"/>
  <c r="I5" i="4"/>
  <c r="H5" i="4"/>
  <c r="G5" i="4"/>
  <c r="F5" i="4"/>
  <c r="E5" i="4"/>
  <c r="M4" i="4"/>
  <c r="M11" i="4" s="1"/>
  <c r="M15" i="4" s="1"/>
  <c r="L4" i="4"/>
  <c r="K4" i="4"/>
  <c r="J4" i="4"/>
  <c r="I4" i="4"/>
  <c r="H4" i="4"/>
  <c r="H11" i="4" s="1"/>
  <c r="H15" i="4" s="1"/>
  <c r="G4" i="4"/>
  <c r="G11" i="4" s="1"/>
  <c r="G15" i="4" s="1"/>
  <c r="F4" i="4"/>
  <c r="F11" i="4" s="1"/>
  <c r="F15" i="4" s="1"/>
  <c r="E4" i="4"/>
  <c r="E11" i="4" s="1"/>
  <c r="E15" i="4" s="1"/>
  <c r="D4" i="4"/>
  <c r="J11" i="2" l="1"/>
  <c r="H9" i="2"/>
  <c r="E9" i="2"/>
  <c r="J9" i="2" s="1"/>
  <c r="J8" i="2"/>
  <c r="I6" i="2"/>
  <c r="I10" i="2" s="1"/>
  <c r="I12" i="2" s="1"/>
  <c r="H6" i="2"/>
  <c r="H10" i="2" s="1"/>
  <c r="H12" i="2" s="1"/>
  <c r="G6" i="2"/>
  <c r="G10" i="2" s="1"/>
  <c r="G12" i="2" s="1"/>
  <c r="F6" i="2"/>
  <c r="F10" i="2" s="1"/>
  <c r="F12" i="2" s="1"/>
  <c r="E6" i="2"/>
  <c r="E10" i="2" s="1"/>
  <c r="E12" i="2" s="1"/>
  <c r="J12" i="2" l="1"/>
  <c r="J6" i="2"/>
  <c r="J7" i="2"/>
  <c r="J10" i="2" l="1"/>
  <c r="C21" i="1"/>
  <c r="D21" i="1"/>
  <c r="B21" i="1"/>
  <c r="C20" i="1"/>
  <c r="D20" i="1"/>
  <c r="B20" i="1"/>
  <c r="C23" i="1"/>
  <c r="D23" i="1"/>
  <c r="B23" i="1"/>
  <c r="C22" i="1"/>
  <c r="D22" i="1"/>
  <c r="B22" i="1"/>
  <c r="H9" i="1"/>
  <c r="E9" i="1"/>
  <c r="M16" i="1"/>
  <c r="C17" i="1"/>
  <c r="D17" i="1"/>
  <c r="B17" i="1"/>
  <c r="G15" i="1"/>
  <c r="H15" i="1"/>
  <c r="I15" i="1"/>
  <c r="J15" i="1"/>
  <c r="K15" i="1"/>
  <c r="L15" i="1"/>
  <c r="F15" i="1"/>
  <c r="E15" i="1"/>
  <c r="L14" i="1"/>
  <c r="K14" i="1"/>
  <c r="I14" i="1"/>
  <c r="J14" i="1"/>
  <c r="H14" i="1"/>
  <c r="F14" i="1"/>
  <c r="G14" i="1"/>
  <c r="E14" i="1"/>
  <c r="E7" i="1" l="1"/>
  <c r="G7" i="1"/>
  <c r="H7" i="1"/>
  <c r="I7" i="1"/>
  <c r="J7" i="1"/>
  <c r="K7" i="1"/>
  <c r="L7" i="1"/>
  <c r="F7" i="1"/>
  <c r="G6" i="1"/>
  <c r="G17" i="1" s="1"/>
  <c r="H6" i="1"/>
  <c r="H17" i="1" s="1"/>
  <c r="I6" i="1"/>
  <c r="I17" i="1" s="1"/>
  <c r="J6" i="1"/>
  <c r="K6" i="1"/>
  <c r="L6" i="1"/>
  <c r="L17" i="1" s="1"/>
  <c r="F6" i="1"/>
  <c r="F17" i="1" s="1"/>
  <c r="E6" i="1"/>
  <c r="E17" i="1" s="1"/>
  <c r="E22" i="1" l="1"/>
  <c r="E23" i="1"/>
  <c r="E20" i="1"/>
  <c r="E21" i="1" s="1"/>
  <c r="L20" i="1"/>
  <c r="L21" i="1" s="1"/>
  <c r="L22" i="1"/>
  <c r="L23" i="1"/>
  <c r="H22" i="1"/>
  <c r="H23" i="1"/>
  <c r="H20" i="1"/>
  <c r="H21" i="1" s="1"/>
  <c r="F23" i="1"/>
  <c r="F20" i="1"/>
  <c r="F21" i="1" s="1"/>
  <c r="F22" i="1"/>
  <c r="I20" i="1"/>
  <c r="I21" i="1" s="1"/>
  <c r="I22" i="1"/>
  <c r="I23" i="1"/>
  <c r="G23" i="1"/>
  <c r="G20" i="1"/>
  <c r="G21" i="1" s="1"/>
  <c r="G22" i="1"/>
  <c r="J17" i="1"/>
  <c r="K17" i="1"/>
  <c r="M15" i="1"/>
  <c r="M14" i="1"/>
  <c r="M13" i="1"/>
  <c r="M11" i="1"/>
  <c r="M10" i="1"/>
  <c r="M9" i="1"/>
  <c r="M8" i="1"/>
  <c r="M7" i="1"/>
  <c r="K20" i="1" l="1"/>
  <c r="K21" i="1" s="1"/>
  <c r="K23" i="1"/>
  <c r="K22" i="1"/>
  <c r="J20" i="1"/>
  <c r="J21" i="1" s="1"/>
  <c r="J22" i="1"/>
  <c r="M22" i="1" s="1"/>
  <c r="J23" i="1"/>
  <c r="M23" i="1"/>
  <c r="M6" i="1"/>
  <c r="M17" i="1" s="1"/>
  <c r="M20" i="1" l="1"/>
</calcChain>
</file>

<file path=xl/sharedStrings.xml><?xml version="1.0" encoding="utf-8"?>
<sst xmlns="http://schemas.openxmlformats.org/spreadsheetml/2006/main" count="339" uniqueCount="221">
  <si>
    <t>Cost Estimate</t>
  </si>
  <si>
    <t>Total Lifetime Cost  (11 years)</t>
  </si>
  <si>
    <t>Credit Provisions</t>
  </si>
  <si>
    <t>Engine and Vehicle Certification Requirements (No "Deemed to Comply") + Additions to Tractor and Vocational Vehicle Labelling</t>
  </si>
  <si>
    <t>b. Tractor and Vocational Vehicles Cert + Labeling</t>
  </si>
  <si>
    <t xml:space="preserve">a. Engine Cert </t>
  </si>
  <si>
    <t xml:space="preserve">c. Trailer Cert </t>
  </si>
  <si>
    <t xml:space="preserve">d. Pickups and Vans Cert 
</t>
  </si>
  <si>
    <t xml:space="preserve">Separate CA Credit Tracking                                                                                                                                                                                                      
</t>
  </si>
  <si>
    <t xml:space="preserve">A/C Reporting </t>
  </si>
  <si>
    <t>a. Low-GWP provision</t>
  </si>
  <si>
    <t>b. PHEV Credits</t>
  </si>
  <si>
    <r>
      <t xml:space="preserve">c. Transit Bus custom Chassis                               
</t>
    </r>
    <r>
      <rPr>
        <sz val="11"/>
        <color rgb="FFFF0000"/>
        <rFont val="Calibri"/>
        <family val="2"/>
        <scheme val="minor"/>
      </rPr>
      <t/>
    </r>
  </si>
  <si>
    <t>Total Cost Estimate on Affected Manufacturers</t>
  </si>
  <si>
    <t>Consumer Window Label Requirement</t>
  </si>
  <si>
    <t>Cost on Private</t>
  </si>
  <si>
    <t>Cost on State Government (Fleets)</t>
  </si>
  <si>
    <t>Cost on Local Government (Fleets)</t>
  </si>
  <si>
    <t>Cost Per Private Business (per fleet)</t>
  </si>
  <si>
    <t>Pass-on Costs to CA Fleets (Privates &amp; Governments)</t>
  </si>
  <si>
    <t>PREFERRED ALTERNATIVE</t>
  </si>
  <si>
    <t>Total Lifetime Cost  (8 years)</t>
  </si>
  <si>
    <t>Total Cost</t>
  </si>
  <si>
    <t>Proposed PY's for CA Phase 2</t>
  </si>
  <si>
    <t>Task</t>
  </si>
  <si>
    <t>Position</t>
  </si>
  <si>
    <t>No. of PY</t>
  </si>
  <si>
    <t>2018-19</t>
  </si>
  <si>
    <t>2019-20</t>
  </si>
  <si>
    <t>2020-21</t>
  </si>
  <si>
    <t>2021-22</t>
  </si>
  <si>
    <t>2022-23</t>
  </si>
  <si>
    <t>2023-24</t>
  </si>
  <si>
    <t>2024-25</t>
  </si>
  <si>
    <t>2025-26</t>
  </si>
  <si>
    <t>2026-27</t>
  </si>
  <si>
    <t>2027-28</t>
  </si>
  <si>
    <t>Set-up and maintain DMS/E-cert Database</t>
  </si>
  <si>
    <t>APS, ARE</t>
  </si>
  <si>
    <t>New GHG Cert Section Manager</t>
  </si>
  <si>
    <t>ARS I</t>
  </si>
  <si>
    <t>Trailer Cert</t>
  </si>
  <si>
    <t>ARE</t>
  </si>
  <si>
    <t>-</t>
  </si>
  <si>
    <t>Tractor and Vocational Vehicles Cert</t>
  </si>
  <si>
    <t>MDVs (class 2b&amp;3) Cert + review of consumer labels</t>
  </si>
  <si>
    <t>Warranty</t>
  </si>
  <si>
    <t>APS</t>
  </si>
  <si>
    <t>OBD</t>
  </si>
  <si>
    <t>ECARS Division</t>
  </si>
  <si>
    <t>Sub-total</t>
  </si>
  <si>
    <t>Monitoring and Laboratory Division</t>
  </si>
  <si>
    <t>SAPS</t>
  </si>
  <si>
    <t>Research Division</t>
  </si>
  <si>
    <t>Enforcement Division</t>
  </si>
  <si>
    <t xml:space="preserve"> ARE</t>
  </si>
  <si>
    <t>Total</t>
  </si>
  <si>
    <t>First Year</t>
  </si>
  <si>
    <t>On-going Year</t>
  </si>
  <si>
    <t>APS position (salary+benefit+overhead)</t>
  </si>
  <si>
    <t>ARE position (salary+benefit+overhead)</t>
  </si>
  <si>
    <t>ARS I position (salary+benefit+overhead)</t>
  </si>
  <si>
    <t>SAPS position  (salary+benefit+overhead)</t>
  </si>
  <si>
    <t>2014$</t>
  </si>
  <si>
    <t>CA Cost per Application (converted to 2017$)</t>
  </si>
  <si>
    <t>Preparing and Submitting "carry over" applications</t>
  </si>
  <si>
    <t>Labeling Requirements</t>
  </si>
  <si>
    <t>End-of-Year Production Report</t>
  </si>
  <si>
    <t>ABT, Emissions Credit Report</t>
  </si>
  <si>
    <t># of Applications</t>
  </si>
  <si>
    <t xml:space="preserve">Cost per application </t>
  </si>
  <si>
    <t xml:space="preserve">CA Phase 2 Cost per application </t>
  </si>
  <si>
    <t>Tractor</t>
  </si>
  <si>
    <t>Preparing &amp; Submit Certification Application, including carry over apps</t>
  </si>
  <si>
    <t>CA CPI</t>
  </si>
  <si>
    <t>Engine</t>
  </si>
  <si>
    <t>Prepare &amp; Submit Certification Application</t>
  </si>
  <si>
    <t>Prepare &amp; Submit "carry over" applications</t>
  </si>
  <si>
    <t>Final year production update</t>
  </si>
  <si>
    <t># of Application</t>
  </si>
  <si>
    <t>CA's # of Applications (Phase 1 CA Cert. Database)</t>
  </si>
  <si>
    <t>Large Businesses</t>
  </si>
  <si>
    <t>Estimated Small Businesses</t>
  </si>
  <si>
    <t>Vocational</t>
  </si>
  <si>
    <t>Federal Phase 2</t>
  </si>
  <si>
    <t>Mfrs</t>
  </si>
  <si>
    <t>Large Bus.*</t>
  </si>
  <si>
    <t>Small Bus.</t>
  </si>
  <si>
    <t>Small vs. Large</t>
  </si>
  <si>
    <t>PUVs</t>
  </si>
  <si>
    <t>Tractors</t>
  </si>
  <si>
    <t>Trailers</t>
  </si>
  <si>
    <t>CA Separate Tracking Cost due to extra time for spreadsheet set up and credit accounting</t>
  </si>
  <si>
    <t>https://www.bls.gov/oes/current/oes172141.htm</t>
  </si>
  <si>
    <t>Calendar Year</t>
  </si>
  <si>
    <t>Labor Hourly Rate       ($/hr - mechanical engineer)</t>
  </si>
  <si>
    <t>Labor Hourly Rate (Including benefits and overhead)</t>
  </si>
  <si>
    <t>Credit Tracking Hour per vehicle family (hr)</t>
  </si>
  <si>
    <t xml:space="preserve">Number of reported vehicle families </t>
  </si>
  <si>
    <t>Total Cost ($) - Lower Bound</t>
  </si>
  <si>
    <t>Total Cost ($) - Upper Bound</t>
  </si>
  <si>
    <t>Total Cost ($) - Average</t>
  </si>
  <si>
    <t>Low GWP</t>
  </si>
  <si>
    <t xml:space="preserve">Custom Chassis </t>
  </si>
  <si>
    <t>Hybrid</t>
  </si>
  <si>
    <t>Total from 2021 - 2028</t>
  </si>
  <si>
    <t>CPI (Cali.)</t>
  </si>
  <si>
    <t xml:space="preserve">Yearly Cost </t>
  </si>
  <si>
    <t>Year</t>
  </si>
  <si>
    <t>Total from 2021-2028</t>
  </si>
  <si>
    <t xml:space="preserve">EMFAC Class 2b &amp;3s Vehicle Population </t>
  </si>
  <si>
    <t xml:space="preserve">Estimated Population of Complete Vehicles </t>
  </si>
  <si>
    <t xml:space="preserve">Label Feedstock </t>
  </si>
  <si>
    <t>Printer's ink cartridge</t>
  </si>
  <si>
    <t xml:space="preserve">Staff time and cost to comply with requirement*                                                            </t>
  </si>
  <si>
    <t>Estimated Six Major Manufacturers</t>
  </si>
  <si>
    <t>*Includes estimated annual salary and 25% staff time for first year or 10% staff time for subsequent years</t>
  </si>
  <si>
    <t>Annual dollars/year ($)</t>
  </si>
  <si>
    <t>Large businesses</t>
  </si>
  <si>
    <t>(Estimated number of businesses: 25)</t>
  </si>
  <si>
    <t>Prepare and submit certification applications</t>
  </si>
  <si>
    <t>End-of-year report</t>
  </si>
  <si>
    <t>Store, file, maintain</t>
  </si>
  <si>
    <t>Small Businesses</t>
  </si>
  <si>
    <t>(Estimated number of businesses: 75)</t>
  </si>
  <si>
    <t xml:space="preserve">Averaging, Emission credit reporting </t>
  </si>
  <si>
    <t xml:space="preserve">Small Businesses </t>
  </si>
  <si>
    <t>Coverted to 2017$</t>
  </si>
  <si>
    <t>2020-2026</t>
  </si>
  <si>
    <t>Reporting Cost on Private Businesses</t>
  </si>
  <si>
    <t>Reporting Cost per Manufacturer</t>
  </si>
  <si>
    <t>Report Cost per Fleet (Pass-on Cost)</t>
  </si>
  <si>
    <t>Engine and Vehicle Certification Requirements (No "Deemed to Comply")</t>
  </si>
  <si>
    <t xml:space="preserve">b. Tractor and Vocational Vehicles Cert </t>
  </si>
  <si>
    <t>ALTERNATIVE 1</t>
  </si>
  <si>
    <r>
      <rPr>
        <b/>
        <sz val="12"/>
        <color theme="1"/>
        <rFont val="Calibri"/>
        <family val="2"/>
        <scheme val="minor"/>
      </rPr>
      <t xml:space="preserve">Faster Phase-in than the Federal Program (cost on privates) </t>
    </r>
    <r>
      <rPr>
        <sz val="12"/>
        <color theme="1"/>
        <rFont val="Calibri"/>
        <family val="2"/>
        <scheme val="minor"/>
      </rPr>
      <t>- Alt.4/Final Cost Delta - EPA's Alt. 4 - Final (use Final year-by-year to estimate Alt. 4 year-by-year cost (phasing in 3 years sooner) (assume CA market is 10% of national market)</t>
    </r>
  </si>
  <si>
    <t>CY</t>
  </si>
  <si>
    <t>Vehicle-Related Cost ($Million -2013$)</t>
  </si>
  <si>
    <t>Maintenance Cost ($Million - 2013$)</t>
  </si>
  <si>
    <t>Alternative 4</t>
  </si>
  <si>
    <t>Total Cost Delta ($Million - 2013$)</t>
  </si>
  <si>
    <t>CA Cost Delta (Assume 10%)</t>
  </si>
  <si>
    <t>CPI</t>
  </si>
  <si>
    <t>Total Cost Delta ($Million - 2017$)</t>
  </si>
  <si>
    <t>Details on Computed Faster Phase-in Cost (Source: EPA's Final Phase 2)</t>
  </si>
  <si>
    <t>Total Cost Delta ($ - 2017$)</t>
  </si>
  <si>
    <t>Final</t>
  </si>
  <si>
    <t>Cost Delta (Alt. 4 - Final)</t>
  </si>
  <si>
    <t>ALTERNATIVE 2</t>
  </si>
  <si>
    <t>Total Cost on Privates</t>
  </si>
  <si>
    <t>Cost Components</t>
  </si>
  <si>
    <r>
      <t xml:space="preserve">c. Transit Bus custom Chassis ( = 0 since only count cost on private fleets, not cost on transit bus agencies)                           
</t>
    </r>
    <r>
      <rPr>
        <sz val="11"/>
        <color rgb="FFFF0000"/>
        <rFont val="Calibri"/>
        <family val="2"/>
        <scheme val="minor"/>
      </rPr>
      <t/>
    </r>
  </si>
  <si>
    <r>
      <t xml:space="preserve">Faster Phase-in than the Federal Program (cost on privates) - Alt.4/Final Cost Delta - </t>
    </r>
    <r>
      <rPr>
        <sz val="12"/>
        <color theme="1"/>
        <rFont val="Calibri"/>
        <family val="2"/>
        <scheme val="minor"/>
      </rPr>
      <t>EPA's Alt. 4 - Final (use Final year-by-year to estimate Alt. 4 year-by-year cost (phasing in 3 years sooner) (assume CA market is 10% of national market)</t>
    </r>
  </si>
  <si>
    <t>Cost due to CA Differences (cost on privates)</t>
  </si>
  <si>
    <t>2b/3 Consumer Window Label Requirement</t>
  </si>
  <si>
    <t>Cost on State (CARB PYs)</t>
  </si>
  <si>
    <t>Total Cost on State</t>
  </si>
  <si>
    <t>Vocational Vehicle (Source: EPA's Phase 2 ICR)</t>
  </si>
  <si>
    <t>Tractor (Source: EPA's Phase 2 ICR)</t>
  </si>
  <si>
    <t>Engine (Source: EPA's Phase 2 ICR)</t>
  </si>
  <si>
    <t>Trailer Certification (Source: EPA's Phase 2 ICR)</t>
  </si>
  <si>
    <t>Total No "Deemed to Comply" Cost on Privates</t>
  </si>
  <si>
    <t>Detailed A/C System Information Cost Estimate</t>
  </si>
  <si>
    <t xml:space="preserve">Data Input, Assumptions, Intermediate Calculations: </t>
  </si>
  <si>
    <t>Number of large-volume manufacturers</t>
  </si>
  <si>
    <t>Number of small-volume manufacturers</t>
  </si>
  <si>
    <t>Small-volume manufacturers can delay implementation by one year.</t>
  </si>
  <si>
    <t>A/C system schematics / manufacturer</t>
  </si>
  <si>
    <t>EMA estimate</t>
  </si>
  <si>
    <t>SAE J2727 spreadsheets / manufacturer</t>
  </si>
  <si>
    <t>EMA estimated 87 spreadsheets/manufacturer for a previous ARB proposal. Current ARB proposal with less constraints may reduce the spreadsheet number by 78% per ARB staff estimate.</t>
  </si>
  <si>
    <t>Time to prepare a schematic for first model year</t>
  </si>
  <si>
    <t>hours</t>
  </si>
  <si>
    <t>ARB staff estimate</t>
  </si>
  <si>
    <t>Time to prepare a schematic for second and subsequent model years</t>
  </si>
  <si>
    <t>A/C system configurations are usually carried over for several model years. Basic design features reflected in schematic are changed even less frequently. So schematic preparation time is assumed to be reduced by half.</t>
  </si>
  <si>
    <t>Total time to prepare schematics per manufacturer (1st MY)</t>
  </si>
  <si>
    <t>Total time to prepare schematics per manufacturer (2nd MY+)</t>
  </si>
  <si>
    <t>Time to upload/submit a schematic or an SAE J2727 spreadsheet</t>
  </si>
  <si>
    <t>minutes</t>
  </si>
  <si>
    <t>PACCAR staff estimate</t>
  </si>
  <si>
    <t>Total time to upload/submit schematic &amp; J2727 spreadsheets per manufacturer</t>
  </si>
  <si>
    <t>Mechanical engineer hourly wage</t>
  </si>
  <si>
    <t>$/hour ($2016)</t>
  </si>
  <si>
    <t>U.S. Bureau of Labor Statistics, Occupational Employment and Wages: 17-2141 Mechanical Engineers, May 2016.  https://www.bls.gov/oes/current/oes172141.htm</t>
  </si>
  <si>
    <t>Indirect cost multiplier for labor</t>
  </si>
  <si>
    <t>United States Environmental Protection Agency and Department of Transportation National Highway Traffic Safety Administration, Draft Supporting Statement for Information Collection Request – Notice of Rulemaking Greenhouse Gas Emissions Standards and Fuel Efficiency Standards for Medium- and Heavy-Duty Engines and Vehicles, July 12, 2016.  https://www.regulations.gov/document?D=EPA-HQ-OAR-2014-0827-2214</t>
  </si>
  <si>
    <t>CPI adjustor ($2017/$2016)</t>
  </si>
  <si>
    <t>Total hourly labor cost</t>
  </si>
  <si>
    <t>$/hour ($2017)</t>
  </si>
  <si>
    <t>Average market share / manufacturer</t>
  </si>
  <si>
    <t>Assuming each manufacturer would implement low-GWP refrigerants in all its new model year vehicles at once</t>
  </si>
  <si>
    <t>Cost to update 1 assembly facility</t>
  </si>
  <si>
    <t>$</t>
  </si>
  <si>
    <t>GM input on LDV facility updating cost (originally in 2010$), provided to ARB in 2010 during LEV III rulemaking</t>
  </si>
  <si>
    <t>Average refrigerant capacity</t>
  </si>
  <si>
    <t>g</t>
  </si>
  <si>
    <t>Rick Baker and Andrew Burnette, Characterizing MAC Refrigerant Emissions from Heavy-Duty On and Off-road Vehicles in California, Final Report for ARB Contract # 06-342, September, 2010. https://www.arb.ca.gov/research/apr/past/06-342.pdf.</t>
  </si>
  <si>
    <t>HFC-134a bulk (OEM) cost</t>
  </si>
  <si>
    <t>$/kg</t>
  </si>
  <si>
    <t>D. Sherry, M. Nolan, S. Seidel, S. O. Andersen; HFO-1234yf: An Examination of Projected Long-Term Costs of Production, April 2017.  https://www.c2es.org/docUploads/hfo-1234-yf.pdf</t>
  </si>
  <si>
    <t>HFO-1234yf bulk (OEM) cost</t>
  </si>
  <si>
    <t>HFO-1234yf system hardware incremental cost</t>
  </si>
  <si>
    <t>California Air Resources Board, Appendix R:  Proposed LEV III Greenhouse Gas Non-Test Cycle Provisions – Technical Support Document, December 7, 2011.  https://www.arb.ca.gov/regact/2012/leviiighg2012/levappr.pdf</t>
  </si>
  <si>
    <t>Indirect Cost Multiplier at OEM</t>
  </si>
  <si>
    <t>Total incremental cost of an HFO-1234yf system</t>
  </si>
  <si>
    <t>All costs are in 2017 dollar or have been converted to 2017 dollar.</t>
  </si>
  <si>
    <t>All cost estimates are based on HFO-1234yf, the only low-GWP refrigerant currently being used in U .S. light-duty vehicles.</t>
  </si>
  <si>
    <t>Results:</t>
  </si>
  <si>
    <t>2018-2028 Total</t>
  </si>
  <si>
    <t>Costs for large-volume manufacturers</t>
  </si>
  <si>
    <t>Costs for small-volume manufacturers</t>
  </si>
  <si>
    <t>All manufacturer costs</t>
  </si>
  <si>
    <t>Low-GWP Refrigerant Adoption Cost Estimate</t>
  </si>
  <si>
    <t>Number of manufacturers</t>
  </si>
  <si>
    <t>Only assuming heavy heavy-duty tractors would adopt low-GWP refrigerants</t>
  </si>
  <si>
    <t>Assembly Facility Updating Costs</t>
  </si>
  <si>
    <t>EMFAC2014 Population (T7 category)</t>
  </si>
  <si>
    <t>Participating Manufacturer(s)</t>
  </si>
  <si>
    <t>Incremental System Costs</t>
  </si>
  <si>
    <t>Total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</si>
</sst>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quot;$&quot;#,##0.00"/>
    <numFmt numFmtId="167" formatCode="_(* #,##0.000_);_(* \(#,##0.000\);_(* &quot;-&quot;??_);_(@_)"/>
    <numFmt numFmtId="168" formatCode="&quot;$&quot;#,##0"/>
    <numFmt numFmtId="169" formatCode="_(* #,##0_);_(* \(#,##0\);_(* &quot;-&quot;??_);_(@_)"/>
    <numFmt numFmtId="170" formatCode="0.00000"/>
    <numFmt numFmtId="171"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1"/>
      <name val="Calibri"/>
      <family val="2"/>
      <scheme val="minor"/>
    </font>
    <font>
      <b/>
      <sz val="16"/>
      <color theme="1"/>
      <name val="Calibri"/>
      <family val="2"/>
      <scheme val="minor"/>
    </font>
    <font>
      <sz val="12"/>
      <color theme="1"/>
      <name val="Calibri"/>
      <family val="2"/>
      <scheme val="minor"/>
    </font>
    <font>
      <b/>
      <sz val="11"/>
      <color theme="3"/>
      <name val="Calibri"/>
      <family val="2"/>
      <scheme val="minor"/>
    </font>
    <font>
      <b/>
      <sz val="14"/>
      <color theme="1"/>
      <name val="Calibri"/>
      <family val="2"/>
      <scheme val="minor"/>
    </font>
    <font>
      <sz val="14"/>
      <color theme="1"/>
      <name val="Calibri"/>
      <family val="2"/>
      <scheme val="minor"/>
    </font>
    <font>
      <sz val="10"/>
      <color rgb="FF1F497D"/>
      <name val="Tahoma"/>
      <family val="2"/>
    </font>
    <font>
      <sz val="11"/>
      <color rgb="FF000000"/>
      <name val="Calibri"/>
      <family val="2"/>
      <scheme val="minor"/>
    </font>
    <font>
      <sz val="10"/>
      <name val="Arial"/>
      <family val="2"/>
    </font>
    <font>
      <sz val="10"/>
      <name val="Arial Narrow"/>
      <family val="2"/>
    </font>
    <font>
      <i/>
      <sz val="11"/>
      <color theme="1"/>
      <name val="Calibri"/>
      <family val="2"/>
      <scheme val="minor"/>
    </font>
    <font>
      <u/>
      <sz val="11"/>
      <color theme="10"/>
      <name val="Calibri"/>
      <family val="2"/>
      <scheme val="minor"/>
    </font>
    <font>
      <i/>
      <sz val="12"/>
      <color theme="1"/>
      <name val="Arial"/>
      <family val="2"/>
    </font>
    <font>
      <b/>
      <sz val="12"/>
      <color theme="1"/>
      <name val="Arial"/>
      <family val="2"/>
    </font>
    <font>
      <i/>
      <sz val="10"/>
      <color theme="1"/>
      <name val="Arial"/>
      <family val="2"/>
    </font>
    <font>
      <sz val="12"/>
      <color rgb="FF000000"/>
      <name val="Arial"/>
      <family val="2"/>
    </font>
    <font>
      <b/>
      <sz val="12"/>
      <color rgb="FF000000"/>
      <name val="Arial"/>
      <family val="2"/>
    </font>
    <font>
      <b/>
      <i/>
      <sz val="12"/>
      <color theme="1"/>
      <name val="Arial"/>
      <family val="2"/>
    </font>
    <font>
      <u/>
      <sz val="11"/>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4"/>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5"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201">
    <xf numFmtId="0" fontId="0" fillId="0" borderId="0" xfId="0"/>
    <xf numFmtId="164" fontId="6" fillId="3" borderId="1" xfId="1" applyNumberFormat="1" applyFont="1" applyFill="1" applyBorder="1" applyAlignment="1">
      <alignment vertical="center"/>
    </xf>
    <xf numFmtId="164" fontId="0" fillId="3" borderId="1" xfId="1" applyNumberFormat="1" applyFont="1" applyFill="1" applyBorder="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0" fillId="3" borderId="1" xfId="0" applyFont="1" applyFill="1" applyBorder="1" applyAlignment="1">
      <alignment vertical="top"/>
    </xf>
    <xf numFmtId="0" fontId="6" fillId="3" borderId="1" xfId="0" applyFont="1" applyFill="1" applyBorder="1" applyAlignment="1">
      <alignment vertical="center"/>
    </xf>
    <xf numFmtId="164" fontId="6" fillId="5" borderId="1" xfId="1" applyNumberFormat="1" applyFont="1" applyFill="1" applyBorder="1" applyAlignment="1">
      <alignment vertical="center"/>
    </xf>
    <xf numFmtId="164" fontId="6" fillId="5" borderId="1" xfId="1" applyNumberFormat="1" applyFont="1" applyFill="1" applyBorder="1" applyAlignment="1">
      <alignment horizontal="center" vertical="center"/>
    </xf>
    <xf numFmtId="0" fontId="0" fillId="3" borderId="1" xfId="0" applyFont="1" applyFill="1" applyBorder="1" applyAlignment="1">
      <alignment vertical="center"/>
    </xf>
    <xf numFmtId="0" fontId="7" fillId="2" borderId="1" xfId="0" applyFont="1" applyFill="1" applyBorder="1" applyAlignment="1">
      <alignment vertical="center"/>
    </xf>
    <xf numFmtId="164" fontId="3" fillId="2" borderId="1" xfId="0" applyNumberFormat="1" applyFont="1" applyFill="1" applyBorder="1" applyAlignment="1">
      <alignment vertical="center"/>
    </xf>
    <xf numFmtId="0" fontId="5" fillId="5" borderId="5" xfId="0" applyFont="1" applyFill="1" applyBorder="1" applyAlignment="1">
      <alignment vertical="center"/>
    </xf>
    <xf numFmtId="164" fontId="0" fillId="5" borderId="1" xfId="1" applyNumberFormat="1" applyFont="1" applyFill="1" applyBorder="1" applyAlignment="1">
      <alignment vertical="center"/>
    </xf>
    <xf numFmtId="0" fontId="4" fillId="5" borderId="1" xfId="0" applyFont="1" applyFill="1" applyBorder="1" applyAlignment="1">
      <alignment horizontal="left" vertical="center"/>
    </xf>
    <xf numFmtId="0" fontId="4" fillId="5" borderId="1" xfId="0" applyFont="1" applyFill="1" applyBorder="1" applyAlignment="1">
      <alignment vertical="center"/>
    </xf>
    <xf numFmtId="165" fontId="0" fillId="0" borderId="0" xfId="0" applyNumberFormat="1"/>
    <xf numFmtId="0" fontId="0" fillId="0" borderId="1" xfId="0" applyBorder="1"/>
    <xf numFmtId="164" fontId="0" fillId="0" borderId="1" xfId="0" applyNumberFormat="1" applyBorder="1"/>
    <xf numFmtId="7" fontId="0" fillId="0" borderId="1" xfId="0" applyNumberFormat="1" applyBorder="1"/>
    <xf numFmtId="165" fontId="0" fillId="0" borderId="1" xfId="0" applyNumberFormat="1" applyBorder="1"/>
    <xf numFmtId="166" fontId="0" fillId="0" borderId="1" xfId="0" applyNumberFormat="1" applyBorder="1"/>
    <xf numFmtId="0" fontId="4" fillId="0" borderId="0" xfId="0" applyFont="1"/>
    <xf numFmtId="0" fontId="7" fillId="0" borderId="0" xfId="0" applyFont="1"/>
    <xf numFmtId="0" fontId="4" fillId="5" borderId="1" xfId="0" applyFont="1" applyFill="1" applyBorder="1" applyAlignment="1">
      <alignment horizontal="left" vertical="center"/>
    </xf>
    <xf numFmtId="0" fontId="0" fillId="4" borderId="1" xfId="0" applyFill="1" applyBorder="1"/>
    <xf numFmtId="0" fontId="3" fillId="0" borderId="0" xfId="0" applyFont="1"/>
    <xf numFmtId="0" fontId="0" fillId="0" borderId="6" xfId="0" applyBorder="1"/>
    <xf numFmtId="0" fontId="10" fillId="0" borderId="7" xfId="0" applyFont="1" applyBorder="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0" xfId="0" applyFont="1"/>
    <xf numFmtId="0" fontId="0" fillId="0" borderId="10" xfId="0" applyBorder="1" applyAlignment="1">
      <alignmen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64" fontId="0" fillId="0" borderId="10" xfId="1" applyNumberFormat="1" applyFont="1" applyBorder="1" applyAlignment="1">
      <alignment horizontal="center" vertical="center" wrapText="1"/>
    </xf>
    <xf numFmtId="164" fontId="0" fillId="0" borderId="11" xfId="1" applyNumberFormat="1" applyFont="1" applyBorder="1" applyAlignment="1">
      <alignment horizontal="center" vertical="center" wrapText="1"/>
    </xf>
    <xf numFmtId="0" fontId="0" fillId="0" borderId="5"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164" fontId="0" fillId="0" borderId="5" xfId="1" applyNumberFormat="1" applyFont="1" applyBorder="1" applyAlignment="1">
      <alignment horizontal="center" vertical="center" wrapText="1"/>
    </xf>
    <xf numFmtId="164" fontId="0" fillId="0" borderId="1" xfId="1" applyNumberFormat="1" applyFont="1" applyBorder="1" applyAlignment="1">
      <alignment horizontal="center" vertical="center" wrapText="1"/>
    </xf>
    <xf numFmtId="1" fontId="0" fillId="0" borderId="5" xfId="1" applyNumberFormat="1" applyFont="1" applyBorder="1" applyAlignment="1">
      <alignment horizontal="center" vertical="center" wrapText="1"/>
    </xf>
    <xf numFmtId="1" fontId="0" fillId="0" borderId="1" xfId="1" applyNumberFormat="1" applyFont="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 fontId="0" fillId="0" borderId="16" xfId="1" applyNumberFormat="1" applyFont="1" applyBorder="1" applyAlignment="1">
      <alignment horizontal="center" vertical="center" wrapText="1"/>
    </xf>
    <xf numFmtId="1" fontId="0" fillId="0" borderId="17" xfId="1" applyNumberFormat="1" applyFont="1" applyBorder="1" applyAlignment="1">
      <alignment horizontal="center" vertical="center" wrapText="1"/>
    </xf>
    <xf numFmtId="164" fontId="0" fillId="0" borderId="17" xfId="1" applyNumberFormat="1"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4" fontId="3" fillId="0" borderId="7" xfId="1" applyNumberFormat="1" applyFont="1" applyBorder="1" applyAlignment="1">
      <alignment horizontal="center" vertical="center" wrapText="1"/>
    </xf>
    <xf numFmtId="164" fontId="3" fillId="0" borderId="8" xfId="1" applyNumberFormat="1" applyFont="1" applyBorder="1" applyAlignment="1">
      <alignment horizontal="center" vertical="center" wrapText="1"/>
    </xf>
    <xf numFmtId="164" fontId="3" fillId="0" borderId="18" xfId="1" applyNumberFormat="1" applyFont="1" applyBorder="1" applyAlignment="1">
      <alignment horizontal="center" vertical="center" wrapText="1"/>
    </xf>
    <xf numFmtId="164" fontId="3" fillId="0" borderId="19" xfId="1" applyNumberFormat="1" applyFont="1" applyBorder="1" applyAlignment="1">
      <alignment horizontal="center" vertical="center" wrapText="1"/>
    </xf>
    <xf numFmtId="164" fontId="3" fillId="0" borderId="20" xfId="1"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1" fontId="0" fillId="0" borderId="18" xfId="1" applyNumberFormat="1" applyFont="1" applyBorder="1" applyAlignment="1">
      <alignment horizontal="center" vertical="center" wrapText="1"/>
    </xf>
    <xf numFmtId="1" fontId="0" fillId="0" borderId="19" xfId="1" applyNumberFormat="1" applyFont="1" applyBorder="1" applyAlignment="1">
      <alignment horizontal="center" vertical="center" wrapText="1"/>
    </xf>
    <xf numFmtId="1" fontId="0" fillId="0" borderId="20" xfId="1" applyNumberFormat="1" applyFont="1" applyBorder="1" applyAlignment="1">
      <alignment horizontal="center" vertical="center" wrapText="1"/>
    </xf>
    <xf numFmtId="164" fontId="3" fillId="0" borderId="24" xfId="1"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0" fontId="0" fillId="0" borderId="0" xfId="0" applyAlignment="1">
      <alignment horizontal="center"/>
    </xf>
    <xf numFmtId="164" fontId="0" fillId="0" borderId="0" xfId="1" applyNumberFormat="1" applyFont="1"/>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xf numFmtId="0" fontId="0" fillId="3" borderId="0" xfId="0" applyFill="1" applyAlignment="1">
      <alignment horizontal="center" vertical="center" wrapText="1"/>
    </xf>
    <xf numFmtId="0" fontId="0" fillId="3" borderId="0" xfId="0" applyFill="1"/>
    <xf numFmtId="0" fontId="16" fillId="0" borderId="0" xfId="0" applyFont="1"/>
    <xf numFmtId="0" fontId="3" fillId="0" borderId="4" xfId="0" applyFont="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4" xfId="0" applyBorder="1"/>
    <xf numFmtId="0" fontId="0" fillId="0" borderId="1" xfId="0" applyFont="1" applyBorder="1"/>
    <xf numFmtId="168" fontId="0" fillId="0" borderId="0" xfId="0" applyNumberFormat="1"/>
    <xf numFmtId="0" fontId="3" fillId="0" borderId="1" xfId="0" applyFont="1" applyBorder="1"/>
    <xf numFmtId="0" fontId="17" fillId="0" borderId="0" xfId="4"/>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68" fontId="0" fillId="0" borderId="1" xfId="0" applyNumberFormat="1" applyFont="1" applyBorder="1" applyAlignment="1">
      <alignment horizontal="center"/>
    </xf>
    <xf numFmtId="168" fontId="3" fillId="0" borderId="1" xfId="0" applyNumberFormat="1" applyFont="1" applyBorder="1" applyAlignment="1">
      <alignment horizontal="center"/>
    </xf>
    <xf numFmtId="168" fontId="3" fillId="0" borderId="1" xfId="0" applyNumberFormat="1" applyFont="1" applyBorder="1" applyAlignment="1">
      <alignment horizontal="center" vertical="center"/>
    </xf>
    <xf numFmtId="0" fontId="0" fillId="0" borderId="1" xfId="0" applyFont="1" applyFill="1" applyBorder="1"/>
    <xf numFmtId="169" fontId="1" fillId="0" borderId="1" xfId="2" applyNumberFormat="1" applyFont="1" applyBorder="1" applyAlignment="1">
      <alignment horizontal="center"/>
    </xf>
    <xf numFmtId="169" fontId="1" fillId="0" borderId="1" xfId="2" applyNumberFormat="1" applyFont="1" applyFill="1" applyBorder="1" applyAlignment="1">
      <alignment horizontal="center"/>
    </xf>
    <xf numFmtId="169" fontId="0" fillId="0" borderId="1" xfId="2" applyNumberFormat="1" applyFont="1" applyFill="1" applyBorder="1" applyAlignment="1">
      <alignment horizontal="center"/>
    </xf>
    <xf numFmtId="169" fontId="0" fillId="0" borderId="1" xfId="0" applyNumberFormat="1" applyFont="1" applyBorder="1" applyAlignment="1">
      <alignment horizontal="center"/>
    </xf>
    <xf numFmtId="0" fontId="6" fillId="0" borderId="1" xfId="0" applyFont="1" applyFill="1" applyBorder="1"/>
    <xf numFmtId="43" fontId="0" fillId="0" borderId="1" xfId="2" applyNumberFormat="1" applyFont="1" applyFill="1" applyBorder="1" applyAlignment="1">
      <alignment horizontal="center"/>
    </xf>
    <xf numFmtId="0" fontId="0" fillId="0" borderId="1" xfId="0" applyFont="1" applyFill="1" applyBorder="1" applyAlignment="1">
      <alignment wrapText="1"/>
    </xf>
    <xf numFmtId="44" fontId="6" fillId="0" borderId="1" xfId="0" applyNumberFormat="1" applyFont="1" applyBorder="1" applyAlignment="1">
      <alignment horizontal="center"/>
    </xf>
    <xf numFmtId="0" fontId="3" fillId="0" borderId="1" xfId="0" applyFont="1" applyFill="1" applyBorder="1"/>
    <xf numFmtId="5" fontId="3" fillId="0" borderId="1" xfId="2" applyNumberFormat="1" applyFont="1" applyFill="1" applyBorder="1" applyAlignment="1">
      <alignment horizontal="center"/>
    </xf>
    <xf numFmtId="0" fontId="6" fillId="0" borderId="0" xfId="0" applyFont="1"/>
    <xf numFmtId="0" fontId="9" fillId="0" borderId="0" xfId="0" applyFont="1"/>
    <xf numFmtId="0" fontId="19" fillId="0" borderId="28" xfId="0" applyFont="1" applyBorder="1" applyAlignment="1">
      <alignment horizontal="center" vertical="center" wrapText="1"/>
    </xf>
    <xf numFmtId="0" fontId="21" fillId="0" borderId="29" xfId="0" applyFont="1" applyBorder="1" applyAlignment="1">
      <alignment horizontal="center" vertical="center"/>
    </xf>
    <xf numFmtId="3" fontId="21" fillId="0" borderId="30" xfId="0" applyNumberFormat="1" applyFont="1" applyBorder="1" applyAlignment="1">
      <alignment horizontal="center" vertical="center"/>
    </xf>
    <xf numFmtId="0" fontId="0" fillId="0" borderId="29" xfId="0" applyBorder="1" applyAlignment="1">
      <alignment vertical="top"/>
    </xf>
    <xf numFmtId="0" fontId="22" fillId="0" borderId="29" xfId="0" applyFont="1" applyBorder="1" applyAlignment="1">
      <alignment horizontal="center" vertical="center"/>
    </xf>
    <xf numFmtId="3" fontId="22" fillId="0" borderId="30" xfId="0" applyNumberFormat="1" applyFont="1" applyBorder="1" applyAlignment="1">
      <alignment horizontal="center" vertical="center"/>
    </xf>
    <xf numFmtId="3" fontId="21" fillId="0" borderId="30" xfId="0" applyNumberFormat="1" applyFont="1" applyBorder="1" applyAlignment="1">
      <alignment horizontal="center" vertical="center" wrapText="1"/>
    </xf>
    <xf numFmtId="0" fontId="21" fillId="0" borderId="30" xfId="0" applyFont="1" applyBorder="1" applyAlignment="1">
      <alignment horizontal="center" vertical="center"/>
    </xf>
    <xf numFmtId="0" fontId="19" fillId="0" borderId="33" xfId="0" applyFont="1" applyBorder="1" applyAlignment="1">
      <alignment horizontal="center" vertical="center" wrapText="1"/>
    </xf>
    <xf numFmtId="3" fontId="21" fillId="0" borderId="6" xfId="0" applyNumberFormat="1" applyFont="1" applyBorder="1" applyAlignment="1">
      <alignment horizontal="center" vertical="center"/>
    </xf>
    <xf numFmtId="0" fontId="0" fillId="0" borderId="6" xfId="0" applyBorder="1" applyAlignment="1">
      <alignment vertical="top"/>
    </xf>
    <xf numFmtId="3" fontId="22" fillId="0" borderId="6" xfId="0" applyNumberFormat="1" applyFont="1" applyBorder="1" applyAlignment="1">
      <alignment horizontal="center" vertical="center"/>
    </xf>
    <xf numFmtId="0" fontId="21" fillId="0" borderId="30" xfId="0" applyFont="1" applyBorder="1" applyAlignment="1">
      <alignment horizontal="center" vertical="center" wrapText="1"/>
    </xf>
    <xf numFmtId="0" fontId="21" fillId="0" borderId="30" xfId="0" applyFont="1" applyBorder="1" applyAlignment="1">
      <alignment vertical="center" wrapText="1"/>
    </xf>
    <xf numFmtId="0" fontId="0" fillId="3" borderId="1" xfId="0" applyFill="1" applyBorder="1" applyAlignment="1">
      <alignment horizontal="center"/>
    </xf>
    <xf numFmtId="168" fontId="0" fillId="3" borderId="1" xfId="0" applyNumberFormat="1" applyFill="1" applyBorder="1" applyAlignment="1">
      <alignment horizontal="center"/>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168" fontId="0" fillId="0" borderId="1" xfId="0" applyNumberFormat="1" applyBorder="1"/>
    <xf numFmtId="164" fontId="0" fillId="0" borderId="0" xfId="0" applyNumberFormat="1"/>
    <xf numFmtId="0" fontId="7" fillId="2" borderId="1" xfId="0" applyFont="1" applyFill="1" applyBorder="1"/>
    <xf numFmtId="164" fontId="0" fillId="2" borderId="1" xfId="0" applyNumberFormat="1" applyFill="1" applyBorder="1"/>
    <xf numFmtId="0" fontId="3" fillId="4" borderId="1" xfId="0" applyFont="1" applyFill="1" applyBorder="1"/>
    <xf numFmtId="0" fontId="0" fillId="0" borderId="1" xfId="0" applyFill="1" applyBorder="1" applyAlignment="1">
      <alignment horizontal="center"/>
    </xf>
    <xf numFmtId="167" fontId="6" fillId="0" borderId="1" xfId="2" applyNumberFormat="1" applyFont="1" applyFill="1" applyBorder="1" applyAlignment="1">
      <alignment horizontal="center"/>
    </xf>
    <xf numFmtId="0" fontId="0" fillId="0" borderId="1" xfId="0" applyFill="1" applyBorder="1"/>
    <xf numFmtId="0" fontId="0" fillId="0" borderId="24" xfId="0" applyFill="1" applyBorder="1" applyAlignment="1">
      <alignment horizontal="center"/>
    </xf>
    <xf numFmtId="0" fontId="3" fillId="0" borderId="35" xfId="0" applyFont="1" applyFill="1" applyBorder="1"/>
    <xf numFmtId="0" fontId="0" fillId="0" borderId="35" xfId="0" applyFill="1" applyBorder="1"/>
    <xf numFmtId="0" fontId="3" fillId="0" borderId="0" xfId="0" applyFont="1" applyFill="1" applyBorder="1"/>
    <xf numFmtId="0" fontId="3" fillId="0" borderId="36" xfId="0" applyFont="1" applyFill="1" applyBorder="1"/>
    <xf numFmtId="0" fontId="0" fillId="0" borderId="0" xfId="0" applyFill="1"/>
    <xf numFmtId="0" fontId="0" fillId="0" borderId="0" xfId="0" applyAlignment="1"/>
    <xf numFmtId="0" fontId="0" fillId="3" borderId="1" xfId="0" applyFont="1" applyFill="1" applyBorder="1" applyAlignment="1">
      <alignment vertical="top" wrapText="1"/>
    </xf>
    <xf numFmtId="0" fontId="4" fillId="9" borderId="1" xfId="0" applyFont="1" applyFill="1" applyBorder="1" applyAlignment="1">
      <alignment vertical="center" wrapText="1"/>
    </xf>
    <xf numFmtId="164" fontId="6" fillId="9" borderId="1" xfId="1" applyNumberFormat="1" applyFont="1" applyFill="1" applyBorder="1" applyAlignment="1">
      <alignment vertical="center"/>
    </xf>
    <xf numFmtId="0" fontId="4" fillId="9" borderId="1" xfId="0" applyFont="1" applyFill="1" applyBorder="1" applyAlignment="1">
      <alignment vertical="center"/>
    </xf>
    <xf numFmtId="0" fontId="8" fillId="9" borderId="1" xfId="0" applyFont="1" applyFill="1" applyBorder="1" applyAlignment="1">
      <alignment vertical="center" wrapText="1"/>
    </xf>
    <xf numFmtId="44" fontId="0" fillId="9" borderId="1" xfId="0" applyNumberFormat="1" applyFill="1" applyBorder="1" applyAlignment="1">
      <alignment vertical="center"/>
    </xf>
    <xf numFmtId="0" fontId="5" fillId="9" borderId="1" xfId="0" applyFont="1" applyFill="1" applyBorder="1" applyAlignment="1">
      <alignment vertical="center"/>
    </xf>
    <xf numFmtId="0" fontId="0" fillId="0" borderId="1" xfId="0" applyBorder="1" applyAlignment="1">
      <alignment horizontal="center" vertical="center"/>
    </xf>
    <xf numFmtId="3" fontId="0" fillId="0" borderId="1" xfId="0" applyNumberFormat="1" applyBorder="1"/>
    <xf numFmtId="0" fontId="0" fillId="6" borderId="1" xfId="0" applyFill="1" applyBorder="1"/>
    <xf numFmtId="167" fontId="15" fillId="0" borderId="1" xfId="3" applyNumberFormat="1" applyFont="1" applyFill="1" applyBorder="1"/>
    <xf numFmtId="167" fontId="15" fillId="7" borderId="1" xfId="3" applyNumberFormat="1" applyFont="1" applyFill="1" applyBorder="1"/>
    <xf numFmtId="166" fontId="0" fillId="0" borderId="1" xfId="0" applyNumberFormat="1" applyFont="1" applyBorder="1"/>
    <xf numFmtId="0" fontId="0" fillId="0" borderId="1" xfId="0" applyNumberFormat="1" applyFont="1" applyBorder="1"/>
    <xf numFmtId="167" fontId="6" fillId="0" borderId="1" xfId="2" applyNumberFormat="1" applyFont="1" applyFill="1" applyBorder="1"/>
    <xf numFmtId="0" fontId="0" fillId="0" borderId="0" xfId="0" applyAlignment="1">
      <alignment vertical="center"/>
    </xf>
    <xf numFmtId="0" fontId="24" fillId="0" borderId="0" xfId="0" applyFont="1" applyAlignment="1">
      <alignment vertical="center"/>
    </xf>
    <xf numFmtId="2" fontId="0" fillId="0" borderId="0" xfId="0" applyNumberFormat="1" applyAlignment="1">
      <alignment vertical="center"/>
    </xf>
    <xf numFmtId="170" fontId="0" fillId="0" borderId="0" xfId="5" applyNumberFormat="1" applyFont="1" applyAlignment="1">
      <alignment vertical="center"/>
    </xf>
    <xf numFmtId="3" fontId="0" fillId="0" borderId="0" xfId="0" applyNumberFormat="1" applyAlignment="1">
      <alignment vertical="center"/>
    </xf>
    <xf numFmtId="171" fontId="0" fillId="0" borderId="0" xfId="0" applyNumberFormat="1" applyAlignment="1">
      <alignment vertical="center"/>
    </xf>
    <xf numFmtId="0" fontId="0" fillId="0" borderId="1" xfId="0" applyFont="1" applyFill="1" applyBorder="1" applyAlignment="1">
      <alignment horizontal="center" vertical="center"/>
    </xf>
    <xf numFmtId="0" fontId="0" fillId="0" borderId="1" xfId="0" applyBorder="1" applyAlignment="1">
      <alignment vertical="center"/>
    </xf>
    <xf numFmtId="164" fontId="0" fillId="0" borderId="1" xfId="1" applyNumberFormat="1" applyFont="1" applyBorder="1" applyAlignment="1">
      <alignment vertical="center"/>
    </xf>
    <xf numFmtId="164" fontId="0" fillId="0" borderId="1" xfId="0" applyNumberFormat="1" applyBorder="1" applyAlignment="1">
      <alignment vertical="center"/>
    </xf>
    <xf numFmtId="169" fontId="0" fillId="0" borderId="1" xfId="0" applyNumberFormat="1" applyBorder="1" applyAlignment="1">
      <alignment vertical="center"/>
    </xf>
    <xf numFmtId="0" fontId="3" fillId="0" borderId="1" xfId="0" applyFont="1" applyBorder="1" applyAlignment="1">
      <alignment vertical="center"/>
    </xf>
    <xf numFmtId="164" fontId="3" fillId="0" borderId="1" xfId="1" applyNumberFormat="1" applyFont="1" applyBorder="1" applyAlignment="1">
      <alignment vertical="center"/>
    </xf>
    <xf numFmtId="164" fontId="3" fillId="0" borderId="1" xfId="0" applyNumberFormat="1" applyFont="1" applyBorder="1" applyAlignment="1">
      <alignment vertical="center"/>
    </xf>
    <xf numFmtId="0" fontId="3" fillId="0" borderId="0" xfId="0" applyFont="1" applyAlignment="1">
      <alignment vertical="center"/>
    </xf>
    <xf numFmtId="167" fontId="15" fillId="0" borderId="0" xfId="2" applyNumberFormat="1" applyFont="1" applyFill="1" applyAlignment="1">
      <alignment vertical="center"/>
    </xf>
    <xf numFmtId="167" fontId="15" fillId="7" borderId="0" xfId="2" applyNumberFormat="1" applyFont="1" applyFill="1" applyAlignment="1">
      <alignment vertical="center"/>
    </xf>
    <xf numFmtId="169" fontId="0" fillId="0" borderId="1" xfId="2" applyNumberFormat="1" applyFont="1" applyBorder="1" applyAlignment="1">
      <alignment vertical="center"/>
    </xf>
    <xf numFmtId="0" fontId="7" fillId="2" borderId="1" xfId="0" applyFont="1" applyFill="1" applyBorder="1" applyAlignment="1">
      <alignment horizontal="left" vertical="center"/>
    </xf>
    <xf numFmtId="0" fontId="4" fillId="2" borderId="1" xfId="0" applyFont="1" applyFill="1" applyBorder="1" applyAlignment="1">
      <alignment horizontal="left" vertical="center"/>
    </xf>
    <xf numFmtId="0" fontId="5" fillId="2" borderId="1" xfId="0" applyFont="1" applyFill="1" applyBorder="1" applyAlignment="1">
      <alignment horizontal="center"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20" fillId="8" borderId="6" xfId="0" applyFont="1" applyFill="1" applyBorder="1" applyAlignment="1">
      <alignment vertical="center" wrapText="1"/>
    </xf>
    <xf numFmtId="0" fontId="20" fillId="8" borderId="30" xfId="0" applyFont="1" applyFill="1" applyBorder="1" applyAlignment="1">
      <alignment vertical="center" wrapText="1"/>
    </xf>
    <xf numFmtId="0" fontId="18" fillId="8" borderId="31" xfId="0" applyFont="1" applyFill="1" applyBorder="1" applyAlignment="1">
      <alignment vertical="center" wrapText="1"/>
    </xf>
    <xf numFmtId="0" fontId="18" fillId="8" borderId="34" xfId="0" applyFont="1" applyFill="1" applyBorder="1" applyAlignment="1">
      <alignment vertical="center" wrapText="1"/>
    </xf>
    <xf numFmtId="0" fontId="20" fillId="8" borderId="18" xfId="0" applyFont="1" applyFill="1" applyBorder="1" applyAlignment="1">
      <alignment vertical="center" wrapText="1"/>
    </xf>
    <xf numFmtId="0" fontId="18" fillId="8" borderId="32" xfId="0" applyFont="1" applyFill="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4" xfId="0" applyFont="1" applyFill="1" applyBorder="1" applyAlignment="1">
      <alignment horizontal="center" vertical="center"/>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0" fillId="4" borderId="1" xfId="0" applyFill="1" applyBorder="1" applyAlignment="1">
      <alignment horizontal="center"/>
    </xf>
    <xf numFmtId="0" fontId="0" fillId="0" borderId="24"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4" fillId="5" borderId="1" xfId="0" applyFont="1" applyFill="1" applyBorder="1" applyAlignment="1">
      <alignment horizontal="left" vertical="center"/>
    </xf>
  </cellXfs>
  <cellStyles count="6">
    <cellStyle name="Comma" xfId="2" builtinId="3"/>
    <cellStyle name="Comma 2" xfId="3"/>
    <cellStyle name="Currency" xfId="1" builtinId="4"/>
    <cellStyle name="Hyperlink" xfId="4"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ls.gov/oes/current/oes172141.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topLeftCell="A4" workbookViewId="0">
      <selection activeCell="M14" sqref="M14"/>
    </sheetView>
  </sheetViews>
  <sheetFormatPr defaultRowHeight="14.5" x14ac:dyDescent="0.35"/>
  <cols>
    <col min="1" max="1" width="63.54296875" customWidth="1"/>
    <col min="2" max="2" width="10.81640625" customWidth="1"/>
    <col min="3" max="3" width="13.54296875" customWidth="1"/>
    <col min="4" max="4" width="12.81640625" customWidth="1"/>
    <col min="5" max="5" width="12.54296875" customWidth="1"/>
    <col min="6" max="6" width="11.453125" customWidth="1"/>
    <col min="7" max="7" width="11.81640625" customWidth="1"/>
    <col min="8" max="8" width="12.453125" customWidth="1"/>
    <col min="9" max="9" width="11.453125" customWidth="1"/>
    <col min="10" max="10" width="13.1796875" customWidth="1"/>
    <col min="11" max="12" width="13.81640625" customWidth="1"/>
    <col min="13" max="13" width="33.26953125" customWidth="1"/>
  </cols>
  <sheetData>
    <row r="1" spans="1:13" ht="18.5" x14ac:dyDescent="0.45">
      <c r="A1" s="73" t="s">
        <v>20</v>
      </c>
    </row>
    <row r="3" spans="1:13" ht="15.5" x14ac:dyDescent="0.35">
      <c r="A3" s="172" t="s">
        <v>150</v>
      </c>
      <c r="B3" s="3"/>
      <c r="C3" s="3"/>
      <c r="D3" s="3"/>
      <c r="E3" s="174" t="s">
        <v>0</v>
      </c>
      <c r="F3" s="174"/>
      <c r="G3" s="174"/>
      <c r="H3" s="174"/>
      <c r="I3" s="174"/>
      <c r="J3" s="174"/>
      <c r="K3" s="174"/>
      <c r="L3" s="174"/>
      <c r="M3" s="174"/>
    </row>
    <row r="4" spans="1:13" ht="15.5" x14ac:dyDescent="0.35">
      <c r="A4" s="173"/>
      <c r="B4" s="4">
        <v>2018</v>
      </c>
      <c r="C4" s="4">
        <v>2019</v>
      </c>
      <c r="D4" s="4">
        <v>2020</v>
      </c>
      <c r="E4" s="4">
        <v>2021</v>
      </c>
      <c r="F4" s="4">
        <v>2022</v>
      </c>
      <c r="G4" s="4">
        <v>2023</v>
      </c>
      <c r="H4" s="4">
        <v>2024</v>
      </c>
      <c r="I4" s="4">
        <v>2025</v>
      </c>
      <c r="J4" s="4">
        <v>2026</v>
      </c>
      <c r="K4" s="4">
        <v>2027</v>
      </c>
      <c r="L4" s="4">
        <v>2028</v>
      </c>
      <c r="M4" s="4" t="s">
        <v>1</v>
      </c>
    </row>
    <row r="5" spans="1:13" ht="28.5" customHeight="1" x14ac:dyDescent="0.35">
      <c r="A5" s="175" t="s">
        <v>3</v>
      </c>
      <c r="B5" s="176"/>
      <c r="C5" s="176"/>
      <c r="D5" s="176"/>
      <c r="E5" s="176"/>
      <c r="F5" s="176"/>
      <c r="G5" s="176"/>
      <c r="H5" s="176"/>
      <c r="I5" s="176"/>
      <c r="J5" s="176"/>
      <c r="K5" s="176"/>
      <c r="L5" s="176"/>
      <c r="M5" s="177"/>
    </row>
    <row r="6" spans="1:13" ht="27.75" customHeight="1" x14ac:dyDescent="0.35">
      <c r="A6" s="6" t="s">
        <v>5</v>
      </c>
      <c r="B6" s="1">
        <v>0</v>
      </c>
      <c r="C6" s="1">
        <v>0</v>
      </c>
      <c r="D6" s="1">
        <v>0</v>
      </c>
      <c r="E6" s="1">
        <f>1173.56*70*(262.178/246.055)</f>
        <v>87532.108502570569</v>
      </c>
      <c r="F6" s="1">
        <f>1173.56*(70+35)*(262.178/246.055)</f>
        <v>131298.16275385584</v>
      </c>
      <c r="G6" s="1">
        <f t="shared" ref="G6:L6" si="0">1173.56*(70+35)*(262.178/246.055)</f>
        <v>131298.16275385584</v>
      </c>
      <c r="H6" s="1">
        <f t="shared" si="0"/>
        <v>131298.16275385584</v>
      </c>
      <c r="I6" s="1">
        <f t="shared" si="0"/>
        <v>131298.16275385584</v>
      </c>
      <c r="J6" s="1">
        <f t="shared" si="0"/>
        <v>131298.16275385584</v>
      </c>
      <c r="K6" s="1">
        <f t="shared" si="0"/>
        <v>131298.16275385584</v>
      </c>
      <c r="L6" s="1">
        <f t="shared" si="0"/>
        <v>131298.16275385584</v>
      </c>
      <c r="M6" s="1">
        <f>SUM(B6:L6)</f>
        <v>1006619.2477795613</v>
      </c>
    </row>
    <row r="7" spans="1:13" ht="24.75" customHeight="1" x14ac:dyDescent="0.35">
      <c r="A7" s="6" t="s">
        <v>4</v>
      </c>
      <c r="B7" s="1">
        <v>0</v>
      </c>
      <c r="C7" s="1">
        <v>0</v>
      </c>
      <c r="D7" s="1">
        <v>0</v>
      </c>
      <c r="E7" s="1">
        <f>(36448.5*39+12276.6*47)*(262.178/246.055)</f>
        <v>2129444.8677027496</v>
      </c>
      <c r="F7" s="1">
        <f>(36448.5*39+12276.6*(47+45))*(262.178/246.055)</f>
        <v>2718091.5099819149</v>
      </c>
      <c r="G7" s="1">
        <f t="shared" ref="G7:L7" si="1">(36448.5*39+12276.6*(47+45))*(262.178/246.055)</f>
        <v>2718091.5099819149</v>
      </c>
      <c r="H7" s="1">
        <f t="shared" si="1"/>
        <v>2718091.5099819149</v>
      </c>
      <c r="I7" s="1">
        <f t="shared" si="1"/>
        <v>2718091.5099819149</v>
      </c>
      <c r="J7" s="1">
        <f t="shared" si="1"/>
        <v>2718091.5099819149</v>
      </c>
      <c r="K7" s="1">
        <f t="shared" si="1"/>
        <v>2718091.5099819149</v>
      </c>
      <c r="L7" s="1">
        <f t="shared" si="1"/>
        <v>2718091.5099819149</v>
      </c>
      <c r="M7" s="1">
        <f t="shared" ref="M7:M16" si="2">SUM(B7:L7)</f>
        <v>21156085.437576156</v>
      </c>
    </row>
    <row r="8" spans="1:13" ht="24.75" customHeight="1" x14ac:dyDescent="0.35">
      <c r="A8" s="6" t="s">
        <v>6</v>
      </c>
      <c r="B8" s="1">
        <v>0</v>
      </c>
      <c r="C8" s="1">
        <v>0</v>
      </c>
      <c r="D8" s="1">
        <v>890991</v>
      </c>
      <c r="E8" s="1">
        <v>890991</v>
      </c>
      <c r="F8" s="2">
        <v>890991</v>
      </c>
      <c r="G8" s="2">
        <v>890991</v>
      </c>
      <c r="H8" s="2">
        <v>890991</v>
      </c>
      <c r="I8" s="2">
        <v>890991</v>
      </c>
      <c r="J8" s="2">
        <v>890991</v>
      </c>
      <c r="K8" s="2">
        <v>915204</v>
      </c>
      <c r="L8" s="2">
        <v>915204</v>
      </c>
      <c r="M8" s="1">
        <f t="shared" si="2"/>
        <v>8067345</v>
      </c>
    </row>
    <row r="9" spans="1:13" ht="22.5" customHeight="1" x14ac:dyDescent="0.35">
      <c r="A9" s="6" t="s">
        <v>7</v>
      </c>
      <c r="B9" s="1">
        <v>0</v>
      </c>
      <c r="C9" s="1">
        <v>0</v>
      </c>
      <c r="D9" s="1">
        <v>0</v>
      </c>
      <c r="E9" s="1">
        <f>(1411*42)/2</f>
        <v>29631</v>
      </c>
      <c r="F9" s="1">
        <v>0</v>
      </c>
      <c r="G9" s="1">
        <v>0</v>
      </c>
      <c r="H9" s="1">
        <f>(1411*42)/2</f>
        <v>29631</v>
      </c>
      <c r="I9" s="1">
        <v>0</v>
      </c>
      <c r="J9" s="1">
        <v>0</v>
      </c>
      <c r="K9" s="1">
        <v>0</v>
      </c>
      <c r="L9" s="1">
        <v>0</v>
      </c>
      <c r="M9" s="1">
        <f t="shared" si="2"/>
        <v>59262</v>
      </c>
    </row>
    <row r="10" spans="1:13" ht="23.25" customHeight="1" x14ac:dyDescent="0.35">
      <c r="A10" s="12" t="s">
        <v>8</v>
      </c>
      <c r="B10" s="7">
        <v>0</v>
      </c>
      <c r="C10" s="7">
        <v>0</v>
      </c>
      <c r="D10" s="7">
        <v>0</v>
      </c>
      <c r="E10" s="8">
        <v>884.34436757874016</v>
      </c>
      <c r="F10" s="8">
        <v>1722</v>
      </c>
      <c r="G10" s="8">
        <v>2467</v>
      </c>
      <c r="H10" s="8">
        <v>4142</v>
      </c>
      <c r="I10" s="8">
        <v>4887</v>
      </c>
      <c r="J10" s="8">
        <v>4887</v>
      </c>
      <c r="K10" s="8">
        <v>5818</v>
      </c>
      <c r="L10" s="8">
        <v>5818</v>
      </c>
      <c r="M10" s="7">
        <f>SUM(B10:L10)</f>
        <v>30625.344367578742</v>
      </c>
    </row>
    <row r="11" spans="1:13" ht="22.5" customHeight="1" x14ac:dyDescent="0.35">
      <c r="A11" s="14" t="s">
        <v>9</v>
      </c>
      <c r="B11" s="7">
        <v>0</v>
      </c>
      <c r="C11" s="7">
        <v>0</v>
      </c>
      <c r="D11" s="7">
        <v>0</v>
      </c>
      <c r="E11" s="13">
        <v>72905</v>
      </c>
      <c r="F11" s="13">
        <v>91527</v>
      </c>
      <c r="G11" s="13">
        <v>68529</v>
      </c>
      <c r="H11" s="13">
        <v>68529</v>
      </c>
      <c r="I11" s="13">
        <v>68529</v>
      </c>
      <c r="J11" s="13">
        <v>68529</v>
      </c>
      <c r="K11" s="13">
        <v>68529</v>
      </c>
      <c r="L11" s="13">
        <v>68529</v>
      </c>
      <c r="M11" s="7">
        <f t="shared" si="2"/>
        <v>575606</v>
      </c>
    </row>
    <row r="12" spans="1:13" ht="26.25" customHeight="1" x14ac:dyDescent="0.35">
      <c r="A12" s="175" t="s">
        <v>2</v>
      </c>
      <c r="B12" s="176"/>
      <c r="C12" s="176"/>
      <c r="D12" s="176"/>
      <c r="E12" s="176"/>
      <c r="F12" s="176"/>
      <c r="G12" s="176"/>
      <c r="H12" s="176"/>
      <c r="I12" s="176"/>
      <c r="J12" s="176"/>
      <c r="K12" s="176"/>
      <c r="L12" s="176"/>
      <c r="M12" s="177"/>
    </row>
    <row r="13" spans="1:13" ht="21.75" customHeight="1" x14ac:dyDescent="0.35">
      <c r="A13" s="9" t="s">
        <v>10</v>
      </c>
      <c r="B13" s="1">
        <v>0</v>
      </c>
      <c r="C13" s="1">
        <v>0</v>
      </c>
      <c r="D13" s="1">
        <v>0</v>
      </c>
      <c r="E13" s="2">
        <v>2772000</v>
      </c>
      <c r="F13" s="2">
        <v>2987919</v>
      </c>
      <c r="G13" s="2">
        <v>3247925</v>
      </c>
      <c r="H13" s="2">
        <v>3403746</v>
      </c>
      <c r="I13" s="2">
        <v>854288</v>
      </c>
      <c r="J13" s="2">
        <v>867615</v>
      </c>
      <c r="K13" s="2">
        <v>881985</v>
      </c>
      <c r="L13" s="2">
        <v>897442</v>
      </c>
      <c r="M13" s="1">
        <f t="shared" si="2"/>
        <v>15912920</v>
      </c>
    </row>
    <row r="14" spans="1:13" ht="21.75" customHeight="1" x14ac:dyDescent="0.35">
      <c r="A14" s="9" t="s">
        <v>11</v>
      </c>
      <c r="B14" s="1">
        <v>0</v>
      </c>
      <c r="C14" s="1">
        <v>0</v>
      </c>
      <c r="D14" s="1">
        <v>0</v>
      </c>
      <c r="E14" s="2">
        <f>57502*((5+10)/2)</f>
        <v>431265</v>
      </c>
      <c r="F14" s="2">
        <f t="shared" ref="F14:G14" si="3">57502*((5+10)/2)</f>
        <v>431265</v>
      </c>
      <c r="G14" s="2">
        <f t="shared" si="3"/>
        <v>431265</v>
      </c>
      <c r="H14" s="2">
        <f>57502*((15+20)/2)</f>
        <v>1006285</v>
      </c>
      <c r="I14" s="2">
        <f t="shared" ref="I14:J14" si="4">57502*((15+20)/2)</f>
        <v>1006285</v>
      </c>
      <c r="J14" s="2">
        <f t="shared" si="4"/>
        <v>1006285</v>
      </c>
      <c r="K14" s="2">
        <f>57502*((25+30)/2)</f>
        <v>1581305</v>
      </c>
      <c r="L14" s="2">
        <f>57502*((25+30)/2)</f>
        <v>1581305</v>
      </c>
      <c r="M14" s="1">
        <f t="shared" si="2"/>
        <v>7475260</v>
      </c>
    </row>
    <row r="15" spans="1:13" ht="18.75" customHeight="1" x14ac:dyDescent="0.35">
      <c r="A15" s="5" t="s">
        <v>12</v>
      </c>
      <c r="B15" s="1">
        <v>0</v>
      </c>
      <c r="C15" s="1">
        <v>0</v>
      </c>
      <c r="D15" s="1">
        <v>0</v>
      </c>
      <c r="E15" s="1">
        <f>1854*2</f>
        <v>3708</v>
      </c>
      <c r="F15" s="1">
        <f>1854*3</f>
        <v>5562</v>
      </c>
      <c r="G15" s="1">
        <f t="shared" ref="G15:L15" si="5">1854*3</f>
        <v>5562</v>
      </c>
      <c r="H15" s="1">
        <f t="shared" si="5"/>
        <v>5562</v>
      </c>
      <c r="I15" s="1">
        <f t="shared" si="5"/>
        <v>5562</v>
      </c>
      <c r="J15" s="1">
        <f t="shared" si="5"/>
        <v>5562</v>
      </c>
      <c r="K15" s="1">
        <f t="shared" si="5"/>
        <v>5562</v>
      </c>
      <c r="L15" s="1">
        <f t="shared" si="5"/>
        <v>5562</v>
      </c>
      <c r="M15" s="1">
        <f t="shared" si="2"/>
        <v>42642</v>
      </c>
    </row>
    <row r="16" spans="1:13" ht="24" customHeight="1" x14ac:dyDescent="0.35">
      <c r="A16" s="15" t="s">
        <v>154</v>
      </c>
      <c r="B16" s="7">
        <v>0</v>
      </c>
      <c r="C16" s="7">
        <v>0</v>
      </c>
      <c r="D16" s="7">
        <v>0</v>
      </c>
      <c r="E16" s="7">
        <v>298109.77404930029</v>
      </c>
      <c r="F16" s="7">
        <v>123920.30666490144</v>
      </c>
      <c r="G16" s="7">
        <v>124005.89471591171</v>
      </c>
      <c r="H16" s="7">
        <v>124089.03542417458</v>
      </c>
      <c r="I16" s="7">
        <v>124174.53093048435</v>
      </c>
      <c r="J16" s="7">
        <v>124258.68737498831</v>
      </c>
      <c r="K16" s="7">
        <v>124342.79657385593</v>
      </c>
      <c r="L16" s="7">
        <v>124426.85874603347</v>
      </c>
      <c r="M16" s="7">
        <f t="shared" si="2"/>
        <v>1167327.8844796501</v>
      </c>
    </row>
    <row r="17" spans="1:13" ht="21" x14ac:dyDescent="0.35">
      <c r="A17" s="10" t="s">
        <v>13</v>
      </c>
      <c r="B17" s="11">
        <f t="shared" ref="B17:M17" si="6">SUM(B6:B11,B13:B15,B16)</f>
        <v>0</v>
      </c>
      <c r="C17" s="11">
        <f t="shared" si="6"/>
        <v>0</v>
      </c>
      <c r="D17" s="11">
        <f t="shared" si="6"/>
        <v>890991</v>
      </c>
      <c r="E17" s="11">
        <f t="shared" si="6"/>
        <v>6716471.0946221994</v>
      </c>
      <c r="F17" s="11">
        <f t="shared" si="6"/>
        <v>7382295.9794006729</v>
      </c>
      <c r="G17" s="11">
        <f t="shared" si="6"/>
        <v>7620134.5674516829</v>
      </c>
      <c r="H17" s="11">
        <f t="shared" si="6"/>
        <v>8382364.7081599459</v>
      </c>
      <c r="I17" s="11">
        <f t="shared" si="6"/>
        <v>5804106.2036662558</v>
      </c>
      <c r="J17" s="11">
        <f t="shared" si="6"/>
        <v>5817517.3601107597</v>
      </c>
      <c r="K17" s="11">
        <f t="shared" si="6"/>
        <v>6432135.4693096271</v>
      </c>
      <c r="L17" s="11">
        <f t="shared" si="6"/>
        <v>6447676.5314818043</v>
      </c>
      <c r="M17" s="11">
        <f t="shared" si="6"/>
        <v>55493692.914202951</v>
      </c>
    </row>
    <row r="19" spans="1:13" ht="21" x14ac:dyDescent="0.5">
      <c r="A19" s="23" t="s">
        <v>19</v>
      </c>
    </row>
    <row r="20" spans="1:13" x14ac:dyDescent="0.35">
      <c r="A20" s="17" t="s">
        <v>15</v>
      </c>
      <c r="B20" s="18">
        <f>(B17-B15)*(100%-(9.4%+3.1%))</f>
        <v>0</v>
      </c>
      <c r="C20" s="18">
        <f t="shared" ref="C20:L20" si="7">(C17-C15)*(100%-(9.4%+3.1%))</f>
        <v>0</v>
      </c>
      <c r="D20" s="18">
        <f t="shared" si="7"/>
        <v>779617.125</v>
      </c>
      <c r="E20" s="18">
        <f t="shared" si="7"/>
        <v>5873667.7077944241</v>
      </c>
      <c r="F20" s="18">
        <f t="shared" si="7"/>
        <v>6454642.2319755889</v>
      </c>
      <c r="G20" s="18">
        <f t="shared" si="7"/>
        <v>6662750.9965202222</v>
      </c>
      <c r="H20" s="18">
        <f t="shared" si="7"/>
        <v>7329702.3696399527</v>
      </c>
      <c r="I20" s="18">
        <f t="shared" si="7"/>
        <v>5073726.1782079739</v>
      </c>
      <c r="J20" s="18">
        <f t="shared" si="7"/>
        <v>5085460.9400969148</v>
      </c>
      <c r="K20" s="18">
        <f t="shared" si="7"/>
        <v>5623251.7856459236</v>
      </c>
      <c r="L20" s="18">
        <f t="shared" si="7"/>
        <v>5636850.215046579</v>
      </c>
      <c r="M20" s="18">
        <f>SUM(B20:L20)</f>
        <v>48519669.549927577</v>
      </c>
    </row>
    <row r="21" spans="1:13" x14ac:dyDescent="0.35">
      <c r="A21" s="17" t="s">
        <v>18</v>
      </c>
      <c r="B21" s="19">
        <f>B20/138176</f>
        <v>0</v>
      </c>
      <c r="C21" s="19">
        <f t="shared" ref="C21:L21" si="8">C20/138176</f>
        <v>0</v>
      </c>
      <c r="D21" s="19">
        <f t="shared" si="8"/>
        <v>5.6422036026516906</v>
      </c>
      <c r="E21" s="19">
        <f t="shared" si="8"/>
        <v>42.508595615696102</v>
      </c>
      <c r="F21" s="19">
        <f t="shared" si="8"/>
        <v>46.713193550078081</v>
      </c>
      <c r="G21" s="19">
        <f t="shared" si="8"/>
        <v>48.219307235122031</v>
      </c>
      <c r="H21" s="19">
        <f t="shared" si="8"/>
        <v>53.046132249015407</v>
      </c>
      <c r="I21" s="19">
        <f t="shared" si="8"/>
        <v>36.719301312876141</v>
      </c>
      <c r="J21" s="19">
        <f t="shared" si="8"/>
        <v>36.804227507649045</v>
      </c>
      <c r="K21" s="19">
        <f t="shared" si="8"/>
        <v>40.696298819229995</v>
      </c>
      <c r="L21" s="19">
        <f t="shared" si="8"/>
        <v>40.794712649422323</v>
      </c>
      <c r="M21" s="18"/>
    </row>
    <row r="22" spans="1:13" x14ac:dyDescent="0.35">
      <c r="A22" s="17" t="s">
        <v>17</v>
      </c>
      <c r="B22" s="20">
        <f t="shared" ref="B22:L22" si="9">(B17-B15)*9.4%+B15</f>
        <v>0</v>
      </c>
      <c r="C22" s="20">
        <f t="shared" si="9"/>
        <v>0</v>
      </c>
      <c r="D22" s="20">
        <f t="shared" si="9"/>
        <v>83753.153999999995</v>
      </c>
      <c r="E22" s="20">
        <f t="shared" si="9"/>
        <v>634707.73089448677</v>
      </c>
      <c r="F22" s="20">
        <f t="shared" si="9"/>
        <v>698974.9940636633</v>
      </c>
      <c r="G22" s="20">
        <f t="shared" si="9"/>
        <v>721331.82134045823</v>
      </c>
      <c r="H22" s="20">
        <f t="shared" si="9"/>
        <v>792981.45456703496</v>
      </c>
      <c r="I22" s="20">
        <f t="shared" si="9"/>
        <v>550625.15514462802</v>
      </c>
      <c r="J22" s="20">
        <f t="shared" si="9"/>
        <v>551885.80385041144</v>
      </c>
      <c r="K22" s="20">
        <f t="shared" si="9"/>
        <v>609659.90611510491</v>
      </c>
      <c r="L22" s="20">
        <f t="shared" si="9"/>
        <v>611120.76595928962</v>
      </c>
      <c r="M22" s="20">
        <f>SUM(B22:L22)</f>
        <v>5255040.7859350769</v>
      </c>
    </row>
    <row r="23" spans="1:13" x14ac:dyDescent="0.35">
      <c r="A23" s="17" t="s">
        <v>16</v>
      </c>
      <c r="B23" s="21">
        <f t="shared" ref="B23:L23" si="10">(B17-B15)*3.1%</f>
        <v>0</v>
      </c>
      <c r="C23" s="21">
        <f t="shared" si="10"/>
        <v>0</v>
      </c>
      <c r="D23" s="21">
        <f t="shared" si="10"/>
        <v>27620.721000000001</v>
      </c>
      <c r="E23" s="21">
        <f t="shared" si="10"/>
        <v>208095.65593328819</v>
      </c>
      <c r="F23" s="21">
        <f t="shared" si="10"/>
        <v>228678.75336142085</v>
      </c>
      <c r="G23" s="21">
        <f t="shared" si="10"/>
        <v>236051.74959100215</v>
      </c>
      <c r="H23" s="21">
        <f t="shared" si="10"/>
        <v>259680.88395295833</v>
      </c>
      <c r="I23" s="21">
        <f t="shared" si="10"/>
        <v>179754.87031365393</v>
      </c>
      <c r="J23" s="21">
        <f t="shared" si="10"/>
        <v>180170.61616343356</v>
      </c>
      <c r="K23" s="21">
        <f t="shared" si="10"/>
        <v>199223.77754859845</v>
      </c>
      <c r="L23" s="21">
        <f t="shared" si="10"/>
        <v>199705.55047593595</v>
      </c>
      <c r="M23" s="21">
        <f>SUM(B23:L23)</f>
        <v>1718982.5783402913</v>
      </c>
    </row>
    <row r="24" spans="1:13" x14ac:dyDescent="0.35">
      <c r="A24" s="131" t="s">
        <v>155</v>
      </c>
      <c r="B24" s="124">
        <v>515000</v>
      </c>
      <c r="C24" s="124">
        <v>1064000</v>
      </c>
      <c r="D24" s="124">
        <v>1936000</v>
      </c>
      <c r="E24" s="124">
        <v>2271000</v>
      </c>
      <c r="F24" s="124">
        <v>2631000</v>
      </c>
      <c r="G24" s="124">
        <v>2629000</v>
      </c>
      <c r="H24" s="124">
        <v>2629000</v>
      </c>
      <c r="I24" s="124">
        <v>2629000</v>
      </c>
      <c r="J24" s="124">
        <v>2629000</v>
      </c>
      <c r="K24" s="124">
        <v>2629000</v>
      </c>
      <c r="L24" s="124">
        <v>2629000</v>
      </c>
      <c r="M24" s="124">
        <f>SUM(B24:L24)</f>
        <v>24191000</v>
      </c>
    </row>
    <row r="25" spans="1:13" x14ac:dyDescent="0.35">
      <c r="A25" s="131" t="s">
        <v>156</v>
      </c>
      <c r="B25" s="124">
        <f>SUM(B23:B24)</f>
        <v>515000</v>
      </c>
      <c r="C25" s="124">
        <f t="shared" ref="C25:L25" si="11">SUM(C23:C24)</f>
        <v>1064000</v>
      </c>
      <c r="D25" s="124">
        <f t="shared" si="11"/>
        <v>1963620.7209999999</v>
      </c>
      <c r="E25" s="124">
        <f t="shared" si="11"/>
        <v>2479095.6559332884</v>
      </c>
      <c r="F25" s="124">
        <f t="shared" si="11"/>
        <v>2859678.7533614207</v>
      </c>
      <c r="G25" s="124">
        <f t="shared" si="11"/>
        <v>2865051.7495910022</v>
      </c>
      <c r="H25" s="124">
        <f t="shared" si="11"/>
        <v>2888680.8839529585</v>
      </c>
      <c r="I25" s="124">
        <f t="shared" si="11"/>
        <v>2808754.8703136537</v>
      </c>
      <c r="J25" s="124">
        <f t="shared" si="11"/>
        <v>2809170.6161634335</v>
      </c>
      <c r="K25" s="124">
        <f t="shared" si="11"/>
        <v>2828223.7775485986</v>
      </c>
      <c r="L25" s="124">
        <f t="shared" si="11"/>
        <v>2828705.5504759359</v>
      </c>
      <c r="M25" s="124">
        <f>SUM(B25:L25)</f>
        <v>25909982.578340292</v>
      </c>
    </row>
    <row r="29" spans="1:13" x14ac:dyDescent="0.35">
      <c r="A29" s="17" t="s">
        <v>129</v>
      </c>
      <c r="B29" s="124">
        <f>(B6+B7+B8+B9+B10+B11)*87.5%</f>
        <v>0</v>
      </c>
      <c r="C29" s="124">
        <f t="shared" ref="C29" si="12">(C6+C7+C8+C9+C10+C11)*87.5%</f>
        <v>0</v>
      </c>
      <c r="D29" s="124">
        <f>(D6+D7+D8+D9+D10+D11)*87.5%</f>
        <v>779617.125</v>
      </c>
      <c r="E29" s="124">
        <f>(E6+E7+E8+E9+E10+E11-(1533*47+4631*39))*87.5%</f>
        <v>2588887.2805012865</v>
      </c>
      <c r="F29" s="124">
        <f t="shared" ref="F29:L29" si="13">(F6+F7+F8+F9+F10+F11-(1533*92+4631*39))*87.5%</f>
        <v>3072986.5886437995</v>
      </c>
      <c r="G29" s="124">
        <f t="shared" si="13"/>
        <v>3053515.2136437995</v>
      </c>
      <c r="H29" s="124">
        <f t="shared" si="13"/>
        <v>3080907.9636437995</v>
      </c>
      <c r="I29" s="124">
        <f t="shared" si="13"/>
        <v>3055632.7136437995</v>
      </c>
      <c r="J29" s="124">
        <f t="shared" si="13"/>
        <v>3055632.7136437995</v>
      </c>
      <c r="K29" s="124">
        <f t="shared" si="13"/>
        <v>3077633.7136437995</v>
      </c>
      <c r="L29" s="124">
        <f t="shared" si="13"/>
        <v>3077633.7136437995</v>
      </c>
      <c r="M29" s="124">
        <f>SUM(B29:L29)</f>
        <v>24842447.026007887</v>
      </c>
    </row>
    <row r="30" spans="1:13" x14ac:dyDescent="0.35">
      <c r="A30" s="17" t="s">
        <v>130</v>
      </c>
      <c r="B30" s="124">
        <v>0</v>
      </c>
      <c r="C30" s="124">
        <v>0</v>
      </c>
      <c r="D30" s="124">
        <f>D29/100</f>
        <v>7796.1712500000003</v>
      </c>
      <c r="E30" s="124">
        <f>E29/139</f>
        <v>18625.08834893012</v>
      </c>
      <c r="F30" s="124">
        <f>F29/164</f>
        <v>18737.723101486583</v>
      </c>
      <c r="G30" s="124">
        <f t="shared" ref="G30:L30" si="14">G29/164</f>
        <v>18618.995205145118</v>
      </c>
      <c r="H30" s="124">
        <f t="shared" si="14"/>
        <v>18786.024168559754</v>
      </c>
      <c r="I30" s="124">
        <f t="shared" si="14"/>
        <v>18631.906790510973</v>
      </c>
      <c r="J30" s="124">
        <f t="shared" si="14"/>
        <v>18631.906790510973</v>
      </c>
      <c r="K30" s="124">
        <f t="shared" si="14"/>
        <v>18766.059229535364</v>
      </c>
      <c r="L30" s="124">
        <f t="shared" si="14"/>
        <v>18766.059229535364</v>
      </c>
      <c r="M30" s="17"/>
    </row>
    <row r="31" spans="1:13" x14ac:dyDescent="0.35">
      <c r="A31" s="17" t="s">
        <v>131</v>
      </c>
      <c r="B31" s="21">
        <v>0</v>
      </c>
      <c r="C31" s="21">
        <v>0</v>
      </c>
      <c r="D31" s="21">
        <f>D29/138176</f>
        <v>5.6422036026516906</v>
      </c>
      <c r="E31" s="21">
        <f t="shared" ref="E31:L31" si="15">E29/138176</f>
        <v>18.736157368148497</v>
      </c>
      <c r="F31" s="21">
        <f t="shared" si="15"/>
        <v>22.239655140138659</v>
      </c>
      <c r="G31" s="21">
        <f t="shared" si="15"/>
        <v>22.098737940335511</v>
      </c>
      <c r="H31" s="21">
        <f t="shared" si="15"/>
        <v>22.296983294087248</v>
      </c>
      <c r="I31" s="21">
        <f t="shared" si="15"/>
        <v>22.11406259874218</v>
      </c>
      <c r="J31" s="21">
        <f t="shared" si="15"/>
        <v>22.11406259874218</v>
      </c>
      <c r="K31" s="21">
        <f t="shared" si="15"/>
        <v>22.273287066088173</v>
      </c>
      <c r="L31" s="21">
        <f t="shared" si="15"/>
        <v>22.273287066088173</v>
      </c>
      <c r="M31" s="17"/>
    </row>
  </sheetData>
  <mergeCells count="4">
    <mergeCell ref="A3:A4"/>
    <mergeCell ref="E3:M3"/>
    <mergeCell ref="A5:M5"/>
    <mergeCell ref="A12:M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opLeftCell="A16" workbookViewId="0">
      <selection activeCell="I47" sqref="I47"/>
    </sheetView>
  </sheetViews>
  <sheetFormatPr defaultRowHeight="14.5" x14ac:dyDescent="0.35"/>
  <cols>
    <col min="1" max="1" width="53.1796875" customWidth="1"/>
    <col min="2" max="2" width="65.453125" customWidth="1"/>
    <col min="3" max="3" width="41.81640625" customWidth="1"/>
    <col min="4" max="4" width="46.7265625" customWidth="1"/>
    <col min="5" max="6" width="27.81640625" customWidth="1"/>
    <col min="7" max="7" width="17.26953125" customWidth="1"/>
    <col min="8" max="8" width="15.54296875" customWidth="1"/>
    <col min="9" max="9" width="19.54296875" customWidth="1"/>
    <col min="10" max="10" width="13.26953125" customWidth="1"/>
    <col min="11" max="11" width="11.54296875" customWidth="1"/>
    <col min="12" max="12" width="13.453125" customWidth="1"/>
  </cols>
  <sheetData>
    <row r="1" spans="1:9" ht="43.5" x14ac:dyDescent="0.45">
      <c r="A1" s="73" t="s">
        <v>63</v>
      </c>
      <c r="I1" s="74" t="s">
        <v>64</v>
      </c>
    </row>
    <row r="2" spans="1:9" x14ac:dyDescent="0.35">
      <c r="A2" s="26" t="s">
        <v>157</v>
      </c>
    </row>
    <row r="4" spans="1:9" x14ac:dyDescent="0.35">
      <c r="A4" s="17"/>
      <c r="B4" s="17" t="s">
        <v>65</v>
      </c>
      <c r="C4" s="17" t="s">
        <v>66</v>
      </c>
      <c r="D4" s="17" t="s">
        <v>67</v>
      </c>
      <c r="E4" s="17" t="s">
        <v>68</v>
      </c>
      <c r="F4" s="17" t="s">
        <v>56</v>
      </c>
      <c r="G4" s="17" t="s">
        <v>69</v>
      </c>
    </row>
    <row r="5" spans="1:9" x14ac:dyDescent="0.35">
      <c r="A5" s="17"/>
      <c r="B5" s="147">
        <v>125788</v>
      </c>
      <c r="C5" s="147">
        <v>91966</v>
      </c>
      <c r="D5" s="147">
        <v>216764</v>
      </c>
      <c r="E5" s="147">
        <v>176290</v>
      </c>
      <c r="F5" s="147">
        <f>SUM(B5:E5)</f>
        <v>610808</v>
      </c>
      <c r="G5" s="147">
        <v>60</v>
      </c>
    </row>
    <row r="6" spans="1:9" x14ac:dyDescent="0.35">
      <c r="A6" s="17" t="s">
        <v>70</v>
      </c>
      <c r="B6" s="17"/>
      <c r="C6" s="17"/>
      <c r="D6" s="17"/>
      <c r="E6" s="17"/>
      <c r="F6" s="17"/>
      <c r="G6" s="17"/>
    </row>
    <row r="7" spans="1:9" x14ac:dyDescent="0.35">
      <c r="A7" s="17"/>
      <c r="B7" s="17">
        <f>B5/$G$5</f>
        <v>2096.4666666666667</v>
      </c>
      <c r="C7" s="17">
        <f t="shared" ref="C7:F7" si="0">C5/$G$5</f>
        <v>1532.7666666666667</v>
      </c>
      <c r="D7" s="17">
        <f t="shared" si="0"/>
        <v>3612.7333333333331</v>
      </c>
      <c r="E7" s="17">
        <f t="shared" si="0"/>
        <v>2938.1666666666665</v>
      </c>
      <c r="F7" s="17">
        <f t="shared" si="0"/>
        <v>10180.133333333333</v>
      </c>
      <c r="G7" s="17"/>
    </row>
    <row r="8" spans="1:9" x14ac:dyDescent="0.35">
      <c r="A8" s="148" t="s">
        <v>71</v>
      </c>
      <c r="B8" s="148"/>
      <c r="C8" s="148"/>
      <c r="D8" s="148"/>
      <c r="E8" s="148"/>
      <c r="F8" s="148"/>
      <c r="G8" s="17"/>
    </row>
    <row r="9" spans="1:9" x14ac:dyDescent="0.35">
      <c r="A9" s="148"/>
      <c r="B9" s="148">
        <f>B7*2</f>
        <v>4192.9333333333334</v>
      </c>
      <c r="C9" s="148">
        <f>C7</f>
        <v>1532.7666666666667</v>
      </c>
      <c r="D9" s="148">
        <f>D7</f>
        <v>3612.7333333333331</v>
      </c>
      <c r="E9" s="148">
        <f>E7</f>
        <v>2938.1666666666665</v>
      </c>
      <c r="F9" s="148">
        <f>SUM(B9:E9)</f>
        <v>12276.599999999999</v>
      </c>
      <c r="G9" s="17"/>
      <c r="I9" s="75">
        <f>F9*M22/M21</f>
        <v>13081.038103519033</v>
      </c>
    </row>
    <row r="12" spans="1:9" x14ac:dyDescent="0.35">
      <c r="A12" s="26" t="s">
        <v>158</v>
      </c>
    </row>
    <row r="13" spans="1:9" x14ac:dyDescent="0.35">
      <c r="A13" s="17"/>
      <c r="B13" s="17" t="s">
        <v>73</v>
      </c>
      <c r="C13" s="17" t="s">
        <v>66</v>
      </c>
      <c r="D13" s="17" t="s">
        <v>67</v>
      </c>
      <c r="E13" s="17" t="s">
        <v>68</v>
      </c>
      <c r="F13" s="17" t="s">
        <v>56</v>
      </c>
      <c r="G13" s="17" t="s">
        <v>69</v>
      </c>
    </row>
    <row r="14" spans="1:9" x14ac:dyDescent="0.35">
      <c r="A14" s="17" t="s">
        <v>70</v>
      </c>
      <c r="B14" s="147">
        <v>245354</v>
      </c>
      <c r="C14" s="147">
        <v>148201</v>
      </c>
      <c r="D14" s="147">
        <v>267381</v>
      </c>
      <c r="E14" s="147">
        <v>260062</v>
      </c>
      <c r="F14" s="147">
        <f>SUM(B14:E14)</f>
        <v>920998</v>
      </c>
      <c r="G14" s="147">
        <v>32</v>
      </c>
    </row>
    <row r="15" spans="1:9" x14ac:dyDescent="0.35">
      <c r="A15" s="17"/>
      <c r="B15" s="17"/>
      <c r="C15" s="17"/>
      <c r="D15" s="17"/>
      <c r="E15" s="17"/>
      <c r="F15" s="17"/>
      <c r="G15" s="17"/>
    </row>
    <row r="16" spans="1:9" x14ac:dyDescent="0.35">
      <c r="A16" s="17"/>
      <c r="B16" s="17">
        <f>B14/$G$14</f>
        <v>7667.3125</v>
      </c>
      <c r="C16" s="17">
        <f t="shared" ref="C16:F16" si="1">C14/$G$14</f>
        <v>4631.28125</v>
      </c>
      <c r="D16" s="17">
        <f t="shared" si="1"/>
        <v>8355.65625</v>
      </c>
      <c r="E16" s="17">
        <f t="shared" si="1"/>
        <v>8126.9375</v>
      </c>
      <c r="F16" s="17">
        <f t="shared" si="1"/>
        <v>28781.1875</v>
      </c>
      <c r="G16" s="17"/>
    </row>
    <row r="17" spans="1:13" x14ac:dyDescent="0.35">
      <c r="A17" s="148" t="s">
        <v>71</v>
      </c>
      <c r="B17" s="148"/>
      <c r="C17" s="148"/>
      <c r="D17" s="148"/>
      <c r="E17" s="148"/>
      <c r="F17" s="148"/>
      <c r="G17" s="17"/>
    </row>
    <row r="18" spans="1:13" x14ac:dyDescent="0.35">
      <c r="A18" s="148"/>
      <c r="B18" s="148">
        <f>B16*2</f>
        <v>15334.625</v>
      </c>
      <c r="C18" s="148">
        <f>C16</f>
        <v>4631.28125</v>
      </c>
      <c r="D18" s="148">
        <f>D16</f>
        <v>8355.65625</v>
      </c>
      <c r="E18" s="148">
        <f>E16</f>
        <v>8126.9375</v>
      </c>
      <c r="F18" s="148">
        <f>SUM(B18:E18)</f>
        <v>36448.5</v>
      </c>
      <c r="G18" s="17"/>
      <c r="I18" s="75">
        <f>F18*M22/M21</f>
        <v>38836.829196692364</v>
      </c>
    </row>
    <row r="20" spans="1:13" x14ac:dyDescent="0.35">
      <c r="L20" s="17" t="s">
        <v>74</v>
      </c>
      <c r="M20" s="17"/>
    </row>
    <row r="21" spans="1:13" x14ac:dyDescent="0.35">
      <c r="A21" s="26" t="s">
        <v>159</v>
      </c>
      <c r="L21" s="17">
        <v>2014</v>
      </c>
      <c r="M21" s="149">
        <v>246.05541666666667</v>
      </c>
    </row>
    <row r="22" spans="1:13" x14ac:dyDescent="0.35">
      <c r="A22" s="17"/>
      <c r="B22" s="17" t="s">
        <v>76</v>
      </c>
      <c r="C22" s="17" t="s">
        <v>77</v>
      </c>
      <c r="D22" s="17" t="s">
        <v>78</v>
      </c>
      <c r="E22" s="17"/>
      <c r="F22" s="17" t="s">
        <v>56</v>
      </c>
      <c r="G22" s="17" t="s">
        <v>79</v>
      </c>
      <c r="L22" s="17">
        <v>2017</v>
      </c>
      <c r="M22" s="150">
        <v>262.17847620627202</v>
      </c>
    </row>
    <row r="23" spans="1:13" x14ac:dyDescent="0.35">
      <c r="A23" s="17"/>
      <c r="B23" s="147">
        <v>48991</v>
      </c>
      <c r="C23" s="147">
        <v>24626</v>
      </c>
      <c r="D23" s="147">
        <v>53128</v>
      </c>
      <c r="E23" s="17"/>
      <c r="F23" s="147">
        <f>SUM(B23:D23)</f>
        <v>126745</v>
      </c>
      <c r="G23" s="147">
        <v>108</v>
      </c>
    </row>
    <row r="24" spans="1:13" x14ac:dyDescent="0.35">
      <c r="A24" s="17" t="s">
        <v>70</v>
      </c>
      <c r="B24" s="17"/>
      <c r="C24" s="17"/>
      <c r="D24" s="17"/>
      <c r="E24" s="17"/>
      <c r="F24" s="17"/>
      <c r="G24" s="17"/>
    </row>
    <row r="25" spans="1:13" x14ac:dyDescent="0.35">
      <c r="A25" s="17"/>
      <c r="B25" s="17">
        <f>B23/$G$23</f>
        <v>453.62037037037038</v>
      </c>
      <c r="C25" s="17">
        <f t="shared" ref="C25:F25" si="2">C23/$G$23</f>
        <v>228.0185185185185</v>
      </c>
      <c r="D25" s="17">
        <f t="shared" si="2"/>
        <v>491.92592592592592</v>
      </c>
      <c r="E25" s="17"/>
      <c r="F25" s="17">
        <f t="shared" si="2"/>
        <v>1173.5648148148148</v>
      </c>
      <c r="G25" s="17"/>
    </row>
    <row r="26" spans="1:13" x14ac:dyDescent="0.35">
      <c r="A26" s="148" t="s">
        <v>71</v>
      </c>
      <c r="B26" s="148"/>
      <c r="C26" s="148"/>
      <c r="D26" s="148"/>
      <c r="E26" s="148"/>
      <c r="F26" s="148"/>
      <c r="G26" s="17"/>
    </row>
    <row r="27" spans="1:13" x14ac:dyDescent="0.35">
      <c r="A27" s="148"/>
      <c r="B27" s="148">
        <f>B25</f>
        <v>453.62037037037038</v>
      </c>
      <c r="C27" s="148">
        <f>C25</f>
        <v>228.0185185185185</v>
      </c>
      <c r="D27" s="148">
        <f>D25</f>
        <v>491.92592592592592</v>
      </c>
      <c r="E27" s="148"/>
      <c r="F27" s="148">
        <f>SUM(B27:D27)</f>
        <v>1173.5648148148148</v>
      </c>
      <c r="G27" s="17"/>
      <c r="I27" s="75">
        <f>F27*M22/M21</f>
        <v>1250.4639769595694</v>
      </c>
    </row>
    <row r="32" spans="1:13" x14ac:dyDescent="0.35">
      <c r="A32" s="26" t="s">
        <v>80</v>
      </c>
    </row>
    <row r="33" spans="1:6" x14ac:dyDescent="0.35">
      <c r="A33" s="17"/>
      <c r="B33" s="17" t="s">
        <v>81</v>
      </c>
      <c r="C33" s="17" t="s">
        <v>82</v>
      </c>
      <c r="D33" s="17" t="s">
        <v>56</v>
      </c>
    </row>
    <row r="34" spans="1:6" x14ac:dyDescent="0.35">
      <c r="A34" s="17" t="s">
        <v>75</v>
      </c>
      <c r="B34" s="17">
        <v>70</v>
      </c>
      <c r="C34" s="17">
        <f>ROUND(B34*D42,0)</f>
        <v>35</v>
      </c>
      <c r="D34" s="17">
        <f>B34+C34</f>
        <v>105</v>
      </c>
    </row>
    <row r="35" spans="1:6" x14ac:dyDescent="0.35">
      <c r="A35" s="17" t="s">
        <v>83</v>
      </c>
      <c r="B35" s="17">
        <v>47</v>
      </c>
      <c r="C35" s="17">
        <f>ROUND(B35*D44,0)</f>
        <v>45</v>
      </c>
      <c r="D35" s="17">
        <f t="shared" ref="D35:D36" si="3">B35+C35</f>
        <v>92</v>
      </c>
    </row>
    <row r="36" spans="1:6" x14ac:dyDescent="0.35">
      <c r="A36" s="17" t="s">
        <v>72</v>
      </c>
      <c r="B36" s="17">
        <v>39</v>
      </c>
      <c r="C36" s="17">
        <f>B36*D45</f>
        <v>0</v>
      </c>
      <c r="D36" s="17">
        <f t="shared" si="3"/>
        <v>39</v>
      </c>
    </row>
    <row r="39" spans="1:6" x14ac:dyDescent="0.35">
      <c r="A39" s="76" t="s">
        <v>84</v>
      </c>
    </row>
    <row r="41" spans="1:6" x14ac:dyDescent="0.35">
      <c r="A41" s="77" t="s">
        <v>85</v>
      </c>
      <c r="B41" s="78" t="s">
        <v>86</v>
      </c>
      <c r="C41" s="78" t="s">
        <v>87</v>
      </c>
      <c r="D41" s="79" t="s">
        <v>88</v>
      </c>
    </row>
    <row r="42" spans="1:6" x14ac:dyDescent="0.35">
      <c r="A42" s="80" t="s">
        <v>75</v>
      </c>
      <c r="B42" s="81">
        <v>12</v>
      </c>
      <c r="C42" s="81">
        <v>6</v>
      </c>
      <c r="D42" s="17">
        <f>C42/B42</f>
        <v>0.5</v>
      </c>
    </row>
    <row r="43" spans="1:6" x14ac:dyDescent="0.35">
      <c r="A43" s="17" t="s">
        <v>89</v>
      </c>
      <c r="B43" s="81">
        <v>3</v>
      </c>
      <c r="C43" s="81">
        <v>0</v>
      </c>
      <c r="D43" s="17">
        <f t="shared" ref="D43:D47" si="4">C43/B43</f>
        <v>0</v>
      </c>
    </row>
    <row r="44" spans="1:6" x14ac:dyDescent="0.35">
      <c r="A44" s="17" t="s">
        <v>83</v>
      </c>
      <c r="B44" s="81">
        <v>20</v>
      </c>
      <c r="C44" s="81">
        <v>19</v>
      </c>
      <c r="D44" s="17">
        <f t="shared" si="4"/>
        <v>0.95</v>
      </c>
    </row>
    <row r="45" spans="1:6" x14ac:dyDescent="0.35">
      <c r="A45" s="17" t="s">
        <v>90</v>
      </c>
      <c r="B45" s="81">
        <v>4</v>
      </c>
      <c r="C45" s="81">
        <v>0</v>
      </c>
      <c r="D45" s="17">
        <f t="shared" si="4"/>
        <v>0</v>
      </c>
      <c r="F45" s="82"/>
    </row>
    <row r="46" spans="1:6" x14ac:dyDescent="0.35">
      <c r="A46" s="17" t="s">
        <v>91</v>
      </c>
      <c r="B46" s="81">
        <v>25</v>
      </c>
      <c r="C46" s="81">
        <v>75</v>
      </c>
      <c r="D46" s="17">
        <f t="shared" si="4"/>
        <v>3</v>
      </c>
    </row>
    <row r="47" spans="1:6" x14ac:dyDescent="0.35">
      <c r="A47" s="83" t="s">
        <v>56</v>
      </c>
      <c r="B47" s="83">
        <f>SUM(B42:B46)</f>
        <v>64</v>
      </c>
      <c r="C47" s="83">
        <f>SUM(C42:C46)</f>
        <v>100</v>
      </c>
      <c r="D47" s="17">
        <f t="shared" si="4"/>
        <v>1.5625</v>
      </c>
    </row>
    <row r="49" spans="1:6" x14ac:dyDescent="0.35">
      <c r="A49" s="26" t="s">
        <v>160</v>
      </c>
    </row>
    <row r="50" spans="1:6" ht="15" thickBot="1" x14ac:dyDescent="0.4">
      <c r="B50" s="85" t="s">
        <v>63</v>
      </c>
      <c r="C50" s="120" t="s">
        <v>127</v>
      </c>
      <c r="E50" s="69" t="s">
        <v>63</v>
      </c>
      <c r="F50" s="120" t="s">
        <v>127</v>
      </c>
    </row>
    <row r="51" spans="1:6" ht="16" thickBot="1" x14ac:dyDescent="0.4">
      <c r="A51" s="122" t="s">
        <v>128</v>
      </c>
      <c r="B51" s="114" t="s">
        <v>117</v>
      </c>
      <c r="C51" s="120"/>
      <c r="D51" s="123">
        <v>2027</v>
      </c>
      <c r="E51" s="106" t="s">
        <v>117</v>
      </c>
      <c r="F51" s="120"/>
    </row>
    <row r="52" spans="1:6" ht="15" customHeight="1" x14ac:dyDescent="0.35">
      <c r="A52" s="180" t="s">
        <v>118</v>
      </c>
      <c r="B52" s="181"/>
      <c r="C52" s="120"/>
      <c r="D52" s="181" t="s">
        <v>118</v>
      </c>
      <c r="E52" s="183"/>
      <c r="F52" s="120"/>
    </row>
    <row r="53" spans="1:6" ht="15" thickBot="1" x14ac:dyDescent="0.4">
      <c r="A53" s="182" t="s">
        <v>119</v>
      </c>
      <c r="B53" s="178"/>
      <c r="C53" s="120"/>
      <c r="D53" s="178" t="s">
        <v>119</v>
      </c>
      <c r="E53" s="179"/>
      <c r="F53" s="120"/>
    </row>
    <row r="54" spans="1:6" ht="16" thickBot="1" x14ac:dyDescent="0.4">
      <c r="A54" s="107" t="s">
        <v>120</v>
      </c>
      <c r="B54" s="115">
        <v>159347</v>
      </c>
      <c r="C54" s="121">
        <f t="shared" ref="C54:C61" si="5">B54*262.178/246.055</f>
        <v>169788.37156733251</v>
      </c>
      <c r="D54" s="113" t="s">
        <v>120</v>
      </c>
      <c r="E54" s="108">
        <v>159347</v>
      </c>
      <c r="F54" s="121">
        <f t="shared" ref="F54:F62" si="6">E54*262.178/246.055</f>
        <v>169788.37156733251</v>
      </c>
    </row>
    <row r="55" spans="1:6" ht="16" thickBot="1" x14ac:dyDescent="0.4">
      <c r="A55" s="107" t="s">
        <v>121</v>
      </c>
      <c r="B55" s="115">
        <v>51445</v>
      </c>
      <c r="C55" s="121">
        <f t="shared" si="5"/>
        <v>54815.98508463554</v>
      </c>
      <c r="D55" s="113" t="s">
        <v>121</v>
      </c>
      <c r="E55" s="108">
        <v>51445</v>
      </c>
      <c r="F55" s="121">
        <f t="shared" si="6"/>
        <v>54815.98508463554</v>
      </c>
    </row>
    <row r="56" spans="1:6" ht="16" thickBot="1" x14ac:dyDescent="0.4">
      <c r="A56" s="107" t="s">
        <v>122</v>
      </c>
      <c r="B56" s="115">
        <v>49477</v>
      </c>
      <c r="C56" s="121">
        <f t="shared" si="5"/>
        <v>52719.029916075669</v>
      </c>
      <c r="D56" s="113" t="s">
        <v>122</v>
      </c>
      <c r="E56" s="108">
        <v>49477</v>
      </c>
      <c r="F56" s="121">
        <f t="shared" si="6"/>
        <v>52719.029916075669</v>
      </c>
    </row>
    <row r="57" spans="1:6" ht="15" customHeight="1" thickBot="1" x14ac:dyDescent="0.4">
      <c r="A57" s="180" t="s">
        <v>123</v>
      </c>
      <c r="B57" s="181"/>
      <c r="C57" s="121"/>
      <c r="D57" s="118" t="s">
        <v>125</v>
      </c>
      <c r="E57" s="112">
        <v>13984</v>
      </c>
      <c r="F57" s="121">
        <f t="shared" si="6"/>
        <v>14900.315587978295</v>
      </c>
    </row>
    <row r="58" spans="1:6" ht="16" thickBot="1" x14ac:dyDescent="0.4">
      <c r="A58" s="182" t="s">
        <v>124</v>
      </c>
      <c r="B58" s="178"/>
      <c r="C58" s="121"/>
      <c r="D58" s="181" t="s">
        <v>126</v>
      </c>
      <c r="E58" s="183"/>
      <c r="F58" s="121"/>
    </row>
    <row r="59" spans="1:6" ht="16" thickBot="1" x14ac:dyDescent="0.4">
      <c r="A59" s="107" t="s">
        <v>120</v>
      </c>
      <c r="B59" s="115">
        <v>273165</v>
      </c>
      <c r="C59" s="121">
        <f t="shared" si="5"/>
        <v>291064.40986771253</v>
      </c>
      <c r="D59" s="178" t="s">
        <v>124</v>
      </c>
      <c r="E59" s="179"/>
      <c r="F59" s="121"/>
    </row>
    <row r="60" spans="1:6" ht="16" thickBot="1" x14ac:dyDescent="0.4">
      <c r="A60" s="107" t="s">
        <v>121</v>
      </c>
      <c r="B60" s="115">
        <v>154334</v>
      </c>
      <c r="C60" s="121">
        <f t="shared" si="5"/>
        <v>164446.88972790635</v>
      </c>
      <c r="D60" s="119" t="s">
        <v>120</v>
      </c>
      <c r="E60" s="112">
        <v>273165</v>
      </c>
      <c r="F60" s="121">
        <f t="shared" si="6"/>
        <v>291064.40986771253</v>
      </c>
    </row>
    <row r="61" spans="1:6" ht="16" thickBot="1" x14ac:dyDescent="0.4">
      <c r="A61" s="107" t="s">
        <v>122</v>
      </c>
      <c r="B61" s="115">
        <v>148430</v>
      </c>
      <c r="C61" s="121">
        <f t="shared" si="5"/>
        <v>158156.02422222673</v>
      </c>
      <c r="D61" s="113" t="s">
        <v>121</v>
      </c>
      <c r="E61" s="108">
        <v>154334</v>
      </c>
      <c r="F61" s="121">
        <f t="shared" si="6"/>
        <v>164446.88972790635</v>
      </c>
    </row>
    <row r="62" spans="1:6" ht="16" thickBot="1" x14ac:dyDescent="0.4">
      <c r="A62" s="109"/>
      <c r="B62" s="116"/>
      <c r="C62" s="121"/>
      <c r="D62" s="113" t="s">
        <v>122</v>
      </c>
      <c r="E62" s="108">
        <v>148430</v>
      </c>
      <c r="F62" s="121">
        <f t="shared" si="6"/>
        <v>158156.02422222673</v>
      </c>
    </row>
    <row r="63" spans="1:6" ht="16" thickBot="1" x14ac:dyDescent="0.4">
      <c r="A63" s="110" t="s">
        <v>56</v>
      </c>
      <c r="B63" s="117">
        <f>B54+B55+B56+B59+B60+B61</f>
        <v>836198</v>
      </c>
      <c r="C63" s="121">
        <f>B63*262.178/246.055</f>
        <v>890990.71038588928</v>
      </c>
      <c r="D63" s="113" t="s">
        <v>125</v>
      </c>
      <c r="E63" s="108">
        <v>8740</v>
      </c>
      <c r="F63" s="121">
        <f>E63*262.178/246.055</f>
        <v>9312.6972424864362</v>
      </c>
    </row>
    <row r="64" spans="1:6" ht="16" thickBot="1" x14ac:dyDescent="0.4">
      <c r="D64" s="107"/>
      <c r="E64" s="113"/>
      <c r="F64" s="121"/>
    </row>
    <row r="65" spans="4:6" ht="16" thickBot="1" x14ac:dyDescent="0.4">
      <c r="D65" s="110" t="s">
        <v>56</v>
      </c>
      <c r="E65" s="111">
        <f>SUM(E54:E57,E60:E63)</f>
        <v>858922</v>
      </c>
      <c r="F65" s="121">
        <f t="shared" ref="F65" si="7">E65*262.178/246.055</f>
        <v>915203.72321635403</v>
      </c>
    </row>
  </sheetData>
  <mergeCells count="8">
    <mergeCell ref="D59:E59"/>
    <mergeCell ref="A52:B52"/>
    <mergeCell ref="A53:B53"/>
    <mergeCell ref="A57:B57"/>
    <mergeCell ref="A58:B58"/>
    <mergeCell ref="D52:E52"/>
    <mergeCell ref="D53:E53"/>
    <mergeCell ref="D58:E5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election activeCell="J32" sqref="J32"/>
    </sheetView>
  </sheetViews>
  <sheetFormatPr defaultRowHeight="14.5" x14ac:dyDescent="0.35"/>
  <cols>
    <col min="1" max="1" width="13.1796875" customWidth="1"/>
    <col min="2" max="3" width="21.7265625" customWidth="1"/>
    <col min="4" max="4" width="15" customWidth="1"/>
    <col min="5" max="5" width="9.81640625" customWidth="1"/>
    <col min="6" max="6" width="8.26953125" customWidth="1"/>
    <col min="7" max="7" width="9.54296875" customWidth="1"/>
    <col min="8" max="8" width="8.81640625" customWidth="1"/>
    <col min="9" max="9" width="8" customWidth="1"/>
    <col min="10" max="10" width="8.7265625" customWidth="1"/>
    <col min="11" max="11" width="20" style="69" customWidth="1"/>
    <col min="12" max="12" width="21.1796875" customWidth="1"/>
    <col min="13" max="13" width="20.54296875" customWidth="1"/>
  </cols>
  <sheetData>
    <row r="1" spans="1:23" x14ac:dyDescent="0.35">
      <c r="B1" s="26" t="s">
        <v>92</v>
      </c>
      <c r="C1" s="26"/>
      <c r="D1" s="26"/>
      <c r="E1" s="26"/>
      <c r="F1" s="26"/>
      <c r="G1" s="26"/>
    </row>
    <row r="2" spans="1:23" x14ac:dyDescent="0.35">
      <c r="B2" s="84" t="s">
        <v>93</v>
      </c>
      <c r="C2" s="84"/>
    </row>
    <row r="3" spans="1:23" ht="60" customHeight="1" x14ac:dyDescent="0.35">
      <c r="A3" s="185" t="s">
        <v>94</v>
      </c>
      <c r="B3" s="189" t="s">
        <v>95</v>
      </c>
      <c r="C3" s="189" t="s">
        <v>96</v>
      </c>
      <c r="D3" s="189" t="s">
        <v>97</v>
      </c>
      <c r="E3" s="189" t="s">
        <v>98</v>
      </c>
      <c r="F3" s="189"/>
      <c r="G3" s="189"/>
      <c r="H3" s="189"/>
      <c r="I3" s="189"/>
      <c r="J3" s="189"/>
      <c r="K3" s="190" t="s">
        <v>99</v>
      </c>
      <c r="L3" s="190" t="s">
        <v>100</v>
      </c>
      <c r="M3" s="184" t="s">
        <v>101</v>
      </c>
      <c r="N3" s="85"/>
      <c r="O3" s="86"/>
      <c r="P3" s="85"/>
      <c r="Q3" s="85"/>
      <c r="R3" s="85"/>
      <c r="S3" s="85"/>
      <c r="T3" s="69"/>
      <c r="U3" s="69"/>
      <c r="V3" s="69"/>
      <c r="W3" s="69"/>
    </row>
    <row r="4" spans="1:23" x14ac:dyDescent="0.35">
      <c r="A4" s="185"/>
      <c r="B4" s="189"/>
      <c r="C4" s="189"/>
      <c r="D4" s="189"/>
      <c r="E4" s="185" t="s">
        <v>102</v>
      </c>
      <c r="F4" s="185"/>
      <c r="G4" s="185" t="s">
        <v>103</v>
      </c>
      <c r="H4" s="185"/>
      <c r="I4" s="185" t="s">
        <v>104</v>
      </c>
      <c r="J4" s="185"/>
      <c r="K4" s="190"/>
      <c r="L4" s="190"/>
      <c r="M4" s="184"/>
      <c r="N4" s="85"/>
      <c r="O4" s="85"/>
      <c r="P4" s="85"/>
      <c r="Q4" s="85"/>
      <c r="R4" s="85"/>
      <c r="S4" s="85"/>
      <c r="T4" s="69"/>
      <c r="U4" s="69"/>
      <c r="V4" s="69"/>
      <c r="W4" s="69"/>
    </row>
    <row r="5" spans="1:23" ht="15" customHeight="1" x14ac:dyDescent="0.35">
      <c r="A5" s="87">
        <v>2021</v>
      </c>
      <c r="B5" s="88">
        <v>43.17</v>
      </c>
      <c r="C5" s="89">
        <f>B5*2.1</f>
        <v>90.657000000000011</v>
      </c>
      <c r="D5" s="87">
        <v>1</v>
      </c>
      <c r="E5" s="88">
        <v>0</v>
      </c>
      <c r="F5" s="88">
        <v>0</v>
      </c>
      <c r="G5" s="88">
        <v>2</v>
      </c>
      <c r="H5" s="88">
        <v>2</v>
      </c>
      <c r="I5" s="88">
        <v>5</v>
      </c>
      <c r="J5" s="88">
        <v>10</v>
      </c>
      <c r="K5" s="90">
        <f>C5*D5*(E5+G5+I5)*($D$16/$C$16)</f>
        <v>651.62216558433488</v>
      </c>
      <c r="L5" s="90">
        <f>C5*D5*(F5+H5+J5)*($D$16/$C$16)</f>
        <v>1117.0665695731454</v>
      </c>
      <c r="M5" s="91">
        <f>AVERAGE(K5:L5)</f>
        <v>884.34436757874016</v>
      </c>
      <c r="N5" s="85"/>
      <c r="O5" s="85"/>
      <c r="P5" s="85"/>
      <c r="Q5" s="85"/>
      <c r="R5" s="85"/>
      <c r="S5" s="85"/>
      <c r="T5" s="69"/>
      <c r="U5" s="69"/>
      <c r="V5" s="69"/>
      <c r="W5" s="69"/>
    </row>
    <row r="6" spans="1:23" x14ac:dyDescent="0.35">
      <c r="A6" s="87">
        <v>2022</v>
      </c>
      <c r="B6" s="88">
        <v>43.17</v>
      </c>
      <c r="C6" s="89">
        <f t="shared" ref="C6:C12" si="0">B6*2.1</f>
        <v>90.657000000000011</v>
      </c>
      <c r="D6" s="87">
        <v>1</v>
      </c>
      <c r="E6" s="88">
        <v>8</v>
      </c>
      <c r="F6" s="88">
        <v>8</v>
      </c>
      <c r="G6" s="88">
        <v>3</v>
      </c>
      <c r="H6" s="88">
        <v>3</v>
      </c>
      <c r="I6" s="88">
        <v>5</v>
      </c>
      <c r="J6" s="88">
        <v>10</v>
      </c>
      <c r="K6" s="90">
        <f t="shared" ref="K6:K12" si="1">C6*D6*(E6+G6+I6)*($D$16/$C$16)</f>
        <v>1489.4220927641941</v>
      </c>
      <c r="L6" s="90">
        <f t="shared" ref="L6:L12" si="2">C6*D6*(F6+H6+J6)*($D$16/$C$16)</f>
        <v>1954.8664967530049</v>
      </c>
      <c r="M6" s="91">
        <f t="shared" ref="M6:M12" si="3">AVERAGE(K6:L6)</f>
        <v>1722.1442947585995</v>
      </c>
      <c r="N6" s="85"/>
      <c r="O6" s="85"/>
      <c r="P6" s="85"/>
      <c r="Q6" s="85"/>
      <c r="R6" s="85"/>
      <c r="S6" s="85"/>
      <c r="T6" s="69"/>
      <c r="U6" s="69"/>
      <c r="V6" s="69"/>
      <c r="W6" s="69"/>
    </row>
    <row r="7" spans="1:23" ht="15" customHeight="1" x14ac:dyDescent="0.35">
      <c r="A7" s="87">
        <v>2023</v>
      </c>
      <c r="B7" s="88">
        <v>43.17</v>
      </c>
      <c r="C7" s="89">
        <f t="shared" si="0"/>
        <v>90.657000000000011</v>
      </c>
      <c r="D7" s="87">
        <v>1</v>
      </c>
      <c r="E7" s="88">
        <v>16</v>
      </c>
      <c r="F7" s="88">
        <v>16</v>
      </c>
      <c r="G7" s="88">
        <v>3</v>
      </c>
      <c r="H7" s="88">
        <v>3</v>
      </c>
      <c r="I7" s="88">
        <v>5</v>
      </c>
      <c r="J7" s="88">
        <v>10</v>
      </c>
      <c r="K7" s="90">
        <f t="shared" si="1"/>
        <v>2234.1331391462909</v>
      </c>
      <c r="L7" s="90">
        <f t="shared" si="2"/>
        <v>2699.5775431351017</v>
      </c>
      <c r="M7" s="91">
        <f t="shared" si="3"/>
        <v>2466.8553411406965</v>
      </c>
      <c r="N7" s="85"/>
      <c r="O7" s="85"/>
      <c r="P7" s="85"/>
      <c r="Q7" s="85"/>
      <c r="R7" s="85"/>
      <c r="S7" s="85"/>
      <c r="T7" s="69"/>
      <c r="U7" s="69"/>
      <c r="V7" s="69"/>
      <c r="W7" s="69"/>
    </row>
    <row r="8" spans="1:23" x14ac:dyDescent="0.35">
      <c r="A8" s="87">
        <v>2024</v>
      </c>
      <c r="B8" s="88">
        <v>43.17</v>
      </c>
      <c r="C8" s="89">
        <f t="shared" si="0"/>
        <v>90.657000000000011</v>
      </c>
      <c r="D8" s="87">
        <v>1</v>
      </c>
      <c r="E8" s="88">
        <f>E7+8</f>
        <v>24</v>
      </c>
      <c r="F8" s="88">
        <v>24</v>
      </c>
      <c r="G8" s="88">
        <v>3</v>
      </c>
      <c r="H8" s="88">
        <v>3</v>
      </c>
      <c r="I8" s="88">
        <v>15</v>
      </c>
      <c r="J8" s="88">
        <v>20</v>
      </c>
      <c r="K8" s="90">
        <f t="shared" si="1"/>
        <v>3909.7329935060097</v>
      </c>
      <c r="L8" s="90">
        <f t="shared" si="2"/>
        <v>4375.1773974948201</v>
      </c>
      <c r="M8" s="91">
        <f t="shared" si="3"/>
        <v>4142.4551955004154</v>
      </c>
      <c r="N8" s="85"/>
      <c r="O8" s="85"/>
      <c r="P8" s="85"/>
      <c r="Q8" s="85"/>
      <c r="R8" s="85"/>
      <c r="S8" s="85"/>
      <c r="T8" s="69"/>
      <c r="U8" s="69"/>
      <c r="V8" s="69"/>
      <c r="W8" s="69"/>
    </row>
    <row r="9" spans="1:23" ht="15" customHeight="1" x14ac:dyDescent="0.35">
      <c r="A9" s="87">
        <v>2025</v>
      </c>
      <c r="B9" s="88">
        <v>43.17</v>
      </c>
      <c r="C9" s="89">
        <f t="shared" si="0"/>
        <v>90.657000000000011</v>
      </c>
      <c r="D9" s="87">
        <v>1</v>
      </c>
      <c r="E9" s="88">
        <f t="shared" ref="E9" si="4">E8+8</f>
        <v>32</v>
      </c>
      <c r="F9" s="88">
        <v>32</v>
      </c>
      <c r="G9" s="88">
        <v>3</v>
      </c>
      <c r="H9" s="88">
        <v>3</v>
      </c>
      <c r="I9" s="88">
        <v>15</v>
      </c>
      <c r="J9" s="88">
        <v>20</v>
      </c>
      <c r="K9" s="90">
        <f t="shared" si="1"/>
        <v>4654.4440398881061</v>
      </c>
      <c r="L9" s="90">
        <f t="shared" si="2"/>
        <v>5119.8884438769164</v>
      </c>
      <c r="M9" s="91">
        <f t="shared" si="3"/>
        <v>4887.1662418825108</v>
      </c>
      <c r="N9" s="85"/>
      <c r="O9" s="85"/>
      <c r="P9" s="85"/>
      <c r="Q9" s="85"/>
      <c r="R9" s="85"/>
      <c r="S9" s="85"/>
      <c r="T9" s="69"/>
      <c r="U9" s="69"/>
      <c r="V9" s="69"/>
      <c r="W9" s="69"/>
    </row>
    <row r="10" spans="1:23" x14ac:dyDescent="0.35">
      <c r="A10" s="87">
        <v>2026</v>
      </c>
      <c r="B10" s="88">
        <v>43.17</v>
      </c>
      <c r="C10" s="89">
        <f t="shared" si="0"/>
        <v>90.657000000000011</v>
      </c>
      <c r="D10" s="87">
        <v>1</v>
      </c>
      <c r="E10" s="88">
        <v>32</v>
      </c>
      <c r="F10" s="88">
        <v>32</v>
      </c>
      <c r="G10" s="88">
        <v>3</v>
      </c>
      <c r="H10" s="88">
        <v>3</v>
      </c>
      <c r="I10" s="88">
        <v>15</v>
      </c>
      <c r="J10" s="88">
        <v>20</v>
      </c>
      <c r="K10" s="90">
        <f t="shared" si="1"/>
        <v>4654.4440398881061</v>
      </c>
      <c r="L10" s="90">
        <f t="shared" si="2"/>
        <v>5119.8884438769164</v>
      </c>
      <c r="M10" s="91">
        <f t="shared" si="3"/>
        <v>4887.1662418825108</v>
      </c>
      <c r="N10" s="85"/>
      <c r="O10" s="85"/>
      <c r="P10" s="85"/>
      <c r="Q10" s="85"/>
      <c r="R10" s="85"/>
      <c r="S10" s="85"/>
      <c r="T10" s="69"/>
      <c r="U10" s="69"/>
      <c r="V10" s="69"/>
      <c r="W10" s="69"/>
    </row>
    <row r="11" spans="1:23" ht="15" customHeight="1" x14ac:dyDescent="0.35">
      <c r="A11" s="87">
        <v>2027</v>
      </c>
      <c r="B11" s="88">
        <v>43.17</v>
      </c>
      <c r="C11" s="89">
        <f t="shared" si="0"/>
        <v>90.657000000000011</v>
      </c>
      <c r="D11" s="87">
        <v>1</v>
      </c>
      <c r="E11" s="88">
        <v>32</v>
      </c>
      <c r="F11" s="88">
        <v>32</v>
      </c>
      <c r="G11" s="88">
        <v>3</v>
      </c>
      <c r="H11" s="88">
        <v>3</v>
      </c>
      <c r="I11" s="88">
        <v>25</v>
      </c>
      <c r="J11" s="88">
        <v>30</v>
      </c>
      <c r="K11" s="90">
        <f t="shared" si="1"/>
        <v>5585.3328478657286</v>
      </c>
      <c r="L11" s="90">
        <f t="shared" si="2"/>
        <v>6050.7772518545389</v>
      </c>
      <c r="M11" s="91">
        <f t="shared" si="3"/>
        <v>5818.0550498601333</v>
      </c>
      <c r="N11" s="85"/>
      <c r="O11" s="85"/>
      <c r="P11" s="85"/>
      <c r="Q11" s="85"/>
      <c r="R11" s="85"/>
      <c r="S11" s="85"/>
      <c r="T11" s="69"/>
      <c r="U11" s="69"/>
      <c r="V11" s="69"/>
      <c r="W11" s="69"/>
    </row>
    <row r="12" spans="1:23" x14ac:dyDescent="0.35">
      <c r="A12" s="87">
        <v>2028</v>
      </c>
      <c r="B12" s="88">
        <v>43.17</v>
      </c>
      <c r="C12" s="89">
        <f t="shared" si="0"/>
        <v>90.657000000000011</v>
      </c>
      <c r="D12" s="87">
        <v>1</v>
      </c>
      <c r="E12" s="88">
        <v>32</v>
      </c>
      <c r="F12" s="88">
        <v>32</v>
      </c>
      <c r="G12" s="88">
        <v>3</v>
      </c>
      <c r="H12" s="88">
        <v>3</v>
      </c>
      <c r="I12" s="88">
        <v>25</v>
      </c>
      <c r="J12" s="88">
        <v>30</v>
      </c>
      <c r="K12" s="90">
        <f t="shared" si="1"/>
        <v>5585.3328478657286</v>
      </c>
      <c r="L12" s="90">
        <f t="shared" si="2"/>
        <v>6050.7772518545389</v>
      </c>
      <c r="M12" s="91">
        <f t="shared" si="3"/>
        <v>5818.0550498601333</v>
      </c>
      <c r="N12" s="85"/>
      <c r="O12" s="85"/>
      <c r="P12" s="85"/>
      <c r="Q12" s="85"/>
      <c r="R12" s="85"/>
      <c r="S12" s="85"/>
      <c r="T12" s="69"/>
      <c r="U12" s="69"/>
      <c r="V12" s="69"/>
      <c r="W12" s="69"/>
    </row>
    <row r="13" spans="1:23" x14ac:dyDescent="0.35">
      <c r="A13" s="186" t="s">
        <v>105</v>
      </c>
      <c r="B13" s="187"/>
      <c r="C13" s="187"/>
      <c r="D13" s="187"/>
      <c r="E13" s="187"/>
      <c r="F13" s="187"/>
      <c r="G13" s="187"/>
      <c r="H13" s="187"/>
      <c r="I13" s="187"/>
      <c r="J13" s="187"/>
      <c r="K13" s="187"/>
      <c r="L13" s="188"/>
      <c r="M13" s="92">
        <f>SUM(M5:M12)</f>
        <v>30626.241782463738</v>
      </c>
      <c r="N13" s="85"/>
      <c r="O13" s="85"/>
      <c r="P13" s="85"/>
      <c r="Q13" s="85"/>
      <c r="R13" s="85"/>
      <c r="S13" s="85"/>
      <c r="T13" s="69"/>
      <c r="U13" s="69"/>
      <c r="V13" s="69"/>
      <c r="W13" s="69"/>
    </row>
    <row r="14" spans="1:23" x14ac:dyDescent="0.35">
      <c r="B14" s="85"/>
      <c r="C14" s="85"/>
      <c r="D14" s="85"/>
      <c r="E14" s="85"/>
      <c r="F14" s="85"/>
      <c r="G14" s="85"/>
      <c r="H14" s="85"/>
      <c r="I14" s="85"/>
      <c r="J14" s="85"/>
      <c r="K14" s="85"/>
      <c r="L14" s="85"/>
      <c r="M14" s="85"/>
      <c r="N14" s="85"/>
      <c r="O14" s="85"/>
      <c r="P14" s="85"/>
      <c r="Q14" s="85"/>
      <c r="R14" s="85"/>
      <c r="S14" s="85"/>
      <c r="T14" s="69"/>
      <c r="U14" s="69"/>
      <c r="V14" s="69"/>
      <c r="W14" s="69"/>
    </row>
    <row r="15" spans="1:23" x14ac:dyDescent="0.35">
      <c r="B15" s="151" t="s">
        <v>106</v>
      </c>
      <c r="C15" s="152">
        <v>2016</v>
      </c>
      <c r="D15" s="152">
        <v>2017</v>
      </c>
      <c r="E15" s="85"/>
      <c r="F15" s="85"/>
      <c r="G15" s="85"/>
      <c r="H15" s="85"/>
      <c r="I15" s="85"/>
      <c r="J15" s="85"/>
      <c r="K15" s="85"/>
      <c r="L15" s="85"/>
      <c r="M15" s="85"/>
      <c r="N15" s="85"/>
      <c r="O15" s="85"/>
      <c r="P15" s="85"/>
      <c r="Q15" s="85"/>
      <c r="R15" s="85"/>
      <c r="S15" s="85"/>
      <c r="T15" s="69"/>
      <c r="U15" s="69"/>
      <c r="V15" s="69"/>
      <c r="W15" s="69"/>
    </row>
    <row r="16" spans="1:23" x14ac:dyDescent="0.35">
      <c r="B16" s="151"/>
      <c r="C16" s="153">
        <v>255.32925</v>
      </c>
      <c r="D16" s="153">
        <v>262.17847620627202</v>
      </c>
      <c r="E16" s="85"/>
      <c r="F16" s="85"/>
      <c r="G16" s="85"/>
      <c r="H16" s="85"/>
      <c r="I16" s="85"/>
      <c r="J16" s="85"/>
      <c r="K16" s="85"/>
      <c r="L16" s="85"/>
      <c r="M16" s="85"/>
      <c r="N16" s="85"/>
      <c r="O16" s="85"/>
      <c r="P16" s="85"/>
      <c r="Q16" s="85"/>
      <c r="R16" s="85"/>
      <c r="S16" s="85"/>
      <c r="T16" s="69"/>
      <c r="U16" s="69"/>
      <c r="V16" s="69"/>
      <c r="W16" s="69"/>
    </row>
    <row r="17" spans="2:23" x14ac:dyDescent="0.35">
      <c r="B17" s="85"/>
      <c r="C17" s="85"/>
      <c r="D17" s="85"/>
      <c r="E17" s="85"/>
      <c r="F17" s="85"/>
      <c r="G17" s="85"/>
      <c r="H17" s="85"/>
      <c r="I17" s="85"/>
      <c r="J17" s="85"/>
      <c r="K17" s="85"/>
      <c r="L17" s="85"/>
      <c r="M17" s="85"/>
      <c r="N17" s="85"/>
      <c r="O17" s="85"/>
      <c r="P17" s="85"/>
      <c r="Q17" s="85"/>
      <c r="R17" s="85"/>
      <c r="S17" s="85"/>
      <c r="T17" s="69"/>
      <c r="U17" s="69"/>
      <c r="V17" s="69"/>
      <c r="W17" s="69"/>
    </row>
    <row r="18" spans="2:23" x14ac:dyDescent="0.35">
      <c r="B18" s="85"/>
      <c r="C18" s="85"/>
      <c r="D18" s="85"/>
      <c r="E18" s="85"/>
      <c r="F18" s="85"/>
      <c r="G18" s="85"/>
      <c r="H18" s="85"/>
      <c r="I18" s="85"/>
      <c r="J18" s="85"/>
      <c r="K18" s="85"/>
      <c r="L18" s="85"/>
      <c r="M18" s="85"/>
      <c r="N18" s="85"/>
      <c r="O18" s="85"/>
      <c r="P18" s="85"/>
      <c r="Q18" s="85"/>
      <c r="R18" s="85"/>
      <c r="S18" s="85"/>
      <c r="T18" s="69"/>
      <c r="U18" s="69"/>
      <c r="V18" s="69"/>
      <c r="W18" s="69"/>
    </row>
    <row r="19" spans="2:23" x14ac:dyDescent="0.35">
      <c r="B19" s="69"/>
      <c r="C19" s="69"/>
      <c r="D19" s="69"/>
      <c r="E19" s="69"/>
      <c r="F19" s="69"/>
      <c r="G19" s="69"/>
      <c r="H19" s="69"/>
      <c r="I19" s="69"/>
      <c r="J19" s="69"/>
      <c r="L19" s="69"/>
      <c r="M19" s="69"/>
      <c r="N19" s="69"/>
      <c r="O19" s="69"/>
      <c r="P19" s="69"/>
      <c r="Q19" s="69"/>
      <c r="R19" s="69"/>
      <c r="S19" s="69"/>
      <c r="T19" s="69"/>
      <c r="U19" s="69"/>
      <c r="V19" s="69"/>
      <c r="W19" s="69"/>
    </row>
    <row r="20" spans="2:23" x14ac:dyDescent="0.35">
      <c r="B20" s="69"/>
      <c r="C20" s="69"/>
      <c r="D20" s="69"/>
      <c r="E20" s="69"/>
      <c r="F20" s="69"/>
      <c r="G20" s="69"/>
      <c r="H20" s="69"/>
      <c r="I20" s="69"/>
      <c r="J20" s="69"/>
      <c r="L20" s="69"/>
      <c r="M20" s="69"/>
      <c r="N20" s="69"/>
      <c r="O20" s="69"/>
      <c r="P20" s="69"/>
      <c r="Q20" s="69"/>
      <c r="R20" s="69"/>
      <c r="S20" s="69"/>
      <c r="T20" s="69"/>
      <c r="U20" s="69"/>
      <c r="V20" s="69"/>
      <c r="W20" s="69"/>
    </row>
    <row r="21" spans="2:23" x14ac:dyDescent="0.35">
      <c r="B21" s="69"/>
      <c r="C21" s="69"/>
      <c r="D21" s="69"/>
      <c r="E21" s="69"/>
      <c r="F21" s="69"/>
      <c r="G21" s="69"/>
      <c r="H21" s="69"/>
      <c r="I21" s="69"/>
      <c r="J21" s="69"/>
      <c r="L21" s="69"/>
      <c r="M21" s="69"/>
      <c r="N21" s="69"/>
      <c r="O21" s="69"/>
      <c r="P21" s="69"/>
      <c r="Q21" s="69"/>
      <c r="R21" s="69"/>
      <c r="S21" s="69"/>
      <c r="T21" s="69"/>
      <c r="U21" s="69"/>
      <c r="V21" s="69"/>
      <c r="W21" s="69"/>
    </row>
    <row r="22" spans="2:23" x14ac:dyDescent="0.35">
      <c r="B22" s="69"/>
      <c r="C22" s="69"/>
      <c r="D22" s="69"/>
      <c r="E22" s="69"/>
      <c r="F22" s="69"/>
      <c r="G22" s="69"/>
      <c r="H22" s="69"/>
      <c r="I22" s="69"/>
      <c r="J22" s="69"/>
      <c r="L22" s="69"/>
      <c r="M22" s="69"/>
      <c r="N22" s="69"/>
      <c r="O22" s="69"/>
      <c r="P22" s="69"/>
      <c r="Q22" s="69"/>
      <c r="R22" s="69"/>
      <c r="S22" s="69"/>
      <c r="T22" s="69"/>
      <c r="U22" s="69"/>
      <c r="V22" s="69"/>
      <c r="W22" s="69"/>
    </row>
    <row r="23" spans="2:23" x14ac:dyDescent="0.35">
      <c r="B23" s="69"/>
      <c r="C23" s="69"/>
      <c r="D23" s="69"/>
      <c r="E23" s="69"/>
      <c r="F23" s="69"/>
      <c r="G23" s="69"/>
      <c r="H23" s="69"/>
      <c r="I23" s="69"/>
      <c r="J23" s="69"/>
      <c r="L23" s="69"/>
      <c r="M23" s="69"/>
      <c r="N23" s="69"/>
      <c r="O23" s="69"/>
      <c r="P23" s="69"/>
      <c r="Q23" s="69"/>
      <c r="R23" s="69"/>
      <c r="S23" s="69"/>
      <c r="T23" s="69"/>
      <c r="U23" s="69"/>
      <c r="V23" s="69"/>
      <c r="W23" s="69"/>
    </row>
    <row r="24" spans="2:23" x14ac:dyDescent="0.35">
      <c r="B24" s="69"/>
      <c r="C24" s="69"/>
      <c r="D24" s="69"/>
      <c r="E24" s="69"/>
      <c r="F24" s="69"/>
      <c r="G24" s="69"/>
      <c r="H24" s="69"/>
      <c r="I24" s="69"/>
      <c r="J24" s="69"/>
      <c r="L24" s="69"/>
      <c r="M24" s="69"/>
      <c r="N24" s="69"/>
      <c r="O24" s="69"/>
      <c r="P24" s="69"/>
      <c r="Q24" s="69"/>
      <c r="R24" s="69"/>
      <c r="S24" s="69"/>
      <c r="T24" s="69"/>
      <c r="U24" s="69"/>
      <c r="V24" s="69"/>
      <c r="W24" s="69"/>
    </row>
    <row r="25" spans="2:23" x14ac:dyDescent="0.35">
      <c r="B25" s="69"/>
      <c r="C25" s="69"/>
      <c r="D25" s="69"/>
      <c r="E25" s="69"/>
      <c r="F25" s="69"/>
      <c r="G25" s="69"/>
      <c r="H25" s="69"/>
      <c r="I25" s="69"/>
      <c r="J25" s="69"/>
      <c r="L25" s="69"/>
      <c r="M25" s="69"/>
      <c r="N25" s="69"/>
      <c r="O25" s="69"/>
      <c r="P25" s="69"/>
      <c r="Q25" s="69"/>
      <c r="R25" s="69"/>
      <c r="S25" s="69"/>
      <c r="T25" s="69"/>
      <c r="U25" s="69"/>
      <c r="V25" s="69"/>
      <c r="W25" s="69"/>
    </row>
    <row r="26" spans="2:23" x14ac:dyDescent="0.35">
      <c r="B26" s="69"/>
      <c r="C26" s="69"/>
      <c r="D26" s="69"/>
      <c r="E26" s="69"/>
      <c r="F26" s="69"/>
      <c r="G26" s="69"/>
      <c r="H26" s="69"/>
      <c r="I26" s="69"/>
      <c r="J26" s="69"/>
      <c r="L26" s="69"/>
      <c r="M26" s="69"/>
      <c r="N26" s="69"/>
      <c r="O26" s="69"/>
      <c r="P26" s="69"/>
      <c r="Q26" s="69"/>
      <c r="R26" s="69"/>
      <c r="S26" s="69"/>
      <c r="T26" s="69"/>
      <c r="U26" s="69"/>
      <c r="V26" s="69"/>
      <c r="W26" s="69"/>
    </row>
    <row r="27" spans="2:23" x14ac:dyDescent="0.35">
      <c r="B27" s="69"/>
      <c r="C27" s="69"/>
      <c r="D27" s="69"/>
      <c r="E27" s="69"/>
      <c r="F27" s="69"/>
      <c r="G27" s="69"/>
      <c r="H27" s="69"/>
      <c r="I27" s="69"/>
      <c r="J27" s="69"/>
      <c r="L27" s="69"/>
      <c r="M27" s="69"/>
      <c r="N27" s="69"/>
      <c r="O27" s="69"/>
      <c r="P27" s="69"/>
      <c r="Q27" s="69"/>
      <c r="R27" s="69"/>
      <c r="S27" s="69"/>
      <c r="T27" s="69"/>
      <c r="U27" s="69"/>
      <c r="V27" s="69"/>
      <c r="W27" s="69"/>
    </row>
    <row r="28" spans="2:23" x14ac:dyDescent="0.35">
      <c r="B28" s="69"/>
      <c r="C28" s="69"/>
      <c r="D28" s="69"/>
      <c r="E28" s="69"/>
      <c r="F28" s="69"/>
      <c r="G28" s="69"/>
      <c r="H28" s="69"/>
      <c r="I28" s="69"/>
      <c r="J28" s="69"/>
      <c r="L28" s="69"/>
      <c r="M28" s="69"/>
      <c r="N28" s="69"/>
      <c r="O28" s="69"/>
      <c r="P28" s="69"/>
      <c r="Q28" s="69"/>
      <c r="R28" s="69"/>
      <c r="S28" s="69"/>
      <c r="T28" s="69"/>
      <c r="U28" s="69"/>
      <c r="V28" s="69"/>
      <c r="W28" s="69"/>
    </row>
    <row r="29" spans="2:23" x14ac:dyDescent="0.35">
      <c r="B29" s="69"/>
      <c r="C29" s="69"/>
      <c r="D29" s="69"/>
      <c r="E29" s="69"/>
      <c r="F29" s="69"/>
      <c r="G29" s="69"/>
      <c r="H29" s="69"/>
      <c r="I29" s="69"/>
      <c r="J29" s="69"/>
      <c r="L29" s="69"/>
      <c r="M29" s="69"/>
      <c r="N29" s="69"/>
      <c r="O29" s="69"/>
      <c r="P29" s="69"/>
      <c r="Q29" s="69"/>
      <c r="R29" s="69"/>
      <c r="S29" s="69"/>
      <c r="T29" s="69"/>
      <c r="U29" s="69"/>
      <c r="V29" s="69"/>
      <c r="W29" s="69"/>
    </row>
    <row r="30" spans="2:23" x14ac:dyDescent="0.35">
      <c r="B30" s="69"/>
      <c r="C30" s="69"/>
      <c r="D30" s="69"/>
      <c r="E30" s="69"/>
      <c r="F30" s="69"/>
      <c r="G30" s="69"/>
      <c r="H30" s="69"/>
      <c r="I30" s="69"/>
      <c r="J30" s="69"/>
      <c r="L30" s="69"/>
      <c r="M30" s="69"/>
      <c r="N30" s="69"/>
      <c r="O30" s="69"/>
      <c r="P30" s="69"/>
      <c r="Q30" s="69"/>
      <c r="R30" s="69"/>
      <c r="S30" s="69"/>
      <c r="T30" s="69"/>
      <c r="U30" s="69"/>
      <c r="V30" s="69"/>
      <c r="W30" s="69"/>
    </row>
    <row r="31" spans="2:23" x14ac:dyDescent="0.35">
      <c r="B31" s="69"/>
      <c r="C31" s="69"/>
      <c r="D31" s="69"/>
      <c r="E31" s="69"/>
      <c r="F31" s="69"/>
      <c r="G31" s="69"/>
      <c r="H31" s="69"/>
      <c r="I31" s="69"/>
      <c r="J31" s="69"/>
      <c r="L31" s="69"/>
      <c r="M31" s="69"/>
      <c r="N31" s="69"/>
      <c r="O31" s="69"/>
      <c r="P31" s="69"/>
      <c r="Q31" s="69"/>
      <c r="R31" s="69"/>
      <c r="S31" s="69"/>
      <c r="T31" s="69"/>
      <c r="U31" s="69"/>
      <c r="V31" s="69"/>
      <c r="W31" s="69"/>
    </row>
    <row r="32" spans="2:23" x14ac:dyDescent="0.35">
      <c r="B32" s="69"/>
      <c r="C32" s="69"/>
      <c r="D32" s="69"/>
      <c r="E32" s="69"/>
      <c r="F32" s="69"/>
      <c r="G32" s="69"/>
      <c r="H32" s="69"/>
      <c r="I32" s="69"/>
      <c r="J32" s="69"/>
      <c r="L32" s="69"/>
      <c r="M32" s="69"/>
      <c r="N32" s="69"/>
      <c r="O32" s="69"/>
      <c r="P32" s="69"/>
      <c r="Q32" s="69"/>
      <c r="R32" s="69"/>
      <c r="S32" s="69"/>
      <c r="T32" s="69"/>
      <c r="U32" s="69"/>
      <c r="V32" s="69"/>
      <c r="W32" s="69"/>
    </row>
    <row r="33" spans="2:23" x14ac:dyDescent="0.35">
      <c r="B33" s="69"/>
      <c r="C33" s="69"/>
      <c r="D33" s="69"/>
      <c r="E33" s="69"/>
      <c r="F33" s="69"/>
      <c r="G33" s="69"/>
      <c r="H33" s="69"/>
      <c r="I33" s="69"/>
      <c r="J33" s="69"/>
      <c r="L33" s="69"/>
      <c r="M33" s="69"/>
      <c r="N33" s="69"/>
      <c r="O33" s="69"/>
      <c r="P33" s="69"/>
      <c r="Q33" s="69"/>
      <c r="R33" s="69"/>
      <c r="S33" s="69"/>
      <c r="T33" s="69"/>
      <c r="U33" s="69"/>
      <c r="V33" s="69"/>
      <c r="W33" s="69"/>
    </row>
    <row r="34" spans="2:23" x14ac:dyDescent="0.35">
      <c r="B34" s="69"/>
      <c r="C34" s="69"/>
      <c r="D34" s="69"/>
      <c r="E34" s="69"/>
      <c r="F34" s="69"/>
      <c r="G34" s="69"/>
      <c r="H34" s="69"/>
      <c r="I34" s="69"/>
      <c r="J34" s="69"/>
      <c r="L34" s="69"/>
      <c r="M34" s="69"/>
      <c r="N34" s="69"/>
      <c r="O34" s="69"/>
      <c r="P34" s="69"/>
      <c r="Q34" s="69"/>
      <c r="R34" s="69"/>
      <c r="S34" s="69"/>
      <c r="T34" s="69"/>
      <c r="U34" s="69"/>
      <c r="V34" s="69"/>
      <c r="W34" s="69"/>
    </row>
  </sheetData>
  <mergeCells count="12">
    <mergeCell ref="M3:M4"/>
    <mergeCell ref="E4:F4"/>
    <mergeCell ref="G4:H4"/>
    <mergeCell ref="I4:J4"/>
    <mergeCell ref="A13:L13"/>
    <mergeCell ref="A3:A4"/>
    <mergeCell ref="B3:B4"/>
    <mergeCell ref="C3:C4"/>
    <mergeCell ref="D3:D4"/>
    <mergeCell ref="E3:J3"/>
    <mergeCell ref="K3:K4"/>
    <mergeCell ref="L3:L4"/>
  </mergeCells>
  <hyperlinks>
    <hyperlink ref="B2"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0" workbookViewId="0">
      <selection activeCell="J34" sqref="J34"/>
    </sheetView>
  </sheetViews>
  <sheetFormatPr defaultColWidth="9.1796875" defaultRowHeight="14.5" x14ac:dyDescent="0.35"/>
  <cols>
    <col min="1" max="1" width="71.1796875" style="154" customWidth="1"/>
    <col min="2" max="2" width="14.26953125" style="154" bestFit="1" customWidth="1"/>
    <col min="3" max="3" width="15.81640625" style="154" customWidth="1"/>
    <col min="4" max="5" width="14.26953125" style="154" bestFit="1" customWidth="1"/>
    <col min="6" max="9" width="13.453125" style="154" bestFit="1" customWidth="1"/>
    <col min="10" max="12" width="14" style="154" customWidth="1"/>
    <col min="13" max="13" width="15.1796875" style="154" customWidth="1"/>
    <col min="14" max="16384" width="9.1796875" style="154"/>
  </cols>
  <sheetData>
    <row r="1" spans="1:4" x14ac:dyDescent="0.35">
      <c r="A1" s="154" t="s">
        <v>162</v>
      </c>
    </row>
    <row r="3" spans="1:4" x14ac:dyDescent="0.35">
      <c r="A3" s="155" t="s">
        <v>163</v>
      </c>
    </row>
    <row r="4" spans="1:4" x14ac:dyDescent="0.35">
      <c r="A4" s="154" t="s">
        <v>164</v>
      </c>
      <c r="C4" s="154">
        <v>27</v>
      </c>
    </row>
    <row r="5" spans="1:4" x14ac:dyDescent="0.35">
      <c r="A5" s="154" t="s">
        <v>165</v>
      </c>
      <c r="C5" s="154">
        <v>19</v>
      </c>
      <c r="D5" s="154" t="s">
        <v>166</v>
      </c>
    </row>
    <row r="6" spans="1:4" x14ac:dyDescent="0.35">
      <c r="A6" s="154" t="s">
        <v>167</v>
      </c>
      <c r="C6" s="154">
        <v>13</v>
      </c>
      <c r="D6" s="154" t="s">
        <v>168</v>
      </c>
    </row>
    <row r="7" spans="1:4" x14ac:dyDescent="0.35">
      <c r="A7" s="154" t="s">
        <v>169</v>
      </c>
      <c r="C7" s="154">
        <v>19</v>
      </c>
      <c r="D7" s="154" t="s">
        <v>170</v>
      </c>
    </row>
    <row r="8" spans="1:4" x14ac:dyDescent="0.35">
      <c r="A8" s="154" t="s">
        <v>171</v>
      </c>
      <c r="B8" s="154" t="s">
        <v>172</v>
      </c>
      <c r="C8" s="154">
        <v>2</v>
      </c>
      <c r="D8" s="154" t="s">
        <v>173</v>
      </c>
    </row>
    <row r="9" spans="1:4" x14ac:dyDescent="0.35">
      <c r="A9" s="154" t="s">
        <v>174</v>
      </c>
      <c r="B9" s="154" t="s">
        <v>172</v>
      </c>
      <c r="C9" s="154">
        <v>1</v>
      </c>
      <c r="D9" s="154" t="s">
        <v>175</v>
      </c>
    </row>
    <row r="10" spans="1:4" x14ac:dyDescent="0.35">
      <c r="A10" s="154" t="s">
        <v>176</v>
      </c>
      <c r="B10" s="154" t="s">
        <v>172</v>
      </c>
      <c r="C10" s="154">
        <f>C$6*C8</f>
        <v>26</v>
      </c>
    </row>
    <row r="11" spans="1:4" x14ac:dyDescent="0.35">
      <c r="A11" s="154" t="s">
        <v>177</v>
      </c>
      <c r="B11" s="154" t="s">
        <v>172</v>
      </c>
      <c r="C11" s="154">
        <f>C$6*C9</f>
        <v>13</v>
      </c>
    </row>
    <row r="12" spans="1:4" x14ac:dyDescent="0.35">
      <c r="A12" s="154" t="s">
        <v>178</v>
      </c>
      <c r="B12" s="154" t="s">
        <v>179</v>
      </c>
      <c r="C12" s="154">
        <v>5</v>
      </c>
      <c r="D12" s="154" t="s">
        <v>180</v>
      </c>
    </row>
    <row r="13" spans="1:4" x14ac:dyDescent="0.35">
      <c r="A13" s="154" t="s">
        <v>181</v>
      </c>
      <c r="B13" s="154" t="s">
        <v>172</v>
      </c>
      <c r="C13" s="154">
        <f>ROUND((C$6+C$7)*C$12/60,0)</f>
        <v>3</v>
      </c>
    </row>
    <row r="14" spans="1:4" x14ac:dyDescent="0.35">
      <c r="A14" s="154" t="s">
        <v>182</v>
      </c>
      <c r="B14" s="154" t="s">
        <v>183</v>
      </c>
      <c r="C14" s="154">
        <v>43.17</v>
      </c>
      <c r="D14" s="154" t="s">
        <v>184</v>
      </c>
    </row>
    <row r="15" spans="1:4" x14ac:dyDescent="0.35">
      <c r="A15" s="154" t="s">
        <v>185</v>
      </c>
      <c r="C15" s="154">
        <v>2.1</v>
      </c>
      <c r="D15" s="154" t="s">
        <v>186</v>
      </c>
    </row>
    <row r="16" spans="1:4" x14ac:dyDescent="0.35">
      <c r="A16" s="154" t="s">
        <v>187</v>
      </c>
      <c r="C16" s="154">
        <v>1.0270300000000001</v>
      </c>
    </row>
    <row r="17" spans="1:13" x14ac:dyDescent="0.35">
      <c r="A17" s="154" t="s">
        <v>188</v>
      </c>
      <c r="B17" s="154" t="s">
        <v>189</v>
      </c>
      <c r="C17" s="156">
        <f>ROUND(C14*C15*C16,2)</f>
        <v>93.11</v>
      </c>
    </row>
    <row r="19" spans="1:13" x14ac:dyDescent="0.35">
      <c r="A19" s="154" t="s">
        <v>190</v>
      </c>
      <c r="B19" s="157"/>
      <c r="C19" s="154">
        <f>1/C4</f>
        <v>3.7037037037037035E-2</v>
      </c>
      <c r="D19" s="154" t="s">
        <v>191</v>
      </c>
    </row>
    <row r="20" spans="1:13" x14ac:dyDescent="0.35">
      <c r="A20" s="154" t="s">
        <v>192</v>
      </c>
      <c r="B20" s="154" t="s">
        <v>193</v>
      </c>
      <c r="C20" s="158">
        <f>1.155*2400000</f>
        <v>2772000</v>
      </c>
      <c r="D20" s="154" t="s">
        <v>194</v>
      </c>
    </row>
    <row r="21" spans="1:13" x14ac:dyDescent="0.35">
      <c r="A21" s="154" t="s">
        <v>195</v>
      </c>
      <c r="B21" s="154" t="s">
        <v>196</v>
      </c>
      <c r="C21" s="159">
        <v>1357.0740740740741</v>
      </c>
      <c r="D21" s="154" t="s">
        <v>197</v>
      </c>
    </row>
    <row r="22" spans="1:13" x14ac:dyDescent="0.35">
      <c r="A22" s="154" t="s">
        <v>198</v>
      </c>
      <c r="B22" s="154" t="s">
        <v>199</v>
      </c>
      <c r="C22" s="154">
        <f>(6+8)/2</f>
        <v>7</v>
      </c>
      <c r="D22" s="154" t="s">
        <v>200</v>
      </c>
    </row>
    <row r="23" spans="1:13" x14ac:dyDescent="0.35">
      <c r="A23" s="154" t="s">
        <v>201</v>
      </c>
      <c r="B23" s="154" t="s">
        <v>199</v>
      </c>
      <c r="C23" s="154">
        <f>(75+80)/2</f>
        <v>77.5</v>
      </c>
      <c r="D23" s="154" t="s">
        <v>200</v>
      </c>
    </row>
    <row r="24" spans="1:13" x14ac:dyDescent="0.35">
      <c r="A24" s="154" t="s">
        <v>202</v>
      </c>
      <c r="B24" s="154" t="s">
        <v>193</v>
      </c>
      <c r="C24" s="159">
        <f>15*1.17</f>
        <v>17.549999999999997</v>
      </c>
      <c r="D24" s="154" t="s">
        <v>203</v>
      </c>
    </row>
    <row r="25" spans="1:13" x14ac:dyDescent="0.35">
      <c r="A25" s="154" t="s">
        <v>204</v>
      </c>
      <c r="C25" s="154">
        <v>0.2</v>
      </c>
      <c r="D25" s="154" t="s">
        <v>203</v>
      </c>
    </row>
    <row r="26" spans="1:13" x14ac:dyDescent="0.35">
      <c r="A26" s="154" t="s">
        <v>205</v>
      </c>
      <c r="B26" s="154" t="s">
        <v>193</v>
      </c>
      <c r="C26" s="159">
        <f>(1+C25)*(C21/1000*(C23-C22)+C24)</f>
        <v>135.86846666666665</v>
      </c>
    </row>
    <row r="27" spans="1:13" x14ac:dyDescent="0.35">
      <c r="A27" s="154" t="s">
        <v>206</v>
      </c>
    </row>
    <row r="28" spans="1:13" x14ac:dyDescent="0.35">
      <c r="A28" s="154" t="s">
        <v>207</v>
      </c>
    </row>
    <row r="30" spans="1:13" x14ac:dyDescent="0.35">
      <c r="A30" s="155" t="s">
        <v>208</v>
      </c>
    </row>
    <row r="31" spans="1:13" x14ac:dyDescent="0.35">
      <c r="A31" s="160" t="s">
        <v>108</v>
      </c>
      <c r="B31" s="161">
        <v>2018</v>
      </c>
      <c r="C31" s="161">
        <v>2019</v>
      </c>
      <c r="D31" s="161">
        <v>2020</v>
      </c>
      <c r="E31" s="160">
        <v>2021</v>
      </c>
      <c r="F31" s="160">
        <v>2022</v>
      </c>
      <c r="G31" s="160">
        <v>2023</v>
      </c>
      <c r="H31" s="160">
        <v>2024</v>
      </c>
      <c r="I31" s="160">
        <v>2025</v>
      </c>
      <c r="J31" s="160">
        <v>2026</v>
      </c>
      <c r="K31" s="160">
        <v>2027</v>
      </c>
      <c r="L31" s="160">
        <v>2028</v>
      </c>
      <c r="M31" s="146" t="s">
        <v>209</v>
      </c>
    </row>
    <row r="32" spans="1:13" x14ac:dyDescent="0.35">
      <c r="A32" s="161" t="s">
        <v>210</v>
      </c>
      <c r="B32" s="161"/>
      <c r="C32" s="161"/>
      <c r="D32" s="161"/>
      <c r="E32" s="162">
        <f>$C$4*($C$10+$C$13)*$C$17</f>
        <v>72905.13</v>
      </c>
      <c r="F32" s="162">
        <f>$C$4*($C$11+$C$13)*$C$17</f>
        <v>40223.519999999997</v>
      </c>
      <c r="G32" s="162">
        <f t="shared" ref="G32:L32" si="0">$C$4*($C$11+$C$13)*$C$17</f>
        <v>40223.519999999997</v>
      </c>
      <c r="H32" s="162">
        <f t="shared" si="0"/>
        <v>40223.519999999997</v>
      </c>
      <c r="I32" s="162">
        <f t="shared" si="0"/>
        <v>40223.519999999997</v>
      </c>
      <c r="J32" s="162">
        <f t="shared" si="0"/>
        <v>40223.519999999997</v>
      </c>
      <c r="K32" s="162">
        <f t="shared" si="0"/>
        <v>40223.519999999997</v>
      </c>
      <c r="L32" s="162">
        <f t="shared" si="0"/>
        <v>40223.519999999997</v>
      </c>
      <c r="M32" s="163"/>
    </row>
    <row r="33" spans="1:13" x14ac:dyDescent="0.35">
      <c r="A33" s="161" t="s">
        <v>211</v>
      </c>
      <c r="B33" s="161"/>
      <c r="C33" s="161"/>
      <c r="D33" s="161"/>
      <c r="E33" s="164"/>
      <c r="F33" s="164">
        <f>$C$5*($C$10+$C$13)*$C$17</f>
        <v>51303.61</v>
      </c>
      <c r="G33" s="164">
        <f>$C$5*($C$11+$C$13)*$C$17</f>
        <v>28305.439999999999</v>
      </c>
      <c r="H33" s="164">
        <f t="shared" ref="H33:L33" si="1">$C$5*($C$11+$C$13)*$C$17</f>
        <v>28305.439999999999</v>
      </c>
      <c r="I33" s="164">
        <f t="shared" si="1"/>
        <v>28305.439999999999</v>
      </c>
      <c r="J33" s="164">
        <f t="shared" si="1"/>
        <v>28305.439999999999</v>
      </c>
      <c r="K33" s="164">
        <f t="shared" si="1"/>
        <v>28305.439999999999</v>
      </c>
      <c r="L33" s="164">
        <f t="shared" si="1"/>
        <v>28305.439999999999</v>
      </c>
      <c r="M33" s="163"/>
    </row>
    <row r="34" spans="1:13" s="168" customFormat="1" x14ac:dyDescent="0.35">
      <c r="A34" s="165" t="s">
        <v>212</v>
      </c>
      <c r="B34" s="165"/>
      <c r="C34" s="165"/>
      <c r="D34" s="165"/>
      <c r="E34" s="166">
        <f>E32+E33</f>
        <v>72905.13</v>
      </c>
      <c r="F34" s="166">
        <f t="shared" ref="F34:L34" si="2">F32+F33</f>
        <v>91527.13</v>
      </c>
      <c r="G34" s="166">
        <f t="shared" si="2"/>
        <v>68528.959999999992</v>
      </c>
      <c r="H34" s="166">
        <f t="shared" si="2"/>
        <v>68528.959999999992</v>
      </c>
      <c r="I34" s="166">
        <f t="shared" si="2"/>
        <v>68528.959999999992</v>
      </c>
      <c r="J34" s="166">
        <f t="shared" si="2"/>
        <v>68528.959999999992</v>
      </c>
      <c r="K34" s="166">
        <f t="shared" si="2"/>
        <v>68528.959999999992</v>
      </c>
      <c r="L34" s="166">
        <f t="shared" si="2"/>
        <v>68528.959999999992</v>
      </c>
      <c r="M34" s="167">
        <f t="shared" ref="M34" si="3">SUM(B34:L34)</f>
        <v>575606.0199999999</v>
      </c>
    </row>
    <row r="42" spans="1:13" x14ac:dyDescent="0.35">
      <c r="D42" s="169">
        <v>255.32925</v>
      </c>
      <c r="E42" s="154">
        <v>255.32900000000001</v>
      </c>
      <c r="F42" s="154">
        <v>255.33</v>
      </c>
    </row>
    <row r="43" spans="1:13" x14ac:dyDescent="0.35">
      <c r="D43" s="170">
        <v>262.17847620627202</v>
      </c>
      <c r="E43" s="154">
        <v>262.178</v>
      </c>
      <c r="F43" s="154">
        <v>262.18</v>
      </c>
    </row>
    <row r="44" spans="1:13" x14ac:dyDescent="0.35">
      <c r="E44" s="154">
        <f>E43/E42</f>
        <v>1.0268242150323699</v>
      </c>
      <c r="F44" s="154">
        <f>F43/F42</f>
        <v>1.0268280264755414</v>
      </c>
      <c r="G44" s="154">
        <f>43.17*2.1*F44</f>
        <v>93.089148396193167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L21" sqref="L21"/>
    </sheetView>
  </sheetViews>
  <sheetFormatPr defaultColWidth="9.1796875" defaultRowHeight="14.5" x14ac:dyDescent="0.35"/>
  <cols>
    <col min="1" max="1" width="51.26953125" style="154" customWidth="1"/>
    <col min="2" max="2" width="14.26953125" style="154" bestFit="1" customWidth="1"/>
    <col min="3" max="3" width="15.81640625" style="154" customWidth="1"/>
    <col min="4" max="5" width="14.26953125" style="154" bestFit="1" customWidth="1"/>
    <col min="6" max="9" width="13.453125" style="154" bestFit="1" customWidth="1"/>
    <col min="10" max="12" width="13.453125" style="154" customWidth="1"/>
    <col min="13" max="13" width="15.7265625" style="154" customWidth="1"/>
    <col min="14" max="16384" width="9.1796875" style="154"/>
  </cols>
  <sheetData>
    <row r="1" spans="1:4" x14ac:dyDescent="0.35">
      <c r="A1" s="154" t="s">
        <v>213</v>
      </c>
    </row>
    <row r="3" spans="1:4" x14ac:dyDescent="0.35">
      <c r="A3" s="155" t="s">
        <v>163</v>
      </c>
    </row>
    <row r="4" spans="1:4" x14ac:dyDescent="0.35">
      <c r="A4" s="154" t="s">
        <v>214</v>
      </c>
      <c r="C4" s="154">
        <v>4</v>
      </c>
      <c r="D4" s="154" t="s">
        <v>215</v>
      </c>
    </row>
    <row r="5" spans="1:4" x14ac:dyDescent="0.35">
      <c r="A5" s="154" t="s">
        <v>190</v>
      </c>
      <c r="B5" s="157"/>
      <c r="C5" s="154">
        <f>1/C4</f>
        <v>0.25</v>
      </c>
      <c r="D5" s="154" t="s">
        <v>191</v>
      </c>
    </row>
    <row r="6" spans="1:4" x14ac:dyDescent="0.35">
      <c r="A6" s="154" t="s">
        <v>192</v>
      </c>
      <c r="B6" s="154" t="s">
        <v>193</v>
      </c>
      <c r="C6" s="158">
        <f>1.155*2400000</f>
        <v>2772000</v>
      </c>
      <c r="D6" s="154" t="s">
        <v>194</v>
      </c>
    </row>
    <row r="7" spans="1:4" x14ac:dyDescent="0.35">
      <c r="A7" s="154" t="s">
        <v>195</v>
      </c>
      <c r="B7" s="154" t="s">
        <v>196</v>
      </c>
      <c r="C7" s="159">
        <v>1357.0740740740741</v>
      </c>
      <c r="D7" s="154" t="s">
        <v>197</v>
      </c>
    </row>
    <row r="8" spans="1:4" x14ac:dyDescent="0.35">
      <c r="A8" s="154" t="s">
        <v>198</v>
      </c>
      <c r="B8" s="154" t="s">
        <v>199</v>
      </c>
      <c r="C8" s="154">
        <f>(6+8)/2</f>
        <v>7</v>
      </c>
      <c r="D8" s="154" t="s">
        <v>200</v>
      </c>
    </row>
    <row r="9" spans="1:4" x14ac:dyDescent="0.35">
      <c r="A9" s="154" t="s">
        <v>201</v>
      </c>
      <c r="B9" s="154" t="s">
        <v>199</v>
      </c>
      <c r="C9" s="154">
        <f>(75+80)/2</f>
        <v>77.5</v>
      </c>
      <c r="D9" s="154" t="s">
        <v>200</v>
      </c>
    </row>
    <row r="10" spans="1:4" x14ac:dyDescent="0.35">
      <c r="A10" s="154" t="s">
        <v>202</v>
      </c>
      <c r="B10" s="154" t="s">
        <v>193</v>
      </c>
      <c r="C10" s="159">
        <f>15*1.17</f>
        <v>17.549999999999997</v>
      </c>
      <c r="D10" s="154" t="s">
        <v>203</v>
      </c>
    </row>
    <row r="11" spans="1:4" x14ac:dyDescent="0.35">
      <c r="A11" s="154" t="s">
        <v>204</v>
      </c>
      <c r="C11" s="154">
        <v>0.2</v>
      </c>
      <c r="D11" s="154" t="s">
        <v>203</v>
      </c>
    </row>
    <row r="12" spans="1:4" x14ac:dyDescent="0.35">
      <c r="A12" s="154" t="s">
        <v>205</v>
      </c>
      <c r="B12" s="154" t="s">
        <v>193</v>
      </c>
      <c r="C12" s="159">
        <f>(1+C11)*(C7/1000*(C9-C8)+C10)</f>
        <v>135.86846666666665</v>
      </c>
    </row>
    <row r="13" spans="1:4" x14ac:dyDescent="0.35">
      <c r="A13" s="154" t="s">
        <v>206</v>
      </c>
    </row>
    <row r="14" spans="1:4" x14ac:dyDescent="0.35">
      <c r="A14" s="154" t="s">
        <v>207</v>
      </c>
    </row>
    <row r="16" spans="1:4" x14ac:dyDescent="0.35">
      <c r="A16" s="155" t="s">
        <v>208</v>
      </c>
    </row>
    <row r="17" spans="1:13" x14ac:dyDescent="0.35">
      <c r="A17" s="160" t="s">
        <v>108</v>
      </c>
      <c r="B17" s="146">
        <v>2018</v>
      </c>
      <c r="C17" s="146">
        <v>2019</v>
      </c>
      <c r="D17" s="146">
        <v>2020</v>
      </c>
      <c r="E17" s="160">
        <v>2021</v>
      </c>
      <c r="F17" s="160">
        <v>2022</v>
      </c>
      <c r="G17" s="160">
        <v>2023</v>
      </c>
      <c r="H17" s="160">
        <v>2024</v>
      </c>
      <c r="I17" s="160">
        <v>2025</v>
      </c>
      <c r="J17" s="160">
        <v>2026</v>
      </c>
      <c r="K17" s="160">
        <v>2027</v>
      </c>
      <c r="L17" s="160">
        <v>2028</v>
      </c>
      <c r="M17" s="146" t="s">
        <v>209</v>
      </c>
    </row>
    <row r="18" spans="1:13" x14ac:dyDescent="0.35">
      <c r="A18" s="161" t="s">
        <v>216</v>
      </c>
      <c r="B18" s="161"/>
      <c r="C18" s="161"/>
      <c r="D18" s="161"/>
      <c r="E18" s="162">
        <f>$C$6</f>
        <v>2772000</v>
      </c>
      <c r="F18" s="162">
        <f t="shared" ref="F18:H18" si="0">$C$6</f>
        <v>2772000</v>
      </c>
      <c r="G18" s="162">
        <f t="shared" si="0"/>
        <v>2772000</v>
      </c>
      <c r="H18" s="162">
        <f t="shared" si="0"/>
        <v>2772000</v>
      </c>
      <c r="I18" s="162">
        <v>0</v>
      </c>
      <c r="J18" s="162">
        <v>0</v>
      </c>
      <c r="K18" s="162">
        <v>0</v>
      </c>
      <c r="L18" s="162">
        <v>0</v>
      </c>
      <c r="M18" s="161"/>
    </row>
    <row r="19" spans="1:13" x14ac:dyDescent="0.35">
      <c r="A19" s="161" t="s">
        <v>217</v>
      </c>
      <c r="B19" s="161"/>
      <c r="C19" s="161"/>
      <c r="D19" s="161"/>
      <c r="E19" s="164">
        <v>6169.2936369999998</v>
      </c>
      <c r="F19" s="164">
        <v>6356.7147930000001</v>
      </c>
      <c r="G19" s="164">
        <v>7005.6715059999997</v>
      </c>
      <c r="H19" s="164">
        <v>6199.582977</v>
      </c>
      <c r="I19" s="164">
        <v>6287.6134959999999</v>
      </c>
      <c r="J19" s="164">
        <v>6385.699764</v>
      </c>
      <c r="K19" s="164">
        <v>6491.4586840000002</v>
      </c>
      <c r="L19" s="164">
        <v>6605.2244110000001</v>
      </c>
      <c r="M19" s="161"/>
    </row>
    <row r="20" spans="1:13" x14ac:dyDescent="0.35">
      <c r="A20" s="161" t="s">
        <v>218</v>
      </c>
      <c r="B20" s="161"/>
      <c r="C20" s="161"/>
      <c r="D20" s="161"/>
      <c r="E20" s="171">
        <v>0</v>
      </c>
      <c r="F20" s="171">
        <v>1</v>
      </c>
      <c r="G20" s="171">
        <v>2</v>
      </c>
      <c r="H20" s="171">
        <v>3</v>
      </c>
      <c r="I20" s="171">
        <v>4</v>
      </c>
      <c r="J20" s="171">
        <v>4</v>
      </c>
      <c r="K20" s="171">
        <v>4</v>
      </c>
      <c r="L20" s="171">
        <v>4</v>
      </c>
      <c r="M20" s="161"/>
    </row>
    <row r="21" spans="1:13" x14ac:dyDescent="0.35">
      <c r="A21" s="161" t="s">
        <v>219</v>
      </c>
      <c r="B21" s="161"/>
      <c r="C21" s="161"/>
      <c r="D21" s="161"/>
      <c r="E21" s="162">
        <f>(((E19*$C$5)*$C$12)*E20)</f>
        <v>0</v>
      </c>
      <c r="F21" s="162">
        <f t="shared" ref="F21:L21" si="1">(((F19*$C$5)*$C$12)*F20)</f>
        <v>215919.27299055681</v>
      </c>
      <c r="G21" s="162">
        <f t="shared" si="1"/>
        <v>475924.92274528864</v>
      </c>
      <c r="H21" s="162">
        <f t="shared" si="1"/>
        <v>631745.87479331892</v>
      </c>
      <c r="I21" s="162">
        <f t="shared" si="1"/>
        <v>854288.4046941594</v>
      </c>
      <c r="J21" s="162">
        <f t="shared" si="1"/>
        <v>867615.23552837502</v>
      </c>
      <c r="K21" s="162">
        <f t="shared" si="1"/>
        <v>881984.5378250978</v>
      </c>
      <c r="L21" s="162">
        <f t="shared" si="1"/>
        <v>897441.71271180641</v>
      </c>
      <c r="M21" s="161"/>
    </row>
    <row r="22" spans="1:13" s="168" customFormat="1" x14ac:dyDescent="0.35">
      <c r="A22" s="165" t="s">
        <v>220</v>
      </c>
      <c r="B22" s="165"/>
      <c r="C22" s="165"/>
      <c r="D22" s="165"/>
      <c r="E22" s="166">
        <f>E18+E21</f>
        <v>2772000</v>
      </c>
      <c r="F22" s="166">
        <f>F18+F21</f>
        <v>2987919.2729905569</v>
      </c>
      <c r="G22" s="166">
        <f t="shared" ref="G22:L22" si="2">G18+G21</f>
        <v>3247924.9227452888</v>
      </c>
      <c r="H22" s="166">
        <f t="shared" si="2"/>
        <v>3403745.874793319</v>
      </c>
      <c r="I22" s="166">
        <f t="shared" si="2"/>
        <v>854288.4046941594</v>
      </c>
      <c r="J22" s="166">
        <f t="shared" si="2"/>
        <v>867615.23552837502</v>
      </c>
      <c r="K22" s="166">
        <f t="shared" si="2"/>
        <v>881984.5378250978</v>
      </c>
      <c r="L22" s="166">
        <f t="shared" si="2"/>
        <v>897441.71271180641</v>
      </c>
      <c r="M22" s="166">
        <f>SUM(B22:L22)</f>
        <v>15912919.961288601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8" sqref="B8"/>
    </sheetView>
  </sheetViews>
  <sheetFormatPr defaultRowHeight="14.5" x14ac:dyDescent="0.35"/>
  <cols>
    <col min="1" max="1" width="54.1796875" customWidth="1"/>
    <col min="2" max="2" width="14" customWidth="1"/>
    <col min="3" max="9" width="13.7265625" bestFit="1" customWidth="1"/>
    <col min="10" max="10" width="26.7265625" customWidth="1"/>
  </cols>
  <sheetData>
    <row r="1" spans="1:10" x14ac:dyDescent="0.35">
      <c r="A1" s="26" t="s">
        <v>107</v>
      </c>
    </row>
    <row r="3" spans="1:10" x14ac:dyDescent="0.35">
      <c r="A3" s="79" t="s">
        <v>108</v>
      </c>
      <c r="B3" s="79">
        <v>2021</v>
      </c>
      <c r="C3" s="79">
        <v>2022</v>
      </c>
      <c r="D3" s="79">
        <v>2023</v>
      </c>
      <c r="E3" s="79">
        <v>2024</v>
      </c>
      <c r="F3" s="79">
        <v>2025</v>
      </c>
      <c r="G3" s="79">
        <v>2026</v>
      </c>
      <c r="H3" s="79">
        <v>2027</v>
      </c>
      <c r="I3" s="79">
        <v>2028</v>
      </c>
      <c r="J3" s="191" t="s">
        <v>109</v>
      </c>
    </row>
    <row r="4" spans="1:10" x14ac:dyDescent="0.35">
      <c r="A4" s="93" t="s">
        <v>110</v>
      </c>
      <c r="B4" s="94">
        <v>20741.552738667498</v>
      </c>
      <c r="C4" s="95">
        <v>20995.279007115329</v>
      </c>
      <c r="D4" s="96">
        <v>21248.873232330949</v>
      </c>
      <c r="E4" s="96">
        <v>21495.21607162838</v>
      </c>
      <c r="F4" s="97">
        <v>21748.536090323989</v>
      </c>
      <c r="G4" s="96">
        <v>21997.88851848384</v>
      </c>
      <c r="H4" s="96">
        <v>22247.100959573079</v>
      </c>
      <c r="I4" s="96">
        <v>22496.174062321341</v>
      </c>
      <c r="J4" s="192"/>
    </row>
    <row r="5" spans="1:10" x14ac:dyDescent="0.35">
      <c r="A5" s="98" t="s">
        <v>111</v>
      </c>
      <c r="B5" s="94">
        <f>B4*0.75</f>
        <v>15556.164554000625</v>
      </c>
      <c r="C5" s="94">
        <f t="shared" ref="C5:I5" si="0">C4*0.75</f>
        <v>15746.459255336496</v>
      </c>
      <c r="D5" s="94">
        <f t="shared" si="0"/>
        <v>15936.654924248211</v>
      </c>
      <c r="E5" s="94">
        <f t="shared" si="0"/>
        <v>16121.412053721284</v>
      </c>
      <c r="F5" s="94">
        <f t="shared" si="0"/>
        <v>16311.402067742991</v>
      </c>
      <c r="G5" s="94">
        <f t="shared" si="0"/>
        <v>16498.416388862879</v>
      </c>
      <c r="H5" s="94">
        <f t="shared" si="0"/>
        <v>16685.325719679808</v>
      </c>
      <c r="I5" s="94">
        <f t="shared" si="0"/>
        <v>16872.130546741006</v>
      </c>
      <c r="J5" s="192"/>
    </row>
    <row r="6" spans="1:10" x14ac:dyDescent="0.35">
      <c r="A6" s="93" t="s">
        <v>112</v>
      </c>
      <c r="B6" s="99">
        <v>0.45</v>
      </c>
      <c r="C6" s="99">
        <v>0.45</v>
      </c>
      <c r="D6" s="99">
        <v>0.45</v>
      </c>
      <c r="E6" s="99">
        <v>0.45</v>
      </c>
      <c r="F6" s="99">
        <v>0.45</v>
      </c>
      <c r="G6" s="99">
        <v>0.45</v>
      </c>
      <c r="H6" s="99">
        <v>0.45</v>
      </c>
      <c r="I6" s="99">
        <v>0.45</v>
      </c>
      <c r="J6" s="192"/>
    </row>
    <row r="7" spans="1:10" x14ac:dyDescent="0.35">
      <c r="A7" s="93" t="s">
        <v>113</v>
      </c>
      <c r="B7" s="96">
        <v>651</v>
      </c>
      <c r="C7" s="96">
        <v>651</v>
      </c>
      <c r="D7" s="96">
        <v>651</v>
      </c>
      <c r="E7" s="96">
        <v>651</v>
      </c>
      <c r="F7" s="96">
        <v>651</v>
      </c>
      <c r="G7" s="96">
        <v>651</v>
      </c>
      <c r="H7" s="96">
        <v>651</v>
      </c>
      <c r="I7" s="96">
        <v>651</v>
      </c>
      <c r="J7" s="192"/>
    </row>
    <row r="8" spans="1:10" x14ac:dyDescent="0.35">
      <c r="A8" s="100" t="s">
        <v>114</v>
      </c>
      <c r="B8" s="101">
        <f>193639*0.25</f>
        <v>48409.75</v>
      </c>
      <c r="C8" s="101">
        <f>193639*0.1</f>
        <v>19363.900000000001</v>
      </c>
      <c r="D8" s="101">
        <f t="shared" ref="D8:I8" si="1">193639*0.1</f>
        <v>19363.900000000001</v>
      </c>
      <c r="E8" s="101">
        <f t="shared" si="1"/>
        <v>19363.900000000001</v>
      </c>
      <c r="F8" s="101">
        <f t="shared" si="1"/>
        <v>19363.900000000001</v>
      </c>
      <c r="G8" s="101">
        <f t="shared" si="1"/>
        <v>19363.900000000001</v>
      </c>
      <c r="H8" s="101">
        <f t="shared" si="1"/>
        <v>19363.900000000001</v>
      </c>
      <c r="I8" s="101">
        <f t="shared" si="1"/>
        <v>19363.900000000001</v>
      </c>
      <c r="J8" s="192"/>
    </row>
    <row r="9" spans="1:10" x14ac:dyDescent="0.35">
      <c r="A9" s="100" t="s">
        <v>115</v>
      </c>
      <c r="B9" s="96">
        <v>6</v>
      </c>
      <c r="C9" s="96">
        <v>6</v>
      </c>
      <c r="D9" s="96">
        <v>6</v>
      </c>
      <c r="E9" s="96">
        <v>6</v>
      </c>
      <c r="F9" s="96">
        <v>6</v>
      </c>
      <c r="G9" s="96">
        <v>6</v>
      </c>
      <c r="H9" s="96">
        <v>6</v>
      </c>
      <c r="I9" s="96">
        <v>6</v>
      </c>
      <c r="J9" s="193"/>
    </row>
    <row r="10" spans="1:10" x14ac:dyDescent="0.35">
      <c r="A10" s="102" t="s">
        <v>22</v>
      </c>
      <c r="B10" s="103">
        <f>(B5*B6)+(B8*B9)+B7</f>
        <v>298109.77404930029</v>
      </c>
      <c r="C10" s="103">
        <f t="shared" ref="C10:I10" si="2">(C5*C6)+(C8*C9)+C7</f>
        <v>123920.30666490144</v>
      </c>
      <c r="D10" s="103">
        <f t="shared" si="2"/>
        <v>124005.89471591171</v>
      </c>
      <c r="E10" s="103">
        <f t="shared" si="2"/>
        <v>124089.03542417458</v>
      </c>
      <c r="F10" s="103">
        <f t="shared" si="2"/>
        <v>124174.53093048435</v>
      </c>
      <c r="G10" s="103">
        <f t="shared" si="2"/>
        <v>124258.68737498831</v>
      </c>
      <c r="H10" s="103">
        <f t="shared" si="2"/>
        <v>124342.79657385593</v>
      </c>
      <c r="I10" s="103">
        <f t="shared" si="2"/>
        <v>124426.85874603347</v>
      </c>
      <c r="J10" s="103">
        <f>SUM(B10:I10)</f>
        <v>1167327.8844796501</v>
      </c>
    </row>
    <row r="11" spans="1:10" x14ac:dyDescent="0.35">
      <c r="A11" s="104" t="s">
        <v>116</v>
      </c>
    </row>
    <row r="13" spans="1:10" x14ac:dyDescent="0.35">
      <c r="A13" s="105"/>
      <c r="B13" s="105"/>
      <c r="C13" s="105"/>
      <c r="D13" s="105"/>
      <c r="E13" s="105"/>
      <c r="F13" s="105"/>
    </row>
  </sheetData>
  <mergeCells count="1">
    <mergeCell ref="J3:J9"/>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H25" sqref="H25"/>
    </sheetView>
  </sheetViews>
  <sheetFormatPr defaultRowHeight="14.5" x14ac:dyDescent="0.35"/>
  <cols>
    <col min="1" max="1" width="38" customWidth="1"/>
    <col min="2" max="2" width="14.81640625" customWidth="1"/>
    <col min="3" max="3" width="12.54296875" customWidth="1"/>
    <col min="4" max="4" width="13.1796875" bestFit="1" customWidth="1"/>
    <col min="5" max="5" width="15.1796875" customWidth="1"/>
    <col min="6" max="9" width="15.453125" bestFit="1" customWidth="1"/>
    <col min="10" max="10" width="16.1796875" customWidth="1"/>
    <col min="11" max="13" width="15.453125" bestFit="1" customWidth="1"/>
  </cols>
  <sheetData>
    <row r="1" spans="1:13" x14ac:dyDescent="0.35">
      <c r="A1" s="26" t="s">
        <v>23</v>
      </c>
    </row>
    <row r="2" spans="1:13" ht="15" thickBot="1" x14ac:dyDescent="0.4">
      <c r="A2" s="27"/>
      <c r="B2" s="27"/>
      <c r="C2" s="27"/>
      <c r="D2" s="27"/>
      <c r="E2" s="27"/>
      <c r="F2" s="27"/>
      <c r="G2" s="27"/>
      <c r="H2" s="27"/>
      <c r="I2" s="27"/>
      <c r="J2" s="27"/>
      <c r="K2" s="27"/>
      <c r="L2" s="27"/>
      <c r="M2" s="27"/>
    </row>
    <row r="3" spans="1:13" s="32" customFormat="1" ht="19" thickBot="1" x14ac:dyDescent="0.5">
      <c r="A3" s="28" t="s">
        <v>24</v>
      </c>
      <c r="B3" s="29" t="s">
        <v>25</v>
      </c>
      <c r="C3" s="30" t="s">
        <v>26</v>
      </c>
      <c r="D3" s="31" t="s">
        <v>27</v>
      </c>
      <c r="E3" s="29" t="s">
        <v>28</v>
      </c>
      <c r="F3" s="29" t="s">
        <v>29</v>
      </c>
      <c r="G3" s="29" t="s">
        <v>30</v>
      </c>
      <c r="H3" s="29" t="s">
        <v>31</v>
      </c>
      <c r="I3" s="29" t="s">
        <v>32</v>
      </c>
      <c r="J3" s="29" t="s">
        <v>33</v>
      </c>
      <c r="K3" s="29" t="s">
        <v>34</v>
      </c>
      <c r="L3" s="29" t="s">
        <v>35</v>
      </c>
      <c r="M3" s="29" t="s">
        <v>36</v>
      </c>
    </row>
    <row r="4" spans="1:13" ht="14.25" customHeight="1" x14ac:dyDescent="0.35">
      <c r="A4" s="33" t="s">
        <v>37</v>
      </c>
      <c r="B4" s="34" t="s">
        <v>38</v>
      </c>
      <c r="C4" s="35">
        <v>3</v>
      </c>
      <c r="D4" s="36">
        <f>B18+(B19*2)</f>
        <v>515000</v>
      </c>
      <c r="E4" s="37">
        <f>C18+(C19*2)</f>
        <v>512000</v>
      </c>
      <c r="F4" s="37">
        <f>C18+(C19*2)</f>
        <v>512000</v>
      </c>
      <c r="G4" s="37">
        <f>C18+(C19*2)</f>
        <v>512000</v>
      </c>
      <c r="H4" s="37">
        <f>C18+(C19*2)</f>
        <v>512000</v>
      </c>
      <c r="I4" s="37">
        <f>C18+(C19*2)</f>
        <v>512000</v>
      </c>
      <c r="J4" s="37">
        <f>C18+(C19*2)</f>
        <v>512000</v>
      </c>
      <c r="K4" s="37">
        <f>C18+(C19*2)</f>
        <v>512000</v>
      </c>
      <c r="L4" s="37">
        <f>C18+(C19*2)</f>
        <v>512000</v>
      </c>
      <c r="M4" s="37">
        <f>C18+(C19*2)</f>
        <v>512000</v>
      </c>
    </row>
    <row r="5" spans="1:13" x14ac:dyDescent="0.35">
      <c r="A5" s="38" t="s">
        <v>39</v>
      </c>
      <c r="B5" s="39" t="s">
        <v>40</v>
      </c>
      <c r="C5" s="40">
        <v>1</v>
      </c>
      <c r="D5" s="41"/>
      <c r="E5" s="42">
        <f>$B$20</f>
        <v>202000</v>
      </c>
      <c r="F5" s="42">
        <f t="shared" ref="F5:M5" si="0">$C$20</f>
        <v>201000</v>
      </c>
      <c r="G5" s="42">
        <f t="shared" si="0"/>
        <v>201000</v>
      </c>
      <c r="H5" s="42">
        <f t="shared" si="0"/>
        <v>201000</v>
      </c>
      <c r="I5" s="42">
        <f t="shared" si="0"/>
        <v>201000</v>
      </c>
      <c r="J5" s="42">
        <f t="shared" si="0"/>
        <v>201000</v>
      </c>
      <c r="K5" s="42">
        <f t="shared" si="0"/>
        <v>201000</v>
      </c>
      <c r="L5" s="42">
        <f t="shared" si="0"/>
        <v>201000</v>
      </c>
      <c r="M5" s="42">
        <f t="shared" si="0"/>
        <v>201000</v>
      </c>
    </row>
    <row r="6" spans="1:13" x14ac:dyDescent="0.35">
      <c r="A6" s="38" t="s">
        <v>41</v>
      </c>
      <c r="B6" s="39" t="s">
        <v>42</v>
      </c>
      <c r="C6" s="40">
        <v>2</v>
      </c>
      <c r="D6" s="43" t="s">
        <v>43</v>
      </c>
      <c r="E6" s="42">
        <f>B19*C6</f>
        <v>350000</v>
      </c>
      <c r="F6" s="42">
        <f>C19*C6</f>
        <v>348000</v>
      </c>
      <c r="G6" s="42">
        <f>C19*C6</f>
        <v>348000</v>
      </c>
      <c r="H6" s="42">
        <f>C19*C6</f>
        <v>348000</v>
      </c>
      <c r="I6" s="42">
        <f>C19*C6</f>
        <v>348000</v>
      </c>
      <c r="J6" s="42">
        <f>C19*C6</f>
        <v>348000</v>
      </c>
      <c r="K6" s="42">
        <f>C19*C6</f>
        <v>348000</v>
      </c>
      <c r="L6" s="42">
        <f>C19*C6</f>
        <v>348000</v>
      </c>
      <c r="M6" s="42">
        <f>C19*C6</f>
        <v>348000</v>
      </c>
    </row>
    <row r="7" spans="1:13" x14ac:dyDescent="0.35">
      <c r="A7" s="38" t="s">
        <v>44</v>
      </c>
      <c r="B7" s="39" t="s">
        <v>42</v>
      </c>
      <c r="C7" s="40">
        <v>2</v>
      </c>
      <c r="D7" s="43" t="s">
        <v>43</v>
      </c>
      <c r="E7" s="44" t="s">
        <v>43</v>
      </c>
      <c r="F7" s="42">
        <f>B19*C7</f>
        <v>350000</v>
      </c>
      <c r="G7" s="42">
        <f>C19*C7</f>
        <v>348000</v>
      </c>
      <c r="H7" s="42">
        <f>C19*C7</f>
        <v>348000</v>
      </c>
      <c r="I7" s="42">
        <f>C19*C7</f>
        <v>348000</v>
      </c>
      <c r="J7" s="42">
        <f>C19*C7</f>
        <v>348000</v>
      </c>
      <c r="K7" s="42">
        <f>C19*C7</f>
        <v>348000</v>
      </c>
      <c r="L7" s="42">
        <f>C19*C7</f>
        <v>348000</v>
      </c>
      <c r="M7" s="42">
        <f>C19*C7</f>
        <v>348000</v>
      </c>
    </row>
    <row r="8" spans="1:13" ht="29" x14ac:dyDescent="0.35">
      <c r="A8" s="38" t="s">
        <v>45</v>
      </c>
      <c r="B8" s="39" t="s">
        <v>42</v>
      </c>
      <c r="C8" s="40">
        <v>2</v>
      </c>
      <c r="D8" s="43" t="s">
        <v>43</v>
      </c>
      <c r="E8" s="44" t="s">
        <v>43</v>
      </c>
      <c r="F8" s="42">
        <f>B19*C8</f>
        <v>350000</v>
      </c>
      <c r="G8" s="42">
        <f>C19*C8</f>
        <v>348000</v>
      </c>
      <c r="H8" s="42">
        <f>C19*C8</f>
        <v>348000</v>
      </c>
      <c r="I8" s="42">
        <f>C19*C8</f>
        <v>348000</v>
      </c>
      <c r="J8" s="42">
        <f>C19*C8</f>
        <v>348000</v>
      </c>
      <c r="K8" s="42">
        <f>C19*C8</f>
        <v>348000</v>
      </c>
      <c r="L8" s="42">
        <f>C19*C8</f>
        <v>348000</v>
      </c>
      <c r="M8" s="42">
        <f>C19*C8</f>
        <v>348000</v>
      </c>
    </row>
    <row r="9" spans="1:13" x14ac:dyDescent="0.35">
      <c r="A9" s="38" t="s">
        <v>46</v>
      </c>
      <c r="B9" s="39" t="s">
        <v>47</v>
      </c>
      <c r="C9" s="40">
        <v>1</v>
      </c>
      <c r="D9" s="43" t="s">
        <v>43</v>
      </c>
      <c r="E9" s="44" t="s">
        <v>43</v>
      </c>
      <c r="F9" s="44" t="s">
        <v>43</v>
      </c>
      <c r="G9" s="42">
        <f>B18*C9</f>
        <v>165000</v>
      </c>
      <c r="H9" s="42">
        <f>C18*C9</f>
        <v>164000</v>
      </c>
      <c r="I9" s="42">
        <f>C18*C9</f>
        <v>164000</v>
      </c>
      <c r="J9" s="42">
        <f>C18*C9</f>
        <v>164000</v>
      </c>
      <c r="K9" s="42">
        <f>C18*C9</f>
        <v>164000</v>
      </c>
      <c r="L9" s="42">
        <f>C18*C9</f>
        <v>164000</v>
      </c>
      <c r="M9" s="42">
        <f>C18*C9</f>
        <v>164000</v>
      </c>
    </row>
    <row r="10" spans="1:13" ht="15" thickBot="1" x14ac:dyDescent="0.4">
      <c r="A10" s="45" t="s">
        <v>48</v>
      </c>
      <c r="B10" s="46" t="s">
        <v>42</v>
      </c>
      <c r="C10" s="47">
        <v>1</v>
      </c>
      <c r="D10" s="48" t="s">
        <v>43</v>
      </c>
      <c r="E10" s="49" t="s">
        <v>43</v>
      </c>
      <c r="F10" s="50">
        <f>$B$19*$C$10</f>
        <v>175000</v>
      </c>
      <c r="G10" s="50">
        <f t="shared" ref="G10:M10" si="1">$C$19*$C$10</f>
        <v>174000</v>
      </c>
      <c r="H10" s="50">
        <f t="shared" si="1"/>
        <v>174000</v>
      </c>
      <c r="I10" s="50">
        <f t="shared" si="1"/>
        <v>174000</v>
      </c>
      <c r="J10" s="50">
        <f t="shared" si="1"/>
        <v>174000</v>
      </c>
      <c r="K10" s="50">
        <f t="shared" si="1"/>
        <v>174000</v>
      </c>
      <c r="L10" s="50">
        <f t="shared" si="1"/>
        <v>174000</v>
      </c>
      <c r="M10" s="50">
        <f t="shared" si="1"/>
        <v>174000</v>
      </c>
    </row>
    <row r="11" spans="1:13" ht="15" thickBot="1" x14ac:dyDescent="0.4">
      <c r="A11" s="51" t="s">
        <v>49</v>
      </c>
      <c r="B11" s="52" t="s">
        <v>50</v>
      </c>
      <c r="C11" s="53">
        <f t="shared" ref="C11:M11" si="2">SUM(C4:C10)</f>
        <v>12</v>
      </c>
      <c r="D11" s="54">
        <f>SUM(D4:D10)</f>
        <v>515000</v>
      </c>
      <c r="E11" s="55">
        <f t="shared" si="2"/>
        <v>1064000</v>
      </c>
      <c r="F11" s="55">
        <f t="shared" si="2"/>
        <v>1936000</v>
      </c>
      <c r="G11" s="55">
        <f t="shared" si="2"/>
        <v>2096000</v>
      </c>
      <c r="H11" s="55">
        <f t="shared" si="2"/>
        <v>2095000</v>
      </c>
      <c r="I11" s="55">
        <f t="shared" si="2"/>
        <v>2095000</v>
      </c>
      <c r="J11" s="55">
        <f t="shared" si="2"/>
        <v>2095000</v>
      </c>
      <c r="K11" s="55">
        <f t="shared" si="2"/>
        <v>2095000</v>
      </c>
      <c r="L11" s="55">
        <f t="shared" si="2"/>
        <v>2095000</v>
      </c>
      <c r="M11" s="55">
        <f t="shared" si="2"/>
        <v>2095000</v>
      </c>
    </row>
    <row r="12" spans="1:13" ht="15" thickBot="1" x14ac:dyDescent="0.4">
      <c r="A12" s="51" t="s">
        <v>51</v>
      </c>
      <c r="B12" s="52" t="s">
        <v>52</v>
      </c>
      <c r="C12" s="53">
        <v>1</v>
      </c>
      <c r="D12" s="56"/>
      <c r="E12" s="57"/>
      <c r="F12" s="58"/>
      <c r="G12" s="55"/>
      <c r="H12" s="55">
        <f>B21</f>
        <v>187000</v>
      </c>
      <c r="I12" s="55">
        <f t="shared" ref="I12:M12" si="3">$C$21</f>
        <v>186000</v>
      </c>
      <c r="J12" s="55">
        <f t="shared" si="3"/>
        <v>186000</v>
      </c>
      <c r="K12" s="55">
        <f t="shared" si="3"/>
        <v>186000</v>
      </c>
      <c r="L12" s="55">
        <f t="shared" si="3"/>
        <v>186000</v>
      </c>
      <c r="M12" s="55">
        <f t="shared" si="3"/>
        <v>186000</v>
      </c>
    </row>
    <row r="13" spans="1:13" ht="15" thickBot="1" x14ac:dyDescent="0.4">
      <c r="A13" s="51" t="s">
        <v>53</v>
      </c>
      <c r="B13" s="52" t="s">
        <v>42</v>
      </c>
      <c r="C13" s="59">
        <v>1</v>
      </c>
      <c r="D13" s="56"/>
      <c r="E13" s="57"/>
      <c r="F13" s="58"/>
      <c r="G13" s="55">
        <f>B19</f>
        <v>175000</v>
      </c>
      <c r="H13" s="55">
        <f>$C$19</f>
        <v>174000</v>
      </c>
      <c r="I13" s="55">
        <f t="shared" ref="I13:M14" si="4">$C$19</f>
        <v>174000</v>
      </c>
      <c r="J13" s="55">
        <f t="shared" si="4"/>
        <v>174000</v>
      </c>
      <c r="K13" s="55">
        <f t="shared" si="4"/>
        <v>174000</v>
      </c>
      <c r="L13" s="55">
        <f t="shared" si="4"/>
        <v>174000</v>
      </c>
      <c r="M13" s="55">
        <f t="shared" si="4"/>
        <v>174000</v>
      </c>
    </row>
    <row r="14" spans="1:13" ht="15" thickBot="1" x14ac:dyDescent="0.4">
      <c r="A14" s="60" t="s">
        <v>54</v>
      </c>
      <c r="B14" s="61" t="s">
        <v>55</v>
      </c>
      <c r="C14" s="62">
        <v>1</v>
      </c>
      <c r="D14" s="63" t="s">
        <v>43</v>
      </c>
      <c r="E14" s="64" t="s">
        <v>43</v>
      </c>
      <c r="F14" s="65" t="s">
        <v>43</v>
      </c>
      <c r="G14" s="55"/>
      <c r="H14" s="66">
        <f>B19</f>
        <v>175000</v>
      </c>
      <c r="I14" s="66">
        <f>$C$19</f>
        <v>174000</v>
      </c>
      <c r="J14" s="66">
        <f t="shared" si="4"/>
        <v>174000</v>
      </c>
      <c r="K14" s="66">
        <f t="shared" si="4"/>
        <v>174000</v>
      </c>
      <c r="L14" s="66">
        <f t="shared" si="4"/>
        <v>174000</v>
      </c>
      <c r="M14" s="66">
        <f t="shared" si="4"/>
        <v>174000</v>
      </c>
    </row>
    <row r="15" spans="1:13" s="32" customFormat="1" ht="19" thickBot="1" x14ac:dyDescent="0.5">
      <c r="A15" s="194" t="s">
        <v>56</v>
      </c>
      <c r="B15" s="195"/>
      <c r="C15" s="30">
        <f t="shared" ref="C15:M15" si="5">SUM(C11:C14)</f>
        <v>15</v>
      </c>
      <c r="D15" s="67">
        <f>SUM(D11:D14)</f>
        <v>515000</v>
      </c>
      <c r="E15" s="68">
        <f t="shared" si="5"/>
        <v>1064000</v>
      </c>
      <c r="F15" s="68">
        <f t="shared" si="5"/>
        <v>1936000</v>
      </c>
      <c r="G15" s="68">
        <f t="shared" si="5"/>
        <v>2271000</v>
      </c>
      <c r="H15" s="68">
        <f t="shared" si="5"/>
        <v>2631000</v>
      </c>
      <c r="I15" s="68">
        <f t="shared" si="5"/>
        <v>2629000</v>
      </c>
      <c r="J15" s="68">
        <f t="shared" si="5"/>
        <v>2629000</v>
      </c>
      <c r="K15" s="68">
        <f t="shared" si="5"/>
        <v>2629000</v>
      </c>
      <c r="L15" s="68">
        <f t="shared" si="5"/>
        <v>2629000</v>
      </c>
      <c r="M15" s="68">
        <f t="shared" si="5"/>
        <v>2629000</v>
      </c>
    </row>
    <row r="17" spans="1:3" x14ac:dyDescent="0.35">
      <c r="B17" s="69" t="s">
        <v>57</v>
      </c>
      <c r="C17" t="s">
        <v>58</v>
      </c>
    </row>
    <row r="18" spans="1:3" x14ac:dyDescent="0.35">
      <c r="A18" t="s">
        <v>59</v>
      </c>
      <c r="B18" s="70">
        <v>165000</v>
      </c>
      <c r="C18" s="70">
        <v>164000</v>
      </c>
    </row>
    <row r="19" spans="1:3" x14ac:dyDescent="0.35">
      <c r="A19" t="s">
        <v>60</v>
      </c>
      <c r="B19" s="70">
        <v>175000</v>
      </c>
      <c r="C19" s="70">
        <v>174000</v>
      </c>
    </row>
    <row r="20" spans="1:3" x14ac:dyDescent="0.35">
      <c r="A20" t="s">
        <v>61</v>
      </c>
      <c r="B20" s="70">
        <v>202000</v>
      </c>
      <c r="C20" s="70">
        <v>201000</v>
      </c>
    </row>
    <row r="21" spans="1:3" x14ac:dyDescent="0.35">
      <c r="A21" t="s">
        <v>62</v>
      </c>
      <c r="B21" s="70">
        <v>187000</v>
      </c>
      <c r="C21" s="70">
        <v>186000</v>
      </c>
    </row>
    <row r="22" spans="1:3" x14ac:dyDescent="0.35">
      <c r="A22" s="71"/>
    </row>
    <row r="23" spans="1:3" x14ac:dyDescent="0.35">
      <c r="A23" s="72"/>
    </row>
    <row r="24" spans="1:3" x14ac:dyDescent="0.35">
      <c r="A24" s="71"/>
    </row>
    <row r="25" spans="1:3" x14ac:dyDescent="0.35">
      <c r="A25" s="71"/>
    </row>
    <row r="26" spans="1:3" x14ac:dyDescent="0.35">
      <c r="A26" s="72"/>
    </row>
    <row r="27" spans="1:3" x14ac:dyDescent="0.35">
      <c r="A27" s="71"/>
    </row>
  </sheetData>
  <mergeCells count="1">
    <mergeCell ref="A15:B15"/>
  </mergeCells>
  <pageMargins left="0.2" right="0.2" top="0.75" bottom="0.75" header="0.3" footer="0.3"/>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activeCell="J11" sqref="J11"/>
    </sheetView>
  </sheetViews>
  <sheetFormatPr defaultRowHeight="14.5" x14ac:dyDescent="0.35"/>
  <cols>
    <col min="1" max="1" width="48.7265625" customWidth="1"/>
    <col min="2" max="2" width="10.7265625" customWidth="1"/>
    <col min="3" max="3" width="17.1796875" customWidth="1"/>
    <col min="4" max="4" width="20.7265625" customWidth="1"/>
    <col min="5" max="5" width="19.453125" customWidth="1"/>
    <col min="6" max="6" width="16.54296875" customWidth="1"/>
    <col min="7" max="7" width="16" customWidth="1"/>
    <col min="8" max="8" width="21.7265625" customWidth="1"/>
    <col min="9" max="9" width="16.26953125" customWidth="1"/>
    <col min="10" max="10" width="35" customWidth="1"/>
  </cols>
  <sheetData>
    <row r="1" spans="1:10" ht="18.5" x14ac:dyDescent="0.45">
      <c r="A1" s="73" t="s">
        <v>134</v>
      </c>
    </row>
    <row r="3" spans="1:10" ht="15.5" x14ac:dyDescent="0.35">
      <c r="A3" s="172" t="s">
        <v>150</v>
      </c>
      <c r="B3" s="3"/>
      <c r="C3" s="3"/>
      <c r="D3" s="3"/>
      <c r="E3" s="174" t="s">
        <v>0</v>
      </c>
      <c r="F3" s="174"/>
      <c r="G3" s="174"/>
      <c r="H3" s="174"/>
      <c r="I3" s="174"/>
      <c r="J3" s="174"/>
    </row>
    <row r="4" spans="1:10" ht="15.5" x14ac:dyDescent="0.35">
      <c r="A4" s="172"/>
      <c r="B4" s="4">
        <v>2018</v>
      </c>
      <c r="C4" s="4">
        <v>2019</v>
      </c>
      <c r="D4" s="4">
        <v>2020</v>
      </c>
      <c r="E4" s="4">
        <v>2021</v>
      </c>
      <c r="F4" s="4">
        <v>2022</v>
      </c>
      <c r="G4" s="4">
        <v>2023</v>
      </c>
      <c r="H4" s="4">
        <v>2024</v>
      </c>
      <c r="I4" s="4">
        <v>2025</v>
      </c>
      <c r="J4" s="4" t="s">
        <v>21</v>
      </c>
    </row>
    <row r="5" spans="1:10" ht="15.5" x14ac:dyDescent="0.35">
      <c r="A5" s="200" t="s">
        <v>132</v>
      </c>
      <c r="B5" s="200"/>
      <c r="C5" s="200"/>
      <c r="D5" s="200"/>
      <c r="E5" s="200"/>
      <c r="F5" s="200"/>
      <c r="G5" s="200"/>
      <c r="H5" s="200"/>
      <c r="I5" s="200"/>
      <c r="J5" s="200"/>
    </row>
    <row r="6" spans="1:10" x14ac:dyDescent="0.35">
      <c r="A6" s="6" t="s">
        <v>5</v>
      </c>
      <c r="B6" s="1">
        <v>0</v>
      </c>
      <c r="C6" s="1">
        <v>0</v>
      </c>
      <c r="D6" s="1">
        <v>0</v>
      </c>
      <c r="E6" s="1">
        <f>1173.56*70*(262.178/246.055)</f>
        <v>87532.108502570569</v>
      </c>
      <c r="F6" s="1">
        <f>1173.56*(70+35)*(262.178/246.055)</f>
        <v>131298.16275385584</v>
      </c>
      <c r="G6" s="1">
        <f t="shared" ref="G6:I6" si="0">1173.56*(70+35)*(262.178/246.055)</f>
        <v>131298.16275385584</v>
      </c>
      <c r="H6" s="1">
        <f t="shared" si="0"/>
        <v>131298.16275385584</v>
      </c>
      <c r="I6" s="1">
        <f t="shared" si="0"/>
        <v>131298.16275385584</v>
      </c>
      <c r="J6" s="1">
        <f t="shared" ref="J6:J11" si="1">SUM(B6:I6)</f>
        <v>612724.75951799389</v>
      </c>
    </row>
    <row r="7" spans="1:10" x14ac:dyDescent="0.35">
      <c r="A7" s="6" t="s">
        <v>133</v>
      </c>
      <c r="B7" s="1">
        <v>0</v>
      </c>
      <c r="C7" s="1">
        <v>0</v>
      </c>
      <c r="D7" s="1">
        <v>0</v>
      </c>
      <c r="E7" s="1">
        <f>(36448.5*39+12276.6*47)*(262.178/246.055)-(1533*47+4631*39)</f>
        <v>1876784.8677027496</v>
      </c>
      <c r="F7" s="1">
        <f>(36448.5*39+12276.6*(47+45))*(262.178/246.055)-(1533*92+4631*39)</f>
        <v>2396446.5099819149</v>
      </c>
      <c r="G7" s="1">
        <f t="shared" ref="G7:I7" si="2">(36448.5*39+12276.6*(47+45))*(262.178/246.055)-(1533*92+4631*39)</f>
        <v>2396446.5099819149</v>
      </c>
      <c r="H7" s="1">
        <f t="shared" si="2"/>
        <v>2396446.5099819149</v>
      </c>
      <c r="I7" s="1">
        <f t="shared" si="2"/>
        <v>2396446.5099819149</v>
      </c>
      <c r="J7" s="1">
        <f t="shared" si="1"/>
        <v>11462570.90763041</v>
      </c>
    </row>
    <row r="8" spans="1:10" x14ac:dyDescent="0.35">
      <c r="A8" s="6" t="s">
        <v>6</v>
      </c>
      <c r="B8" s="1">
        <v>0</v>
      </c>
      <c r="C8" s="1">
        <v>0</v>
      </c>
      <c r="D8" s="1">
        <v>890991</v>
      </c>
      <c r="E8" s="1">
        <v>890991</v>
      </c>
      <c r="F8" s="2">
        <v>890991</v>
      </c>
      <c r="G8" s="2">
        <v>890991</v>
      </c>
      <c r="H8" s="2">
        <v>890991</v>
      </c>
      <c r="I8" s="2">
        <v>890991</v>
      </c>
      <c r="J8" s="1">
        <f t="shared" si="1"/>
        <v>5345946</v>
      </c>
    </row>
    <row r="9" spans="1:10" x14ac:dyDescent="0.35">
      <c r="A9" s="6" t="s">
        <v>7</v>
      </c>
      <c r="B9" s="1">
        <v>0</v>
      </c>
      <c r="C9" s="1">
        <v>0</v>
      </c>
      <c r="D9" s="1">
        <v>0</v>
      </c>
      <c r="E9" s="1">
        <f>(1411*42)/2</f>
        <v>29631</v>
      </c>
      <c r="F9" s="1">
        <v>0</v>
      </c>
      <c r="G9" s="1">
        <v>0</v>
      </c>
      <c r="H9" s="1">
        <f>(1411*42)/2</f>
        <v>29631</v>
      </c>
      <c r="I9" s="1">
        <v>0</v>
      </c>
      <c r="J9" s="1">
        <f>SUM(B9:I9)</f>
        <v>59262</v>
      </c>
    </row>
    <row r="10" spans="1:10" ht="15.5" x14ac:dyDescent="0.35">
      <c r="A10" s="145" t="s">
        <v>161</v>
      </c>
      <c r="B10" s="141">
        <f>SUM(B6:B9)*87.5%</f>
        <v>0</v>
      </c>
      <c r="C10" s="141">
        <f t="shared" ref="C10:J10" si="3">SUM(C6:C9)*87.5%</f>
        <v>0</v>
      </c>
      <c r="D10" s="141">
        <f t="shared" si="3"/>
        <v>779617.125</v>
      </c>
      <c r="E10" s="141">
        <f t="shared" si="3"/>
        <v>2524321.6041796552</v>
      </c>
      <c r="F10" s="141">
        <f t="shared" si="3"/>
        <v>2991393.7136437995</v>
      </c>
      <c r="G10" s="141">
        <f t="shared" si="3"/>
        <v>2991393.7136437995</v>
      </c>
      <c r="H10" s="141">
        <f t="shared" si="3"/>
        <v>3017320.8386437995</v>
      </c>
      <c r="I10" s="141">
        <f t="shared" si="3"/>
        <v>2991393.7136437995</v>
      </c>
      <c r="J10" s="141">
        <f t="shared" si="3"/>
        <v>15295440.708754852</v>
      </c>
    </row>
    <row r="11" spans="1:10" ht="77.5" x14ac:dyDescent="0.35">
      <c r="A11" s="143" t="s">
        <v>135</v>
      </c>
      <c r="B11" s="141">
        <v>0</v>
      </c>
      <c r="C11" s="141">
        <v>0</v>
      </c>
      <c r="D11" s="144">
        <v>0</v>
      </c>
      <c r="E11" s="144">
        <v>0</v>
      </c>
      <c r="F11" s="144">
        <v>0</v>
      </c>
      <c r="G11" s="144">
        <v>0</v>
      </c>
      <c r="H11" s="144">
        <f>H45*87.5%</f>
        <v>95097201.465325415</v>
      </c>
      <c r="I11" s="144">
        <f>I45*87.5%</f>
        <v>94975404.899827644</v>
      </c>
      <c r="J11" s="144">
        <f t="shared" si="1"/>
        <v>190072606.36515307</v>
      </c>
    </row>
    <row r="12" spans="1:10" ht="21" x14ac:dyDescent="0.5">
      <c r="A12" s="126" t="s">
        <v>149</v>
      </c>
      <c r="B12" s="127">
        <f>B10+B11</f>
        <v>0</v>
      </c>
      <c r="C12" s="127">
        <f t="shared" ref="C12:I12" si="4">C10+C11</f>
        <v>0</v>
      </c>
      <c r="D12" s="127">
        <f t="shared" si="4"/>
        <v>779617.125</v>
      </c>
      <c r="E12" s="127">
        <f t="shared" si="4"/>
        <v>2524321.6041796552</v>
      </c>
      <c r="F12" s="127">
        <f t="shared" si="4"/>
        <v>2991393.7136437995</v>
      </c>
      <c r="G12" s="127">
        <f t="shared" si="4"/>
        <v>2991393.7136437995</v>
      </c>
      <c r="H12" s="127">
        <f t="shared" si="4"/>
        <v>98114522.303969219</v>
      </c>
      <c r="I12" s="127">
        <f t="shared" si="4"/>
        <v>97966798.613471448</v>
      </c>
      <c r="J12" s="127">
        <f>SUM(B12:I12)</f>
        <v>205368047.07390791</v>
      </c>
    </row>
    <row r="14" spans="1:10" x14ac:dyDescent="0.35">
      <c r="B14" s="16"/>
      <c r="C14" s="16"/>
      <c r="D14" s="16"/>
      <c r="E14" s="16"/>
      <c r="F14" s="16"/>
      <c r="G14" s="16"/>
      <c r="H14" s="16"/>
      <c r="I14" s="16"/>
      <c r="J14" s="16"/>
    </row>
    <row r="16" spans="1:10" ht="15.5" x14ac:dyDescent="0.35">
      <c r="A16" s="22" t="s">
        <v>144</v>
      </c>
      <c r="B16" s="125"/>
      <c r="C16" s="125"/>
      <c r="D16" s="125"/>
      <c r="E16" s="125"/>
      <c r="F16" s="125"/>
      <c r="G16" s="125"/>
      <c r="H16" s="125"/>
      <c r="I16" s="125"/>
    </row>
    <row r="17" spans="1:12" x14ac:dyDescent="0.35">
      <c r="A17" s="199" t="s">
        <v>146</v>
      </c>
      <c r="B17" s="199"/>
      <c r="C17" s="199"/>
      <c r="D17" s="199"/>
      <c r="E17" s="199"/>
      <c r="F17" s="199"/>
      <c r="G17" s="199"/>
      <c r="H17" s="199"/>
      <c r="I17" s="199"/>
      <c r="J17" s="199"/>
      <c r="K17" s="199"/>
      <c r="L17" s="199"/>
    </row>
    <row r="18" spans="1:12" x14ac:dyDescent="0.35">
      <c r="A18" s="17" t="s">
        <v>136</v>
      </c>
      <c r="B18" s="17">
        <v>2018</v>
      </c>
      <c r="C18" s="17">
        <v>2019</v>
      </c>
      <c r="D18" s="17">
        <v>2020</v>
      </c>
      <c r="E18" s="17">
        <v>2021</v>
      </c>
      <c r="F18" s="17">
        <v>2022</v>
      </c>
      <c r="G18" s="17">
        <v>2023</v>
      </c>
      <c r="H18" s="17">
        <v>2024</v>
      </c>
      <c r="I18" s="17">
        <v>2025</v>
      </c>
      <c r="J18" s="17">
        <v>2026</v>
      </c>
      <c r="K18" s="17">
        <v>2027</v>
      </c>
      <c r="L18" s="17">
        <v>2028</v>
      </c>
    </row>
    <row r="19" spans="1:12" x14ac:dyDescent="0.35">
      <c r="A19" s="17" t="s">
        <v>137</v>
      </c>
      <c r="B19" s="17">
        <v>227</v>
      </c>
      <c r="C19" s="17">
        <v>215</v>
      </c>
      <c r="D19" s="17">
        <v>237</v>
      </c>
      <c r="E19" s="17">
        <v>2540</v>
      </c>
      <c r="F19" s="17">
        <v>2512</v>
      </c>
      <c r="G19" s="17">
        <v>2755</v>
      </c>
      <c r="H19" s="17">
        <v>4160</v>
      </c>
      <c r="I19" s="17">
        <v>4157</v>
      </c>
      <c r="J19" s="17">
        <v>4213</v>
      </c>
      <c r="K19" s="17">
        <v>5230</v>
      </c>
      <c r="L19" s="17">
        <v>5186</v>
      </c>
    </row>
    <row r="20" spans="1:12" x14ac:dyDescent="0.35">
      <c r="A20" s="17" t="s">
        <v>138</v>
      </c>
      <c r="B20" s="17">
        <v>0.5</v>
      </c>
      <c r="C20" s="17">
        <v>1.1000000000000001</v>
      </c>
      <c r="D20" s="17">
        <v>1.6</v>
      </c>
      <c r="E20" s="17">
        <v>18</v>
      </c>
      <c r="F20" s="17">
        <v>35</v>
      </c>
      <c r="G20" s="17">
        <v>53</v>
      </c>
      <c r="H20" s="17">
        <v>76</v>
      </c>
      <c r="I20" s="17">
        <v>99</v>
      </c>
      <c r="J20" s="17">
        <v>119</v>
      </c>
      <c r="K20" s="17">
        <v>151</v>
      </c>
      <c r="L20" s="17">
        <v>182</v>
      </c>
    </row>
    <row r="23" spans="1:12" x14ac:dyDescent="0.35">
      <c r="A23" s="199" t="s">
        <v>139</v>
      </c>
      <c r="B23" s="199"/>
      <c r="C23" s="199"/>
      <c r="D23" s="199"/>
      <c r="E23" s="199"/>
      <c r="F23" s="199"/>
      <c r="G23" s="199"/>
      <c r="H23" s="199"/>
      <c r="I23" s="199"/>
      <c r="J23" s="138"/>
      <c r="K23" s="138"/>
      <c r="L23" s="138"/>
    </row>
    <row r="24" spans="1:12" x14ac:dyDescent="0.35">
      <c r="A24" s="17" t="s">
        <v>136</v>
      </c>
      <c r="B24" s="17">
        <v>2018</v>
      </c>
      <c r="C24" s="17">
        <v>2019</v>
      </c>
      <c r="D24" s="17">
        <v>2020</v>
      </c>
      <c r="E24" s="17">
        <v>2021</v>
      </c>
      <c r="F24" s="17">
        <v>2022</v>
      </c>
      <c r="G24" s="17">
        <v>2023</v>
      </c>
      <c r="H24" s="17">
        <v>2024</v>
      </c>
      <c r="I24" s="17">
        <v>2025</v>
      </c>
    </row>
    <row r="25" spans="1:12" x14ac:dyDescent="0.35">
      <c r="A25" s="17" t="s">
        <v>137</v>
      </c>
      <c r="B25" s="17">
        <f t="shared" ref="B25:G26" si="5">B19</f>
        <v>227</v>
      </c>
      <c r="C25" s="17">
        <f t="shared" si="5"/>
        <v>215</v>
      </c>
      <c r="D25" s="17">
        <f t="shared" si="5"/>
        <v>237</v>
      </c>
      <c r="E25" s="17">
        <f t="shared" si="5"/>
        <v>2540</v>
      </c>
      <c r="F25" s="17">
        <f t="shared" si="5"/>
        <v>2512</v>
      </c>
      <c r="G25" s="17">
        <f t="shared" si="5"/>
        <v>2755</v>
      </c>
      <c r="H25" s="17">
        <f>(K19/(1201868+523805+155682+183705))*(1182761+498683+150729+177860)</f>
        <v>5090.6378458737281</v>
      </c>
      <c r="I25" s="17">
        <f>(L19/(1201965+531284+157395+185726))*(1191602+508256+152898+180420)</f>
        <v>5078.1174530550907</v>
      </c>
    </row>
    <row r="26" spans="1:12" x14ac:dyDescent="0.35">
      <c r="A26" s="17" t="s">
        <v>138</v>
      </c>
      <c r="B26" s="17">
        <f t="shared" si="5"/>
        <v>0.5</v>
      </c>
      <c r="C26" s="17">
        <f t="shared" si="5"/>
        <v>1.1000000000000001</v>
      </c>
      <c r="D26" s="17">
        <f t="shared" si="5"/>
        <v>1.6</v>
      </c>
      <c r="E26" s="17">
        <f t="shared" si="5"/>
        <v>18</v>
      </c>
      <c r="F26" s="17">
        <f t="shared" si="5"/>
        <v>35</v>
      </c>
      <c r="G26" s="17">
        <f t="shared" si="5"/>
        <v>53</v>
      </c>
      <c r="H26" s="17">
        <f>(K20/(1201868+523805+155682+183705))*(1182761+498683+150729+177860)</f>
        <v>146.97635080820896</v>
      </c>
      <c r="I26" s="17">
        <f>(L20/(1201965+531284+157395+185726))*(1191602+508256+152898+180420)</f>
        <v>178.21391755804601</v>
      </c>
    </row>
    <row r="30" spans="1:12" x14ac:dyDescent="0.35">
      <c r="A30" s="199" t="s">
        <v>147</v>
      </c>
      <c r="B30" s="199"/>
      <c r="C30" s="199"/>
      <c r="D30" s="199"/>
      <c r="E30" s="199"/>
      <c r="F30" s="199"/>
      <c r="G30" s="199"/>
      <c r="H30" s="199"/>
      <c r="I30" s="199"/>
    </row>
    <row r="31" spans="1:12" x14ac:dyDescent="0.35">
      <c r="A31" s="17" t="s">
        <v>136</v>
      </c>
      <c r="B31" s="17">
        <v>2018</v>
      </c>
      <c r="C31" s="17">
        <v>2019</v>
      </c>
      <c r="D31" s="17">
        <v>2020</v>
      </c>
      <c r="E31" s="17">
        <v>2021</v>
      </c>
      <c r="F31" s="17">
        <v>2022</v>
      </c>
      <c r="G31" s="17">
        <v>2023</v>
      </c>
      <c r="H31" s="17">
        <v>2024</v>
      </c>
      <c r="I31" s="17">
        <v>2025</v>
      </c>
    </row>
    <row r="32" spans="1:12" x14ac:dyDescent="0.35">
      <c r="A32" s="17" t="s">
        <v>137</v>
      </c>
      <c r="B32" s="17">
        <f>B25-B19</f>
        <v>0</v>
      </c>
      <c r="C32" s="17">
        <f t="shared" ref="C32:I33" si="6">C25-C19</f>
        <v>0</v>
      </c>
      <c r="D32" s="17">
        <f t="shared" si="6"/>
        <v>0</v>
      </c>
      <c r="E32" s="17">
        <f t="shared" si="6"/>
        <v>0</v>
      </c>
      <c r="F32" s="17">
        <f t="shared" si="6"/>
        <v>0</v>
      </c>
      <c r="G32" s="17">
        <f t="shared" si="6"/>
        <v>0</v>
      </c>
      <c r="H32" s="17">
        <f t="shared" si="6"/>
        <v>930.63784587372811</v>
      </c>
      <c r="I32" s="17">
        <f t="shared" si="6"/>
        <v>921.11745305509066</v>
      </c>
    </row>
    <row r="33" spans="1:13" x14ac:dyDescent="0.35">
      <c r="A33" s="17" t="s">
        <v>138</v>
      </c>
      <c r="B33" s="17">
        <f>B26-B20</f>
        <v>0</v>
      </c>
      <c r="C33" s="17">
        <f t="shared" si="6"/>
        <v>0</v>
      </c>
      <c r="D33" s="17">
        <f t="shared" si="6"/>
        <v>0</v>
      </c>
      <c r="E33" s="17">
        <f t="shared" si="6"/>
        <v>0</v>
      </c>
      <c r="F33" s="17">
        <f t="shared" si="6"/>
        <v>0</v>
      </c>
      <c r="G33" s="17">
        <f t="shared" si="6"/>
        <v>0</v>
      </c>
      <c r="H33" s="17">
        <f t="shared" si="6"/>
        <v>70.976350808208963</v>
      </c>
      <c r="I33" s="17">
        <f t="shared" si="6"/>
        <v>79.213917558046006</v>
      </c>
    </row>
    <row r="34" spans="1:13" x14ac:dyDescent="0.35">
      <c r="A34" s="83" t="s">
        <v>140</v>
      </c>
      <c r="B34" s="83">
        <f>B32+B33</f>
        <v>0</v>
      </c>
      <c r="C34" s="83">
        <f t="shared" ref="C34:I34" si="7">C32+C33</f>
        <v>0</v>
      </c>
      <c r="D34" s="83">
        <f t="shared" si="7"/>
        <v>0</v>
      </c>
      <c r="E34" s="83">
        <f t="shared" si="7"/>
        <v>0</v>
      </c>
      <c r="F34" s="83">
        <f t="shared" si="7"/>
        <v>0</v>
      </c>
      <c r="G34" s="83">
        <f t="shared" si="7"/>
        <v>0</v>
      </c>
      <c r="H34" s="83">
        <f t="shared" si="7"/>
        <v>1001.6141966819371</v>
      </c>
      <c r="I34" s="83">
        <f t="shared" si="7"/>
        <v>1000.3313706131366</v>
      </c>
    </row>
    <row r="35" spans="1:13" x14ac:dyDescent="0.35">
      <c r="A35" s="26"/>
      <c r="B35" s="26"/>
      <c r="C35" s="26"/>
      <c r="D35" s="26"/>
      <c r="E35" s="26"/>
      <c r="F35" s="26"/>
      <c r="G35" s="26"/>
      <c r="H35" s="26"/>
      <c r="I35" s="26"/>
    </row>
    <row r="37" spans="1:13" x14ac:dyDescent="0.35">
      <c r="A37" s="196" t="s">
        <v>141</v>
      </c>
      <c r="B37" s="196"/>
      <c r="C37" s="196"/>
      <c r="D37" s="196"/>
      <c r="E37" s="196"/>
      <c r="F37" s="196"/>
      <c r="G37" s="196"/>
      <c r="H37" s="196"/>
      <c r="I37" s="196"/>
    </row>
    <row r="38" spans="1:13" x14ac:dyDescent="0.35">
      <c r="A38" s="25" t="s">
        <v>136</v>
      </c>
      <c r="B38" s="25">
        <v>2018</v>
      </c>
      <c r="C38" s="25">
        <v>2019</v>
      </c>
      <c r="D38" s="25">
        <v>2020</v>
      </c>
      <c r="E38" s="25">
        <v>2021</v>
      </c>
      <c r="F38" s="25">
        <v>2022</v>
      </c>
      <c r="G38" s="25">
        <v>2023</v>
      </c>
      <c r="H38" s="25">
        <v>2024</v>
      </c>
      <c r="I38" s="25">
        <v>2025</v>
      </c>
    </row>
    <row r="39" spans="1:13" x14ac:dyDescent="0.35">
      <c r="A39" s="128" t="s">
        <v>140</v>
      </c>
      <c r="B39" s="128">
        <f>B34*10/100</f>
        <v>0</v>
      </c>
      <c r="C39" s="128">
        <f t="shared" ref="C39:I39" si="8">C34*10/100</f>
        <v>0</v>
      </c>
      <c r="D39" s="128">
        <f t="shared" si="8"/>
        <v>0</v>
      </c>
      <c r="E39" s="128">
        <f t="shared" si="8"/>
        <v>0</v>
      </c>
      <c r="F39" s="128">
        <f t="shared" si="8"/>
        <v>0</v>
      </c>
      <c r="G39" s="128">
        <f t="shared" si="8"/>
        <v>0</v>
      </c>
      <c r="H39" s="128">
        <f t="shared" si="8"/>
        <v>100.1614196681937</v>
      </c>
      <c r="I39" s="128">
        <f t="shared" si="8"/>
        <v>100.03313706131367</v>
      </c>
      <c r="K39" s="133"/>
      <c r="L39" s="133"/>
      <c r="M39" s="134"/>
    </row>
    <row r="40" spans="1:13" x14ac:dyDescent="0.35">
      <c r="A40" s="136"/>
      <c r="B40" s="136"/>
      <c r="C40" s="136"/>
      <c r="D40" s="136"/>
      <c r="E40" s="136"/>
      <c r="F40" s="136"/>
      <c r="G40" s="136"/>
      <c r="H40" s="136"/>
      <c r="I40" s="136"/>
      <c r="K40" s="132"/>
      <c r="L40" s="197" t="s">
        <v>74</v>
      </c>
      <c r="M40" s="197"/>
    </row>
    <row r="41" spans="1:13" x14ac:dyDescent="0.35">
      <c r="A41" s="137"/>
      <c r="B41" s="137"/>
      <c r="C41" s="137"/>
      <c r="D41" s="137"/>
      <c r="E41" s="137"/>
      <c r="F41" s="137"/>
      <c r="G41" s="137"/>
      <c r="H41" s="137"/>
      <c r="I41" s="137"/>
      <c r="K41" s="129" t="s">
        <v>108</v>
      </c>
      <c r="L41" s="129">
        <v>2013</v>
      </c>
      <c r="M41" s="129">
        <v>2017</v>
      </c>
    </row>
    <row r="42" spans="1:13" x14ac:dyDescent="0.35">
      <c r="A42" s="198" t="s">
        <v>141</v>
      </c>
      <c r="B42" s="198"/>
      <c r="C42" s="198"/>
      <c r="D42" s="198"/>
      <c r="E42" s="198"/>
      <c r="F42" s="198"/>
      <c r="G42" s="198"/>
      <c r="H42" s="198"/>
      <c r="I42" s="198"/>
      <c r="K42" s="129" t="s">
        <v>142</v>
      </c>
      <c r="L42" s="130">
        <v>241.62274999999997</v>
      </c>
      <c r="M42" s="130">
        <v>262.17847620627202</v>
      </c>
    </row>
    <row r="43" spans="1:13" x14ac:dyDescent="0.35">
      <c r="A43" s="131" t="s">
        <v>136</v>
      </c>
      <c r="B43" s="131">
        <v>2018</v>
      </c>
      <c r="C43" s="131">
        <v>2019</v>
      </c>
      <c r="D43" s="131">
        <v>2020</v>
      </c>
      <c r="E43" s="131">
        <v>2021</v>
      </c>
      <c r="F43" s="131">
        <v>2022</v>
      </c>
      <c r="G43" s="131">
        <v>2023</v>
      </c>
      <c r="H43" s="131">
        <v>2024</v>
      </c>
      <c r="I43" s="131">
        <v>2025</v>
      </c>
    </row>
    <row r="44" spans="1:13" x14ac:dyDescent="0.35">
      <c r="A44" s="102" t="s">
        <v>143</v>
      </c>
      <c r="B44" s="102">
        <f>B39*($M$42/$L$42)</f>
        <v>0</v>
      </c>
      <c r="C44" s="102">
        <f t="shared" ref="C44:I44" si="9">C39*($M$42/$L$42)</f>
        <v>0</v>
      </c>
      <c r="D44" s="102">
        <f t="shared" si="9"/>
        <v>0</v>
      </c>
      <c r="E44" s="102">
        <f t="shared" si="9"/>
        <v>0</v>
      </c>
      <c r="F44" s="102">
        <f t="shared" si="9"/>
        <v>0</v>
      </c>
      <c r="G44" s="102">
        <f t="shared" si="9"/>
        <v>0</v>
      </c>
      <c r="H44" s="102">
        <f t="shared" si="9"/>
        <v>108.68251596037192</v>
      </c>
      <c r="I44" s="102">
        <f t="shared" si="9"/>
        <v>108.54331988551732</v>
      </c>
      <c r="K44" s="135"/>
      <c r="L44" s="135"/>
    </row>
    <row r="45" spans="1:13" x14ac:dyDescent="0.35">
      <c r="A45" s="102" t="s">
        <v>145</v>
      </c>
      <c r="B45" s="102">
        <f t="shared" ref="B45:I45" si="10">B44*10^6</f>
        <v>0</v>
      </c>
      <c r="C45" s="102">
        <f t="shared" si="10"/>
        <v>0</v>
      </c>
      <c r="D45" s="102">
        <f t="shared" si="10"/>
        <v>0</v>
      </c>
      <c r="E45" s="102">
        <f t="shared" si="10"/>
        <v>0</v>
      </c>
      <c r="F45" s="102">
        <f t="shared" si="10"/>
        <v>0</v>
      </c>
      <c r="G45" s="102">
        <f t="shared" si="10"/>
        <v>0</v>
      </c>
      <c r="H45" s="102">
        <f t="shared" si="10"/>
        <v>108682515.96037191</v>
      </c>
      <c r="I45" s="102">
        <f t="shared" si="10"/>
        <v>108543319.88551731</v>
      </c>
    </row>
  </sheetData>
  <mergeCells count="9">
    <mergeCell ref="A37:I37"/>
    <mergeCell ref="L40:M40"/>
    <mergeCell ref="A42:I42"/>
    <mergeCell ref="A23:I23"/>
    <mergeCell ref="A3:A4"/>
    <mergeCell ref="E3:J3"/>
    <mergeCell ref="A5:J5"/>
    <mergeCell ref="A17:L17"/>
    <mergeCell ref="A30:I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L18" sqref="L18"/>
    </sheetView>
  </sheetViews>
  <sheetFormatPr defaultRowHeight="14.5" x14ac:dyDescent="0.35"/>
  <cols>
    <col min="1" max="1" width="71.26953125" customWidth="1"/>
    <col min="2" max="2" width="13.1796875" customWidth="1"/>
    <col min="3" max="3" width="11.81640625" customWidth="1"/>
    <col min="4" max="4" width="16.1796875" customWidth="1"/>
    <col min="5" max="5" width="16" customWidth="1"/>
    <col min="6" max="6" width="14.453125" customWidth="1"/>
    <col min="7" max="7" width="15.1796875" customWidth="1"/>
    <col min="8" max="8" width="16.7265625" customWidth="1"/>
    <col min="9" max="9" width="15.81640625" customWidth="1"/>
    <col min="10" max="10" width="30.26953125" customWidth="1"/>
  </cols>
  <sheetData>
    <row r="1" spans="1:10" ht="18.5" x14ac:dyDescent="0.45">
      <c r="A1" s="73" t="s">
        <v>148</v>
      </c>
    </row>
    <row r="3" spans="1:10" ht="15.5" x14ac:dyDescent="0.35">
      <c r="A3" s="172" t="s">
        <v>150</v>
      </c>
      <c r="B3" s="3"/>
      <c r="C3" s="3"/>
      <c r="D3" s="3"/>
      <c r="E3" s="174" t="s">
        <v>0</v>
      </c>
      <c r="F3" s="174"/>
      <c r="G3" s="174"/>
      <c r="H3" s="174"/>
      <c r="I3" s="174"/>
      <c r="J3" s="174"/>
    </row>
    <row r="4" spans="1:10" ht="15.5" x14ac:dyDescent="0.35">
      <c r="A4" s="172"/>
      <c r="B4" s="4">
        <v>2018</v>
      </c>
      <c r="C4" s="4">
        <v>2019</v>
      </c>
      <c r="D4" s="4">
        <v>2020</v>
      </c>
      <c r="E4" s="4">
        <v>2021</v>
      </c>
      <c r="F4" s="4">
        <v>2022</v>
      </c>
      <c r="G4" s="4">
        <v>2023</v>
      </c>
      <c r="H4" s="4">
        <v>2024</v>
      </c>
      <c r="I4" s="4">
        <v>2025</v>
      </c>
      <c r="J4" s="4" t="s">
        <v>21</v>
      </c>
    </row>
    <row r="5" spans="1:10" ht="15.5" x14ac:dyDescent="0.35">
      <c r="A5" s="175" t="s">
        <v>3</v>
      </c>
      <c r="B5" s="176"/>
      <c r="C5" s="176"/>
      <c r="D5" s="176"/>
      <c r="E5" s="176"/>
      <c r="F5" s="176"/>
      <c r="G5" s="176"/>
      <c r="H5" s="176"/>
      <c r="I5" s="176"/>
      <c r="J5" s="177"/>
    </row>
    <row r="6" spans="1:10" x14ac:dyDescent="0.35">
      <c r="A6" s="6" t="s">
        <v>5</v>
      </c>
      <c r="B6" s="1">
        <v>0</v>
      </c>
      <c r="C6" s="1">
        <v>0</v>
      </c>
      <c r="D6" s="1">
        <v>0</v>
      </c>
      <c r="E6" s="1">
        <f>1173.56*70*(262.178/246.055)</f>
        <v>87532.108502570569</v>
      </c>
      <c r="F6" s="1">
        <f>1173.56*(70+35)*(262.178/246.055)</f>
        <v>131298.16275385584</v>
      </c>
      <c r="G6" s="1">
        <f t="shared" ref="G6:I6" si="0">1173.56*(70+35)*(262.178/246.055)</f>
        <v>131298.16275385584</v>
      </c>
      <c r="H6" s="1">
        <f t="shared" si="0"/>
        <v>131298.16275385584</v>
      </c>
      <c r="I6" s="1">
        <f t="shared" si="0"/>
        <v>131298.16275385584</v>
      </c>
      <c r="J6" s="1">
        <f t="shared" ref="J6:J11" si="1">SUM(B6:I6)</f>
        <v>612724.75951799389</v>
      </c>
    </row>
    <row r="7" spans="1:10" x14ac:dyDescent="0.35">
      <c r="A7" s="6" t="s">
        <v>4</v>
      </c>
      <c r="B7" s="1">
        <v>0</v>
      </c>
      <c r="C7" s="1">
        <v>0</v>
      </c>
      <c r="D7" s="1">
        <v>0</v>
      </c>
      <c r="E7" s="1">
        <f>(36448.5*39+12276.6*47)*(262.178/246.055)</f>
        <v>2129444.8677027496</v>
      </c>
      <c r="F7" s="1">
        <f>(36448.5*39+12276.6*(47+45))*(262.178/246.055)</f>
        <v>2718091.5099819149</v>
      </c>
      <c r="G7" s="1">
        <f t="shared" ref="G7:I7" si="2">(36448.5*39+12276.6*(47+45))*(262.178/246.055)</f>
        <v>2718091.5099819149</v>
      </c>
      <c r="H7" s="1">
        <f t="shared" si="2"/>
        <v>2718091.5099819149</v>
      </c>
      <c r="I7" s="1">
        <f t="shared" si="2"/>
        <v>2718091.5099819149</v>
      </c>
      <c r="J7" s="1">
        <f t="shared" si="1"/>
        <v>13001810.90763041</v>
      </c>
    </row>
    <row r="8" spans="1:10" x14ac:dyDescent="0.35">
      <c r="A8" s="6" t="s">
        <v>6</v>
      </c>
      <c r="B8" s="1">
        <v>0</v>
      </c>
      <c r="C8" s="1">
        <v>0</v>
      </c>
      <c r="D8" s="1">
        <v>890991</v>
      </c>
      <c r="E8" s="1">
        <v>890991</v>
      </c>
      <c r="F8" s="2">
        <v>890991</v>
      </c>
      <c r="G8" s="2">
        <v>890991</v>
      </c>
      <c r="H8" s="2">
        <v>915204</v>
      </c>
      <c r="I8" s="2">
        <v>915204</v>
      </c>
      <c r="J8" s="1">
        <f t="shared" si="1"/>
        <v>5394372</v>
      </c>
    </row>
    <row r="9" spans="1:10" x14ac:dyDescent="0.35">
      <c r="A9" s="6" t="s">
        <v>7</v>
      </c>
      <c r="B9" s="1">
        <v>0</v>
      </c>
      <c r="C9" s="1">
        <v>0</v>
      </c>
      <c r="D9" s="1">
        <v>0</v>
      </c>
      <c r="E9" s="1">
        <f>(1411*42)/2</f>
        <v>29631</v>
      </c>
      <c r="F9" s="1">
        <v>0</v>
      </c>
      <c r="G9" s="1">
        <v>0</v>
      </c>
      <c r="H9" s="1">
        <f>(1411*42)/2</f>
        <v>29631</v>
      </c>
      <c r="I9" s="1">
        <v>0</v>
      </c>
      <c r="J9" s="1">
        <f t="shared" si="1"/>
        <v>59262</v>
      </c>
    </row>
    <row r="10" spans="1:10" ht="15.5" x14ac:dyDescent="0.35">
      <c r="A10" s="12" t="s">
        <v>8</v>
      </c>
      <c r="B10" s="7">
        <v>0</v>
      </c>
      <c r="C10" s="7">
        <v>0</v>
      </c>
      <c r="D10" s="7">
        <v>0</v>
      </c>
      <c r="E10" s="8">
        <v>884.34436757874016</v>
      </c>
      <c r="F10" s="8">
        <v>1722</v>
      </c>
      <c r="G10" s="8">
        <v>2467</v>
      </c>
      <c r="H10" s="8">
        <v>4142</v>
      </c>
      <c r="I10" s="8">
        <v>4887</v>
      </c>
      <c r="J10" s="7">
        <f t="shared" si="1"/>
        <v>14102.34436757874</v>
      </c>
    </row>
    <row r="11" spans="1:10" ht="15.5" x14ac:dyDescent="0.35">
      <c r="A11" s="24" t="s">
        <v>9</v>
      </c>
      <c r="B11" s="7">
        <v>0</v>
      </c>
      <c r="C11" s="7">
        <v>0</v>
      </c>
      <c r="D11" s="7">
        <v>0</v>
      </c>
      <c r="E11" s="13">
        <v>72905</v>
      </c>
      <c r="F11" s="13">
        <v>91527</v>
      </c>
      <c r="G11" s="13">
        <v>68529</v>
      </c>
      <c r="H11" s="13">
        <v>68529</v>
      </c>
      <c r="I11" s="13">
        <v>68529</v>
      </c>
      <c r="J11" s="7">
        <f t="shared" si="1"/>
        <v>370019</v>
      </c>
    </row>
    <row r="12" spans="1:10" ht="15.5" x14ac:dyDescent="0.35">
      <c r="A12" s="175" t="s">
        <v>2</v>
      </c>
      <c r="B12" s="176"/>
      <c r="C12" s="176"/>
      <c r="D12" s="176"/>
      <c r="E12" s="176"/>
      <c r="F12" s="176"/>
      <c r="G12" s="176"/>
      <c r="H12" s="176"/>
      <c r="I12" s="176"/>
      <c r="J12" s="177"/>
    </row>
    <row r="13" spans="1:10" x14ac:dyDescent="0.35">
      <c r="A13" s="9" t="s">
        <v>10</v>
      </c>
      <c r="B13" s="1">
        <v>0</v>
      </c>
      <c r="C13" s="1">
        <v>0</v>
      </c>
      <c r="D13" s="1">
        <v>0</v>
      </c>
      <c r="E13" s="2">
        <v>2772000</v>
      </c>
      <c r="F13" s="2">
        <v>2987919</v>
      </c>
      <c r="G13" s="2">
        <v>3247925</v>
      </c>
      <c r="H13" s="2">
        <v>3403746</v>
      </c>
      <c r="I13" s="2">
        <v>854288</v>
      </c>
      <c r="J13" s="1">
        <f>SUM(B13:I13)</f>
        <v>13265878</v>
      </c>
    </row>
    <row r="14" spans="1:10" x14ac:dyDescent="0.35">
      <c r="A14" s="9" t="s">
        <v>11</v>
      </c>
      <c r="B14" s="1">
        <v>0</v>
      </c>
      <c r="C14" s="1">
        <v>0</v>
      </c>
      <c r="D14" s="1">
        <v>0</v>
      </c>
      <c r="E14" s="2">
        <f>57502*((5+10)/2)</f>
        <v>431265</v>
      </c>
      <c r="F14" s="2">
        <f t="shared" ref="F14:G14" si="3">57502*((5+10)/2)</f>
        <v>431265</v>
      </c>
      <c r="G14" s="2">
        <f t="shared" si="3"/>
        <v>431265</v>
      </c>
      <c r="H14" s="2">
        <f>57502*((15+20)/2)</f>
        <v>1006285</v>
      </c>
      <c r="I14" s="2">
        <f t="shared" ref="I14" si="4">57502*((15+20)/2)</f>
        <v>1006285</v>
      </c>
      <c r="J14" s="1">
        <f>SUM(B14:I14)</f>
        <v>3306365</v>
      </c>
    </row>
    <row r="15" spans="1:10" ht="28.5" customHeight="1" x14ac:dyDescent="0.35">
      <c r="A15" s="139" t="s">
        <v>151</v>
      </c>
      <c r="B15" s="1">
        <v>0</v>
      </c>
      <c r="C15" s="1">
        <v>0</v>
      </c>
      <c r="D15" s="1">
        <v>0</v>
      </c>
      <c r="E15" s="1">
        <v>0</v>
      </c>
      <c r="F15" s="1">
        <v>0</v>
      </c>
      <c r="G15" s="1">
        <v>0</v>
      </c>
      <c r="H15" s="1">
        <v>0</v>
      </c>
      <c r="I15" s="1">
        <v>0</v>
      </c>
      <c r="J15" s="1">
        <f>SUM(B15:I15)</f>
        <v>0</v>
      </c>
    </row>
    <row r="16" spans="1:10" ht="15.5" x14ac:dyDescent="0.35">
      <c r="A16" s="15" t="s">
        <v>14</v>
      </c>
      <c r="B16" s="7">
        <v>0</v>
      </c>
      <c r="C16" s="7">
        <v>0</v>
      </c>
      <c r="D16" s="7">
        <v>0</v>
      </c>
      <c r="E16" s="7">
        <v>298109.77404930029</v>
      </c>
      <c r="F16" s="7">
        <v>123920.30666490144</v>
      </c>
      <c r="G16" s="7">
        <v>124005.89471591171</v>
      </c>
      <c r="H16" s="7">
        <v>124089.03542417458</v>
      </c>
      <c r="I16" s="7">
        <v>124174.53093048435</v>
      </c>
      <c r="J16" s="7">
        <f>SUM(B16:I16)</f>
        <v>794299.54178477242</v>
      </c>
    </row>
    <row r="17" spans="1:10" ht="15.5" x14ac:dyDescent="0.35">
      <c r="A17" s="142" t="s">
        <v>153</v>
      </c>
      <c r="B17" s="141">
        <f>SUM(B6:B11,B13:B16)*87.5%</f>
        <v>0</v>
      </c>
      <c r="C17" s="141">
        <f t="shared" ref="C17:I17" si="5">SUM(C6:C11,C13:C16)*87.5%</f>
        <v>0</v>
      </c>
      <c r="D17" s="141">
        <f t="shared" si="5"/>
        <v>779617.125</v>
      </c>
      <c r="E17" s="141">
        <f t="shared" si="5"/>
        <v>5873667.7077944241</v>
      </c>
      <c r="F17" s="141">
        <f t="shared" si="5"/>
        <v>6454642.2319755889</v>
      </c>
      <c r="G17" s="141">
        <f t="shared" si="5"/>
        <v>6662750.9965202222</v>
      </c>
      <c r="H17" s="141">
        <f t="shared" si="5"/>
        <v>7350888.7446399527</v>
      </c>
      <c r="I17" s="141">
        <f t="shared" si="5"/>
        <v>5094912.5532079739</v>
      </c>
      <c r="J17" s="141">
        <f>SUM(B17:I17)</f>
        <v>32216479.359138161</v>
      </c>
    </row>
    <row r="18" spans="1:10" ht="62" x14ac:dyDescent="0.35">
      <c r="A18" s="140" t="s">
        <v>152</v>
      </c>
      <c r="B18" s="141">
        <v>0</v>
      </c>
      <c r="C18" s="141">
        <v>0</v>
      </c>
      <c r="D18" s="141">
        <v>0</v>
      </c>
      <c r="E18" s="141">
        <v>0</v>
      </c>
      <c r="F18" s="141">
        <v>0</v>
      </c>
      <c r="G18" s="141">
        <v>0</v>
      </c>
      <c r="H18" s="141">
        <v>95097201.465325415</v>
      </c>
      <c r="I18" s="141">
        <v>94975404.899827644</v>
      </c>
      <c r="J18" s="141">
        <v>190072606.36515307</v>
      </c>
    </row>
    <row r="19" spans="1:10" ht="21" x14ac:dyDescent="0.35">
      <c r="A19" s="10" t="s">
        <v>149</v>
      </c>
      <c r="B19" s="11">
        <f>SUM(B17:B18)</f>
        <v>0</v>
      </c>
      <c r="C19" s="11">
        <f t="shared" ref="C19:I19" si="6">SUM(C17:C18)</f>
        <v>0</v>
      </c>
      <c r="D19" s="11">
        <f t="shared" si="6"/>
        <v>779617.125</v>
      </c>
      <c r="E19" s="11">
        <f t="shared" si="6"/>
        <v>5873667.7077944241</v>
      </c>
      <c r="F19" s="11">
        <f t="shared" si="6"/>
        <v>6454642.2319755889</v>
      </c>
      <c r="G19" s="11">
        <f t="shared" si="6"/>
        <v>6662750.9965202222</v>
      </c>
      <c r="H19" s="11">
        <f t="shared" si="6"/>
        <v>102448090.20996536</v>
      </c>
      <c r="I19" s="11">
        <f t="shared" si="6"/>
        <v>100070317.45303562</v>
      </c>
      <c r="J19" s="11">
        <f>SUM(B19:I19)</f>
        <v>222289085.72429121</v>
      </c>
    </row>
  </sheetData>
  <mergeCells count="4">
    <mergeCell ref="A3:A4"/>
    <mergeCell ref="E3:J3"/>
    <mergeCell ref="A5:J5"/>
    <mergeCell ref="A12:J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Preferred Alternative</vt:lpstr>
      <vt:lpstr>Cert. &amp; Labelling </vt:lpstr>
      <vt:lpstr>CA Credit Tracking</vt:lpstr>
      <vt:lpstr>AC Reporting</vt:lpstr>
      <vt:lpstr>Low-GWP Cost</vt:lpstr>
      <vt:lpstr>2b-3 Consumer Window Label</vt:lpstr>
      <vt:lpstr>CARB PYs</vt:lpstr>
      <vt:lpstr>Alternative 1</vt:lpstr>
      <vt:lpstr>Alternative 2</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 Ho</dc:creator>
  <cp:lastModifiedBy>Ramesh, Utpala@ARB</cp:lastModifiedBy>
  <dcterms:created xsi:type="dcterms:W3CDTF">2017-12-07T22:21:02Z</dcterms:created>
  <dcterms:modified xsi:type="dcterms:W3CDTF">2020-06-30T18:28:09Z</dcterms:modified>
</cp:coreProperties>
</file>