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5600" windowHeight="11760" tabRatio="764"/>
  </bookViews>
  <sheets>
    <sheet name="Cost Summary" sheetId="20" r:id="rId1"/>
    <sheet name="No VDECS $ PV" sheetId="21" r:id="rId2"/>
    <sheet name="Low-Use $ PV" sheetId="22" r:id="rId3"/>
    <sheet name="FEL $ PV" sheetId="23" r:id="rId4"/>
    <sheet name="Opacity $ PV" sheetId="24" r:id="rId5"/>
    <sheet name="$$$ Replace &amp; Retrofit" sheetId="19" r:id="rId6"/>
    <sheet name="Low-Thruput Port CHE" sheetId="5" r:id="rId7"/>
    <sheet name="Low-Thruput Port Off-Road" sheetId="4" r:id="rId8"/>
    <sheet name="Tables 399" sheetId="2" r:id="rId9"/>
    <sheet name="Form 399 Data" sheetId="1" r:id="rId10"/>
    <sheet name="CHE Model poplulation" sheetId="16" r:id="rId11"/>
    <sheet name="CHE Pop Amend &amp; HP" sheetId="17" r:id="rId12"/>
    <sheet name="CHE Pop VDECS by year" sheetId="18" r:id="rId13"/>
  </sheets>
  <externalReferences>
    <externalReference r:id="rId14"/>
  </externalReferences>
  <definedNames>
    <definedName name="_xlnm.Print_Area" localSheetId="3">'FEL $ PV'!$A$13:$H$26</definedName>
    <definedName name="_xlnm.Print_Area" localSheetId="6">'Low-Thruput Port CHE'!$A$1:$W$39</definedName>
    <definedName name="_xlnm.Print_Area" localSheetId="7">'Low-Thruput Port Off-Road'!$A$1:$CM$39</definedName>
    <definedName name="_xlnm.Print_Area" localSheetId="2">'Low-Use $ PV'!$A$13:$H$39</definedName>
    <definedName name="_xlnm.Print_Area" localSheetId="1">'No VDECS $ PV'!$A$13:$H$39</definedName>
  </definedNames>
  <calcPr calcId="144525"/>
</workbook>
</file>

<file path=xl/calcChain.xml><?xml version="1.0" encoding="utf-8"?>
<calcChain xmlns="http://schemas.openxmlformats.org/spreadsheetml/2006/main">
  <c r="F36" i="24" l="1"/>
  <c r="G36" i="24" s="1"/>
  <c r="F35" i="24"/>
  <c r="G35" i="24" s="1"/>
  <c r="F34" i="24"/>
  <c r="G34" i="24" s="1"/>
  <c r="F33" i="24"/>
  <c r="G33" i="24" s="1"/>
  <c r="F32" i="24"/>
  <c r="G32" i="24" s="1"/>
  <c r="F31" i="24"/>
  <c r="G31" i="24" s="1"/>
  <c r="F30" i="24"/>
  <c r="G30" i="24" s="1"/>
  <c r="F29" i="24"/>
  <c r="G29" i="24" s="1"/>
  <c r="F28" i="24"/>
  <c r="G28" i="24" s="1"/>
  <c r="G37" i="24" s="1"/>
  <c r="F19" i="24"/>
  <c r="F17" i="24"/>
  <c r="F18" i="24" s="1"/>
  <c r="G14" i="24"/>
  <c r="F14" i="24"/>
  <c r="G13" i="24"/>
  <c r="F13" i="24"/>
  <c r="G12" i="24"/>
  <c r="F12" i="24"/>
  <c r="G11" i="24"/>
  <c r="F11" i="24"/>
  <c r="G10" i="24"/>
  <c r="F10" i="24"/>
  <c r="G9" i="24"/>
  <c r="F9" i="24"/>
  <c r="G8" i="24"/>
  <c r="F8" i="24"/>
  <c r="G7" i="24"/>
  <c r="F7" i="24"/>
  <c r="G6" i="24"/>
  <c r="G15" i="24" s="1"/>
  <c r="F6" i="24"/>
  <c r="F11" i="23"/>
  <c r="E11" i="23"/>
  <c r="D11" i="23"/>
  <c r="C11" i="23"/>
  <c r="B11" i="23"/>
  <c r="N8" i="23"/>
  <c r="M8" i="23"/>
  <c r="L8" i="23"/>
  <c r="K8" i="23"/>
  <c r="O8" i="23" s="1"/>
  <c r="J8" i="23"/>
  <c r="N7" i="23"/>
  <c r="M7" i="23"/>
  <c r="L7" i="23"/>
  <c r="K7" i="23"/>
  <c r="O7" i="23" s="1"/>
  <c r="J7" i="23"/>
  <c r="N6" i="23"/>
  <c r="M6" i="23"/>
  <c r="L6" i="23"/>
  <c r="K6" i="23"/>
  <c r="O6" i="23" s="1"/>
  <c r="J6" i="23"/>
  <c r="N5" i="23"/>
  <c r="M5" i="23"/>
  <c r="L5" i="23"/>
  <c r="K5" i="23"/>
  <c r="O5" i="23" s="1"/>
  <c r="J5" i="23"/>
  <c r="N4" i="23"/>
  <c r="N11" i="23" s="1"/>
  <c r="M4" i="23"/>
  <c r="M11" i="23" s="1"/>
  <c r="L4" i="23"/>
  <c r="L11" i="23" s="1"/>
  <c r="K4" i="23"/>
  <c r="O4" i="23" s="1"/>
  <c r="O11" i="23" s="1"/>
  <c r="J4" i="23"/>
  <c r="J11" i="23" s="1"/>
  <c r="F36" i="22"/>
  <c r="E36" i="22"/>
  <c r="D36" i="22"/>
  <c r="C36" i="22"/>
  <c r="G36" i="22" s="1"/>
  <c r="H36" i="22" s="1"/>
  <c r="B36" i="22"/>
  <c r="F11" i="22"/>
  <c r="E11" i="22"/>
  <c r="D11" i="22"/>
  <c r="C11" i="22"/>
  <c r="B11" i="22"/>
  <c r="G37" i="21"/>
  <c r="H37" i="21" s="1"/>
  <c r="G36" i="21"/>
  <c r="H36" i="21" s="1"/>
  <c r="H35" i="21"/>
  <c r="O22" i="21"/>
  <c r="H22" i="21"/>
  <c r="L22" i="21" s="1"/>
  <c r="O20" i="21" s="1"/>
  <c r="K20" i="21"/>
  <c r="O11" i="21"/>
  <c r="F11" i="21"/>
  <c r="E11" i="21"/>
  <c r="D11" i="21"/>
  <c r="C11" i="21"/>
  <c r="B11" i="21"/>
  <c r="N9" i="21"/>
  <c r="M9" i="21"/>
  <c r="L9" i="21"/>
  <c r="K9" i="21"/>
  <c r="P9" i="21" s="1"/>
  <c r="N8" i="21"/>
  <c r="M8" i="21"/>
  <c r="L8" i="21"/>
  <c r="K8" i="21"/>
  <c r="P8" i="21" s="1"/>
  <c r="N7" i="21"/>
  <c r="M7" i="21"/>
  <c r="L7" i="21"/>
  <c r="K7" i="21"/>
  <c r="P7" i="21" s="1"/>
  <c r="N6" i="21"/>
  <c r="M6" i="21"/>
  <c r="L6" i="21"/>
  <c r="K6" i="21"/>
  <c r="P6" i="21" s="1"/>
  <c r="N5" i="21"/>
  <c r="N11" i="21" s="1"/>
  <c r="M5" i="21"/>
  <c r="M11" i="21" s="1"/>
  <c r="L5" i="21"/>
  <c r="L11" i="21" s="1"/>
  <c r="K5" i="21"/>
  <c r="K11" i="21" s="1"/>
  <c r="D7" i="20"/>
  <c r="C41" i="19"/>
  <c r="E33" i="19"/>
  <c r="D33" i="19"/>
  <c r="C33" i="19"/>
  <c r="M32" i="19"/>
  <c r="N32" i="19" s="1"/>
  <c r="L32" i="19"/>
  <c r="J1400" i="18"/>
  <c r="H1400" i="18"/>
  <c r="G1400" i="18"/>
  <c r="J1399" i="18"/>
  <c r="H1399" i="18"/>
  <c r="G1399" i="18"/>
  <c r="J1398" i="18"/>
  <c r="H1398" i="18"/>
  <c r="G1398" i="18"/>
  <c r="J1397" i="18"/>
  <c r="H1397" i="18"/>
  <c r="G1397" i="18"/>
  <c r="J1396" i="18"/>
  <c r="H1396" i="18"/>
  <c r="G1396" i="18"/>
  <c r="J1395" i="18"/>
  <c r="H1395" i="18"/>
  <c r="G1395" i="18"/>
  <c r="J1394" i="18"/>
  <c r="H1394" i="18"/>
  <c r="G1394" i="18"/>
  <c r="J1393" i="18"/>
  <c r="H1393" i="18"/>
  <c r="G1393" i="18"/>
  <c r="J1392" i="18"/>
  <c r="H1392" i="18"/>
  <c r="G1392" i="18"/>
  <c r="J1391" i="18"/>
  <c r="H1391" i="18"/>
  <c r="G1391" i="18"/>
  <c r="J1390" i="18"/>
  <c r="H1390" i="18"/>
  <c r="G1390" i="18"/>
  <c r="J1389" i="18"/>
  <c r="H1389" i="18"/>
  <c r="G1389" i="18"/>
  <c r="J1388" i="18"/>
  <c r="H1388" i="18"/>
  <c r="G1388" i="18"/>
  <c r="J1387" i="18"/>
  <c r="H1387" i="18"/>
  <c r="G1387" i="18"/>
  <c r="J1386" i="18"/>
  <c r="H1386" i="18"/>
  <c r="G1386" i="18"/>
  <c r="J1385" i="18"/>
  <c r="H1385" i="18"/>
  <c r="G1385" i="18"/>
  <c r="J1384" i="18"/>
  <c r="H1384" i="18"/>
  <c r="G1384" i="18"/>
  <c r="J1383" i="18"/>
  <c r="H1383" i="18"/>
  <c r="G1383" i="18"/>
  <c r="J1382" i="18"/>
  <c r="H1382" i="18"/>
  <c r="G1382" i="18"/>
  <c r="J1381" i="18"/>
  <c r="H1381" i="18"/>
  <c r="G1381" i="18"/>
  <c r="J1380" i="18"/>
  <c r="H1380" i="18"/>
  <c r="G1380" i="18"/>
  <c r="J1379" i="18"/>
  <c r="M1405" i="18" s="1"/>
  <c r="H1379" i="18"/>
  <c r="K1405" i="18" s="1"/>
  <c r="G1379" i="18"/>
  <c r="J1373" i="18"/>
  <c r="H1373" i="18"/>
  <c r="G1373" i="18"/>
  <c r="J1372" i="18"/>
  <c r="H1372" i="18"/>
  <c r="G1372" i="18"/>
  <c r="J1371" i="18"/>
  <c r="H1371" i="18"/>
  <c r="G1371" i="18"/>
  <c r="J1370" i="18"/>
  <c r="H1370" i="18"/>
  <c r="G1370" i="18"/>
  <c r="J1369" i="18"/>
  <c r="H1369" i="18"/>
  <c r="G1369" i="18"/>
  <c r="J1368" i="18"/>
  <c r="H1368" i="18"/>
  <c r="G1368" i="18"/>
  <c r="J1367" i="18"/>
  <c r="H1367" i="18"/>
  <c r="G1367" i="18"/>
  <c r="J1366" i="18"/>
  <c r="H1366" i="18"/>
  <c r="G1366" i="18"/>
  <c r="J1365" i="18"/>
  <c r="H1365" i="18"/>
  <c r="G1365" i="18"/>
  <c r="J1364" i="18"/>
  <c r="H1364" i="18"/>
  <c r="G1364" i="18"/>
  <c r="J1363" i="18"/>
  <c r="H1363" i="18"/>
  <c r="G1363" i="18"/>
  <c r="J1362" i="18"/>
  <c r="H1362" i="18"/>
  <c r="G1362" i="18"/>
  <c r="J1361" i="18"/>
  <c r="H1361" i="18"/>
  <c r="G1361" i="18"/>
  <c r="J1360" i="18"/>
  <c r="H1360" i="18"/>
  <c r="G1360" i="18"/>
  <c r="J1359" i="18"/>
  <c r="H1359" i="18"/>
  <c r="G1359" i="18"/>
  <c r="J1358" i="18"/>
  <c r="H1358" i="18"/>
  <c r="G1358" i="18"/>
  <c r="J1357" i="18"/>
  <c r="H1357" i="18"/>
  <c r="G1357" i="18"/>
  <c r="J1356" i="18"/>
  <c r="H1356" i="18"/>
  <c r="G1356" i="18"/>
  <c r="J1355" i="18"/>
  <c r="H1355" i="18"/>
  <c r="G1355" i="18"/>
  <c r="J1354" i="18"/>
  <c r="H1354" i="18"/>
  <c r="G1354" i="18"/>
  <c r="J1353" i="18"/>
  <c r="H1353" i="18"/>
  <c r="G1353" i="18"/>
  <c r="J1352" i="18"/>
  <c r="M1378" i="18" s="1"/>
  <c r="H1352" i="18"/>
  <c r="K1378" i="18" s="1"/>
  <c r="G1352" i="18"/>
  <c r="J1346" i="18"/>
  <c r="H1346" i="18"/>
  <c r="G1346" i="18"/>
  <c r="J1345" i="18"/>
  <c r="H1345" i="18"/>
  <c r="G1345" i="18"/>
  <c r="J1344" i="18"/>
  <c r="H1344" i="18"/>
  <c r="G1344" i="18"/>
  <c r="J1343" i="18"/>
  <c r="H1343" i="18"/>
  <c r="G1343" i="18"/>
  <c r="J1342" i="18"/>
  <c r="H1342" i="18"/>
  <c r="G1342" i="18"/>
  <c r="J1341" i="18"/>
  <c r="H1341" i="18"/>
  <c r="G1341" i="18"/>
  <c r="J1340" i="18"/>
  <c r="H1340" i="18"/>
  <c r="G1340" i="18"/>
  <c r="J1339" i="18"/>
  <c r="H1339" i="18"/>
  <c r="G1339" i="18"/>
  <c r="J1338" i="18"/>
  <c r="H1338" i="18"/>
  <c r="G1338" i="18"/>
  <c r="J1337" i="18"/>
  <c r="H1337" i="18"/>
  <c r="G1337" i="18"/>
  <c r="J1336" i="18"/>
  <c r="H1336" i="18"/>
  <c r="G1336" i="18"/>
  <c r="J1335" i="18"/>
  <c r="H1335" i="18"/>
  <c r="G1335" i="18"/>
  <c r="J1334" i="18"/>
  <c r="H1334" i="18"/>
  <c r="G1334" i="18"/>
  <c r="J1333" i="18"/>
  <c r="H1333" i="18"/>
  <c r="G1333" i="18"/>
  <c r="J1332" i="18"/>
  <c r="H1332" i="18"/>
  <c r="G1332" i="18"/>
  <c r="J1331" i="18"/>
  <c r="H1331" i="18"/>
  <c r="G1331" i="18"/>
  <c r="J1330" i="18"/>
  <c r="H1330" i="18"/>
  <c r="G1330" i="18"/>
  <c r="J1329" i="18"/>
  <c r="H1329" i="18"/>
  <c r="G1329" i="18"/>
  <c r="J1328" i="18"/>
  <c r="H1328" i="18"/>
  <c r="G1328" i="18"/>
  <c r="J1327" i="18"/>
  <c r="H1327" i="18"/>
  <c r="G1327" i="18"/>
  <c r="J1326" i="18"/>
  <c r="H1326" i="18"/>
  <c r="G1326" i="18"/>
  <c r="J1325" i="18"/>
  <c r="M1351" i="18" s="1"/>
  <c r="H1325" i="18"/>
  <c r="K1351" i="18" s="1"/>
  <c r="G1325" i="18"/>
  <c r="J1319" i="18"/>
  <c r="H1319" i="18"/>
  <c r="G1319" i="18"/>
  <c r="J1318" i="18"/>
  <c r="H1318" i="18"/>
  <c r="G1318" i="18"/>
  <c r="J1317" i="18"/>
  <c r="H1317" i="18"/>
  <c r="G1317" i="18"/>
  <c r="J1316" i="18"/>
  <c r="H1316" i="18"/>
  <c r="G1316" i="18"/>
  <c r="J1315" i="18"/>
  <c r="H1315" i="18"/>
  <c r="G1315" i="18"/>
  <c r="J1314" i="18"/>
  <c r="H1314" i="18"/>
  <c r="G1314" i="18"/>
  <c r="J1313" i="18"/>
  <c r="H1313" i="18"/>
  <c r="G1313" i="18"/>
  <c r="J1312" i="18"/>
  <c r="H1312" i="18"/>
  <c r="G1312" i="18"/>
  <c r="J1311" i="18"/>
  <c r="H1311" i="18"/>
  <c r="G1311" i="18"/>
  <c r="J1310" i="18"/>
  <c r="H1310" i="18"/>
  <c r="G1310" i="18"/>
  <c r="J1309" i="18"/>
  <c r="H1309" i="18"/>
  <c r="G1309" i="18"/>
  <c r="J1308" i="18"/>
  <c r="H1308" i="18"/>
  <c r="G1308" i="18"/>
  <c r="J1307" i="18"/>
  <c r="H1307" i="18"/>
  <c r="G1307" i="18"/>
  <c r="J1306" i="18"/>
  <c r="H1306" i="18"/>
  <c r="G1306" i="18"/>
  <c r="J1305" i="18"/>
  <c r="H1305" i="18"/>
  <c r="G1305" i="18"/>
  <c r="J1304" i="18"/>
  <c r="H1304" i="18"/>
  <c r="G1304" i="18"/>
  <c r="J1303" i="18"/>
  <c r="H1303" i="18"/>
  <c r="G1303" i="18"/>
  <c r="J1302" i="18"/>
  <c r="H1302" i="18"/>
  <c r="G1302" i="18"/>
  <c r="J1301" i="18"/>
  <c r="H1301" i="18"/>
  <c r="G1301" i="18"/>
  <c r="J1300" i="18"/>
  <c r="H1300" i="18"/>
  <c r="G1300" i="18"/>
  <c r="J1299" i="18"/>
  <c r="H1299" i="18"/>
  <c r="G1299" i="18"/>
  <c r="J1298" i="18"/>
  <c r="M1324" i="18" s="1"/>
  <c r="H1298" i="18"/>
  <c r="K1324" i="18" s="1"/>
  <c r="G1298" i="18"/>
  <c r="J1292" i="18"/>
  <c r="H1292" i="18"/>
  <c r="G1292" i="18"/>
  <c r="J1291" i="18"/>
  <c r="H1291" i="18"/>
  <c r="G1291" i="18"/>
  <c r="J1290" i="18"/>
  <c r="H1290" i="18"/>
  <c r="G1290" i="18"/>
  <c r="J1289" i="18"/>
  <c r="H1289" i="18"/>
  <c r="G1289" i="18"/>
  <c r="J1288" i="18"/>
  <c r="H1288" i="18"/>
  <c r="G1288" i="18"/>
  <c r="J1287" i="18"/>
  <c r="H1287" i="18"/>
  <c r="G1287" i="18"/>
  <c r="J1286" i="18"/>
  <c r="H1286" i="18"/>
  <c r="G1286" i="18"/>
  <c r="J1285" i="18"/>
  <c r="H1285" i="18"/>
  <c r="G1285" i="18"/>
  <c r="J1284" i="18"/>
  <c r="H1284" i="18"/>
  <c r="G1284" i="18"/>
  <c r="J1283" i="18"/>
  <c r="H1283" i="18"/>
  <c r="G1283" i="18"/>
  <c r="J1282" i="18"/>
  <c r="H1282" i="18"/>
  <c r="G1282" i="18"/>
  <c r="J1281" i="18"/>
  <c r="H1281" i="18"/>
  <c r="G1281" i="18"/>
  <c r="J1280" i="18"/>
  <c r="H1280" i="18"/>
  <c r="G1280" i="18"/>
  <c r="J1279" i="18"/>
  <c r="H1279" i="18"/>
  <c r="G1279" i="18"/>
  <c r="J1278" i="18"/>
  <c r="H1278" i="18"/>
  <c r="G1278" i="18"/>
  <c r="J1277" i="18"/>
  <c r="H1277" i="18"/>
  <c r="G1277" i="18"/>
  <c r="J1276" i="18"/>
  <c r="H1276" i="18"/>
  <c r="G1276" i="18"/>
  <c r="J1275" i="18"/>
  <c r="H1275" i="18"/>
  <c r="G1275" i="18"/>
  <c r="J1274" i="18"/>
  <c r="H1274" i="18"/>
  <c r="G1274" i="18"/>
  <c r="J1273" i="18"/>
  <c r="H1273" i="18"/>
  <c r="G1273" i="18"/>
  <c r="J1272" i="18"/>
  <c r="H1272" i="18"/>
  <c r="G1272" i="18"/>
  <c r="J1271" i="18"/>
  <c r="M1297" i="18" s="1"/>
  <c r="H1271" i="18"/>
  <c r="K1297" i="18" s="1"/>
  <c r="G1271" i="18"/>
  <c r="J1265" i="18"/>
  <c r="H1265" i="18"/>
  <c r="G1265" i="18"/>
  <c r="J1264" i="18"/>
  <c r="H1264" i="18"/>
  <c r="G1264" i="18"/>
  <c r="J1263" i="18"/>
  <c r="H1263" i="18"/>
  <c r="G1263" i="18"/>
  <c r="J1262" i="18"/>
  <c r="H1262" i="18"/>
  <c r="G1262" i="18"/>
  <c r="J1261" i="18"/>
  <c r="H1261" i="18"/>
  <c r="G1261" i="18"/>
  <c r="J1260" i="18"/>
  <c r="H1260" i="18"/>
  <c r="G1260" i="18"/>
  <c r="J1259" i="18"/>
  <c r="H1259" i="18"/>
  <c r="G1259" i="18"/>
  <c r="J1258" i="18"/>
  <c r="H1258" i="18"/>
  <c r="G1258" i="18"/>
  <c r="J1257" i="18"/>
  <c r="H1257" i="18"/>
  <c r="G1257" i="18"/>
  <c r="J1256" i="18"/>
  <c r="H1256" i="18"/>
  <c r="G1256" i="18"/>
  <c r="J1255" i="18"/>
  <c r="H1255" i="18"/>
  <c r="G1255" i="18"/>
  <c r="J1254" i="18"/>
  <c r="H1254" i="18"/>
  <c r="G1254" i="18"/>
  <c r="J1253" i="18"/>
  <c r="H1253" i="18"/>
  <c r="G1253" i="18"/>
  <c r="J1252" i="18"/>
  <c r="H1252" i="18"/>
  <c r="G1252" i="18"/>
  <c r="J1251" i="18"/>
  <c r="H1251" i="18"/>
  <c r="G1251" i="18"/>
  <c r="J1250" i="18"/>
  <c r="H1250" i="18"/>
  <c r="G1250" i="18"/>
  <c r="J1249" i="18"/>
  <c r="H1249" i="18"/>
  <c r="G1249" i="18"/>
  <c r="J1248" i="18"/>
  <c r="H1248" i="18"/>
  <c r="G1248" i="18"/>
  <c r="J1247" i="18"/>
  <c r="H1247" i="18"/>
  <c r="G1247" i="18"/>
  <c r="J1246" i="18"/>
  <c r="H1246" i="18"/>
  <c r="G1246" i="18"/>
  <c r="J1245" i="18"/>
  <c r="H1245" i="18"/>
  <c r="G1245" i="18"/>
  <c r="J1244" i="18"/>
  <c r="M1270" i="18" s="1"/>
  <c r="H1244" i="18"/>
  <c r="K1270" i="18" s="1"/>
  <c r="G1244" i="18"/>
  <c r="J1243" i="18"/>
  <c r="H1243" i="18"/>
  <c r="G1243" i="18"/>
  <c r="J1242" i="18"/>
  <c r="H1242" i="18"/>
  <c r="G1242" i="18"/>
  <c r="J1241" i="18"/>
  <c r="H1241" i="18"/>
  <c r="G1241" i="18"/>
  <c r="J1240" i="18"/>
  <c r="H1240" i="18"/>
  <c r="G1240" i="18"/>
  <c r="J1239" i="18"/>
  <c r="H1239" i="18"/>
  <c r="G1239" i="18"/>
  <c r="J1238" i="18"/>
  <c r="H1238" i="18"/>
  <c r="G1238" i="18"/>
  <c r="J1237" i="18"/>
  <c r="H1237" i="18"/>
  <c r="G1237" i="18"/>
  <c r="J1236" i="18"/>
  <c r="H1236" i="18"/>
  <c r="G1236" i="18"/>
  <c r="J1235" i="18"/>
  <c r="H1235" i="18"/>
  <c r="G1235" i="18"/>
  <c r="J1234" i="18"/>
  <c r="H1234" i="18"/>
  <c r="G1234" i="18"/>
  <c r="J1233" i="18"/>
  <c r="H1233" i="18"/>
  <c r="G1233" i="18"/>
  <c r="J1232" i="18"/>
  <c r="H1232" i="18"/>
  <c r="G1232" i="18"/>
  <c r="J1231" i="18"/>
  <c r="H1231" i="18"/>
  <c r="G1231" i="18"/>
  <c r="J1230" i="18"/>
  <c r="H1230" i="18"/>
  <c r="G1230" i="18"/>
  <c r="J1229" i="18"/>
  <c r="H1229" i="18"/>
  <c r="G1229" i="18"/>
  <c r="J1228" i="18"/>
  <c r="H1228" i="18"/>
  <c r="G1228" i="18"/>
  <c r="J1227" i="18"/>
  <c r="H1227" i="18"/>
  <c r="G1227" i="18"/>
  <c r="J1226" i="18"/>
  <c r="H1226" i="18"/>
  <c r="G1226" i="18"/>
  <c r="J1225" i="18"/>
  <c r="H1225" i="18"/>
  <c r="G1225" i="18"/>
  <c r="J1224" i="18"/>
  <c r="H1224" i="18"/>
  <c r="G1224" i="18"/>
  <c r="J1223" i="18"/>
  <c r="H1223" i="18"/>
  <c r="G1223" i="18"/>
  <c r="J1222" i="18"/>
  <c r="H1222" i="18"/>
  <c r="G1222" i="18"/>
  <c r="J1221" i="18"/>
  <c r="H1221" i="18"/>
  <c r="G1221" i="18"/>
  <c r="J1220" i="18"/>
  <c r="H1220" i="18"/>
  <c r="G1220" i="18"/>
  <c r="J1219" i="18"/>
  <c r="H1219" i="18"/>
  <c r="G1219" i="18"/>
  <c r="J1218" i="18"/>
  <c r="H1218" i="18"/>
  <c r="G1218" i="18"/>
  <c r="J1217" i="18"/>
  <c r="M1243" i="18" s="1"/>
  <c r="H1217" i="18"/>
  <c r="K1243" i="18" s="1"/>
  <c r="G1217" i="18"/>
  <c r="J1216" i="18"/>
  <c r="H1216" i="18"/>
  <c r="G1216" i="18"/>
  <c r="J1215" i="18"/>
  <c r="H1215" i="18"/>
  <c r="G1215" i="18"/>
  <c r="J1214" i="18"/>
  <c r="H1214" i="18"/>
  <c r="G1214" i="18"/>
  <c r="J1213" i="18"/>
  <c r="H1213" i="18"/>
  <c r="G1213" i="18"/>
  <c r="J1212" i="18"/>
  <c r="H1212" i="18"/>
  <c r="G1212" i="18"/>
  <c r="J1211" i="18"/>
  <c r="H1211" i="18"/>
  <c r="G1211" i="18"/>
  <c r="J1210" i="18"/>
  <c r="H1210" i="18"/>
  <c r="G1210" i="18"/>
  <c r="J1209" i="18"/>
  <c r="H1209" i="18"/>
  <c r="G1209" i="18"/>
  <c r="J1208" i="18"/>
  <c r="H1208" i="18"/>
  <c r="G1208" i="18"/>
  <c r="J1207" i="18"/>
  <c r="H1207" i="18"/>
  <c r="G1207" i="18"/>
  <c r="J1206" i="18"/>
  <c r="H1206" i="18"/>
  <c r="G1206" i="18"/>
  <c r="J1205" i="18"/>
  <c r="H1205" i="18"/>
  <c r="G1205" i="18"/>
  <c r="J1204" i="18"/>
  <c r="H1204" i="18"/>
  <c r="G1204" i="18"/>
  <c r="J1203" i="18"/>
  <c r="H1203" i="18"/>
  <c r="G1203" i="18"/>
  <c r="J1202" i="18"/>
  <c r="H1202" i="18"/>
  <c r="G1202" i="18"/>
  <c r="J1201" i="18"/>
  <c r="H1201" i="18"/>
  <c r="G1201" i="18"/>
  <c r="J1200" i="18"/>
  <c r="H1200" i="18"/>
  <c r="G1200" i="18"/>
  <c r="J1199" i="18"/>
  <c r="H1199" i="18"/>
  <c r="G1199" i="18"/>
  <c r="J1198" i="18"/>
  <c r="H1198" i="18"/>
  <c r="G1198" i="18"/>
  <c r="J1197" i="18"/>
  <c r="H1197" i="18"/>
  <c r="G1197" i="18"/>
  <c r="J1196" i="18"/>
  <c r="H1196" i="18"/>
  <c r="G1196" i="18"/>
  <c r="J1195" i="18"/>
  <c r="H1195" i="18"/>
  <c r="G1195" i="18"/>
  <c r="J1194" i="18"/>
  <c r="H1194" i="18"/>
  <c r="G1194" i="18"/>
  <c r="J1193" i="18"/>
  <c r="H1193" i="18"/>
  <c r="G1193" i="18"/>
  <c r="J1192" i="18"/>
  <c r="H1192" i="18"/>
  <c r="G1192" i="18"/>
  <c r="J1191" i="18"/>
  <c r="H1191" i="18"/>
  <c r="G1191" i="18"/>
  <c r="J1190" i="18"/>
  <c r="M1216" i="18" s="1"/>
  <c r="H1190" i="18"/>
  <c r="K1216" i="18" s="1"/>
  <c r="G1190" i="18"/>
  <c r="J1189" i="18"/>
  <c r="H1189" i="18"/>
  <c r="G1189" i="18"/>
  <c r="J1188" i="18"/>
  <c r="H1188" i="18"/>
  <c r="G1188" i="18"/>
  <c r="J1187" i="18"/>
  <c r="H1187" i="18"/>
  <c r="G1187" i="18"/>
  <c r="J1186" i="18"/>
  <c r="H1186" i="18"/>
  <c r="G1186" i="18"/>
  <c r="J1185" i="18"/>
  <c r="H1185" i="18"/>
  <c r="G1185" i="18"/>
  <c r="J1184" i="18"/>
  <c r="H1184" i="18"/>
  <c r="G1184" i="18"/>
  <c r="J1183" i="18"/>
  <c r="H1183" i="18"/>
  <c r="G1183" i="18"/>
  <c r="J1182" i="18"/>
  <c r="H1182" i="18"/>
  <c r="G1182" i="18"/>
  <c r="J1181" i="18"/>
  <c r="H1181" i="18"/>
  <c r="G1181" i="18"/>
  <c r="J1180" i="18"/>
  <c r="H1180" i="18"/>
  <c r="G1180" i="18"/>
  <c r="J1179" i="18"/>
  <c r="H1179" i="18"/>
  <c r="G1179" i="18"/>
  <c r="J1178" i="18"/>
  <c r="H1178" i="18"/>
  <c r="G1178" i="18"/>
  <c r="J1177" i="18"/>
  <c r="H1177" i="18"/>
  <c r="G1177" i="18"/>
  <c r="J1176" i="18"/>
  <c r="H1176" i="18"/>
  <c r="G1176" i="18"/>
  <c r="J1175" i="18"/>
  <c r="H1175" i="18"/>
  <c r="G1175" i="18"/>
  <c r="J1174" i="18"/>
  <c r="H1174" i="18"/>
  <c r="G1174" i="18"/>
  <c r="J1173" i="18"/>
  <c r="H1173" i="18"/>
  <c r="G1173" i="18"/>
  <c r="J1172" i="18"/>
  <c r="H1172" i="18"/>
  <c r="G1172" i="18"/>
  <c r="J1171" i="18"/>
  <c r="H1171" i="18"/>
  <c r="G1171" i="18"/>
  <c r="J1170" i="18"/>
  <c r="H1170" i="18"/>
  <c r="G1170" i="18"/>
  <c r="J1169" i="18"/>
  <c r="H1169" i="18"/>
  <c r="G1169" i="18"/>
  <c r="J1168" i="18"/>
  <c r="H1168" i="18"/>
  <c r="G1168" i="18"/>
  <c r="J1167" i="18"/>
  <c r="H1167" i="18"/>
  <c r="G1167" i="18"/>
  <c r="J1166" i="18"/>
  <c r="H1166" i="18"/>
  <c r="G1166" i="18"/>
  <c r="J1165" i="18"/>
  <c r="H1165" i="18"/>
  <c r="G1165" i="18"/>
  <c r="J1164" i="18"/>
  <c r="H1164" i="18"/>
  <c r="G1164" i="18"/>
  <c r="J1163" i="18"/>
  <c r="M1189" i="18" s="1"/>
  <c r="H1163" i="18"/>
  <c r="K1189" i="18" s="1"/>
  <c r="G1163" i="18"/>
  <c r="J1157" i="18"/>
  <c r="H1157" i="18"/>
  <c r="G1157" i="18"/>
  <c r="J1156" i="18"/>
  <c r="H1156" i="18"/>
  <c r="G1156" i="18"/>
  <c r="J1155" i="18"/>
  <c r="H1155" i="18"/>
  <c r="G1155" i="18"/>
  <c r="J1154" i="18"/>
  <c r="H1154" i="18"/>
  <c r="G1154" i="18"/>
  <c r="J1153" i="18"/>
  <c r="H1153" i="18"/>
  <c r="G1153" i="18"/>
  <c r="J1152" i="18"/>
  <c r="H1152" i="18"/>
  <c r="G1152" i="18"/>
  <c r="J1151" i="18"/>
  <c r="H1151" i="18"/>
  <c r="G1151" i="18"/>
  <c r="J1150" i="18"/>
  <c r="H1150" i="18"/>
  <c r="G1150" i="18"/>
  <c r="J1149" i="18"/>
  <c r="H1149" i="18"/>
  <c r="G1149" i="18"/>
  <c r="J1148" i="18"/>
  <c r="H1148" i="18"/>
  <c r="G1148" i="18"/>
  <c r="J1147" i="18"/>
  <c r="H1147" i="18"/>
  <c r="G1147" i="18"/>
  <c r="J1146" i="18"/>
  <c r="H1146" i="18"/>
  <c r="G1146" i="18"/>
  <c r="J1145" i="18"/>
  <c r="H1145" i="18"/>
  <c r="G1145" i="18"/>
  <c r="J1144" i="18"/>
  <c r="H1144" i="18"/>
  <c r="G1144" i="18"/>
  <c r="J1143" i="18"/>
  <c r="H1143" i="18"/>
  <c r="G1143" i="18"/>
  <c r="J1142" i="18"/>
  <c r="H1142" i="18"/>
  <c r="G1142" i="18"/>
  <c r="J1141" i="18"/>
  <c r="H1141" i="18"/>
  <c r="G1141" i="18"/>
  <c r="J1140" i="18"/>
  <c r="H1140" i="18"/>
  <c r="G1140" i="18"/>
  <c r="J1139" i="18"/>
  <c r="H1139" i="18"/>
  <c r="G1139" i="18"/>
  <c r="J1138" i="18"/>
  <c r="H1138" i="18"/>
  <c r="G1138" i="18"/>
  <c r="J1137" i="18"/>
  <c r="H1137" i="18"/>
  <c r="G1137" i="18"/>
  <c r="J1136" i="18"/>
  <c r="M1162" i="18" s="1"/>
  <c r="H1136" i="18"/>
  <c r="K1162" i="18" s="1"/>
  <c r="G1136" i="18"/>
  <c r="J1130" i="18"/>
  <c r="H1130" i="18"/>
  <c r="G1130" i="18"/>
  <c r="J1129" i="18"/>
  <c r="H1129" i="18"/>
  <c r="G1129" i="18"/>
  <c r="J1128" i="18"/>
  <c r="H1128" i="18"/>
  <c r="G1128" i="18"/>
  <c r="J1127" i="18"/>
  <c r="H1127" i="18"/>
  <c r="G1127" i="18"/>
  <c r="J1126" i="18"/>
  <c r="H1126" i="18"/>
  <c r="G1126" i="18"/>
  <c r="J1125" i="18"/>
  <c r="H1125" i="18"/>
  <c r="G1125" i="18"/>
  <c r="J1124" i="18"/>
  <c r="H1124" i="18"/>
  <c r="G1124" i="18"/>
  <c r="J1123" i="18"/>
  <c r="H1123" i="18"/>
  <c r="G1123" i="18"/>
  <c r="J1122" i="18"/>
  <c r="H1122" i="18"/>
  <c r="G1122" i="18"/>
  <c r="J1121" i="18"/>
  <c r="H1121" i="18"/>
  <c r="G1121" i="18"/>
  <c r="J1120" i="18"/>
  <c r="H1120" i="18"/>
  <c r="G1120" i="18"/>
  <c r="J1119" i="18"/>
  <c r="H1119" i="18"/>
  <c r="G1119" i="18"/>
  <c r="J1118" i="18"/>
  <c r="H1118" i="18"/>
  <c r="G1118" i="18"/>
  <c r="J1117" i="18"/>
  <c r="H1117" i="18"/>
  <c r="G1117" i="18"/>
  <c r="J1116" i="18"/>
  <c r="H1116" i="18"/>
  <c r="G1116" i="18"/>
  <c r="J1115" i="18"/>
  <c r="H1115" i="18"/>
  <c r="G1115" i="18"/>
  <c r="J1114" i="18"/>
  <c r="H1114" i="18"/>
  <c r="G1114" i="18"/>
  <c r="J1113" i="18"/>
  <c r="H1113" i="18"/>
  <c r="G1113" i="18"/>
  <c r="J1112" i="18"/>
  <c r="H1112" i="18"/>
  <c r="G1112" i="18"/>
  <c r="J1111" i="18"/>
  <c r="H1111" i="18"/>
  <c r="G1111" i="18"/>
  <c r="J1110" i="18"/>
  <c r="H1110" i="18"/>
  <c r="G1110" i="18"/>
  <c r="J1109" i="18"/>
  <c r="M1135" i="18" s="1"/>
  <c r="H1109" i="18"/>
  <c r="H1622" i="18" s="1"/>
  <c r="G1109" i="18"/>
  <c r="J1031" i="18"/>
  <c r="H1031" i="18"/>
  <c r="G1031" i="18"/>
  <c r="J1030" i="18"/>
  <c r="H1030" i="18"/>
  <c r="G1030" i="18"/>
  <c r="J1029" i="18"/>
  <c r="H1029" i="18"/>
  <c r="G1029" i="18"/>
  <c r="J1028" i="18"/>
  <c r="H1028" i="18"/>
  <c r="G1028" i="18"/>
  <c r="J1027" i="18"/>
  <c r="H1027" i="18"/>
  <c r="G1027" i="18"/>
  <c r="J1026" i="18"/>
  <c r="H1026" i="18"/>
  <c r="G1026" i="18"/>
  <c r="J1025" i="18"/>
  <c r="H1025" i="18"/>
  <c r="G1025" i="18"/>
  <c r="J1024" i="18"/>
  <c r="H1024" i="18"/>
  <c r="G1024" i="18"/>
  <c r="J1023" i="18"/>
  <c r="H1023" i="18"/>
  <c r="G1023" i="18"/>
  <c r="J1022" i="18"/>
  <c r="H1022" i="18"/>
  <c r="G1022" i="18"/>
  <c r="J1021" i="18"/>
  <c r="H1021" i="18"/>
  <c r="G1021" i="18"/>
  <c r="J1020" i="18"/>
  <c r="H1020" i="18"/>
  <c r="G1020" i="18"/>
  <c r="J1019" i="18"/>
  <c r="H1019" i="18"/>
  <c r="G1019" i="18"/>
  <c r="J1018" i="18"/>
  <c r="H1018" i="18"/>
  <c r="G1018" i="18"/>
  <c r="J1017" i="18"/>
  <c r="H1017" i="18"/>
  <c r="G1017" i="18"/>
  <c r="J1016" i="18"/>
  <c r="H1016" i="18"/>
  <c r="G1016" i="18"/>
  <c r="J1015" i="18"/>
  <c r="H1015" i="18"/>
  <c r="G1015" i="18"/>
  <c r="J1014" i="18"/>
  <c r="H1014" i="18"/>
  <c r="G1014" i="18"/>
  <c r="J1013" i="18"/>
  <c r="H1013" i="18"/>
  <c r="G1013" i="18"/>
  <c r="J1012" i="18"/>
  <c r="H1012" i="18"/>
  <c r="G1012" i="18"/>
  <c r="J1011" i="18"/>
  <c r="H1011" i="18"/>
  <c r="G1011" i="18"/>
  <c r="J1010" i="18"/>
  <c r="H1010" i="18"/>
  <c r="G1010" i="18"/>
  <c r="J1009" i="18"/>
  <c r="H1009" i="18"/>
  <c r="G1009" i="18"/>
  <c r="J1008" i="18"/>
  <c r="H1008" i="18"/>
  <c r="G1008" i="18"/>
  <c r="J1007" i="18"/>
  <c r="H1007" i="18"/>
  <c r="G1007" i="18"/>
  <c r="J1006" i="18"/>
  <c r="H1006" i="18"/>
  <c r="G1006" i="18"/>
  <c r="J1005" i="18"/>
  <c r="H1005" i="18"/>
  <c r="G1005" i="18"/>
  <c r="J1004" i="18"/>
  <c r="H1004" i="18"/>
  <c r="G1004" i="18"/>
  <c r="J1003" i="18"/>
  <c r="H1003" i="18"/>
  <c r="G1003" i="18"/>
  <c r="J1002" i="18"/>
  <c r="H1002" i="18"/>
  <c r="G1002" i="18"/>
  <c r="F1002" i="18"/>
  <c r="J921" i="18"/>
  <c r="H921" i="18"/>
  <c r="G921" i="18"/>
  <c r="J920" i="18"/>
  <c r="H920" i="18"/>
  <c r="G920" i="18"/>
  <c r="J919" i="18"/>
  <c r="H919" i="18"/>
  <c r="G919" i="18"/>
  <c r="J918" i="18"/>
  <c r="H918" i="18"/>
  <c r="G918" i="18"/>
  <c r="J917" i="18"/>
  <c r="H917" i="18"/>
  <c r="G917" i="18"/>
  <c r="J916" i="18"/>
  <c r="H916" i="18"/>
  <c r="G916" i="18"/>
  <c r="J915" i="18"/>
  <c r="H915" i="18"/>
  <c r="G915" i="18"/>
  <c r="J914" i="18"/>
  <c r="H914" i="18"/>
  <c r="G914" i="18"/>
  <c r="J913" i="18"/>
  <c r="H913" i="18"/>
  <c r="G913" i="18"/>
  <c r="J912" i="18"/>
  <c r="H912" i="18"/>
  <c r="G912" i="18"/>
  <c r="J911" i="18"/>
  <c r="H911" i="18"/>
  <c r="G911" i="18"/>
  <c r="J910" i="18"/>
  <c r="H910" i="18"/>
  <c r="G910" i="18"/>
  <c r="J909" i="18"/>
  <c r="H909" i="18"/>
  <c r="G909" i="18"/>
  <c r="J908" i="18"/>
  <c r="H908" i="18"/>
  <c r="G908" i="18"/>
  <c r="J907" i="18"/>
  <c r="H907" i="18"/>
  <c r="G907" i="18"/>
  <c r="J906" i="18"/>
  <c r="H906" i="18"/>
  <c r="G906" i="18"/>
  <c r="J905" i="18"/>
  <c r="H905" i="18"/>
  <c r="G905" i="18"/>
  <c r="J904" i="18"/>
  <c r="H904" i="18"/>
  <c r="G904" i="18"/>
  <c r="J903" i="18"/>
  <c r="H903" i="18"/>
  <c r="G903" i="18"/>
  <c r="J902" i="18"/>
  <c r="H902" i="18"/>
  <c r="G902" i="18"/>
  <c r="J901" i="18"/>
  <c r="H901" i="18"/>
  <c r="G901" i="18"/>
  <c r="J900" i="18"/>
  <c r="H900" i="18"/>
  <c r="G900" i="18"/>
  <c r="J899" i="18"/>
  <c r="H899" i="18"/>
  <c r="G899" i="18"/>
  <c r="J898" i="18"/>
  <c r="H898" i="18"/>
  <c r="G898" i="18"/>
  <c r="J897" i="18"/>
  <c r="H897" i="18"/>
  <c r="G897" i="18"/>
  <c r="J896" i="18"/>
  <c r="H896" i="18"/>
  <c r="G896" i="18"/>
  <c r="J895" i="18"/>
  <c r="H895" i="18"/>
  <c r="G895" i="18"/>
  <c r="J894" i="18"/>
  <c r="H894" i="18"/>
  <c r="G894" i="18"/>
  <c r="J893" i="18"/>
  <c r="H893" i="18"/>
  <c r="G893" i="18"/>
  <c r="J892" i="18"/>
  <c r="H892" i="18"/>
  <c r="G892" i="18"/>
  <c r="J891" i="18"/>
  <c r="H891" i="18"/>
  <c r="G891" i="18"/>
  <c r="J890" i="18"/>
  <c r="H890" i="18"/>
  <c r="G890" i="18"/>
  <c r="J889" i="18"/>
  <c r="H889" i="18"/>
  <c r="G889" i="18"/>
  <c r="J888" i="18"/>
  <c r="H888" i="18"/>
  <c r="G888" i="18"/>
  <c r="J887" i="18"/>
  <c r="H887" i="18"/>
  <c r="G887" i="18"/>
  <c r="J886" i="18"/>
  <c r="H886" i="18"/>
  <c r="G886" i="18"/>
  <c r="F886" i="18"/>
  <c r="J801" i="18"/>
  <c r="H801" i="18"/>
  <c r="G801" i="18"/>
  <c r="J800" i="18"/>
  <c r="H800" i="18"/>
  <c r="G800" i="18"/>
  <c r="J799" i="18"/>
  <c r="H799" i="18"/>
  <c r="G799" i="18"/>
  <c r="J798" i="18"/>
  <c r="H798" i="18"/>
  <c r="G798" i="18"/>
  <c r="J797" i="18"/>
  <c r="H797" i="18"/>
  <c r="G797" i="18"/>
  <c r="J796" i="18"/>
  <c r="H796" i="18"/>
  <c r="G796" i="18"/>
  <c r="J795" i="18"/>
  <c r="H795" i="18"/>
  <c r="G795" i="18"/>
  <c r="J794" i="18"/>
  <c r="H794" i="18"/>
  <c r="G794" i="18"/>
  <c r="J793" i="18"/>
  <c r="H793" i="18"/>
  <c r="G793" i="18"/>
  <c r="J792" i="18"/>
  <c r="H792" i="18"/>
  <c r="G792" i="18"/>
  <c r="J791" i="18"/>
  <c r="H791" i="18"/>
  <c r="G791" i="18"/>
  <c r="J790" i="18"/>
  <c r="H790" i="18"/>
  <c r="G790" i="18"/>
  <c r="J789" i="18"/>
  <c r="H789" i="18"/>
  <c r="G789" i="18"/>
  <c r="J788" i="18"/>
  <c r="H788" i="18"/>
  <c r="G788" i="18"/>
  <c r="J787" i="18"/>
  <c r="H787" i="18"/>
  <c r="G787" i="18"/>
  <c r="J786" i="18"/>
  <c r="H786" i="18"/>
  <c r="G786" i="18"/>
  <c r="J785" i="18"/>
  <c r="H785" i="18"/>
  <c r="G785" i="18"/>
  <c r="J784" i="18"/>
  <c r="H784" i="18"/>
  <c r="G784" i="18"/>
  <c r="J783" i="18"/>
  <c r="H783" i="18"/>
  <c r="G783" i="18"/>
  <c r="J782" i="18"/>
  <c r="H782" i="18"/>
  <c r="G782" i="18"/>
  <c r="J781" i="18"/>
  <c r="H781" i="18"/>
  <c r="G781" i="18"/>
  <c r="J780" i="18"/>
  <c r="H780" i="18"/>
  <c r="G780" i="18"/>
  <c r="J779" i="18"/>
  <c r="H779" i="18"/>
  <c r="G779" i="18"/>
  <c r="J778" i="18"/>
  <c r="H778" i="18"/>
  <c r="G778" i="18"/>
  <c r="J777" i="18"/>
  <c r="H777" i="18"/>
  <c r="G777" i="18"/>
  <c r="J776" i="18"/>
  <c r="H776" i="18"/>
  <c r="G776" i="18"/>
  <c r="J775" i="18"/>
  <c r="H775" i="18"/>
  <c r="G775" i="18"/>
  <c r="J774" i="18"/>
  <c r="H774" i="18"/>
  <c r="G774" i="18"/>
  <c r="J773" i="18"/>
  <c r="H773" i="18"/>
  <c r="G773" i="18"/>
  <c r="J772" i="18"/>
  <c r="H772" i="18"/>
  <c r="G772" i="18"/>
  <c r="F772" i="18"/>
  <c r="J771" i="18"/>
  <c r="H771" i="18"/>
  <c r="G771" i="18"/>
  <c r="J770" i="18"/>
  <c r="H770" i="18"/>
  <c r="G770" i="18"/>
  <c r="J769" i="18"/>
  <c r="H769" i="18"/>
  <c r="G769" i="18"/>
  <c r="J768" i="18"/>
  <c r="H768" i="18"/>
  <c r="G768" i="18"/>
  <c r="J767" i="18"/>
  <c r="H767" i="18"/>
  <c r="G767" i="18"/>
  <c r="J766" i="18"/>
  <c r="H766" i="18"/>
  <c r="G766" i="18"/>
  <c r="F766" i="18"/>
  <c r="J701" i="18"/>
  <c r="H701" i="18"/>
  <c r="G701" i="18"/>
  <c r="J700" i="18"/>
  <c r="H700" i="18"/>
  <c r="G700" i="18"/>
  <c r="J699" i="18"/>
  <c r="H699" i="18"/>
  <c r="G699" i="18"/>
  <c r="J698" i="18"/>
  <c r="H698" i="18"/>
  <c r="G698" i="18"/>
  <c r="J697" i="18"/>
  <c r="H697" i="18"/>
  <c r="G697" i="18"/>
  <c r="J696" i="18"/>
  <c r="H696" i="18"/>
  <c r="G696" i="18"/>
  <c r="J695" i="18"/>
  <c r="H695" i="18"/>
  <c r="G695" i="18"/>
  <c r="J694" i="18"/>
  <c r="H694" i="18"/>
  <c r="G694" i="18"/>
  <c r="J693" i="18"/>
  <c r="H693" i="18"/>
  <c r="G693" i="18"/>
  <c r="J692" i="18"/>
  <c r="H692" i="18"/>
  <c r="G692" i="18"/>
  <c r="J691" i="18"/>
  <c r="H691" i="18"/>
  <c r="G691" i="18"/>
  <c r="J690" i="18"/>
  <c r="H690" i="18"/>
  <c r="G690" i="18"/>
  <c r="J689" i="18"/>
  <c r="H689" i="18"/>
  <c r="G689" i="18"/>
  <c r="J688" i="18"/>
  <c r="H688" i="18"/>
  <c r="G688" i="18"/>
  <c r="J687" i="18"/>
  <c r="H687" i="18"/>
  <c r="G687" i="18"/>
  <c r="J686" i="18"/>
  <c r="H686" i="18"/>
  <c r="G686" i="18"/>
  <c r="J685" i="18"/>
  <c r="H685" i="18"/>
  <c r="G685" i="18"/>
  <c r="J684" i="18"/>
  <c r="H684" i="18"/>
  <c r="G684" i="18"/>
  <c r="J683" i="18"/>
  <c r="H683" i="18"/>
  <c r="G683" i="18"/>
  <c r="J682" i="18"/>
  <c r="H682" i="18"/>
  <c r="G682" i="18"/>
  <c r="J681" i="18"/>
  <c r="H681" i="18"/>
  <c r="G681" i="18"/>
  <c r="J680" i="18"/>
  <c r="H680" i="18"/>
  <c r="G680" i="18"/>
  <c r="J679" i="18"/>
  <c r="H679" i="18"/>
  <c r="G679" i="18"/>
  <c r="J678" i="18"/>
  <c r="H678" i="18"/>
  <c r="G678" i="18"/>
  <c r="F678" i="18"/>
  <c r="J601" i="18"/>
  <c r="H601" i="18"/>
  <c r="G601" i="18"/>
  <c r="J600" i="18"/>
  <c r="H600" i="18"/>
  <c r="G600" i="18"/>
  <c r="J599" i="18"/>
  <c r="H599" i="18"/>
  <c r="G599" i="18"/>
  <c r="J598" i="18"/>
  <c r="H598" i="18"/>
  <c r="G598" i="18"/>
  <c r="J597" i="18"/>
  <c r="H597" i="18"/>
  <c r="G597" i="18"/>
  <c r="J596" i="18"/>
  <c r="H596" i="18"/>
  <c r="G596" i="18"/>
  <c r="J595" i="18"/>
  <c r="H595" i="18"/>
  <c r="G595" i="18"/>
  <c r="J594" i="18"/>
  <c r="H594" i="18"/>
  <c r="G594" i="18"/>
  <c r="J593" i="18"/>
  <c r="H593" i="18"/>
  <c r="G593" i="18"/>
  <c r="J592" i="18"/>
  <c r="H592" i="18"/>
  <c r="G592" i="18"/>
  <c r="J591" i="18"/>
  <c r="H591" i="18"/>
  <c r="G591" i="18"/>
  <c r="J590" i="18"/>
  <c r="H590" i="18"/>
  <c r="G590" i="18"/>
  <c r="J589" i="18"/>
  <c r="H589" i="18"/>
  <c r="G589" i="18"/>
  <c r="J588" i="18"/>
  <c r="H588" i="18"/>
  <c r="G588" i="18"/>
  <c r="J587" i="18"/>
  <c r="H587" i="18"/>
  <c r="G587" i="18"/>
  <c r="J586" i="18"/>
  <c r="H586" i="18"/>
  <c r="G586" i="18"/>
  <c r="J585" i="18"/>
  <c r="H585" i="18"/>
  <c r="G585" i="18"/>
  <c r="J584" i="18"/>
  <c r="H584" i="18"/>
  <c r="G584" i="18"/>
  <c r="J583" i="18"/>
  <c r="H583" i="18"/>
  <c r="G583" i="18"/>
  <c r="J582" i="18"/>
  <c r="H582" i="18"/>
  <c r="G582" i="18"/>
  <c r="J581" i="18"/>
  <c r="H581" i="18"/>
  <c r="G581" i="18"/>
  <c r="J580" i="18"/>
  <c r="H580" i="18"/>
  <c r="G580" i="18"/>
  <c r="J579" i="18"/>
  <c r="H579" i="18"/>
  <c r="G579" i="18"/>
  <c r="J578" i="18"/>
  <c r="H578" i="18"/>
  <c r="G578" i="18"/>
  <c r="J577" i="18"/>
  <c r="H577" i="18"/>
  <c r="G577" i="18"/>
  <c r="J576" i="18"/>
  <c r="H576" i="18"/>
  <c r="G576" i="18"/>
  <c r="J575" i="18"/>
  <c r="H575" i="18"/>
  <c r="G575" i="18"/>
  <c r="J574" i="18"/>
  <c r="H574" i="18"/>
  <c r="G574" i="18"/>
  <c r="J573" i="18"/>
  <c r="H573" i="18"/>
  <c r="G573" i="18"/>
  <c r="J572" i="18"/>
  <c r="H572" i="18"/>
  <c r="G572" i="18"/>
  <c r="J571" i="18"/>
  <c r="H571" i="18"/>
  <c r="G571" i="18"/>
  <c r="J570" i="18"/>
  <c r="H570" i="18"/>
  <c r="G570" i="18"/>
  <c r="J569" i="18"/>
  <c r="H569" i="18"/>
  <c r="G569" i="18"/>
  <c r="J568" i="18"/>
  <c r="H568" i="18"/>
  <c r="G568" i="18"/>
  <c r="J567" i="18"/>
  <c r="H567" i="18"/>
  <c r="G567" i="18"/>
  <c r="J566" i="18"/>
  <c r="H566" i="18"/>
  <c r="G566" i="18"/>
  <c r="F566" i="18"/>
  <c r="H541" i="18"/>
  <c r="G541" i="18"/>
  <c r="H540" i="18"/>
  <c r="G540" i="18"/>
  <c r="H539" i="18"/>
  <c r="G539" i="18"/>
  <c r="H538" i="18"/>
  <c r="G538" i="18"/>
  <c r="H537" i="18"/>
  <c r="G537" i="18"/>
  <c r="H536" i="18"/>
  <c r="G536" i="18"/>
  <c r="H535" i="18"/>
  <c r="G535" i="18"/>
  <c r="H534" i="18"/>
  <c r="G534" i="18"/>
  <c r="H533" i="18"/>
  <c r="G533" i="18"/>
  <c r="H532" i="18"/>
  <c r="G532" i="18"/>
  <c r="H531" i="18"/>
  <c r="G531" i="18"/>
  <c r="H530" i="18"/>
  <c r="G530" i="18"/>
  <c r="H529" i="18"/>
  <c r="G529" i="18"/>
  <c r="H528" i="18"/>
  <c r="G528" i="18"/>
  <c r="H527" i="18"/>
  <c r="G527" i="18"/>
  <c r="H526" i="18"/>
  <c r="G526" i="18"/>
  <c r="H525" i="18"/>
  <c r="G525" i="18"/>
  <c r="H524" i="18"/>
  <c r="G524" i="18"/>
  <c r="H523" i="18"/>
  <c r="G523" i="18"/>
  <c r="H522" i="18"/>
  <c r="G522" i="18"/>
  <c r="H521" i="18"/>
  <c r="G521" i="18"/>
  <c r="H520" i="18"/>
  <c r="G520" i="18"/>
  <c r="H519" i="18"/>
  <c r="G519" i="18"/>
  <c r="H518" i="18"/>
  <c r="G518" i="18"/>
  <c r="H517" i="18"/>
  <c r="G517" i="18"/>
  <c r="H516" i="18"/>
  <c r="G516" i="18"/>
  <c r="H515" i="18"/>
  <c r="G515" i="18"/>
  <c r="H514" i="18"/>
  <c r="G514" i="18"/>
  <c r="H513" i="18"/>
  <c r="G513" i="18"/>
  <c r="H512" i="18"/>
  <c r="G512" i="18"/>
  <c r="H511" i="18"/>
  <c r="G511" i="18"/>
  <c r="H510" i="18"/>
  <c r="G510" i="18"/>
  <c r="H509" i="18"/>
  <c r="G509" i="18"/>
  <c r="H508" i="18"/>
  <c r="G508" i="18"/>
  <c r="H507" i="18"/>
  <c r="G507" i="18"/>
  <c r="H506" i="18"/>
  <c r="G506" i="18"/>
  <c r="H505" i="18"/>
  <c r="G505" i="18"/>
  <c r="H504" i="18"/>
  <c r="G504" i="18"/>
  <c r="H503" i="18"/>
  <c r="G503" i="18"/>
  <c r="H502" i="18"/>
  <c r="G502" i="18"/>
  <c r="H501" i="18"/>
  <c r="G501" i="18"/>
  <c r="H500" i="18"/>
  <c r="G500" i="18"/>
  <c r="H499" i="18"/>
  <c r="G499" i="18"/>
  <c r="H498" i="18"/>
  <c r="G498" i="18"/>
  <c r="H497" i="18"/>
  <c r="G497" i="18"/>
  <c r="H496" i="18"/>
  <c r="G496" i="18"/>
  <c r="H495" i="18"/>
  <c r="G495" i="18"/>
  <c r="H494" i="18"/>
  <c r="G494" i="18"/>
  <c r="H493" i="18"/>
  <c r="G493" i="18"/>
  <c r="H492" i="18"/>
  <c r="G492" i="18"/>
  <c r="H491" i="18"/>
  <c r="G491" i="18"/>
  <c r="H490" i="18"/>
  <c r="G490" i="18"/>
  <c r="H489" i="18"/>
  <c r="G489" i="18"/>
  <c r="H488" i="18"/>
  <c r="G488" i="18"/>
  <c r="H487" i="18"/>
  <c r="G487" i="18"/>
  <c r="H486" i="18"/>
  <c r="G486" i="18"/>
  <c r="H485" i="18"/>
  <c r="G485" i="18"/>
  <c r="H484" i="18"/>
  <c r="G484" i="18"/>
  <c r="H483" i="18"/>
  <c r="G483" i="18"/>
  <c r="H482" i="18"/>
  <c r="G482" i="18"/>
  <c r="H481" i="18"/>
  <c r="G481" i="18"/>
  <c r="H480" i="18"/>
  <c r="G480" i="18"/>
  <c r="H479" i="18"/>
  <c r="G479" i="18"/>
  <c r="H478" i="18"/>
  <c r="G478" i="18"/>
  <c r="H477" i="18"/>
  <c r="G477" i="18"/>
  <c r="H476" i="18"/>
  <c r="G476" i="18"/>
  <c r="H475" i="18"/>
  <c r="G475" i="18"/>
  <c r="H474" i="18"/>
  <c r="G474" i="18"/>
  <c r="H473" i="18"/>
  <c r="G473" i="18"/>
  <c r="H472" i="18"/>
  <c r="G472" i="18"/>
  <c r="H471" i="18"/>
  <c r="G471" i="18"/>
  <c r="H470" i="18"/>
  <c r="G470" i="18"/>
  <c r="H469" i="18"/>
  <c r="G469" i="18"/>
  <c r="H468" i="18"/>
  <c r="G468" i="18"/>
  <c r="H467" i="18"/>
  <c r="G467" i="18"/>
  <c r="H441" i="18"/>
  <c r="G441" i="18"/>
  <c r="H440" i="18"/>
  <c r="G440" i="18"/>
  <c r="H439" i="18"/>
  <c r="G439" i="18"/>
  <c r="H438" i="18"/>
  <c r="G438" i="18"/>
  <c r="H437" i="18"/>
  <c r="G437" i="18"/>
  <c r="H436" i="18"/>
  <c r="G436" i="18"/>
  <c r="H435" i="18"/>
  <c r="G435" i="18"/>
  <c r="H434" i="18"/>
  <c r="G434" i="18"/>
  <c r="H433" i="18"/>
  <c r="G433" i="18"/>
  <c r="H432" i="18"/>
  <c r="G432" i="18"/>
  <c r="H431" i="18"/>
  <c r="G431" i="18"/>
  <c r="H430" i="18"/>
  <c r="G430" i="18"/>
  <c r="H429" i="18"/>
  <c r="G429" i="18"/>
  <c r="H428" i="18"/>
  <c r="G428" i="18"/>
  <c r="H427" i="18"/>
  <c r="G427" i="18"/>
  <c r="H426" i="18"/>
  <c r="G426" i="18"/>
  <c r="H425" i="18"/>
  <c r="G425" i="18"/>
  <c r="H424" i="18"/>
  <c r="G424" i="18"/>
  <c r="H423" i="18"/>
  <c r="G423" i="18"/>
  <c r="H422" i="18"/>
  <c r="G422" i="18"/>
  <c r="H421" i="18"/>
  <c r="G421" i="18"/>
  <c r="H420" i="18"/>
  <c r="G420" i="18"/>
  <c r="H419" i="18"/>
  <c r="G419" i="18"/>
  <c r="H418" i="18"/>
  <c r="G418" i="18"/>
  <c r="H417" i="18"/>
  <c r="G417" i="18"/>
  <c r="H416" i="18"/>
  <c r="G416" i="18"/>
  <c r="H415" i="18"/>
  <c r="G415" i="18"/>
  <c r="H414" i="18"/>
  <c r="G414" i="18"/>
  <c r="H413" i="18"/>
  <c r="G413" i="18"/>
  <c r="H412" i="18"/>
  <c r="G412" i="18"/>
  <c r="H411" i="18"/>
  <c r="G411" i="18"/>
  <c r="H410" i="18"/>
  <c r="G410" i="18"/>
  <c r="H409" i="18"/>
  <c r="G409" i="18"/>
  <c r="H408" i="18"/>
  <c r="G408" i="18"/>
  <c r="H407" i="18"/>
  <c r="G407" i="18"/>
  <c r="H406" i="18"/>
  <c r="G406" i="18"/>
  <c r="H405" i="18"/>
  <c r="G405" i="18"/>
  <c r="H404" i="18"/>
  <c r="G404" i="18"/>
  <c r="H403" i="18"/>
  <c r="G403" i="18"/>
  <c r="H402" i="18"/>
  <c r="G402" i="18"/>
  <c r="H401" i="18"/>
  <c r="G401" i="18"/>
  <c r="H400" i="18"/>
  <c r="G400" i="18"/>
  <c r="H399" i="18"/>
  <c r="G399" i="18"/>
  <c r="H398" i="18"/>
  <c r="G398" i="18"/>
  <c r="H397" i="18"/>
  <c r="G397" i="18"/>
  <c r="H396" i="18"/>
  <c r="G396" i="18"/>
  <c r="H395" i="18"/>
  <c r="G395" i="18"/>
  <c r="H394" i="18"/>
  <c r="G394" i="18"/>
  <c r="H393" i="18"/>
  <c r="G393" i="18"/>
  <c r="H392" i="18"/>
  <c r="G392" i="18"/>
  <c r="H391" i="18"/>
  <c r="G391" i="18"/>
  <c r="H390" i="18"/>
  <c r="G390" i="18"/>
  <c r="H389" i="18"/>
  <c r="G389" i="18"/>
  <c r="H388" i="18"/>
  <c r="G388" i="18"/>
  <c r="H387" i="18"/>
  <c r="G387" i="18"/>
  <c r="H386" i="18"/>
  <c r="G386" i="18"/>
  <c r="H385" i="18"/>
  <c r="G385" i="18"/>
  <c r="H384" i="18"/>
  <c r="G384" i="18"/>
  <c r="H383" i="18"/>
  <c r="G383" i="18"/>
  <c r="H382" i="18"/>
  <c r="G382" i="18"/>
  <c r="H381" i="18"/>
  <c r="G381" i="18"/>
  <c r="H380" i="18"/>
  <c r="G380" i="18"/>
  <c r="H379" i="18"/>
  <c r="G379" i="18"/>
  <c r="H378" i="18"/>
  <c r="G378" i="18"/>
  <c r="H377" i="18"/>
  <c r="G377" i="18"/>
  <c r="H376" i="18"/>
  <c r="G376" i="18"/>
  <c r="H375" i="18"/>
  <c r="G375" i="18"/>
  <c r="H374" i="18"/>
  <c r="G374" i="18"/>
  <c r="H373" i="18"/>
  <c r="G373" i="18"/>
  <c r="H372" i="18"/>
  <c r="G372" i="18"/>
  <c r="H371" i="18"/>
  <c r="G371" i="18"/>
  <c r="H370" i="18"/>
  <c r="G370" i="18"/>
  <c r="H369" i="18"/>
  <c r="G369" i="18"/>
  <c r="H368" i="18"/>
  <c r="G368" i="18"/>
  <c r="H367" i="18"/>
  <c r="G367" i="18"/>
  <c r="H366" i="18"/>
  <c r="G366" i="18"/>
  <c r="H365" i="18"/>
  <c r="G365" i="18"/>
  <c r="H364" i="18"/>
  <c r="G364" i="18"/>
  <c r="H363" i="18"/>
  <c r="G363" i="18"/>
  <c r="H362" i="18"/>
  <c r="G362" i="18"/>
  <c r="H361" i="18"/>
  <c r="G361" i="18"/>
  <c r="H360" i="18"/>
  <c r="G360" i="18"/>
  <c r="H359" i="18"/>
  <c r="G359" i="18"/>
  <c r="H358" i="18"/>
  <c r="G358" i="18"/>
  <c r="H357" i="18"/>
  <c r="G357" i="18"/>
  <c r="H356" i="18"/>
  <c r="G356" i="18"/>
  <c r="H355" i="18"/>
  <c r="G355" i="18"/>
  <c r="H354" i="18"/>
  <c r="G354" i="18"/>
  <c r="H353" i="18"/>
  <c r="G353" i="18"/>
  <c r="H352" i="18"/>
  <c r="G352" i="18"/>
  <c r="H321" i="18"/>
  <c r="G321" i="18"/>
  <c r="H320" i="18"/>
  <c r="G320" i="18"/>
  <c r="H319" i="18"/>
  <c r="G319" i="18"/>
  <c r="H318" i="18"/>
  <c r="G318" i="18"/>
  <c r="H317" i="18"/>
  <c r="G317" i="18"/>
  <c r="H316" i="18"/>
  <c r="G316" i="18"/>
  <c r="H315" i="18"/>
  <c r="G315" i="18"/>
  <c r="H314" i="18"/>
  <c r="G314" i="18"/>
  <c r="H313" i="18"/>
  <c r="G313" i="18"/>
  <c r="H312" i="18"/>
  <c r="G312" i="18"/>
  <c r="H311" i="18"/>
  <c r="G311" i="18"/>
  <c r="H310" i="18"/>
  <c r="G310" i="18"/>
  <c r="H309" i="18"/>
  <c r="G309" i="18"/>
  <c r="H308" i="18"/>
  <c r="G308" i="18"/>
  <c r="H307" i="18"/>
  <c r="G307" i="18"/>
  <c r="H306" i="18"/>
  <c r="G306" i="18"/>
  <c r="H305" i="18"/>
  <c r="G305" i="18"/>
  <c r="H304" i="18"/>
  <c r="G304" i="18"/>
  <c r="H303" i="18"/>
  <c r="G303" i="18"/>
  <c r="H302" i="18"/>
  <c r="G302" i="18"/>
  <c r="H301" i="18"/>
  <c r="G301" i="18"/>
  <c r="H300" i="18"/>
  <c r="G300" i="18"/>
  <c r="H299" i="18"/>
  <c r="G299" i="18"/>
  <c r="H298" i="18"/>
  <c r="G298" i="18"/>
  <c r="H297" i="18"/>
  <c r="G297" i="18"/>
  <c r="H296" i="18"/>
  <c r="G296" i="18"/>
  <c r="H295" i="18"/>
  <c r="G295" i="18"/>
  <c r="H294" i="18"/>
  <c r="G294" i="18"/>
  <c r="H293" i="18"/>
  <c r="G293" i="18"/>
  <c r="H292" i="18"/>
  <c r="G292" i="18"/>
  <c r="H291" i="18"/>
  <c r="G291" i="18"/>
  <c r="H290" i="18"/>
  <c r="G290" i="18"/>
  <c r="H289" i="18"/>
  <c r="G289" i="18"/>
  <c r="H288" i="18"/>
  <c r="G288" i="18"/>
  <c r="H287" i="18"/>
  <c r="G287" i="18"/>
  <c r="H286" i="18"/>
  <c r="G286" i="18"/>
  <c r="H285" i="18"/>
  <c r="G285" i="18"/>
  <c r="H284" i="18"/>
  <c r="G284" i="18"/>
  <c r="H283" i="18"/>
  <c r="G283" i="18"/>
  <c r="H282" i="18"/>
  <c r="G282" i="18"/>
  <c r="H281" i="18"/>
  <c r="G281" i="18"/>
  <c r="H280" i="18"/>
  <c r="G280" i="18"/>
  <c r="H279" i="18"/>
  <c r="G279" i="18"/>
  <c r="H278" i="18"/>
  <c r="G278" i="18"/>
  <c r="H277" i="18"/>
  <c r="G277" i="18"/>
  <c r="H276" i="18"/>
  <c r="G276" i="18"/>
  <c r="H275" i="18"/>
  <c r="G275" i="18"/>
  <c r="H274" i="18"/>
  <c r="G274" i="18"/>
  <c r="H273" i="18"/>
  <c r="G273" i="18"/>
  <c r="H272" i="18"/>
  <c r="G272" i="18"/>
  <c r="H271" i="18"/>
  <c r="G271" i="18"/>
  <c r="H270" i="18"/>
  <c r="G270" i="18"/>
  <c r="H269" i="18"/>
  <c r="G269" i="18"/>
  <c r="H268" i="18"/>
  <c r="G268" i="18"/>
  <c r="H267" i="18"/>
  <c r="G267" i="18"/>
  <c r="H266" i="18"/>
  <c r="G266" i="18"/>
  <c r="H265" i="18"/>
  <c r="G265" i="18"/>
  <c r="H264" i="18"/>
  <c r="G264" i="18"/>
  <c r="H263" i="18"/>
  <c r="G263" i="18"/>
  <c r="H262" i="18"/>
  <c r="G262" i="18"/>
  <c r="H261" i="18"/>
  <c r="G261" i="18"/>
  <c r="H260" i="18"/>
  <c r="G260" i="18"/>
  <c r="H259" i="18"/>
  <c r="G259" i="18"/>
  <c r="H258" i="18"/>
  <c r="G258" i="18"/>
  <c r="H257" i="18"/>
  <c r="G257" i="18"/>
  <c r="H256" i="18"/>
  <c r="G256" i="18"/>
  <c r="H255" i="18"/>
  <c r="G255" i="18"/>
  <c r="H254" i="18"/>
  <c r="G254" i="18"/>
  <c r="H253" i="18"/>
  <c r="G253" i="18"/>
  <c r="H252" i="18"/>
  <c r="G252" i="18"/>
  <c r="H251" i="18"/>
  <c r="G251" i="18"/>
  <c r="H250" i="18"/>
  <c r="G250" i="18"/>
  <c r="H249" i="18"/>
  <c r="G249" i="18"/>
  <c r="H248" i="18"/>
  <c r="G248" i="18"/>
  <c r="H247" i="18"/>
  <c r="G247" i="18"/>
  <c r="H246" i="18"/>
  <c r="G246" i="18"/>
  <c r="H245" i="18"/>
  <c r="G245" i="18"/>
  <c r="H244" i="18"/>
  <c r="G244" i="18"/>
  <c r="H243" i="18"/>
  <c r="G243" i="18"/>
  <c r="H242" i="18"/>
  <c r="G242" i="18"/>
  <c r="H241" i="18"/>
  <c r="G241" i="18"/>
  <c r="H240" i="18"/>
  <c r="G240" i="18"/>
  <c r="H239" i="18"/>
  <c r="G239" i="18"/>
  <c r="H238" i="18"/>
  <c r="G238" i="18"/>
  <c r="H237" i="18"/>
  <c r="G237" i="18"/>
  <c r="H236" i="18"/>
  <c r="G236" i="18"/>
  <c r="H235" i="18"/>
  <c r="G235" i="18"/>
  <c r="H234" i="18"/>
  <c r="G234" i="18"/>
  <c r="H233" i="18"/>
  <c r="G233" i="18"/>
  <c r="H232" i="18"/>
  <c r="G232" i="18"/>
  <c r="H201" i="18"/>
  <c r="G201" i="18"/>
  <c r="H200" i="18"/>
  <c r="G200" i="18"/>
  <c r="H199" i="18"/>
  <c r="G199" i="18"/>
  <c r="H198" i="18"/>
  <c r="G198" i="18"/>
  <c r="H197" i="18"/>
  <c r="G197" i="18"/>
  <c r="H196" i="18"/>
  <c r="G196" i="18"/>
  <c r="H195" i="18"/>
  <c r="G195" i="18"/>
  <c r="H194" i="18"/>
  <c r="G194" i="18"/>
  <c r="H193" i="18"/>
  <c r="G193" i="18"/>
  <c r="H192" i="18"/>
  <c r="G192" i="18"/>
  <c r="H191" i="18"/>
  <c r="G191" i="18"/>
  <c r="H190" i="18"/>
  <c r="G190" i="18"/>
  <c r="H189" i="18"/>
  <c r="G189" i="18"/>
  <c r="H188" i="18"/>
  <c r="G188" i="18"/>
  <c r="H187" i="18"/>
  <c r="G187" i="18"/>
  <c r="H186" i="18"/>
  <c r="G186" i="18"/>
  <c r="H185" i="18"/>
  <c r="G185" i="18"/>
  <c r="H184" i="18"/>
  <c r="G184" i="18"/>
  <c r="H183" i="18"/>
  <c r="G183" i="18"/>
  <c r="H182" i="18"/>
  <c r="G182" i="18"/>
  <c r="H181" i="18"/>
  <c r="G181" i="18"/>
  <c r="H180" i="18"/>
  <c r="G180" i="18"/>
  <c r="H179" i="18"/>
  <c r="G179" i="18"/>
  <c r="H178" i="18"/>
  <c r="G178" i="18"/>
  <c r="H177" i="18"/>
  <c r="G177" i="18"/>
  <c r="H176" i="18"/>
  <c r="G176" i="18"/>
  <c r="H175" i="18"/>
  <c r="G175" i="18"/>
  <c r="H174" i="18"/>
  <c r="G174" i="18"/>
  <c r="H173" i="18"/>
  <c r="G173" i="18"/>
  <c r="H172" i="18"/>
  <c r="G172" i="18"/>
  <c r="H171" i="18"/>
  <c r="G171" i="18"/>
  <c r="H170" i="18"/>
  <c r="G170" i="18"/>
  <c r="H169" i="18"/>
  <c r="G169" i="18"/>
  <c r="H168" i="18"/>
  <c r="G168" i="18"/>
  <c r="H167" i="18"/>
  <c r="G167" i="18"/>
  <c r="H166" i="18"/>
  <c r="G166" i="18"/>
  <c r="H165" i="18"/>
  <c r="G165" i="18"/>
  <c r="H164" i="18"/>
  <c r="G164" i="18"/>
  <c r="H163" i="18"/>
  <c r="G163" i="18"/>
  <c r="H162" i="18"/>
  <c r="G162" i="18"/>
  <c r="H161" i="18"/>
  <c r="G161" i="18"/>
  <c r="H160" i="18"/>
  <c r="G160" i="18"/>
  <c r="H159" i="18"/>
  <c r="G159" i="18"/>
  <c r="H158" i="18"/>
  <c r="G158" i="18"/>
  <c r="H157" i="18"/>
  <c r="G157" i="18"/>
  <c r="H156" i="18"/>
  <c r="G156" i="18"/>
  <c r="H155" i="18"/>
  <c r="G155" i="18"/>
  <c r="H154" i="18"/>
  <c r="G154" i="18"/>
  <c r="H153" i="18"/>
  <c r="G153" i="18"/>
  <c r="H152" i="18"/>
  <c r="G152" i="18"/>
  <c r="H151" i="18"/>
  <c r="G151" i="18"/>
  <c r="H150" i="18"/>
  <c r="G150" i="18"/>
  <c r="H149" i="18"/>
  <c r="G149" i="18"/>
  <c r="H148" i="18"/>
  <c r="G148" i="18"/>
  <c r="H147" i="18"/>
  <c r="G147" i="18"/>
  <c r="H146" i="18"/>
  <c r="G146" i="18"/>
  <c r="H145" i="18"/>
  <c r="G145" i="18"/>
  <c r="H144" i="18"/>
  <c r="G144" i="18"/>
  <c r="H143" i="18"/>
  <c r="G143" i="18"/>
  <c r="H142" i="18"/>
  <c r="G142" i="18"/>
  <c r="H121" i="18"/>
  <c r="G121" i="18"/>
  <c r="H120" i="18"/>
  <c r="G120" i="18"/>
  <c r="H119" i="18"/>
  <c r="G119" i="18"/>
  <c r="H118" i="18"/>
  <c r="G118" i="18"/>
  <c r="H117" i="18"/>
  <c r="G117" i="18"/>
  <c r="H116" i="18"/>
  <c r="G116" i="18"/>
  <c r="H115" i="18"/>
  <c r="G115" i="18"/>
  <c r="H114" i="18"/>
  <c r="G114" i="18"/>
  <c r="H113" i="18"/>
  <c r="G113" i="18"/>
  <c r="H112" i="18"/>
  <c r="G112" i="18"/>
  <c r="H111" i="18"/>
  <c r="G111" i="18"/>
  <c r="H110" i="18"/>
  <c r="G110" i="18"/>
  <c r="H109" i="18"/>
  <c r="G109" i="18"/>
  <c r="H108" i="18"/>
  <c r="G108" i="18"/>
  <c r="H107" i="18"/>
  <c r="G107" i="18"/>
  <c r="H106" i="18"/>
  <c r="G106" i="18"/>
  <c r="H105" i="18"/>
  <c r="G105" i="18"/>
  <c r="H104" i="18"/>
  <c r="G104" i="18"/>
  <c r="H103" i="18"/>
  <c r="G103" i="18"/>
  <c r="H102" i="18"/>
  <c r="G102" i="18"/>
  <c r="H101" i="18"/>
  <c r="G101" i="18"/>
  <c r="H100" i="18"/>
  <c r="G100" i="18"/>
  <c r="H99" i="18"/>
  <c r="G99" i="18"/>
  <c r="H98" i="18"/>
  <c r="G98" i="18"/>
  <c r="H97" i="18"/>
  <c r="G97" i="18"/>
  <c r="H96" i="18"/>
  <c r="G96" i="18"/>
  <c r="H95" i="18"/>
  <c r="G95" i="18"/>
  <c r="H94" i="18"/>
  <c r="G94" i="18"/>
  <c r="H93" i="18"/>
  <c r="G93" i="18"/>
  <c r="H92" i="18"/>
  <c r="G92" i="18"/>
  <c r="H91" i="18"/>
  <c r="G91" i="18"/>
  <c r="H90" i="18"/>
  <c r="G90" i="18"/>
  <c r="H89" i="18"/>
  <c r="G89" i="18"/>
  <c r="H88" i="18"/>
  <c r="G88" i="18"/>
  <c r="H87" i="18"/>
  <c r="G87" i="18"/>
  <c r="H86" i="18"/>
  <c r="G86" i="18"/>
  <c r="H85" i="18"/>
  <c r="G85" i="18"/>
  <c r="H84" i="18"/>
  <c r="G84" i="18"/>
  <c r="H83" i="18"/>
  <c r="G83" i="18"/>
  <c r="H82" i="18"/>
  <c r="G82" i="18"/>
  <c r="H81" i="18"/>
  <c r="G81" i="18"/>
  <c r="H80" i="18"/>
  <c r="G80" i="18"/>
  <c r="H79" i="18"/>
  <c r="G79" i="18"/>
  <c r="H78" i="18"/>
  <c r="G78" i="18"/>
  <c r="H77" i="18"/>
  <c r="G77" i="18"/>
  <c r="H76" i="18"/>
  <c r="G76" i="18"/>
  <c r="H75" i="18"/>
  <c r="G75" i="18"/>
  <c r="H74" i="18"/>
  <c r="G74" i="18"/>
  <c r="H73" i="18"/>
  <c r="G73" i="18"/>
  <c r="H72" i="18"/>
  <c r="G72" i="18"/>
  <c r="H71" i="18"/>
  <c r="G71" i="18"/>
  <c r="H70" i="18"/>
  <c r="G70" i="18"/>
  <c r="H69" i="18"/>
  <c r="G69" i="18"/>
  <c r="H68" i="18"/>
  <c r="G68" i="18"/>
  <c r="H67" i="18"/>
  <c r="G67" i="18"/>
  <c r="H66" i="18"/>
  <c r="G66" i="18"/>
  <c r="H65" i="18"/>
  <c r="G65" i="18"/>
  <c r="H64" i="18"/>
  <c r="G64" i="18"/>
  <c r="H63" i="18"/>
  <c r="G63" i="18"/>
  <c r="H62" i="18"/>
  <c r="G62" i="18"/>
  <c r="H61" i="18"/>
  <c r="G61" i="18"/>
  <c r="H60" i="18"/>
  <c r="G60" i="18"/>
  <c r="H59" i="18"/>
  <c r="G59" i="18"/>
  <c r="H58" i="18"/>
  <c r="G58" i="18"/>
  <c r="H57" i="18"/>
  <c r="G57" i="18"/>
  <c r="H56" i="18"/>
  <c r="G56" i="18"/>
  <c r="H55" i="18"/>
  <c r="G55" i="18"/>
  <c r="H54" i="18"/>
  <c r="G54" i="18"/>
  <c r="H53" i="18"/>
  <c r="G53" i="18"/>
  <c r="H52" i="18"/>
  <c r="G52" i="18"/>
  <c r="H51" i="18"/>
  <c r="G51" i="18"/>
  <c r="H50" i="18"/>
  <c r="G50" i="18"/>
  <c r="H49" i="18"/>
  <c r="G49" i="18"/>
  <c r="H48" i="18"/>
  <c r="G48" i="18"/>
  <c r="H47" i="18"/>
  <c r="G47" i="18"/>
  <c r="H46" i="18"/>
  <c r="G46" i="18"/>
  <c r="H45" i="18"/>
  <c r="G45" i="18"/>
  <c r="H44" i="18"/>
  <c r="G44" i="18"/>
  <c r="H43" i="18"/>
  <c r="G43" i="18"/>
  <c r="H42" i="18"/>
  <c r="G42" i="18"/>
  <c r="H41" i="18"/>
  <c r="G41" i="18"/>
  <c r="H40" i="18"/>
  <c r="G40" i="18"/>
  <c r="H39" i="18"/>
  <c r="G39" i="18"/>
  <c r="H38" i="18"/>
  <c r="G38" i="18"/>
  <c r="H37" i="18"/>
  <c r="G37" i="18"/>
  <c r="H36" i="18"/>
  <c r="G36" i="18"/>
  <c r="H35" i="18"/>
  <c r="G35" i="18"/>
  <c r="H34" i="18"/>
  <c r="G34" i="18"/>
  <c r="H33" i="18"/>
  <c r="G33" i="18"/>
  <c r="H32"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5" i="18"/>
  <c r="G4" i="18"/>
  <c r="G3" i="18"/>
  <c r="G2" i="18"/>
  <c r="J1551" i="16"/>
  <c r="H1551" i="16"/>
  <c r="G1551" i="16"/>
  <c r="I1243" i="18" s="1"/>
  <c r="J1550" i="16"/>
  <c r="H1550" i="16"/>
  <c r="G1550" i="16"/>
  <c r="I1242" i="18" s="1"/>
  <c r="J1549" i="16"/>
  <c r="H1549" i="16"/>
  <c r="G1549" i="16"/>
  <c r="I1241" i="18" s="1"/>
  <c r="J1548" i="16"/>
  <c r="H1548" i="16"/>
  <c r="G1548" i="16"/>
  <c r="I1240" i="18" s="1"/>
  <c r="J1547" i="16"/>
  <c r="H1547" i="16"/>
  <c r="H32" i="19" s="1"/>
  <c r="G1547" i="16"/>
  <c r="I1239" i="18" s="1"/>
  <c r="J1546" i="16"/>
  <c r="H1546" i="16"/>
  <c r="G1546" i="16"/>
  <c r="I1216" i="18" s="1"/>
  <c r="J1545" i="16"/>
  <c r="H1545" i="16"/>
  <c r="G1545" i="16"/>
  <c r="I1215" i="18" s="1"/>
  <c r="J1544" i="16"/>
  <c r="H1544" i="16"/>
  <c r="G1544" i="16"/>
  <c r="I1214" i="18" s="1"/>
  <c r="J1543" i="16"/>
  <c r="H1543" i="16"/>
  <c r="G1543" i="16"/>
  <c r="I1213" i="18" s="1"/>
  <c r="J1542" i="16"/>
  <c r="H1542" i="16"/>
  <c r="G1542" i="16"/>
  <c r="I1212" i="18" s="1"/>
  <c r="J1541" i="16"/>
  <c r="H1541" i="16"/>
  <c r="G1541" i="16"/>
  <c r="I1189" i="18" s="1"/>
  <c r="J1540" i="16"/>
  <c r="H1540" i="16"/>
  <c r="G1540" i="16"/>
  <c r="I1188" i="18" s="1"/>
  <c r="J1539" i="16"/>
  <c r="H1539" i="16"/>
  <c r="G1539" i="16"/>
  <c r="I1187" i="18" s="1"/>
  <c r="J1538" i="16"/>
  <c r="H1538" i="16"/>
  <c r="G1538" i="16"/>
  <c r="I1186" i="18" s="1"/>
  <c r="J1537" i="16"/>
  <c r="H1537" i="16"/>
  <c r="G1537" i="16"/>
  <c r="I1185" i="18" s="1"/>
  <c r="J1473" i="16"/>
  <c r="H1473" i="16"/>
  <c r="G1473" i="16"/>
  <c r="I1400" i="18" s="1"/>
  <c r="J1472" i="16"/>
  <c r="H1472" i="16"/>
  <c r="G1472" i="16"/>
  <c r="I1399" i="18" s="1"/>
  <c r="J1471" i="16"/>
  <c r="H1471" i="16"/>
  <c r="G1471" i="16"/>
  <c r="I1398" i="18" s="1"/>
  <c r="J1470" i="16"/>
  <c r="H1470" i="16"/>
  <c r="G1470" i="16"/>
  <c r="I1397" i="18" s="1"/>
  <c r="J1469" i="16"/>
  <c r="H1469" i="16"/>
  <c r="G1469" i="16"/>
  <c r="I1396" i="18" s="1"/>
  <c r="J1468" i="16"/>
  <c r="H1468" i="16"/>
  <c r="G1468" i="16"/>
  <c r="I1395" i="18" s="1"/>
  <c r="J1467" i="16"/>
  <c r="H1467" i="16"/>
  <c r="G1467" i="16"/>
  <c r="I1373" i="18" s="1"/>
  <c r="J1466" i="16"/>
  <c r="H1466" i="16"/>
  <c r="G1466" i="16"/>
  <c r="I1372" i="18" s="1"/>
  <c r="J1465" i="16"/>
  <c r="H1465" i="16"/>
  <c r="G1465" i="16"/>
  <c r="I1371" i="18" s="1"/>
  <c r="J1464" i="16"/>
  <c r="H1464" i="16"/>
  <c r="G1464" i="16"/>
  <c r="I1370" i="18" s="1"/>
  <c r="J1463" i="16"/>
  <c r="H1463" i="16"/>
  <c r="G1463" i="16"/>
  <c r="I1369" i="18" s="1"/>
  <c r="J1462" i="16"/>
  <c r="H1462" i="16"/>
  <c r="G1462" i="16"/>
  <c r="I1368" i="18" s="1"/>
  <c r="J1461" i="16"/>
  <c r="H1461" i="16"/>
  <c r="G1461" i="16"/>
  <c r="I1346" i="18" s="1"/>
  <c r="J1460" i="16"/>
  <c r="H1460" i="16"/>
  <c r="G1460" i="16"/>
  <c r="I1345" i="18" s="1"/>
  <c r="J1459" i="16"/>
  <c r="H1459" i="16"/>
  <c r="G1459" i="16"/>
  <c r="I1344" i="18" s="1"/>
  <c r="J1458" i="16"/>
  <c r="H1458" i="16"/>
  <c r="G1458" i="16"/>
  <c r="I1343" i="18" s="1"/>
  <c r="J1457" i="16"/>
  <c r="H1457" i="16"/>
  <c r="G1457" i="16"/>
  <c r="I1342" i="18" s="1"/>
  <c r="J1456" i="16"/>
  <c r="H1456" i="16"/>
  <c r="G1456" i="16"/>
  <c r="I1341" i="18" s="1"/>
  <c r="J1455" i="16"/>
  <c r="H1455" i="16"/>
  <c r="G1455" i="16"/>
  <c r="I1319" i="18" s="1"/>
  <c r="J1454" i="16"/>
  <c r="H1454" i="16"/>
  <c r="G1454" i="16"/>
  <c r="I1318" i="18" s="1"/>
  <c r="J1453" i="16"/>
  <c r="H1453" i="16"/>
  <c r="G1453" i="16"/>
  <c r="I1317" i="18" s="1"/>
  <c r="J1452" i="16"/>
  <c r="H1452" i="16"/>
  <c r="G1452" i="16"/>
  <c r="I1316" i="18" s="1"/>
  <c r="J1451" i="16"/>
  <c r="H1451" i="16"/>
  <c r="G1451" i="16"/>
  <c r="I1315" i="18" s="1"/>
  <c r="J1450" i="16"/>
  <c r="H1450" i="16"/>
  <c r="G1450" i="16"/>
  <c r="I1314" i="18" s="1"/>
  <c r="J1449" i="16"/>
  <c r="H1449" i="16"/>
  <c r="G1449" i="16"/>
  <c r="I1292" i="18" s="1"/>
  <c r="J1448" i="16"/>
  <c r="H1448" i="16"/>
  <c r="G1448" i="16"/>
  <c r="I1291" i="18" s="1"/>
  <c r="J1447" i="16"/>
  <c r="H1447" i="16"/>
  <c r="G1447" i="16"/>
  <c r="I1290" i="18" s="1"/>
  <c r="J1446" i="16"/>
  <c r="H1446" i="16"/>
  <c r="G1446" i="16"/>
  <c r="I1289" i="18" s="1"/>
  <c r="J1445" i="16"/>
  <c r="H1445" i="16"/>
  <c r="G1445" i="16"/>
  <c r="I1288" i="18" s="1"/>
  <c r="J1444" i="16"/>
  <c r="H1444" i="16"/>
  <c r="G1444" i="16"/>
  <c r="I1287" i="18" s="1"/>
  <c r="J1443" i="16"/>
  <c r="H1443" i="16"/>
  <c r="G1443" i="16"/>
  <c r="I1265" i="18" s="1"/>
  <c r="J1442" i="16"/>
  <c r="H1442" i="16"/>
  <c r="G1442" i="16"/>
  <c r="I1264" i="18" s="1"/>
  <c r="J1441" i="16"/>
  <c r="H1441" i="16"/>
  <c r="G1441" i="16"/>
  <c r="I1263" i="18" s="1"/>
  <c r="J1440" i="16"/>
  <c r="H1440" i="16"/>
  <c r="G1440" i="16"/>
  <c r="I1262" i="18" s="1"/>
  <c r="J1439" i="16"/>
  <c r="H1439" i="16"/>
  <c r="G1439" i="16"/>
  <c r="I1261" i="18" s="1"/>
  <c r="J1438" i="16"/>
  <c r="H1438" i="16"/>
  <c r="G1438" i="16"/>
  <c r="I1260" i="18" s="1"/>
  <c r="J1437" i="16"/>
  <c r="H1437" i="16"/>
  <c r="G1437" i="16"/>
  <c r="I1238" i="18" s="1"/>
  <c r="J1436" i="16"/>
  <c r="H1436" i="16"/>
  <c r="G1436" i="16"/>
  <c r="I1237" i="18" s="1"/>
  <c r="J1435" i="16"/>
  <c r="H1435" i="16"/>
  <c r="G1435" i="16"/>
  <c r="I1236" i="18" s="1"/>
  <c r="J1434" i="16"/>
  <c r="H1434" i="16"/>
  <c r="G1434" i="16"/>
  <c r="I1235" i="18" s="1"/>
  <c r="J1433" i="16"/>
  <c r="H1433" i="16"/>
  <c r="G1433" i="16"/>
  <c r="I1234" i="18" s="1"/>
  <c r="J1432" i="16"/>
  <c r="H1432" i="16"/>
  <c r="G1432" i="16"/>
  <c r="I1233" i="18" s="1"/>
  <c r="J1431" i="16"/>
  <c r="H1431" i="16"/>
  <c r="G1431" i="16"/>
  <c r="I1211" i="18" s="1"/>
  <c r="J1430" i="16"/>
  <c r="H1430" i="16"/>
  <c r="G1430" i="16"/>
  <c r="I1210" i="18" s="1"/>
  <c r="J1429" i="16"/>
  <c r="H1429" i="16"/>
  <c r="G1429" i="16"/>
  <c r="I1209" i="18" s="1"/>
  <c r="J1428" i="16"/>
  <c r="H1428" i="16"/>
  <c r="G1428" i="16"/>
  <c r="I1208" i="18" s="1"/>
  <c r="J1427" i="16"/>
  <c r="H1427" i="16"/>
  <c r="G1427" i="16"/>
  <c r="I1207" i="18" s="1"/>
  <c r="J1426" i="16"/>
  <c r="H1426" i="16"/>
  <c r="H31" i="19" s="1"/>
  <c r="G1426" i="16"/>
  <c r="I1206" i="18" s="1"/>
  <c r="J1425" i="16"/>
  <c r="H1425" i="16"/>
  <c r="G1425" i="16"/>
  <c r="I1184" i="18" s="1"/>
  <c r="J1424" i="16"/>
  <c r="H1424" i="16"/>
  <c r="G1424" i="16"/>
  <c r="I1183" i="18" s="1"/>
  <c r="J1423" i="16"/>
  <c r="H1423" i="16"/>
  <c r="G1423" i="16"/>
  <c r="I1182" i="18" s="1"/>
  <c r="J1422" i="16"/>
  <c r="H1422" i="16"/>
  <c r="G1422" i="16"/>
  <c r="I1181" i="18" s="1"/>
  <c r="J1421" i="16"/>
  <c r="H1421" i="16"/>
  <c r="G1421" i="16"/>
  <c r="I1180" i="18" s="1"/>
  <c r="J1420" i="16"/>
  <c r="H1420" i="16"/>
  <c r="G1420" i="16"/>
  <c r="I1179" i="18" s="1"/>
  <c r="J1419" i="16"/>
  <c r="H1419" i="16"/>
  <c r="G1419" i="16"/>
  <c r="I1157" i="18" s="1"/>
  <c r="J1418" i="16"/>
  <c r="H1418" i="16"/>
  <c r="G1418" i="16"/>
  <c r="I1156" i="18" s="1"/>
  <c r="J1417" i="16"/>
  <c r="H1417" i="16"/>
  <c r="G1417" i="16"/>
  <c r="I1155" i="18" s="1"/>
  <c r="J1416" i="16"/>
  <c r="H1416" i="16"/>
  <c r="G1416" i="16"/>
  <c r="I1154" i="18" s="1"/>
  <c r="J1415" i="16"/>
  <c r="H1415" i="16"/>
  <c r="G1415" i="16"/>
  <c r="I1153" i="18" s="1"/>
  <c r="J1414" i="16"/>
  <c r="H1414" i="16"/>
  <c r="G1414" i="16"/>
  <c r="I1152" i="18" s="1"/>
  <c r="J1413" i="16"/>
  <c r="H1413" i="16"/>
  <c r="G1413" i="16"/>
  <c r="I1130" i="18" s="1"/>
  <c r="J1412" i="16"/>
  <c r="H1412" i="16"/>
  <c r="G1412" i="16"/>
  <c r="I1129" i="18" s="1"/>
  <c r="J1411" i="16"/>
  <c r="H1411" i="16"/>
  <c r="G1411" i="16"/>
  <c r="I1128" i="18" s="1"/>
  <c r="J1410" i="16"/>
  <c r="H1410" i="16"/>
  <c r="G1410" i="16"/>
  <c r="I1127" i="18" s="1"/>
  <c r="J1409" i="16"/>
  <c r="H1409" i="16"/>
  <c r="G1409" i="16"/>
  <c r="I1126" i="18" s="1"/>
  <c r="J1408" i="16"/>
  <c r="H1408" i="16"/>
  <c r="G1408" i="16"/>
  <c r="I1125" i="18" s="1"/>
  <c r="J1353" i="16"/>
  <c r="H1353" i="16"/>
  <c r="G1353" i="16"/>
  <c r="I1394" i="18" s="1"/>
  <c r="J1352" i="16"/>
  <c r="H1352" i="16"/>
  <c r="G1352" i="16"/>
  <c r="I1393" i="18" s="1"/>
  <c r="J1351" i="16"/>
  <c r="H1351" i="16"/>
  <c r="G1351" i="16"/>
  <c r="I1392" i="18" s="1"/>
  <c r="J1350" i="16"/>
  <c r="H1350" i="16"/>
  <c r="G1350" i="16"/>
  <c r="I1391" i="18" s="1"/>
  <c r="J1349" i="16"/>
  <c r="H1349" i="16"/>
  <c r="G1349" i="16"/>
  <c r="I1390" i="18" s="1"/>
  <c r="J1348" i="16"/>
  <c r="H1348" i="16"/>
  <c r="G1348" i="16"/>
  <c r="I1389" i="18" s="1"/>
  <c r="J1347" i="16"/>
  <c r="H1347" i="16"/>
  <c r="G1347" i="16"/>
  <c r="I1367" i="18" s="1"/>
  <c r="J1346" i="16"/>
  <c r="H1346" i="16"/>
  <c r="G1346" i="16"/>
  <c r="I1366" i="18" s="1"/>
  <c r="J1345" i="16"/>
  <c r="H1345" i="16"/>
  <c r="G1345" i="16"/>
  <c r="I1365" i="18" s="1"/>
  <c r="J1344" i="16"/>
  <c r="H1344" i="16"/>
  <c r="G1344" i="16"/>
  <c r="I1364" i="18" s="1"/>
  <c r="J1343" i="16"/>
  <c r="H1343" i="16"/>
  <c r="G1343" i="16"/>
  <c r="I1363" i="18" s="1"/>
  <c r="J1342" i="16"/>
  <c r="H1342" i="16"/>
  <c r="G1342" i="16"/>
  <c r="I1362" i="18" s="1"/>
  <c r="J1341" i="16"/>
  <c r="H1341" i="16"/>
  <c r="G1341" i="16"/>
  <c r="I1340" i="18" s="1"/>
  <c r="J1340" i="16"/>
  <c r="H1340" i="16"/>
  <c r="G1340" i="16"/>
  <c r="I1339" i="18" s="1"/>
  <c r="J1339" i="16"/>
  <c r="H1339" i="16"/>
  <c r="G1339" i="16"/>
  <c r="I1338" i="18" s="1"/>
  <c r="J1338" i="16"/>
  <c r="H1338" i="16"/>
  <c r="G1338" i="16"/>
  <c r="I1337" i="18" s="1"/>
  <c r="J1337" i="16"/>
  <c r="H1337" i="16"/>
  <c r="G1337" i="16"/>
  <c r="I1336" i="18" s="1"/>
  <c r="J1336" i="16"/>
  <c r="H1336" i="16"/>
  <c r="G1336" i="16"/>
  <c r="I1335" i="18" s="1"/>
  <c r="J1335" i="16"/>
  <c r="H1335" i="16"/>
  <c r="G1335" i="16"/>
  <c r="I1313" i="18" s="1"/>
  <c r="J1334" i="16"/>
  <c r="H1334" i="16"/>
  <c r="G1334" i="16"/>
  <c r="I1312" i="18" s="1"/>
  <c r="J1333" i="16"/>
  <c r="H1333" i="16"/>
  <c r="G1333" i="16"/>
  <c r="I1311" i="18" s="1"/>
  <c r="J1332" i="16"/>
  <c r="H1332" i="16"/>
  <c r="G1332" i="16"/>
  <c r="I1310" i="18" s="1"/>
  <c r="J1331" i="16"/>
  <c r="H1331" i="16"/>
  <c r="G1331" i="16"/>
  <c r="I1309" i="18" s="1"/>
  <c r="J1330" i="16"/>
  <c r="H1330" i="16"/>
  <c r="G1330" i="16"/>
  <c r="I1308" i="18" s="1"/>
  <c r="J1329" i="16"/>
  <c r="H1329" i="16"/>
  <c r="G1329" i="16"/>
  <c r="I1286" i="18" s="1"/>
  <c r="J1328" i="16"/>
  <c r="H1328" i="16"/>
  <c r="G1328" i="16"/>
  <c r="I1285" i="18" s="1"/>
  <c r="J1327" i="16"/>
  <c r="H1327" i="16"/>
  <c r="G1327" i="16"/>
  <c r="I1284" i="18" s="1"/>
  <c r="J1326" i="16"/>
  <c r="H1326" i="16"/>
  <c r="G1326" i="16"/>
  <c r="I1283" i="18" s="1"/>
  <c r="J1325" i="16"/>
  <c r="H1325" i="16"/>
  <c r="G1325" i="16"/>
  <c r="I1282" i="18" s="1"/>
  <c r="J1324" i="16"/>
  <c r="H1324" i="16"/>
  <c r="G1324" i="16"/>
  <c r="I1281" i="18" s="1"/>
  <c r="J1323" i="16"/>
  <c r="H1323" i="16"/>
  <c r="G1323" i="16"/>
  <c r="I1259" i="18" s="1"/>
  <c r="J1322" i="16"/>
  <c r="H1322" i="16"/>
  <c r="G1322" i="16"/>
  <c r="I1258" i="18" s="1"/>
  <c r="J1321" i="16"/>
  <c r="H1321" i="16"/>
  <c r="G1321" i="16"/>
  <c r="I1257" i="18" s="1"/>
  <c r="J1320" i="16"/>
  <c r="H1320" i="16"/>
  <c r="G1320" i="16"/>
  <c r="I1256" i="18" s="1"/>
  <c r="J1319" i="16"/>
  <c r="H1319" i="16"/>
  <c r="G1319" i="16"/>
  <c r="I1255" i="18" s="1"/>
  <c r="J1318" i="16"/>
  <c r="H1318" i="16"/>
  <c r="G1318" i="16"/>
  <c r="I1254" i="18" s="1"/>
  <c r="J1317" i="16"/>
  <c r="H1317" i="16"/>
  <c r="G1317" i="16"/>
  <c r="I1232" i="18" s="1"/>
  <c r="J1316" i="16"/>
  <c r="H1316" i="16"/>
  <c r="G1316" i="16"/>
  <c r="I1231" i="18" s="1"/>
  <c r="J1315" i="16"/>
  <c r="H1315" i="16"/>
  <c r="G1315" i="16"/>
  <c r="I1230" i="18" s="1"/>
  <c r="J1314" i="16"/>
  <c r="H1314" i="16"/>
  <c r="G1314" i="16"/>
  <c r="I1229" i="18" s="1"/>
  <c r="J1313" i="16"/>
  <c r="H1313" i="16"/>
  <c r="G1313" i="16"/>
  <c r="I1228" i="18" s="1"/>
  <c r="J1312" i="16"/>
  <c r="H1312" i="16"/>
  <c r="G1312" i="16"/>
  <c r="I1227" i="18" s="1"/>
  <c r="J1311" i="16"/>
  <c r="H1311" i="16"/>
  <c r="G1311" i="16"/>
  <c r="I1205" i="18" s="1"/>
  <c r="J1310" i="16"/>
  <c r="H1310" i="16"/>
  <c r="G1310" i="16"/>
  <c r="I1204" i="18" s="1"/>
  <c r="J1309" i="16"/>
  <c r="H1309" i="16"/>
  <c r="G1309" i="16"/>
  <c r="I1203" i="18" s="1"/>
  <c r="J1308" i="16"/>
  <c r="H1308" i="16"/>
  <c r="G1308" i="16"/>
  <c r="I1202" i="18" s="1"/>
  <c r="J1307" i="16"/>
  <c r="H1307" i="16"/>
  <c r="G1307" i="16"/>
  <c r="I1201" i="18" s="1"/>
  <c r="J1306" i="16"/>
  <c r="H1306" i="16"/>
  <c r="G1306" i="16"/>
  <c r="I1200" i="18" s="1"/>
  <c r="J1305" i="16"/>
  <c r="H1305" i="16"/>
  <c r="G1305" i="16"/>
  <c r="I1178" i="18" s="1"/>
  <c r="J1304" i="16"/>
  <c r="H1304" i="16"/>
  <c r="G1304" i="16"/>
  <c r="I1177" i="18" s="1"/>
  <c r="J1303" i="16"/>
  <c r="H1303" i="16"/>
  <c r="G1303" i="16"/>
  <c r="I1176" i="18" s="1"/>
  <c r="J1302" i="16"/>
  <c r="H1302" i="16"/>
  <c r="G1302" i="16"/>
  <c r="I1175" i="18" s="1"/>
  <c r="J1301" i="16"/>
  <c r="H1301" i="16"/>
  <c r="G1301" i="16"/>
  <c r="I1174" i="18" s="1"/>
  <c r="J1300" i="16"/>
  <c r="H1300" i="16"/>
  <c r="H30" i="19" s="1"/>
  <c r="G1300" i="16"/>
  <c r="I1173" i="18" s="1"/>
  <c r="J1299" i="16"/>
  <c r="H1299" i="16"/>
  <c r="G1299" i="16"/>
  <c r="I1151" i="18" s="1"/>
  <c r="J1298" i="16"/>
  <c r="H1298" i="16"/>
  <c r="G1298" i="16"/>
  <c r="I1150" i="18" s="1"/>
  <c r="J1297" i="16"/>
  <c r="H1297" i="16"/>
  <c r="G1297" i="16"/>
  <c r="I1149" i="18" s="1"/>
  <c r="J1296" i="16"/>
  <c r="H1296" i="16"/>
  <c r="G1296" i="16"/>
  <c r="I1148" i="18" s="1"/>
  <c r="J1295" i="16"/>
  <c r="H1295" i="16"/>
  <c r="G1295" i="16"/>
  <c r="I1147" i="18" s="1"/>
  <c r="J1294" i="16"/>
  <c r="H1294" i="16"/>
  <c r="G1294" i="16"/>
  <c r="I1146" i="18" s="1"/>
  <c r="J1293" i="16"/>
  <c r="H1293" i="16"/>
  <c r="G1293" i="16"/>
  <c r="I1124" i="18" s="1"/>
  <c r="J1292" i="16"/>
  <c r="H1292" i="16"/>
  <c r="G1292" i="16"/>
  <c r="I1123" i="18" s="1"/>
  <c r="J1291" i="16"/>
  <c r="H1291" i="16"/>
  <c r="G1291" i="16"/>
  <c r="I1122" i="18" s="1"/>
  <c r="J1290" i="16"/>
  <c r="H1290" i="16"/>
  <c r="G1290" i="16"/>
  <c r="I1121" i="18" s="1"/>
  <c r="J1289" i="16"/>
  <c r="H1289" i="16"/>
  <c r="G1289" i="16"/>
  <c r="I1120" i="18" s="1"/>
  <c r="J1288" i="16"/>
  <c r="H1288" i="16"/>
  <c r="G1288" i="16"/>
  <c r="I1119" i="18" s="1"/>
  <c r="J1249" i="16"/>
  <c r="H1249" i="16"/>
  <c r="G1249" i="16"/>
  <c r="I1388" i="18" s="1"/>
  <c r="J1248" i="16"/>
  <c r="H1248" i="16"/>
  <c r="G1248" i="16"/>
  <c r="I1387" i="18" s="1"/>
  <c r="J1247" i="16"/>
  <c r="H1247" i="16"/>
  <c r="G1247" i="16"/>
  <c r="I1386" i="18" s="1"/>
  <c r="J1246" i="16"/>
  <c r="H1246" i="16"/>
  <c r="G1246" i="16"/>
  <c r="I1385" i="18" s="1"/>
  <c r="J1245" i="16"/>
  <c r="H1245" i="16"/>
  <c r="G1245" i="16"/>
  <c r="I1361" i="18" s="1"/>
  <c r="J1244" i="16"/>
  <c r="H1244" i="16"/>
  <c r="G1244" i="16"/>
  <c r="I1360" i="18" s="1"/>
  <c r="J1243" i="16"/>
  <c r="H1243" i="16"/>
  <c r="G1243" i="16"/>
  <c r="I1359" i="18" s="1"/>
  <c r="J1242" i="16"/>
  <c r="H1242" i="16"/>
  <c r="G1242" i="16"/>
  <c r="I1358" i="18" s="1"/>
  <c r="J1241" i="16"/>
  <c r="H1241" i="16"/>
  <c r="G1241" i="16"/>
  <c r="I1334" i="18" s="1"/>
  <c r="J1240" i="16"/>
  <c r="H1240" i="16"/>
  <c r="G1240" i="16"/>
  <c r="I1333" i="18" s="1"/>
  <c r="J1239" i="16"/>
  <c r="H1239" i="16"/>
  <c r="G1239" i="16"/>
  <c r="I1332" i="18" s="1"/>
  <c r="J1238" i="16"/>
  <c r="H1238" i="16"/>
  <c r="G1238" i="16"/>
  <c r="I1331" i="18" s="1"/>
  <c r="J1237" i="16"/>
  <c r="H1237" i="16"/>
  <c r="G1237" i="16"/>
  <c r="I1307" i="18" s="1"/>
  <c r="J1236" i="16"/>
  <c r="H1236" i="16"/>
  <c r="G1236" i="16"/>
  <c r="I1306" i="18" s="1"/>
  <c r="J1235" i="16"/>
  <c r="H1235" i="16"/>
  <c r="G1235" i="16"/>
  <c r="I1305" i="18" s="1"/>
  <c r="J1234" i="16"/>
  <c r="H1234" i="16"/>
  <c r="G1234" i="16"/>
  <c r="I1304" i="18" s="1"/>
  <c r="J1233" i="16"/>
  <c r="H1233" i="16"/>
  <c r="G1233" i="16"/>
  <c r="I1280" i="18" s="1"/>
  <c r="J1232" i="16"/>
  <c r="H1232" i="16"/>
  <c r="G1232" i="16"/>
  <c r="I1279" i="18" s="1"/>
  <c r="J1231" i="16"/>
  <c r="H1231" i="16"/>
  <c r="G1231" i="16"/>
  <c r="I1278" i="18" s="1"/>
  <c r="J1230" i="16"/>
  <c r="H1230" i="16"/>
  <c r="G1230" i="16"/>
  <c r="I1277" i="18" s="1"/>
  <c r="J1229" i="16"/>
  <c r="H1229" i="16"/>
  <c r="G1229" i="16"/>
  <c r="I1253" i="18" s="1"/>
  <c r="J1228" i="16"/>
  <c r="H1228" i="16"/>
  <c r="G1228" i="16"/>
  <c r="I1252" i="18" s="1"/>
  <c r="J1227" i="16"/>
  <c r="H1227" i="16"/>
  <c r="G1227" i="16"/>
  <c r="I1251" i="18" s="1"/>
  <c r="J1226" i="16"/>
  <c r="H1226" i="16"/>
  <c r="H29" i="19" s="1"/>
  <c r="G1226" i="16"/>
  <c r="I1250" i="18" s="1"/>
  <c r="J1225" i="16"/>
  <c r="H1225" i="16"/>
  <c r="G1225" i="16"/>
  <c r="I1226" i="18" s="1"/>
  <c r="J1224" i="16"/>
  <c r="H1224" i="16"/>
  <c r="G1224" i="16"/>
  <c r="I1225" i="18" s="1"/>
  <c r="J1223" i="16"/>
  <c r="H1223" i="16"/>
  <c r="G1223" i="16"/>
  <c r="I1224" i="18" s="1"/>
  <c r="J1222" i="16"/>
  <c r="H1222" i="16"/>
  <c r="G1222" i="16"/>
  <c r="I1223" i="18" s="1"/>
  <c r="J1221" i="16"/>
  <c r="H1221" i="16"/>
  <c r="G1221" i="16"/>
  <c r="I1199" i="18" s="1"/>
  <c r="J1220" i="16"/>
  <c r="H1220" i="16"/>
  <c r="G1220" i="16"/>
  <c r="I1198" i="18" s="1"/>
  <c r="J1219" i="16"/>
  <c r="H1219" i="16"/>
  <c r="G1219" i="16"/>
  <c r="I1197" i="18" s="1"/>
  <c r="J1218" i="16"/>
  <c r="H1218" i="16"/>
  <c r="G1218" i="16"/>
  <c r="I1196" i="18" s="1"/>
  <c r="J1217" i="16"/>
  <c r="H1217" i="16"/>
  <c r="G1217" i="16"/>
  <c r="I1172" i="18" s="1"/>
  <c r="J1216" i="16"/>
  <c r="H1216" i="16"/>
  <c r="G1216" i="16"/>
  <c r="I1171" i="18" s="1"/>
  <c r="J1215" i="16"/>
  <c r="H1215" i="16"/>
  <c r="G1215" i="16"/>
  <c r="I1170" i="18" s="1"/>
  <c r="J1214" i="16"/>
  <c r="H1214" i="16"/>
  <c r="G1214" i="16"/>
  <c r="I1169" i="18" s="1"/>
  <c r="J1213" i="16"/>
  <c r="H1213" i="16"/>
  <c r="G1213" i="16"/>
  <c r="I1145" i="18" s="1"/>
  <c r="J1212" i="16"/>
  <c r="H1212" i="16"/>
  <c r="G1212" i="16"/>
  <c r="I1144" i="18" s="1"/>
  <c r="J1211" i="16"/>
  <c r="H1211" i="16"/>
  <c r="G1211" i="16"/>
  <c r="I1143" i="18" s="1"/>
  <c r="J1210" i="16"/>
  <c r="H1210" i="16"/>
  <c r="G1210" i="16"/>
  <c r="I1142" i="18" s="1"/>
  <c r="J1209" i="16"/>
  <c r="H1209" i="16"/>
  <c r="G1209" i="16"/>
  <c r="I1118" i="18" s="1"/>
  <c r="J1208" i="16"/>
  <c r="H1208" i="16"/>
  <c r="G1208" i="16"/>
  <c r="I1117" i="18" s="1"/>
  <c r="J1207" i="16"/>
  <c r="H1207" i="16"/>
  <c r="G1207" i="16"/>
  <c r="I1116" i="18" s="1"/>
  <c r="J1206" i="16"/>
  <c r="H1206" i="16"/>
  <c r="G1206" i="16"/>
  <c r="I1115" i="18" s="1"/>
  <c r="J1153" i="16"/>
  <c r="H1153" i="16"/>
  <c r="G1153" i="16"/>
  <c r="I1384" i="18" s="1"/>
  <c r="J1152" i="16"/>
  <c r="H1152" i="16"/>
  <c r="G1152" i="16"/>
  <c r="I1383" i="18" s="1"/>
  <c r="J1151" i="16"/>
  <c r="H1151" i="16"/>
  <c r="G1151" i="16"/>
  <c r="I1382" i="18" s="1"/>
  <c r="J1150" i="16"/>
  <c r="H1150" i="16"/>
  <c r="G1150" i="16"/>
  <c r="I1381" i="18" s="1"/>
  <c r="J1149" i="16"/>
  <c r="H1149" i="16"/>
  <c r="G1149" i="16"/>
  <c r="I1380" i="18" s="1"/>
  <c r="J1148" i="16"/>
  <c r="H1148" i="16"/>
  <c r="G1148" i="16"/>
  <c r="I1379" i="18" s="1"/>
  <c r="L1405" i="18" s="1"/>
  <c r="J1147" i="16"/>
  <c r="H1147" i="16"/>
  <c r="G1147" i="16"/>
  <c r="I1357" i="18" s="1"/>
  <c r="J1146" i="16"/>
  <c r="H1146" i="16"/>
  <c r="G1146" i="16"/>
  <c r="I1356" i="18" s="1"/>
  <c r="J1145" i="16"/>
  <c r="H1145" i="16"/>
  <c r="G1145" i="16"/>
  <c r="I1355" i="18" s="1"/>
  <c r="J1144" i="16"/>
  <c r="H1144" i="16"/>
  <c r="G1144" i="16"/>
  <c r="I1354" i="18" s="1"/>
  <c r="J1143" i="16"/>
  <c r="H1143" i="16"/>
  <c r="G1143" i="16"/>
  <c r="I1353" i="18" s="1"/>
  <c r="J1142" i="16"/>
  <c r="H1142" i="16"/>
  <c r="G1142" i="16"/>
  <c r="I1352" i="18" s="1"/>
  <c r="L1378" i="18" s="1"/>
  <c r="J1141" i="16"/>
  <c r="H1141" i="16"/>
  <c r="G1141" i="16"/>
  <c r="I1330" i="18" s="1"/>
  <c r="J1140" i="16"/>
  <c r="H1140" i="16"/>
  <c r="G1140" i="16"/>
  <c r="I1329" i="18" s="1"/>
  <c r="J1139" i="16"/>
  <c r="H1139" i="16"/>
  <c r="G1139" i="16"/>
  <c r="I1328" i="18" s="1"/>
  <c r="J1138" i="16"/>
  <c r="H1138" i="16"/>
  <c r="G1138" i="16"/>
  <c r="I1327" i="18" s="1"/>
  <c r="J1137" i="16"/>
  <c r="H1137" i="16"/>
  <c r="G1137" i="16"/>
  <c r="I1326" i="18" s="1"/>
  <c r="J1136" i="16"/>
  <c r="H1136" i="16"/>
  <c r="G1136" i="16"/>
  <c r="I1325" i="18" s="1"/>
  <c r="L1351" i="18" s="1"/>
  <c r="J1135" i="16"/>
  <c r="H1135" i="16"/>
  <c r="G1135" i="16"/>
  <c r="I1303" i="18" s="1"/>
  <c r="J1134" i="16"/>
  <c r="H1134" i="16"/>
  <c r="G1134" i="16"/>
  <c r="I1302" i="18" s="1"/>
  <c r="J1133" i="16"/>
  <c r="H1133" i="16"/>
  <c r="G1133" i="16"/>
  <c r="I1301" i="18" s="1"/>
  <c r="J1132" i="16"/>
  <c r="H1132" i="16"/>
  <c r="G1132" i="16"/>
  <c r="I1300" i="18" s="1"/>
  <c r="J1131" i="16"/>
  <c r="H1131" i="16"/>
  <c r="G1131" i="16"/>
  <c r="I1299" i="18" s="1"/>
  <c r="J1130" i="16"/>
  <c r="H1130" i="16"/>
  <c r="G1130" i="16"/>
  <c r="I1298" i="18" s="1"/>
  <c r="L1324" i="18" s="1"/>
  <c r="J1129" i="16"/>
  <c r="H1129" i="16"/>
  <c r="G1129" i="16"/>
  <c r="I1276" i="18" s="1"/>
  <c r="J1128" i="16"/>
  <c r="H1128" i="16"/>
  <c r="G1128" i="16"/>
  <c r="I1275" i="18" s="1"/>
  <c r="J1127" i="16"/>
  <c r="H1127" i="16"/>
  <c r="G1127" i="16"/>
  <c r="I1274" i="18" s="1"/>
  <c r="J1126" i="16"/>
  <c r="H1126" i="16"/>
  <c r="G1126" i="16"/>
  <c r="I1273" i="18" s="1"/>
  <c r="J1125" i="16"/>
  <c r="H1125" i="16"/>
  <c r="G1125" i="16"/>
  <c r="I1272" i="18" s="1"/>
  <c r="J1124" i="16"/>
  <c r="H1124" i="16"/>
  <c r="G1124" i="16"/>
  <c r="I1271" i="18" s="1"/>
  <c r="L1297" i="18" s="1"/>
  <c r="J1123" i="16"/>
  <c r="H1123" i="16"/>
  <c r="G1123" i="16"/>
  <c r="I1249" i="18" s="1"/>
  <c r="J1122" i="16"/>
  <c r="H1122" i="16"/>
  <c r="G1122" i="16"/>
  <c r="I1248" i="18" s="1"/>
  <c r="J1121" i="16"/>
  <c r="H1121" i="16"/>
  <c r="G1121" i="16"/>
  <c r="I1247" i="18" s="1"/>
  <c r="J1120" i="16"/>
  <c r="H1120" i="16"/>
  <c r="G1120" i="16"/>
  <c r="I1246" i="18" s="1"/>
  <c r="J1119" i="16"/>
  <c r="H1119" i="16"/>
  <c r="G1119" i="16"/>
  <c r="I1245" i="18" s="1"/>
  <c r="J1118" i="16"/>
  <c r="H1118" i="16"/>
  <c r="G1118" i="16"/>
  <c r="I1244" i="18" s="1"/>
  <c r="L1270" i="18" s="1"/>
  <c r="J1117" i="16"/>
  <c r="H1117" i="16"/>
  <c r="G1117" i="16"/>
  <c r="I1222" i="18" s="1"/>
  <c r="J1116" i="16"/>
  <c r="H1116" i="16"/>
  <c r="G1116" i="16"/>
  <c r="I1221" i="18" s="1"/>
  <c r="J1115" i="16"/>
  <c r="H1115" i="16"/>
  <c r="G1115" i="16"/>
  <c r="I1220" i="18" s="1"/>
  <c r="J1114" i="16"/>
  <c r="H1114" i="16"/>
  <c r="G1114" i="16"/>
  <c r="I1219" i="18" s="1"/>
  <c r="J1113" i="16"/>
  <c r="H1113" i="16"/>
  <c r="G1113" i="16"/>
  <c r="I1218" i="18" s="1"/>
  <c r="J1112" i="16"/>
  <c r="H1112" i="16"/>
  <c r="G1112" i="16"/>
  <c r="I1217" i="18" s="1"/>
  <c r="L1243" i="18" s="1"/>
  <c r="J1111" i="16"/>
  <c r="H1111" i="16"/>
  <c r="G1111" i="16"/>
  <c r="I1195" i="18" s="1"/>
  <c r="J1110" i="16"/>
  <c r="H1110" i="16"/>
  <c r="G1110" i="16"/>
  <c r="I1194" i="18" s="1"/>
  <c r="J1109" i="16"/>
  <c r="H1109" i="16"/>
  <c r="G1109" i="16"/>
  <c r="I1193" i="18" s="1"/>
  <c r="J1108" i="16"/>
  <c r="H1108" i="16"/>
  <c r="G1108" i="16"/>
  <c r="I1192" i="18" s="1"/>
  <c r="J1107" i="16"/>
  <c r="H1107" i="16"/>
  <c r="G1107" i="16"/>
  <c r="I1191" i="18" s="1"/>
  <c r="J1106" i="16"/>
  <c r="H1106" i="16"/>
  <c r="H28" i="19" s="1"/>
  <c r="G1106" i="16"/>
  <c r="I1190" i="18" s="1"/>
  <c r="L1216" i="18" s="1"/>
  <c r="J1105" i="16"/>
  <c r="H1105" i="16"/>
  <c r="G1105" i="16"/>
  <c r="I1168" i="18" s="1"/>
  <c r="J1104" i="16"/>
  <c r="H1104" i="16"/>
  <c r="G1104" i="16"/>
  <c r="I1167" i="18" s="1"/>
  <c r="J1103" i="16"/>
  <c r="H1103" i="16"/>
  <c r="G1103" i="16"/>
  <c r="I1166" i="18" s="1"/>
  <c r="J1102" i="16"/>
  <c r="H1102" i="16"/>
  <c r="G1102" i="16"/>
  <c r="I1165" i="18" s="1"/>
  <c r="J1101" i="16"/>
  <c r="H1101" i="16"/>
  <c r="G1101" i="16"/>
  <c r="I1164" i="18" s="1"/>
  <c r="J1100" i="16"/>
  <c r="H1100" i="16"/>
  <c r="G1100" i="16"/>
  <c r="I1163" i="18" s="1"/>
  <c r="L1189" i="18" s="1"/>
  <c r="J1099" i="16"/>
  <c r="H1099" i="16"/>
  <c r="G1099" i="16"/>
  <c r="I1141" i="18" s="1"/>
  <c r="J1098" i="16"/>
  <c r="H1098" i="16"/>
  <c r="G1098" i="16"/>
  <c r="I1140" i="18" s="1"/>
  <c r="J1097" i="16"/>
  <c r="H1097" i="16"/>
  <c r="G1097" i="16"/>
  <c r="I1139" i="18" s="1"/>
  <c r="J1096" i="16"/>
  <c r="H1096" i="16"/>
  <c r="G1096" i="16"/>
  <c r="I1138" i="18" s="1"/>
  <c r="J1095" i="16"/>
  <c r="H1095" i="16"/>
  <c r="G1095" i="16"/>
  <c r="I1137" i="18" s="1"/>
  <c r="J1094" i="16"/>
  <c r="H1094" i="16"/>
  <c r="G1094" i="16"/>
  <c r="I1136" i="18" s="1"/>
  <c r="L1162" i="18" s="1"/>
  <c r="J1093" i="16"/>
  <c r="H1093" i="16"/>
  <c r="G1093" i="16"/>
  <c r="I1114" i="18" s="1"/>
  <c r="J1092" i="16"/>
  <c r="H1092" i="16"/>
  <c r="G1092" i="16"/>
  <c r="I1113" i="18" s="1"/>
  <c r="J1091" i="16"/>
  <c r="H1091" i="16"/>
  <c r="G1091" i="16"/>
  <c r="I1112" i="18" s="1"/>
  <c r="J1090" i="16"/>
  <c r="H1090" i="16"/>
  <c r="G1090" i="16"/>
  <c r="I1111" i="18" s="1"/>
  <c r="J1089" i="16"/>
  <c r="H1089" i="16"/>
  <c r="G1089" i="16"/>
  <c r="I1110" i="18" s="1"/>
  <c r="J1088" i="16"/>
  <c r="H1088" i="16"/>
  <c r="G1088" i="16"/>
  <c r="I1109" i="18" s="1"/>
  <c r="J1031" i="16"/>
  <c r="H1031" i="16"/>
  <c r="G1031" i="16"/>
  <c r="I1031" i="18" s="1"/>
  <c r="J1030" i="16"/>
  <c r="H1030" i="16"/>
  <c r="G1030" i="16"/>
  <c r="I1030" i="18" s="1"/>
  <c r="J1029" i="16"/>
  <c r="H1029" i="16"/>
  <c r="G1029" i="16"/>
  <c r="I1029" i="18" s="1"/>
  <c r="J1028" i="16"/>
  <c r="H1028" i="16"/>
  <c r="G1028" i="16"/>
  <c r="I1028" i="18" s="1"/>
  <c r="J1027" i="16"/>
  <c r="H1027" i="16"/>
  <c r="G1027" i="16"/>
  <c r="I1027" i="18" s="1"/>
  <c r="J1026" i="16"/>
  <c r="H1026" i="16"/>
  <c r="G1026" i="16"/>
  <c r="I1026" i="18" s="1"/>
  <c r="J1025" i="16"/>
  <c r="H1025" i="16"/>
  <c r="G1025" i="16"/>
  <c r="I1025" i="18" s="1"/>
  <c r="J1024" i="16"/>
  <c r="H1024" i="16"/>
  <c r="G1024" i="16"/>
  <c r="I1024" i="18" s="1"/>
  <c r="J1023" i="16"/>
  <c r="H1023" i="16"/>
  <c r="G1023" i="16"/>
  <c r="I1023" i="18" s="1"/>
  <c r="J1022" i="16"/>
  <c r="H1022" i="16"/>
  <c r="G1022" i="16"/>
  <c r="I1022" i="18" s="1"/>
  <c r="J1021" i="16"/>
  <c r="H1021" i="16"/>
  <c r="G1021" i="16"/>
  <c r="I1021" i="18" s="1"/>
  <c r="J1020" i="16"/>
  <c r="H1020" i="16"/>
  <c r="G1020" i="16"/>
  <c r="I1020" i="18" s="1"/>
  <c r="J1019" i="16"/>
  <c r="H1019" i="16"/>
  <c r="G1019" i="16"/>
  <c r="I1019" i="18" s="1"/>
  <c r="J1018" i="16"/>
  <c r="H1018" i="16"/>
  <c r="G1018" i="16"/>
  <c r="I1018" i="18" s="1"/>
  <c r="J1017" i="16"/>
  <c r="H1017" i="16"/>
  <c r="G1017" i="16"/>
  <c r="I1017" i="18" s="1"/>
  <c r="J1016" i="16"/>
  <c r="H1016" i="16"/>
  <c r="G1016" i="16"/>
  <c r="I1016" i="18" s="1"/>
  <c r="J1015" i="16"/>
  <c r="H1015" i="16"/>
  <c r="G1015" i="16"/>
  <c r="I1015" i="18" s="1"/>
  <c r="J1014" i="16"/>
  <c r="H1014" i="16"/>
  <c r="G1014" i="16"/>
  <c r="I1014" i="18" s="1"/>
  <c r="J1013" i="16"/>
  <c r="H1013" i="16"/>
  <c r="G1013" i="16"/>
  <c r="I1013" i="18" s="1"/>
  <c r="J1012" i="16"/>
  <c r="H1012" i="16"/>
  <c r="G1012" i="16"/>
  <c r="I1012" i="18" s="1"/>
  <c r="J1011" i="16"/>
  <c r="H1011" i="16"/>
  <c r="G1011" i="16"/>
  <c r="I1011" i="18" s="1"/>
  <c r="J1010" i="16"/>
  <c r="H1010" i="16"/>
  <c r="G1010" i="16"/>
  <c r="I1010" i="18" s="1"/>
  <c r="J1009" i="16"/>
  <c r="H1009" i="16"/>
  <c r="G1009" i="16"/>
  <c r="I1009" i="18" s="1"/>
  <c r="J1008" i="16"/>
  <c r="H1008" i="16"/>
  <c r="G1008" i="16"/>
  <c r="I1008" i="18" s="1"/>
  <c r="J1007" i="16"/>
  <c r="H1007" i="16"/>
  <c r="H24" i="19" s="1"/>
  <c r="G1007" i="16"/>
  <c r="I1007" i="18" s="1"/>
  <c r="F1007" i="16"/>
  <c r="C24" i="19" s="1"/>
  <c r="J1006" i="16"/>
  <c r="H1006" i="16"/>
  <c r="G1006" i="16"/>
  <c r="I1006" i="18" s="1"/>
  <c r="J1005" i="16"/>
  <c r="H1005" i="16"/>
  <c r="G1005" i="16"/>
  <c r="I1005" i="18" s="1"/>
  <c r="J1004" i="16"/>
  <c r="H1004" i="16"/>
  <c r="G1004" i="16"/>
  <c r="I1004" i="18" s="1"/>
  <c r="J1003" i="16"/>
  <c r="H1003" i="16"/>
  <c r="G1003" i="16"/>
  <c r="I1003" i="18" s="1"/>
  <c r="J1002" i="16"/>
  <c r="H1002" i="16"/>
  <c r="G1002" i="16"/>
  <c r="I1002" i="18" s="1"/>
  <c r="F1002" i="16"/>
  <c r="J921" i="16"/>
  <c r="H921" i="16"/>
  <c r="G921" i="16"/>
  <c r="I921" i="18" s="1"/>
  <c r="J920" i="16"/>
  <c r="H920" i="16"/>
  <c r="G920" i="16"/>
  <c r="I920" i="18" s="1"/>
  <c r="J919" i="16"/>
  <c r="H919" i="16"/>
  <c r="G919" i="16"/>
  <c r="I919" i="18" s="1"/>
  <c r="J918" i="16"/>
  <c r="H918" i="16"/>
  <c r="G918" i="16"/>
  <c r="I918" i="18" s="1"/>
  <c r="J917" i="16"/>
  <c r="H917" i="16"/>
  <c r="G917" i="16"/>
  <c r="I917" i="18" s="1"/>
  <c r="J916" i="16"/>
  <c r="H916" i="16"/>
  <c r="G916" i="16"/>
  <c r="I916" i="18" s="1"/>
  <c r="J915" i="16"/>
  <c r="H915" i="16"/>
  <c r="G915" i="16"/>
  <c r="I915" i="18" s="1"/>
  <c r="J914" i="16"/>
  <c r="H914" i="16"/>
  <c r="G914" i="16"/>
  <c r="I914" i="18" s="1"/>
  <c r="J913" i="16"/>
  <c r="H913" i="16"/>
  <c r="G913" i="16"/>
  <c r="I913" i="18" s="1"/>
  <c r="J912" i="16"/>
  <c r="H912" i="16"/>
  <c r="G912" i="16"/>
  <c r="I912" i="18" s="1"/>
  <c r="J911" i="16"/>
  <c r="H911" i="16"/>
  <c r="G911" i="16"/>
  <c r="I911" i="18" s="1"/>
  <c r="J910" i="16"/>
  <c r="H910" i="16"/>
  <c r="G910" i="16"/>
  <c r="I910" i="18" s="1"/>
  <c r="J909" i="16"/>
  <c r="H909" i="16"/>
  <c r="G909" i="16"/>
  <c r="I909" i="18" s="1"/>
  <c r="J908" i="16"/>
  <c r="H908" i="16"/>
  <c r="G908" i="16"/>
  <c r="I908" i="18" s="1"/>
  <c r="J907" i="16"/>
  <c r="H907" i="16"/>
  <c r="G907" i="16"/>
  <c r="I907" i="18" s="1"/>
  <c r="J906" i="16"/>
  <c r="H906" i="16"/>
  <c r="G906" i="16"/>
  <c r="I906" i="18" s="1"/>
  <c r="J905" i="16"/>
  <c r="H905" i="16"/>
  <c r="G905" i="16"/>
  <c r="I905" i="18" s="1"/>
  <c r="J904" i="16"/>
  <c r="H904" i="16"/>
  <c r="G904" i="16"/>
  <c r="I904" i="18" s="1"/>
  <c r="J903" i="16"/>
  <c r="H903" i="16"/>
  <c r="G903" i="16"/>
  <c r="I903" i="18" s="1"/>
  <c r="J902" i="16"/>
  <c r="H902" i="16"/>
  <c r="G902" i="16"/>
  <c r="I902" i="18" s="1"/>
  <c r="J901" i="16"/>
  <c r="H901" i="16"/>
  <c r="G901" i="16"/>
  <c r="I901" i="18" s="1"/>
  <c r="J900" i="16"/>
  <c r="H900" i="16"/>
  <c r="G900" i="16"/>
  <c r="I900" i="18" s="1"/>
  <c r="J899" i="16"/>
  <c r="H899" i="16"/>
  <c r="G899" i="16"/>
  <c r="I899" i="18" s="1"/>
  <c r="J898" i="16"/>
  <c r="H898" i="16"/>
  <c r="G898" i="16"/>
  <c r="I898" i="18" s="1"/>
  <c r="J897" i="16"/>
  <c r="H897" i="16"/>
  <c r="G897" i="16"/>
  <c r="I897" i="18" s="1"/>
  <c r="J896" i="16"/>
  <c r="H896" i="16"/>
  <c r="G896" i="16"/>
  <c r="I896" i="18" s="1"/>
  <c r="J895" i="16"/>
  <c r="H895" i="16"/>
  <c r="G895" i="16"/>
  <c r="I895" i="18" s="1"/>
  <c r="J894" i="16"/>
  <c r="H894" i="16"/>
  <c r="G894" i="16"/>
  <c r="I894" i="18" s="1"/>
  <c r="J893" i="16"/>
  <c r="H893" i="16"/>
  <c r="G893" i="16"/>
  <c r="I893" i="18" s="1"/>
  <c r="J892" i="16"/>
  <c r="H892" i="16"/>
  <c r="H23" i="19" s="1"/>
  <c r="G892" i="16"/>
  <c r="I892" i="18" s="1"/>
  <c r="F892" i="16"/>
  <c r="C23" i="19" s="1"/>
  <c r="J891" i="16"/>
  <c r="H891" i="16"/>
  <c r="G891" i="16"/>
  <c r="I891" i="18" s="1"/>
  <c r="J890" i="16"/>
  <c r="H890" i="16"/>
  <c r="G890" i="16"/>
  <c r="I890" i="18" s="1"/>
  <c r="J889" i="16"/>
  <c r="H889" i="16"/>
  <c r="G889" i="16"/>
  <c r="I889" i="18" s="1"/>
  <c r="J888" i="16"/>
  <c r="H888" i="16"/>
  <c r="G888" i="16"/>
  <c r="I888" i="18" s="1"/>
  <c r="J887" i="16"/>
  <c r="H887" i="16"/>
  <c r="G887" i="16"/>
  <c r="I887" i="18" s="1"/>
  <c r="J886" i="16"/>
  <c r="H886" i="16"/>
  <c r="G886" i="16"/>
  <c r="I886" i="18" s="1"/>
  <c r="F886" i="16"/>
  <c r="J801" i="16"/>
  <c r="H801" i="16"/>
  <c r="G801" i="16"/>
  <c r="I801" i="18" s="1"/>
  <c r="J800" i="16"/>
  <c r="H800" i="16"/>
  <c r="G800" i="16"/>
  <c r="I800" i="18" s="1"/>
  <c r="J799" i="16"/>
  <c r="H799" i="16"/>
  <c r="G799" i="16"/>
  <c r="I799" i="18" s="1"/>
  <c r="J798" i="16"/>
  <c r="H798" i="16"/>
  <c r="G798" i="16"/>
  <c r="I798" i="18" s="1"/>
  <c r="J797" i="16"/>
  <c r="H797" i="16"/>
  <c r="G797" i="16"/>
  <c r="I797" i="18" s="1"/>
  <c r="J796" i="16"/>
  <c r="H796" i="16"/>
  <c r="G796" i="16"/>
  <c r="I796" i="18" s="1"/>
  <c r="J795" i="16"/>
  <c r="H795" i="16"/>
  <c r="G795" i="16"/>
  <c r="I795" i="18" s="1"/>
  <c r="J794" i="16"/>
  <c r="H794" i="16"/>
  <c r="G794" i="16"/>
  <c r="I794" i="18" s="1"/>
  <c r="J793" i="16"/>
  <c r="H793" i="16"/>
  <c r="G793" i="16"/>
  <c r="I793" i="18" s="1"/>
  <c r="J792" i="16"/>
  <c r="H792" i="16"/>
  <c r="G792" i="16"/>
  <c r="I792" i="18" s="1"/>
  <c r="J791" i="16"/>
  <c r="H791" i="16"/>
  <c r="G791" i="16"/>
  <c r="I791" i="18" s="1"/>
  <c r="J790" i="16"/>
  <c r="H790" i="16"/>
  <c r="G790" i="16"/>
  <c r="I790" i="18" s="1"/>
  <c r="J789" i="16"/>
  <c r="H789" i="16"/>
  <c r="G789" i="16"/>
  <c r="I789" i="18" s="1"/>
  <c r="J788" i="16"/>
  <c r="H788" i="16"/>
  <c r="G788" i="16"/>
  <c r="I788" i="18" s="1"/>
  <c r="J787" i="16"/>
  <c r="H787" i="16"/>
  <c r="G787" i="16"/>
  <c r="I787" i="18" s="1"/>
  <c r="J786" i="16"/>
  <c r="H786" i="16"/>
  <c r="G786" i="16"/>
  <c r="I786" i="18" s="1"/>
  <c r="J785" i="16"/>
  <c r="H785" i="16"/>
  <c r="G785" i="16"/>
  <c r="I785" i="18" s="1"/>
  <c r="J784" i="16"/>
  <c r="H784" i="16"/>
  <c r="G784" i="16"/>
  <c r="I784" i="18" s="1"/>
  <c r="J783" i="16"/>
  <c r="H783" i="16"/>
  <c r="G783" i="16"/>
  <c r="I783" i="18" s="1"/>
  <c r="J782" i="16"/>
  <c r="H782" i="16"/>
  <c r="G782" i="16"/>
  <c r="I782" i="18" s="1"/>
  <c r="J781" i="16"/>
  <c r="H781" i="16"/>
  <c r="G781" i="16"/>
  <c r="I781" i="18" s="1"/>
  <c r="J780" i="16"/>
  <c r="H780" i="16"/>
  <c r="G780" i="16"/>
  <c r="I780" i="18" s="1"/>
  <c r="J779" i="16"/>
  <c r="H779" i="16"/>
  <c r="G779" i="16"/>
  <c r="I779" i="18" s="1"/>
  <c r="J778" i="16"/>
  <c r="H778" i="16"/>
  <c r="G778" i="16"/>
  <c r="I778" i="18" s="1"/>
  <c r="J777" i="16"/>
  <c r="H777" i="16"/>
  <c r="G777" i="16"/>
  <c r="I777" i="18" s="1"/>
  <c r="J776" i="16"/>
  <c r="H776" i="16"/>
  <c r="G776" i="16"/>
  <c r="I776" i="18" s="1"/>
  <c r="J775" i="16"/>
  <c r="H775" i="16"/>
  <c r="G775" i="16"/>
  <c r="I775" i="18" s="1"/>
  <c r="J774" i="16"/>
  <c r="H774" i="16"/>
  <c r="G774" i="16"/>
  <c r="I774" i="18" s="1"/>
  <c r="J773" i="16"/>
  <c r="H773" i="16"/>
  <c r="G773" i="16"/>
  <c r="I773" i="18" s="1"/>
  <c r="J772" i="16"/>
  <c r="H772" i="16"/>
  <c r="H22" i="19" s="1"/>
  <c r="G772" i="16"/>
  <c r="I772" i="18" s="1"/>
  <c r="F772" i="16"/>
  <c r="C22" i="19" s="1"/>
  <c r="J771" i="16"/>
  <c r="H771" i="16"/>
  <c r="G771" i="16"/>
  <c r="I771" i="18" s="1"/>
  <c r="J770" i="16"/>
  <c r="H770" i="16"/>
  <c r="G770" i="16"/>
  <c r="I770" i="18" s="1"/>
  <c r="J769" i="16"/>
  <c r="H769" i="16"/>
  <c r="G769" i="16"/>
  <c r="I769" i="18" s="1"/>
  <c r="J768" i="16"/>
  <c r="H768" i="16"/>
  <c r="G768" i="16"/>
  <c r="I768" i="18" s="1"/>
  <c r="J767" i="16"/>
  <c r="H767" i="16"/>
  <c r="G767" i="16"/>
  <c r="I767" i="18" s="1"/>
  <c r="J766" i="16"/>
  <c r="H766" i="16"/>
  <c r="G766" i="16"/>
  <c r="I766" i="18" s="1"/>
  <c r="F766" i="16"/>
  <c r="J701" i="16"/>
  <c r="H701" i="16"/>
  <c r="G701" i="16"/>
  <c r="I701" i="18" s="1"/>
  <c r="J700" i="16"/>
  <c r="H700" i="16"/>
  <c r="G700" i="16"/>
  <c r="I700" i="18" s="1"/>
  <c r="J699" i="16"/>
  <c r="H699" i="16"/>
  <c r="G699" i="16"/>
  <c r="I699" i="18" s="1"/>
  <c r="J698" i="16"/>
  <c r="H698" i="16"/>
  <c r="G698" i="16"/>
  <c r="I698" i="18" s="1"/>
  <c r="J697" i="16"/>
  <c r="H697" i="16"/>
  <c r="G697" i="16"/>
  <c r="I697" i="18" s="1"/>
  <c r="J696" i="16"/>
  <c r="H696" i="16"/>
  <c r="G696" i="16"/>
  <c r="I696" i="18" s="1"/>
  <c r="J695" i="16"/>
  <c r="H695" i="16"/>
  <c r="G695" i="16"/>
  <c r="I695" i="18" s="1"/>
  <c r="J694" i="16"/>
  <c r="H694" i="16"/>
  <c r="G694" i="16"/>
  <c r="I694" i="18" s="1"/>
  <c r="J693" i="16"/>
  <c r="H693" i="16"/>
  <c r="G693" i="16"/>
  <c r="I693" i="18" s="1"/>
  <c r="J692" i="16"/>
  <c r="H692" i="16"/>
  <c r="G692" i="16"/>
  <c r="I692" i="18" s="1"/>
  <c r="J691" i="16"/>
  <c r="H691" i="16"/>
  <c r="G691" i="16"/>
  <c r="I691" i="18" s="1"/>
  <c r="J690" i="16"/>
  <c r="H690" i="16"/>
  <c r="G690" i="16"/>
  <c r="I690" i="18" s="1"/>
  <c r="J689" i="16"/>
  <c r="H689" i="16"/>
  <c r="G689" i="16"/>
  <c r="I689" i="18" s="1"/>
  <c r="J688" i="16"/>
  <c r="H688" i="16"/>
  <c r="G688" i="16"/>
  <c r="I688" i="18" s="1"/>
  <c r="J687" i="16"/>
  <c r="H687" i="16"/>
  <c r="G687" i="16"/>
  <c r="I687" i="18" s="1"/>
  <c r="J686" i="16"/>
  <c r="H686" i="16"/>
  <c r="G686" i="16"/>
  <c r="I686" i="18" s="1"/>
  <c r="J685" i="16"/>
  <c r="H685" i="16"/>
  <c r="G685" i="16"/>
  <c r="I685" i="18" s="1"/>
  <c r="J684" i="16"/>
  <c r="H684" i="16"/>
  <c r="G684" i="16"/>
  <c r="I684" i="18" s="1"/>
  <c r="J683" i="16"/>
  <c r="H683" i="16"/>
  <c r="G683" i="16"/>
  <c r="I683" i="18" s="1"/>
  <c r="J682" i="16"/>
  <c r="H682" i="16"/>
  <c r="H21" i="19" s="1"/>
  <c r="G682" i="16"/>
  <c r="I682" i="18" s="1"/>
  <c r="F682" i="16"/>
  <c r="C21" i="19" s="1"/>
  <c r="J681" i="16"/>
  <c r="H681" i="16"/>
  <c r="G681" i="16"/>
  <c r="I681" i="18" s="1"/>
  <c r="J680" i="16"/>
  <c r="H680" i="16"/>
  <c r="G680" i="16"/>
  <c r="I680" i="18" s="1"/>
  <c r="J679" i="16"/>
  <c r="H679" i="16"/>
  <c r="G679" i="16"/>
  <c r="I679" i="18" s="1"/>
  <c r="J678" i="16"/>
  <c r="H678" i="16"/>
  <c r="G678" i="16"/>
  <c r="I678" i="18" s="1"/>
  <c r="F678" i="16"/>
  <c r="J601" i="16"/>
  <c r="H601" i="16"/>
  <c r="G601" i="16"/>
  <c r="I601" i="18" s="1"/>
  <c r="J600" i="16"/>
  <c r="H600" i="16"/>
  <c r="G600" i="16"/>
  <c r="I600" i="18" s="1"/>
  <c r="J599" i="16"/>
  <c r="H599" i="16"/>
  <c r="G599" i="16"/>
  <c r="I599" i="18" s="1"/>
  <c r="J598" i="16"/>
  <c r="H598" i="16"/>
  <c r="G598" i="16"/>
  <c r="I598" i="18" s="1"/>
  <c r="J597" i="16"/>
  <c r="H597" i="16"/>
  <c r="G597" i="16"/>
  <c r="I597" i="18" s="1"/>
  <c r="J596" i="16"/>
  <c r="H596" i="16"/>
  <c r="G596" i="16"/>
  <c r="I596" i="18" s="1"/>
  <c r="J595" i="16"/>
  <c r="H595" i="16"/>
  <c r="G595" i="16"/>
  <c r="I595" i="18" s="1"/>
  <c r="J594" i="16"/>
  <c r="H594" i="16"/>
  <c r="G594" i="16"/>
  <c r="I594" i="18" s="1"/>
  <c r="J593" i="16"/>
  <c r="H593" i="16"/>
  <c r="G593" i="16"/>
  <c r="I593" i="18" s="1"/>
  <c r="J592" i="16"/>
  <c r="H592" i="16"/>
  <c r="G592" i="16"/>
  <c r="I592" i="18" s="1"/>
  <c r="J591" i="16"/>
  <c r="H591" i="16"/>
  <c r="G591" i="16"/>
  <c r="I591" i="18" s="1"/>
  <c r="J590" i="16"/>
  <c r="H590" i="16"/>
  <c r="G590" i="16"/>
  <c r="I590" i="18" s="1"/>
  <c r="J589" i="16"/>
  <c r="H589" i="16"/>
  <c r="G589" i="16"/>
  <c r="I589" i="18" s="1"/>
  <c r="J588" i="16"/>
  <c r="H588" i="16"/>
  <c r="G588" i="16"/>
  <c r="I588" i="18" s="1"/>
  <c r="J587" i="16"/>
  <c r="H587" i="16"/>
  <c r="G587" i="16"/>
  <c r="I587" i="18" s="1"/>
  <c r="J586" i="16"/>
  <c r="H586" i="16"/>
  <c r="G586" i="16"/>
  <c r="I586" i="18" s="1"/>
  <c r="J585" i="16"/>
  <c r="H585" i="16"/>
  <c r="G585" i="16"/>
  <c r="I585" i="18" s="1"/>
  <c r="J584" i="16"/>
  <c r="H584" i="16"/>
  <c r="G584" i="16"/>
  <c r="I584" i="18" s="1"/>
  <c r="J583" i="16"/>
  <c r="H583" i="16"/>
  <c r="G583" i="16"/>
  <c r="I583" i="18" s="1"/>
  <c r="J582" i="16"/>
  <c r="H582" i="16"/>
  <c r="G582" i="16"/>
  <c r="I582" i="18" s="1"/>
  <c r="J581" i="16"/>
  <c r="H581" i="16"/>
  <c r="G581" i="16"/>
  <c r="I581" i="18" s="1"/>
  <c r="J580" i="16"/>
  <c r="H580" i="16"/>
  <c r="G580" i="16"/>
  <c r="I580" i="18" s="1"/>
  <c r="J579" i="16"/>
  <c r="H579" i="16"/>
  <c r="G579" i="16"/>
  <c r="I579" i="18" s="1"/>
  <c r="J578" i="16"/>
  <c r="H578" i="16"/>
  <c r="G578" i="16"/>
  <c r="I578" i="18" s="1"/>
  <c r="J577" i="16"/>
  <c r="H577" i="16"/>
  <c r="G577" i="16"/>
  <c r="I577" i="18" s="1"/>
  <c r="J576" i="16"/>
  <c r="H576" i="16"/>
  <c r="G576" i="16"/>
  <c r="I576" i="18" s="1"/>
  <c r="J575" i="16"/>
  <c r="H575" i="16"/>
  <c r="G575" i="16"/>
  <c r="I575" i="18" s="1"/>
  <c r="J574" i="16"/>
  <c r="H574" i="16"/>
  <c r="G574" i="16"/>
  <c r="I574" i="18" s="1"/>
  <c r="J573" i="16"/>
  <c r="H573" i="16"/>
  <c r="G573" i="16"/>
  <c r="I573" i="18" s="1"/>
  <c r="J572" i="16"/>
  <c r="H572" i="16"/>
  <c r="H20" i="19" s="1"/>
  <c r="G572" i="16"/>
  <c r="I572" i="18" s="1"/>
  <c r="F572" i="16"/>
  <c r="C20" i="19" s="1"/>
  <c r="J571" i="16"/>
  <c r="H571" i="16"/>
  <c r="G571" i="16"/>
  <c r="I571" i="18" s="1"/>
  <c r="J570" i="16"/>
  <c r="H570" i="16"/>
  <c r="G570" i="16"/>
  <c r="I570" i="18" s="1"/>
  <c r="J569" i="16"/>
  <c r="H569" i="16"/>
  <c r="G569" i="16"/>
  <c r="I569" i="18" s="1"/>
  <c r="J568" i="16"/>
  <c r="H568" i="16"/>
  <c r="G568" i="16"/>
  <c r="I568" i="18" s="1"/>
  <c r="J567" i="16"/>
  <c r="H567" i="16"/>
  <c r="G567" i="16"/>
  <c r="I567" i="18" s="1"/>
  <c r="J566" i="16"/>
  <c r="H566" i="16"/>
  <c r="G566" i="16"/>
  <c r="I566" i="18" s="1"/>
  <c r="F566" i="16"/>
  <c r="H541" i="16"/>
  <c r="G541" i="16"/>
  <c r="I541" i="18" s="1"/>
  <c r="H540" i="16"/>
  <c r="G540" i="16"/>
  <c r="I540" i="18" s="1"/>
  <c r="H539" i="16"/>
  <c r="G539" i="16"/>
  <c r="I539" i="18" s="1"/>
  <c r="H538" i="16"/>
  <c r="G538" i="16"/>
  <c r="I538" i="18" s="1"/>
  <c r="H537" i="16"/>
  <c r="G537" i="16"/>
  <c r="I537" i="18" s="1"/>
  <c r="H536" i="16"/>
  <c r="G536" i="16"/>
  <c r="I536" i="18" s="1"/>
  <c r="H535" i="16"/>
  <c r="G535" i="16"/>
  <c r="I535" i="18" s="1"/>
  <c r="H534" i="16"/>
  <c r="G534" i="16"/>
  <c r="I534" i="18" s="1"/>
  <c r="H533" i="16"/>
  <c r="G533" i="16"/>
  <c r="I533" i="18" s="1"/>
  <c r="H532" i="16"/>
  <c r="G532" i="16"/>
  <c r="I532" i="18" s="1"/>
  <c r="H531" i="16"/>
  <c r="G531" i="16"/>
  <c r="I531" i="18" s="1"/>
  <c r="H530" i="16"/>
  <c r="G530" i="16"/>
  <c r="I530" i="18" s="1"/>
  <c r="H529" i="16"/>
  <c r="G529" i="16"/>
  <c r="I529" i="18" s="1"/>
  <c r="H528" i="16"/>
  <c r="G528" i="16"/>
  <c r="I528" i="18" s="1"/>
  <c r="H527" i="16"/>
  <c r="G527" i="16"/>
  <c r="I527" i="18" s="1"/>
  <c r="H526" i="16"/>
  <c r="G526" i="16"/>
  <c r="I526" i="18" s="1"/>
  <c r="H525" i="16"/>
  <c r="G525" i="16"/>
  <c r="I525" i="18" s="1"/>
  <c r="H524" i="16"/>
  <c r="G524" i="16"/>
  <c r="I524" i="18" s="1"/>
  <c r="H523" i="16"/>
  <c r="G523" i="16"/>
  <c r="I523" i="18" s="1"/>
  <c r="H522" i="16"/>
  <c r="G522" i="16"/>
  <c r="I522" i="18" s="1"/>
  <c r="H521" i="16"/>
  <c r="G521" i="16"/>
  <c r="I521" i="18" s="1"/>
  <c r="H520" i="16"/>
  <c r="G520" i="16"/>
  <c r="I520" i="18" s="1"/>
  <c r="H519" i="16"/>
  <c r="G519" i="16"/>
  <c r="I519" i="18" s="1"/>
  <c r="H518" i="16"/>
  <c r="G518" i="16"/>
  <c r="I518" i="18" s="1"/>
  <c r="H517" i="16"/>
  <c r="G517" i="16"/>
  <c r="I517" i="18" s="1"/>
  <c r="H516" i="16"/>
  <c r="G516" i="16"/>
  <c r="I516" i="18" s="1"/>
  <c r="H515" i="16"/>
  <c r="G515" i="16"/>
  <c r="I515" i="18" s="1"/>
  <c r="H514" i="16"/>
  <c r="G514" i="16"/>
  <c r="I514" i="18" s="1"/>
  <c r="H513" i="16"/>
  <c r="G513" i="16"/>
  <c r="I513" i="18" s="1"/>
  <c r="H512" i="16"/>
  <c r="G512" i="16"/>
  <c r="I512" i="18" s="1"/>
  <c r="H511" i="16"/>
  <c r="G511" i="16"/>
  <c r="I511" i="18" s="1"/>
  <c r="H510" i="16"/>
  <c r="G510" i="16"/>
  <c r="I510" i="18" s="1"/>
  <c r="H509" i="16"/>
  <c r="G509" i="16"/>
  <c r="I509" i="18" s="1"/>
  <c r="H508" i="16"/>
  <c r="G508" i="16"/>
  <c r="I508" i="18" s="1"/>
  <c r="H507" i="16"/>
  <c r="G507" i="16"/>
  <c r="I507" i="18" s="1"/>
  <c r="H506" i="16"/>
  <c r="G506" i="16"/>
  <c r="I506" i="18" s="1"/>
  <c r="H505" i="16"/>
  <c r="G505" i="16"/>
  <c r="I505" i="18" s="1"/>
  <c r="H504" i="16"/>
  <c r="G504" i="16"/>
  <c r="I504" i="18" s="1"/>
  <c r="H503" i="16"/>
  <c r="G503" i="16"/>
  <c r="I503" i="18" s="1"/>
  <c r="H502" i="16"/>
  <c r="G502" i="16"/>
  <c r="I502" i="18" s="1"/>
  <c r="H501" i="16"/>
  <c r="G501" i="16"/>
  <c r="I501" i="18" s="1"/>
  <c r="H500" i="16"/>
  <c r="G500" i="16"/>
  <c r="I500" i="18" s="1"/>
  <c r="H499" i="16"/>
  <c r="G499" i="16"/>
  <c r="I499" i="18" s="1"/>
  <c r="H498" i="16"/>
  <c r="G498" i="16"/>
  <c r="I498" i="18" s="1"/>
  <c r="H497" i="16"/>
  <c r="G497" i="16"/>
  <c r="I497" i="18" s="1"/>
  <c r="H496" i="16"/>
  <c r="G496" i="16"/>
  <c r="I496" i="18" s="1"/>
  <c r="H495" i="16"/>
  <c r="G495" i="16"/>
  <c r="I495" i="18" s="1"/>
  <c r="H494" i="16"/>
  <c r="G494" i="16"/>
  <c r="I494" i="18" s="1"/>
  <c r="H493" i="16"/>
  <c r="G493" i="16"/>
  <c r="I493" i="18" s="1"/>
  <c r="H492" i="16"/>
  <c r="G492" i="16"/>
  <c r="I492" i="18" s="1"/>
  <c r="H491" i="16"/>
  <c r="G491" i="16"/>
  <c r="I491" i="18" s="1"/>
  <c r="H490" i="16"/>
  <c r="G490" i="16"/>
  <c r="I490" i="18" s="1"/>
  <c r="H489" i="16"/>
  <c r="G489" i="16"/>
  <c r="I489" i="18" s="1"/>
  <c r="H488" i="16"/>
  <c r="G488" i="16"/>
  <c r="I488" i="18" s="1"/>
  <c r="H487" i="16"/>
  <c r="G487" i="16"/>
  <c r="I487" i="18" s="1"/>
  <c r="H486" i="16"/>
  <c r="G486" i="16"/>
  <c r="I486" i="18" s="1"/>
  <c r="H485" i="16"/>
  <c r="G485" i="16"/>
  <c r="I485" i="18" s="1"/>
  <c r="H484" i="16"/>
  <c r="G484" i="16"/>
  <c r="I484" i="18" s="1"/>
  <c r="H483" i="16"/>
  <c r="G483" i="16"/>
  <c r="I483" i="18" s="1"/>
  <c r="H482" i="16"/>
  <c r="G482" i="16"/>
  <c r="I482" i="18" s="1"/>
  <c r="H481" i="16"/>
  <c r="G481" i="16"/>
  <c r="I481" i="18" s="1"/>
  <c r="H480" i="16"/>
  <c r="G480" i="16"/>
  <c r="I480" i="18" s="1"/>
  <c r="H479" i="16"/>
  <c r="G479" i="16"/>
  <c r="I479" i="18" s="1"/>
  <c r="H478" i="16"/>
  <c r="G478" i="16"/>
  <c r="I478" i="18" s="1"/>
  <c r="H477" i="16"/>
  <c r="G477" i="16"/>
  <c r="I477" i="18" s="1"/>
  <c r="H476" i="16"/>
  <c r="G476" i="16"/>
  <c r="I476" i="18" s="1"/>
  <c r="H475" i="16"/>
  <c r="G475" i="16"/>
  <c r="I475" i="18" s="1"/>
  <c r="H474" i="16"/>
  <c r="G474" i="16"/>
  <c r="I474" i="18" s="1"/>
  <c r="H473" i="16"/>
  <c r="G473" i="16"/>
  <c r="I473" i="18" s="1"/>
  <c r="H472" i="16"/>
  <c r="G472" i="16"/>
  <c r="I472" i="18" s="1"/>
  <c r="H471" i="16"/>
  <c r="G471" i="16"/>
  <c r="I471" i="18" s="1"/>
  <c r="H470" i="16"/>
  <c r="G470" i="16"/>
  <c r="I470" i="18" s="1"/>
  <c r="H469" i="16"/>
  <c r="G469" i="16"/>
  <c r="I469" i="18" s="1"/>
  <c r="H468" i="16"/>
  <c r="G468" i="16"/>
  <c r="I468" i="18" s="1"/>
  <c r="H467" i="16"/>
  <c r="G467" i="16"/>
  <c r="I467" i="18" s="1"/>
  <c r="H441" i="16"/>
  <c r="G441" i="16"/>
  <c r="I441" i="18" s="1"/>
  <c r="H440" i="16"/>
  <c r="G440" i="16"/>
  <c r="I440" i="18" s="1"/>
  <c r="H439" i="16"/>
  <c r="G439" i="16"/>
  <c r="I439" i="18" s="1"/>
  <c r="H438" i="16"/>
  <c r="G438" i="16"/>
  <c r="I438" i="18" s="1"/>
  <c r="H437" i="16"/>
  <c r="G437" i="16"/>
  <c r="I437" i="18" s="1"/>
  <c r="H436" i="16"/>
  <c r="G436" i="16"/>
  <c r="I436" i="18" s="1"/>
  <c r="H435" i="16"/>
  <c r="G435" i="16"/>
  <c r="I435" i="18" s="1"/>
  <c r="H434" i="16"/>
  <c r="G434" i="16"/>
  <c r="I434" i="18" s="1"/>
  <c r="H433" i="16"/>
  <c r="G433" i="16"/>
  <c r="I433" i="18" s="1"/>
  <c r="H432" i="16"/>
  <c r="G432" i="16"/>
  <c r="I432" i="18" s="1"/>
  <c r="H431" i="16"/>
  <c r="G431" i="16"/>
  <c r="I431" i="18" s="1"/>
  <c r="H430" i="16"/>
  <c r="G430" i="16"/>
  <c r="I430" i="18" s="1"/>
  <c r="H429" i="16"/>
  <c r="G429" i="16"/>
  <c r="I429" i="18" s="1"/>
  <c r="H428" i="16"/>
  <c r="G428" i="16"/>
  <c r="I428" i="18" s="1"/>
  <c r="H427" i="16"/>
  <c r="G427" i="16"/>
  <c r="I427" i="18" s="1"/>
  <c r="H426" i="16"/>
  <c r="G426" i="16"/>
  <c r="I426" i="18" s="1"/>
  <c r="H425" i="16"/>
  <c r="G425" i="16"/>
  <c r="I425" i="18" s="1"/>
  <c r="H424" i="16"/>
  <c r="G424" i="16"/>
  <c r="I424" i="18" s="1"/>
  <c r="H423" i="16"/>
  <c r="G423" i="16"/>
  <c r="I423" i="18" s="1"/>
  <c r="H422" i="16"/>
  <c r="G422" i="16"/>
  <c r="I422" i="18" s="1"/>
  <c r="H421" i="16"/>
  <c r="G421" i="16"/>
  <c r="I421" i="18" s="1"/>
  <c r="H420" i="16"/>
  <c r="G420" i="16"/>
  <c r="I420" i="18" s="1"/>
  <c r="H419" i="16"/>
  <c r="G419" i="16"/>
  <c r="I419" i="18" s="1"/>
  <c r="H418" i="16"/>
  <c r="G418" i="16"/>
  <c r="I418" i="18" s="1"/>
  <c r="H417" i="16"/>
  <c r="G417" i="16"/>
  <c r="I417" i="18" s="1"/>
  <c r="H416" i="16"/>
  <c r="G416" i="16"/>
  <c r="I416" i="18" s="1"/>
  <c r="H415" i="16"/>
  <c r="G415" i="16"/>
  <c r="I415" i="18" s="1"/>
  <c r="H414" i="16"/>
  <c r="G414" i="16"/>
  <c r="I414" i="18" s="1"/>
  <c r="H413" i="16"/>
  <c r="G413" i="16"/>
  <c r="I413" i="18" s="1"/>
  <c r="H412" i="16"/>
  <c r="G412" i="16"/>
  <c r="I412" i="18" s="1"/>
  <c r="H411" i="16"/>
  <c r="G411" i="16"/>
  <c r="I411" i="18" s="1"/>
  <c r="H410" i="16"/>
  <c r="G410" i="16"/>
  <c r="I410" i="18" s="1"/>
  <c r="H409" i="16"/>
  <c r="G409" i="16"/>
  <c r="I409" i="18" s="1"/>
  <c r="H408" i="16"/>
  <c r="G408" i="16"/>
  <c r="I408" i="18" s="1"/>
  <c r="H407" i="16"/>
  <c r="G407" i="16"/>
  <c r="I407" i="18" s="1"/>
  <c r="H406" i="16"/>
  <c r="G406" i="16"/>
  <c r="I406" i="18" s="1"/>
  <c r="H405" i="16"/>
  <c r="G405" i="16"/>
  <c r="I405" i="18" s="1"/>
  <c r="H404" i="16"/>
  <c r="G404" i="16"/>
  <c r="I404" i="18" s="1"/>
  <c r="H403" i="16"/>
  <c r="G403" i="16"/>
  <c r="I403" i="18" s="1"/>
  <c r="H402" i="16"/>
  <c r="G402" i="16"/>
  <c r="I402" i="18" s="1"/>
  <c r="H401" i="16"/>
  <c r="G401" i="16"/>
  <c r="I401" i="18" s="1"/>
  <c r="H400" i="16"/>
  <c r="G400" i="16"/>
  <c r="I400" i="18" s="1"/>
  <c r="H399" i="16"/>
  <c r="G399" i="16"/>
  <c r="I399" i="18" s="1"/>
  <c r="H398" i="16"/>
  <c r="G398" i="16"/>
  <c r="I398" i="18" s="1"/>
  <c r="H397" i="16"/>
  <c r="G397" i="16"/>
  <c r="I397" i="18" s="1"/>
  <c r="H396" i="16"/>
  <c r="G396" i="16"/>
  <c r="I396" i="18" s="1"/>
  <c r="H395" i="16"/>
  <c r="G395" i="16"/>
  <c r="I395" i="18" s="1"/>
  <c r="H394" i="16"/>
  <c r="G394" i="16"/>
  <c r="I394" i="18" s="1"/>
  <c r="H393" i="16"/>
  <c r="G393" i="16"/>
  <c r="I393" i="18" s="1"/>
  <c r="H392" i="16"/>
  <c r="G392" i="16"/>
  <c r="I392" i="18" s="1"/>
  <c r="H391" i="16"/>
  <c r="G391" i="16"/>
  <c r="I391" i="18" s="1"/>
  <c r="H390" i="16"/>
  <c r="G390" i="16"/>
  <c r="I390" i="18" s="1"/>
  <c r="H389" i="16"/>
  <c r="G389" i="16"/>
  <c r="I389" i="18" s="1"/>
  <c r="H388" i="16"/>
  <c r="H39" i="19" s="1"/>
  <c r="G388" i="16"/>
  <c r="I388" i="18" s="1"/>
  <c r="H387" i="16"/>
  <c r="G387" i="16"/>
  <c r="I387" i="18" s="1"/>
  <c r="H386" i="16"/>
  <c r="G386" i="16"/>
  <c r="I386" i="18" s="1"/>
  <c r="H385" i="16"/>
  <c r="G385" i="16"/>
  <c r="I385" i="18" s="1"/>
  <c r="H384" i="16"/>
  <c r="G384" i="16"/>
  <c r="I384" i="18" s="1"/>
  <c r="H383" i="16"/>
  <c r="G383" i="16"/>
  <c r="I383" i="18" s="1"/>
  <c r="H382" i="16"/>
  <c r="G382" i="16"/>
  <c r="I382" i="18" s="1"/>
  <c r="H381" i="16"/>
  <c r="G381" i="16"/>
  <c r="I381" i="18" s="1"/>
  <c r="H380" i="16"/>
  <c r="G380" i="16"/>
  <c r="I380" i="18" s="1"/>
  <c r="H379" i="16"/>
  <c r="G379" i="16"/>
  <c r="I379" i="18" s="1"/>
  <c r="H378" i="16"/>
  <c r="G378" i="16"/>
  <c r="I378" i="18" s="1"/>
  <c r="H377" i="16"/>
  <c r="G377" i="16"/>
  <c r="I377" i="18" s="1"/>
  <c r="H376" i="16"/>
  <c r="G376" i="16"/>
  <c r="I376" i="18" s="1"/>
  <c r="H375" i="16"/>
  <c r="G375" i="16"/>
  <c r="I375" i="18" s="1"/>
  <c r="H374" i="16"/>
  <c r="G374" i="16"/>
  <c r="I374" i="18" s="1"/>
  <c r="H373" i="16"/>
  <c r="G373" i="16"/>
  <c r="I373" i="18" s="1"/>
  <c r="H372" i="16"/>
  <c r="G372" i="16"/>
  <c r="I372" i="18" s="1"/>
  <c r="H371" i="16"/>
  <c r="G371" i="16"/>
  <c r="I371" i="18" s="1"/>
  <c r="H370" i="16"/>
  <c r="G370" i="16"/>
  <c r="I370" i="18" s="1"/>
  <c r="H369" i="16"/>
  <c r="G369" i="16"/>
  <c r="I369" i="18" s="1"/>
  <c r="H368" i="16"/>
  <c r="G368" i="16"/>
  <c r="I368" i="18" s="1"/>
  <c r="H367" i="16"/>
  <c r="G367" i="16"/>
  <c r="I367" i="18" s="1"/>
  <c r="H366" i="16"/>
  <c r="G366" i="16"/>
  <c r="I366" i="18" s="1"/>
  <c r="H365" i="16"/>
  <c r="G365" i="16"/>
  <c r="I365" i="18" s="1"/>
  <c r="H364" i="16"/>
  <c r="G364" i="16"/>
  <c r="I364" i="18" s="1"/>
  <c r="H363" i="16"/>
  <c r="G363" i="16"/>
  <c r="I363" i="18" s="1"/>
  <c r="H362" i="16"/>
  <c r="G362" i="16"/>
  <c r="I362" i="18" s="1"/>
  <c r="H361" i="16"/>
  <c r="G361" i="16"/>
  <c r="I361" i="18" s="1"/>
  <c r="H360" i="16"/>
  <c r="G360" i="16"/>
  <c r="I360" i="18" s="1"/>
  <c r="H359" i="16"/>
  <c r="G359" i="16"/>
  <c r="I359" i="18" s="1"/>
  <c r="H358" i="16"/>
  <c r="G358" i="16"/>
  <c r="I358" i="18" s="1"/>
  <c r="H357" i="16"/>
  <c r="G357" i="16"/>
  <c r="I357" i="18" s="1"/>
  <c r="H356" i="16"/>
  <c r="G356" i="16"/>
  <c r="I356" i="18" s="1"/>
  <c r="H355" i="16"/>
  <c r="G355" i="16"/>
  <c r="I355" i="18" s="1"/>
  <c r="H354" i="16"/>
  <c r="G354" i="16"/>
  <c r="I354" i="18" s="1"/>
  <c r="H353" i="16"/>
  <c r="G353" i="16"/>
  <c r="I353" i="18" s="1"/>
  <c r="H352" i="16"/>
  <c r="G352" i="16"/>
  <c r="I352" i="18" s="1"/>
  <c r="H321" i="16"/>
  <c r="G321" i="16"/>
  <c r="I321" i="18" s="1"/>
  <c r="H320" i="16"/>
  <c r="G320" i="16"/>
  <c r="I320" i="18" s="1"/>
  <c r="H319" i="16"/>
  <c r="G319" i="16"/>
  <c r="I319" i="18" s="1"/>
  <c r="H318" i="16"/>
  <c r="G318" i="16"/>
  <c r="I318" i="18" s="1"/>
  <c r="H317" i="16"/>
  <c r="G317" i="16"/>
  <c r="I317" i="18" s="1"/>
  <c r="H316" i="16"/>
  <c r="G316" i="16"/>
  <c r="I316" i="18" s="1"/>
  <c r="H315" i="16"/>
  <c r="G315" i="16"/>
  <c r="I315" i="18" s="1"/>
  <c r="H314" i="16"/>
  <c r="G314" i="16"/>
  <c r="I314" i="18" s="1"/>
  <c r="H313" i="16"/>
  <c r="G313" i="16"/>
  <c r="I313" i="18" s="1"/>
  <c r="H312" i="16"/>
  <c r="G312" i="16"/>
  <c r="I312" i="18" s="1"/>
  <c r="H311" i="16"/>
  <c r="G311" i="16"/>
  <c r="I311" i="18" s="1"/>
  <c r="H310" i="16"/>
  <c r="G310" i="16"/>
  <c r="I310" i="18" s="1"/>
  <c r="H309" i="16"/>
  <c r="G309" i="16"/>
  <c r="I309" i="18" s="1"/>
  <c r="H308" i="16"/>
  <c r="G308" i="16"/>
  <c r="I308" i="18" s="1"/>
  <c r="H307" i="16"/>
  <c r="G307" i="16"/>
  <c r="I307" i="18" s="1"/>
  <c r="H306" i="16"/>
  <c r="G306" i="16"/>
  <c r="I306" i="18" s="1"/>
  <c r="H305" i="16"/>
  <c r="G305" i="16"/>
  <c r="I305" i="18" s="1"/>
  <c r="H304" i="16"/>
  <c r="G304" i="16"/>
  <c r="I304" i="18" s="1"/>
  <c r="H303" i="16"/>
  <c r="G303" i="16"/>
  <c r="I303" i="18" s="1"/>
  <c r="H302" i="16"/>
  <c r="G302" i="16"/>
  <c r="I302" i="18" s="1"/>
  <c r="H301" i="16"/>
  <c r="G301" i="16"/>
  <c r="I301" i="18" s="1"/>
  <c r="H300" i="16"/>
  <c r="G300" i="16"/>
  <c r="I300" i="18" s="1"/>
  <c r="H299" i="16"/>
  <c r="G299" i="16"/>
  <c r="I299" i="18" s="1"/>
  <c r="H298" i="16"/>
  <c r="G298" i="16"/>
  <c r="I298" i="18" s="1"/>
  <c r="H297" i="16"/>
  <c r="G297" i="16"/>
  <c r="I297" i="18" s="1"/>
  <c r="H296" i="16"/>
  <c r="G296" i="16"/>
  <c r="I296" i="18" s="1"/>
  <c r="H295" i="16"/>
  <c r="G295" i="16"/>
  <c r="I295" i="18" s="1"/>
  <c r="H294" i="16"/>
  <c r="G294" i="16"/>
  <c r="I294" i="18" s="1"/>
  <c r="H293" i="16"/>
  <c r="G293" i="16"/>
  <c r="I293" i="18" s="1"/>
  <c r="H292" i="16"/>
  <c r="G292" i="16"/>
  <c r="I292" i="18" s="1"/>
  <c r="H291" i="16"/>
  <c r="G291" i="16"/>
  <c r="I291" i="18" s="1"/>
  <c r="H290" i="16"/>
  <c r="G290" i="16"/>
  <c r="I290" i="18" s="1"/>
  <c r="H289" i="16"/>
  <c r="G289" i="16"/>
  <c r="I289" i="18" s="1"/>
  <c r="H288" i="16"/>
  <c r="G288" i="16"/>
  <c r="I288" i="18" s="1"/>
  <c r="H287" i="16"/>
  <c r="G287" i="16"/>
  <c r="I287" i="18" s="1"/>
  <c r="H286" i="16"/>
  <c r="G286" i="16"/>
  <c r="I286" i="18" s="1"/>
  <c r="H285" i="16"/>
  <c r="G285" i="16"/>
  <c r="I285" i="18" s="1"/>
  <c r="H284" i="16"/>
  <c r="G284" i="16"/>
  <c r="I284" i="18" s="1"/>
  <c r="H283" i="16"/>
  <c r="G283" i="16"/>
  <c r="I283" i="18" s="1"/>
  <c r="H282" i="16"/>
  <c r="G282" i="16"/>
  <c r="I282" i="18" s="1"/>
  <c r="H281" i="16"/>
  <c r="G281" i="16"/>
  <c r="I281" i="18" s="1"/>
  <c r="H280" i="16"/>
  <c r="G280" i="16"/>
  <c r="I280" i="18" s="1"/>
  <c r="H279" i="16"/>
  <c r="G279" i="16"/>
  <c r="I279" i="18" s="1"/>
  <c r="H278" i="16"/>
  <c r="G278" i="16"/>
  <c r="I278" i="18" s="1"/>
  <c r="H277" i="16"/>
  <c r="G277" i="16"/>
  <c r="I277" i="18" s="1"/>
  <c r="H276" i="16"/>
  <c r="G276" i="16"/>
  <c r="I276" i="18" s="1"/>
  <c r="H275" i="16"/>
  <c r="G275" i="16"/>
  <c r="I275" i="18" s="1"/>
  <c r="H274" i="16"/>
  <c r="G274" i="16"/>
  <c r="I274" i="18" s="1"/>
  <c r="H273" i="16"/>
  <c r="G273" i="16"/>
  <c r="I273" i="18" s="1"/>
  <c r="H272" i="16"/>
  <c r="G272" i="16"/>
  <c r="I272" i="18" s="1"/>
  <c r="H271" i="16"/>
  <c r="G271" i="16"/>
  <c r="I271" i="18" s="1"/>
  <c r="H270" i="16"/>
  <c r="G270" i="16"/>
  <c r="I270" i="18" s="1"/>
  <c r="H269" i="16"/>
  <c r="G269" i="16"/>
  <c r="I269" i="18" s="1"/>
  <c r="H268" i="16"/>
  <c r="G268" i="16"/>
  <c r="I268" i="18" s="1"/>
  <c r="H267" i="16"/>
  <c r="G267" i="16"/>
  <c r="I267" i="18" s="1"/>
  <c r="H266" i="16"/>
  <c r="G266" i="16"/>
  <c r="I266" i="18" s="1"/>
  <c r="H265" i="16"/>
  <c r="G265" i="16"/>
  <c r="I265" i="18" s="1"/>
  <c r="H264" i="16"/>
  <c r="G264" i="16"/>
  <c r="I264" i="18" s="1"/>
  <c r="H263" i="16"/>
  <c r="G263" i="16"/>
  <c r="I263" i="18" s="1"/>
  <c r="H262" i="16"/>
  <c r="G262" i="16"/>
  <c r="I262" i="18" s="1"/>
  <c r="H261" i="16"/>
  <c r="G261" i="16"/>
  <c r="I261" i="18" s="1"/>
  <c r="H260" i="16"/>
  <c r="G260" i="16"/>
  <c r="I260" i="18" s="1"/>
  <c r="H259" i="16"/>
  <c r="G259" i="16"/>
  <c r="I259" i="18" s="1"/>
  <c r="H258" i="16"/>
  <c r="G258" i="16"/>
  <c r="I258" i="18" s="1"/>
  <c r="H257" i="16"/>
  <c r="G257" i="16"/>
  <c r="I257" i="18" s="1"/>
  <c r="H256" i="16"/>
  <c r="G256" i="16"/>
  <c r="I256" i="18" s="1"/>
  <c r="H255" i="16"/>
  <c r="G255" i="16"/>
  <c r="I255" i="18" s="1"/>
  <c r="H254" i="16"/>
  <c r="G254" i="16"/>
  <c r="I254" i="18" s="1"/>
  <c r="H253" i="16"/>
  <c r="G253" i="16"/>
  <c r="I253" i="18" s="1"/>
  <c r="H252" i="16"/>
  <c r="G252" i="16"/>
  <c r="I252" i="18" s="1"/>
  <c r="H251" i="16"/>
  <c r="G251" i="16"/>
  <c r="I251" i="18" s="1"/>
  <c r="H250" i="16"/>
  <c r="G250" i="16"/>
  <c r="I250" i="18" s="1"/>
  <c r="H249" i="16"/>
  <c r="G249" i="16"/>
  <c r="I249" i="18" s="1"/>
  <c r="H248" i="16"/>
  <c r="G248" i="16"/>
  <c r="I248" i="18" s="1"/>
  <c r="H247" i="16"/>
  <c r="G247" i="16"/>
  <c r="I247" i="18" s="1"/>
  <c r="H246" i="16"/>
  <c r="G246" i="16"/>
  <c r="I246" i="18" s="1"/>
  <c r="H245" i="16"/>
  <c r="G245" i="16"/>
  <c r="I245" i="18" s="1"/>
  <c r="H244" i="16"/>
  <c r="G244" i="16"/>
  <c r="I244" i="18" s="1"/>
  <c r="H243" i="16"/>
  <c r="G243" i="16"/>
  <c r="I243" i="18" s="1"/>
  <c r="H242" i="16"/>
  <c r="G242" i="16"/>
  <c r="I242" i="18" s="1"/>
  <c r="H241" i="16"/>
  <c r="G241" i="16"/>
  <c r="I241" i="18" s="1"/>
  <c r="H240" i="16"/>
  <c r="G240" i="16"/>
  <c r="I240" i="18" s="1"/>
  <c r="H239" i="16"/>
  <c r="G239" i="16"/>
  <c r="I239" i="18" s="1"/>
  <c r="H238" i="16"/>
  <c r="G238" i="16"/>
  <c r="I238" i="18" s="1"/>
  <c r="H237" i="16"/>
  <c r="G237" i="16"/>
  <c r="I237" i="18" s="1"/>
  <c r="H236" i="16"/>
  <c r="G236" i="16"/>
  <c r="I236" i="18" s="1"/>
  <c r="H235" i="16"/>
  <c r="G235" i="16"/>
  <c r="I235" i="18" s="1"/>
  <c r="H234" i="16"/>
  <c r="G234" i="16"/>
  <c r="I234" i="18" s="1"/>
  <c r="H233" i="16"/>
  <c r="G233" i="16"/>
  <c r="I233" i="18" s="1"/>
  <c r="H232" i="16"/>
  <c r="G232" i="16"/>
  <c r="I232" i="18" s="1"/>
  <c r="H201" i="16"/>
  <c r="G201" i="16"/>
  <c r="I201" i="18" s="1"/>
  <c r="H200" i="16"/>
  <c r="G200" i="16"/>
  <c r="I200" i="18" s="1"/>
  <c r="H199" i="16"/>
  <c r="G199" i="16"/>
  <c r="I199" i="18" s="1"/>
  <c r="H198" i="16"/>
  <c r="G198" i="16"/>
  <c r="I198" i="18" s="1"/>
  <c r="H197" i="16"/>
  <c r="G197" i="16"/>
  <c r="I197" i="16" s="1"/>
  <c r="H196" i="16"/>
  <c r="G196" i="16"/>
  <c r="I196" i="18" s="1"/>
  <c r="H195" i="16"/>
  <c r="G195" i="16"/>
  <c r="I195" i="16" s="1"/>
  <c r="H194" i="16"/>
  <c r="G194" i="16"/>
  <c r="I194" i="18" s="1"/>
  <c r="H193" i="16"/>
  <c r="G193" i="16"/>
  <c r="I193" i="16" s="1"/>
  <c r="H192" i="16"/>
  <c r="G192" i="16"/>
  <c r="I192" i="18" s="1"/>
  <c r="H191" i="16"/>
  <c r="G191" i="16"/>
  <c r="I191" i="16" s="1"/>
  <c r="H190" i="16"/>
  <c r="G190" i="16"/>
  <c r="I190" i="18" s="1"/>
  <c r="H189" i="16"/>
  <c r="G189" i="16"/>
  <c r="I189" i="16" s="1"/>
  <c r="H188" i="16"/>
  <c r="G188" i="16"/>
  <c r="I188" i="18" s="1"/>
  <c r="H187" i="16"/>
  <c r="G187" i="16"/>
  <c r="I187" i="16" s="1"/>
  <c r="H186" i="16"/>
  <c r="G186" i="16"/>
  <c r="I186" i="18" s="1"/>
  <c r="H185" i="16"/>
  <c r="G185" i="16"/>
  <c r="I185" i="16" s="1"/>
  <c r="H184" i="16"/>
  <c r="G184" i="16"/>
  <c r="I184" i="18" s="1"/>
  <c r="H183" i="16"/>
  <c r="G183" i="16"/>
  <c r="I183" i="16" s="1"/>
  <c r="H182" i="16"/>
  <c r="G182" i="16"/>
  <c r="I182" i="18" s="1"/>
  <c r="H181" i="16"/>
  <c r="G181" i="16"/>
  <c r="I181" i="16" s="1"/>
  <c r="H180" i="16"/>
  <c r="G180" i="16"/>
  <c r="I180" i="18" s="1"/>
  <c r="H179" i="16"/>
  <c r="G179" i="16"/>
  <c r="I179" i="16" s="1"/>
  <c r="H178" i="16"/>
  <c r="G178" i="16"/>
  <c r="I178" i="18" s="1"/>
  <c r="H177" i="16"/>
  <c r="G177" i="16"/>
  <c r="I177" i="16" s="1"/>
  <c r="H176" i="16"/>
  <c r="G176" i="16"/>
  <c r="I176" i="18" s="1"/>
  <c r="H175" i="16"/>
  <c r="G175" i="16"/>
  <c r="I175" i="16" s="1"/>
  <c r="H174" i="16"/>
  <c r="G174" i="16"/>
  <c r="I174" i="18" s="1"/>
  <c r="H173" i="16"/>
  <c r="G173" i="16"/>
  <c r="I173" i="16" s="1"/>
  <c r="H172" i="16"/>
  <c r="G172" i="16"/>
  <c r="I172" i="18" s="1"/>
  <c r="H171" i="16"/>
  <c r="G171" i="16"/>
  <c r="I171" i="16" s="1"/>
  <c r="H170" i="16"/>
  <c r="G170" i="16"/>
  <c r="I170" i="18" s="1"/>
  <c r="H169" i="16"/>
  <c r="G169" i="16"/>
  <c r="I169" i="16" s="1"/>
  <c r="H168" i="16"/>
  <c r="G168" i="16"/>
  <c r="I168" i="18" s="1"/>
  <c r="H167" i="16"/>
  <c r="G167" i="16"/>
  <c r="I167" i="16" s="1"/>
  <c r="H166" i="16"/>
  <c r="G166" i="16"/>
  <c r="I166" i="18" s="1"/>
  <c r="H165" i="16"/>
  <c r="G165" i="16"/>
  <c r="I165" i="16" s="1"/>
  <c r="H164" i="16"/>
  <c r="G164" i="16"/>
  <c r="I164" i="18" s="1"/>
  <c r="H163" i="16"/>
  <c r="G163" i="16"/>
  <c r="I163" i="16" s="1"/>
  <c r="H162" i="16"/>
  <c r="G162" i="16"/>
  <c r="I162" i="18" s="1"/>
  <c r="H161" i="16"/>
  <c r="G161" i="16"/>
  <c r="I161" i="16" s="1"/>
  <c r="H160" i="16"/>
  <c r="G160" i="16"/>
  <c r="I160" i="18" s="1"/>
  <c r="H159" i="16"/>
  <c r="G159" i="16"/>
  <c r="I159" i="16" s="1"/>
  <c r="H158" i="16"/>
  <c r="H37" i="19" s="1"/>
  <c r="G158" i="16"/>
  <c r="I158" i="18" s="1"/>
  <c r="H157" i="16"/>
  <c r="G157" i="16"/>
  <c r="I157" i="18" s="1"/>
  <c r="H156" i="16"/>
  <c r="G156" i="16"/>
  <c r="I156" i="18" s="1"/>
  <c r="H155" i="16"/>
  <c r="G155" i="16"/>
  <c r="I155" i="18" s="1"/>
  <c r="H154" i="16"/>
  <c r="G154" i="16"/>
  <c r="I154" i="18" s="1"/>
  <c r="H153" i="16"/>
  <c r="G153" i="16"/>
  <c r="I153" i="16" s="1"/>
  <c r="H152" i="16"/>
  <c r="G152" i="16"/>
  <c r="I152" i="18" s="1"/>
  <c r="H151" i="16"/>
  <c r="G151" i="16"/>
  <c r="I151" i="16" s="1"/>
  <c r="H150" i="16"/>
  <c r="G150" i="16"/>
  <c r="I150" i="18" s="1"/>
  <c r="H149" i="16"/>
  <c r="G149" i="16"/>
  <c r="I149" i="18" s="1"/>
  <c r="H148" i="16"/>
  <c r="G148" i="16"/>
  <c r="I148" i="18" s="1"/>
  <c r="H147" i="16"/>
  <c r="G147" i="16"/>
  <c r="I147" i="18" s="1"/>
  <c r="H146" i="16"/>
  <c r="G146" i="16"/>
  <c r="I146" i="18" s="1"/>
  <c r="H145" i="16"/>
  <c r="G145" i="16"/>
  <c r="I145" i="16" s="1"/>
  <c r="H144" i="16"/>
  <c r="G144" i="16"/>
  <c r="I144" i="18" s="1"/>
  <c r="H143" i="16"/>
  <c r="G143" i="16"/>
  <c r="I143" i="16" s="1"/>
  <c r="H142" i="16"/>
  <c r="G142" i="16"/>
  <c r="I142" i="18" s="1"/>
  <c r="H121" i="16"/>
  <c r="G121" i="16"/>
  <c r="I121" i="16" s="1"/>
  <c r="H120" i="16"/>
  <c r="G120" i="16"/>
  <c r="I120" i="18" s="1"/>
  <c r="H119" i="16"/>
  <c r="G119" i="16"/>
  <c r="I119" i="16" s="1"/>
  <c r="H118" i="16"/>
  <c r="G118" i="16"/>
  <c r="H117" i="16"/>
  <c r="G117" i="16"/>
  <c r="I117" i="16" s="1"/>
  <c r="H116" i="16"/>
  <c r="G116" i="16"/>
  <c r="I116" i="18" s="1"/>
  <c r="H115" i="16"/>
  <c r="G115" i="16"/>
  <c r="I115" i="16" s="1"/>
  <c r="H114" i="16"/>
  <c r="G114" i="16"/>
  <c r="I114" i="18" s="1"/>
  <c r="H113" i="16"/>
  <c r="G113" i="16"/>
  <c r="I113" i="16" s="1"/>
  <c r="H112" i="16"/>
  <c r="G112" i="16"/>
  <c r="I112" i="18" s="1"/>
  <c r="H111" i="16"/>
  <c r="G111" i="16"/>
  <c r="I111" i="16" s="1"/>
  <c r="H110" i="16"/>
  <c r="G110" i="16"/>
  <c r="I110" i="18" s="1"/>
  <c r="H109" i="16"/>
  <c r="G109" i="16"/>
  <c r="I109" i="16" s="1"/>
  <c r="H108" i="16"/>
  <c r="G108" i="16"/>
  <c r="I108" i="18" s="1"/>
  <c r="H107" i="16"/>
  <c r="G107" i="16"/>
  <c r="I107" i="16" s="1"/>
  <c r="H106" i="16"/>
  <c r="G106" i="16"/>
  <c r="I106" i="18" s="1"/>
  <c r="H105" i="16"/>
  <c r="G105" i="16"/>
  <c r="I105" i="16" s="1"/>
  <c r="H104" i="16"/>
  <c r="G104" i="16"/>
  <c r="I104" i="18" s="1"/>
  <c r="H103" i="16"/>
  <c r="G103" i="16"/>
  <c r="I103" i="16" s="1"/>
  <c r="H102" i="16"/>
  <c r="G102" i="16"/>
  <c r="I102" i="18" s="1"/>
  <c r="H101" i="16"/>
  <c r="G101" i="16"/>
  <c r="I101" i="16" s="1"/>
  <c r="H100" i="16"/>
  <c r="G100" i="16"/>
  <c r="I100" i="18" s="1"/>
  <c r="H99" i="16"/>
  <c r="G99" i="16"/>
  <c r="I99" i="16" s="1"/>
  <c r="H98" i="16"/>
  <c r="G98" i="16"/>
  <c r="I98" i="18" s="1"/>
  <c r="H97" i="16"/>
  <c r="G97" i="16"/>
  <c r="I97" i="16" s="1"/>
  <c r="H96" i="16"/>
  <c r="G96" i="16"/>
  <c r="I96" i="18" s="1"/>
  <c r="H95" i="16"/>
  <c r="G95" i="16"/>
  <c r="I95" i="16" s="1"/>
  <c r="H94" i="16"/>
  <c r="G94" i="16"/>
  <c r="I94" i="18" s="1"/>
  <c r="H93" i="16"/>
  <c r="G93" i="16"/>
  <c r="I93" i="16" s="1"/>
  <c r="H92" i="16"/>
  <c r="G92" i="16"/>
  <c r="I92" i="18" s="1"/>
  <c r="H91" i="16"/>
  <c r="G91" i="16"/>
  <c r="I91" i="16" s="1"/>
  <c r="H90" i="16"/>
  <c r="G90" i="16"/>
  <c r="I90" i="18" s="1"/>
  <c r="H89" i="16"/>
  <c r="G89" i="16"/>
  <c r="I89" i="16" s="1"/>
  <c r="H88" i="16"/>
  <c r="G88" i="16"/>
  <c r="I88" i="18" s="1"/>
  <c r="H87" i="16"/>
  <c r="G87" i="16"/>
  <c r="I87" i="16" s="1"/>
  <c r="H86" i="16"/>
  <c r="G86" i="16"/>
  <c r="I86" i="18" s="1"/>
  <c r="H85" i="16"/>
  <c r="G85" i="16"/>
  <c r="I85" i="16" s="1"/>
  <c r="H84" i="16"/>
  <c r="G84" i="16"/>
  <c r="I84" i="18" s="1"/>
  <c r="H83" i="16"/>
  <c r="G83" i="16"/>
  <c r="I83" i="16" s="1"/>
  <c r="H82" i="16"/>
  <c r="G82" i="16"/>
  <c r="I82" i="18" s="1"/>
  <c r="H81" i="16"/>
  <c r="G81" i="16"/>
  <c r="I81" i="16" s="1"/>
  <c r="H80" i="16"/>
  <c r="G80" i="16"/>
  <c r="I80" i="18" s="1"/>
  <c r="H79" i="16"/>
  <c r="G79" i="16"/>
  <c r="I79" i="16" s="1"/>
  <c r="H78" i="16"/>
  <c r="G78" i="16"/>
  <c r="I78" i="18" s="1"/>
  <c r="H77" i="16"/>
  <c r="G77" i="16"/>
  <c r="I77" i="16" s="1"/>
  <c r="H76" i="16"/>
  <c r="G76" i="16"/>
  <c r="I76" i="18" s="1"/>
  <c r="H75" i="16"/>
  <c r="G75" i="16"/>
  <c r="I75" i="16" s="1"/>
  <c r="H74" i="16"/>
  <c r="G74" i="16"/>
  <c r="I74" i="18" s="1"/>
  <c r="H73" i="16"/>
  <c r="G73" i="16"/>
  <c r="I73" i="16" s="1"/>
  <c r="H72" i="16"/>
  <c r="G72" i="16"/>
  <c r="I72" i="18" s="1"/>
  <c r="H71" i="16"/>
  <c r="G71" i="16"/>
  <c r="I71" i="16" s="1"/>
  <c r="H70" i="16"/>
  <c r="G70" i="16"/>
  <c r="I70" i="18" s="1"/>
  <c r="H69" i="16"/>
  <c r="G69" i="16"/>
  <c r="I69" i="16" s="1"/>
  <c r="H68" i="16"/>
  <c r="H36" i="19" s="1"/>
  <c r="G68" i="16"/>
  <c r="I68" i="18" s="1"/>
  <c r="H67" i="16"/>
  <c r="G67" i="16"/>
  <c r="I67" i="18" s="1"/>
  <c r="H66" i="16"/>
  <c r="G66" i="16"/>
  <c r="I66" i="18" s="1"/>
  <c r="H65" i="16"/>
  <c r="G65" i="16"/>
  <c r="I65" i="18" s="1"/>
  <c r="H64" i="16"/>
  <c r="G64" i="16"/>
  <c r="I64" i="18" s="1"/>
  <c r="H63" i="16"/>
  <c r="G63" i="16"/>
  <c r="I63" i="18" s="1"/>
  <c r="H62" i="16"/>
  <c r="G62" i="16"/>
  <c r="I62" i="18" s="1"/>
  <c r="H61" i="16"/>
  <c r="G61" i="16"/>
  <c r="I61" i="16" s="1"/>
  <c r="H60" i="16"/>
  <c r="G60" i="16"/>
  <c r="I60" i="18" s="1"/>
  <c r="H59" i="16"/>
  <c r="G59" i="16"/>
  <c r="I59" i="16" s="1"/>
  <c r="H58" i="16"/>
  <c r="G58" i="16"/>
  <c r="I58" i="18" s="1"/>
  <c r="H57" i="16"/>
  <c r="G57" i="16"/>
  <c r="I57" i="16" s="1"/>
  <c r="H56" i="16"/>
  <c r="G56" i="16"/>
  <c r="I56" i="18" s="1"/>
  <c r="H55" i="16"/>
  <c r="G55" i="16"/>
  <c r="I55" i="18" s="1"/>
  <c r="H54" i="16"/>
  <c r="G54" i="16"/>
  <c r="H53" i="16"/>
  <c r="G53" i="16"/>
  <c r="I53" i="18" s="1"/>
  <c r="H52" i="16"/>
  <c r="G52" i="16"/>
  <c r="I52" i="18" s="1"/>
  <c r="H51" i="16"/>
  <c r="G51" i="16"/>
  <c r="I51" i="18" s="1"/>
  <c r="H50" i="16"/>
  <c r="G50" i="16"/>
  <c r="I50" i="18" s="1"/>
  <c r="H49" i="16"/>
  <c r="G49" i="16"/>
  <c r="I49" i="18" s="1"/>
  <c r="H48" i="16"/>
  <c r="G48" i="16"/>
  <c r="I48" i="18" s="1"/>
  <c r="H47" i="16"/>
  <c r="G47" i="16"/>
  <c r="I47" i="18" s="1"/>
  <c r="H46" i="16"/>
  <c r="G46" i="16"/>
  <c r="I46" i="18" s="1"/>
  <c r="H45" i="16"/>
  <c r="G45" i="16"/>
  <c r="I45" i="18" s="1"/>
  <c r="H44" i="16"/>
  <c r="G44" i="16"/>
  <c r="I44" i="18" s="1"/>
  <c r="H43" i="16"/>
  <c r="G43" i="16"/>
  <c r="I43" i="18" s="1"/>
  <c r="H42" i="16"/>
  <c r="G42" i="16"/>
  <c r="I42" i="18" s="1"/>
  <c r="H41" i="16"/>
  <c r="G41" i="16"/>
  <c r="I41" i="18" s="1"/>
  <c r="H40" i="16"/>
  <c r="G40" i="16"/>
  <c r="I40" i="18" s="1"/>
  <c r="H39" i="16"/>
  <c r="G39" i="16"/>
  <c r="I39" i="18" s="1"/>
  <c r="H38" i="16"/>
  <c r="G38" i="16"/>
  <c r="I38" i="18" s="1"/>
  <c r="H37" i="16"/>
  <c r="G37" i="16"/>
  <c r="I37" i="18" s="1"/>
  <c r="H36" i="16"/>
  <c r="G36" i="16"/>
  <c r="I36" i="18" s="1"/>
  <c r="H35" i="16"/>
  <c r="G35" i="16"/>
  <c r="I35" i="18" s="1"/>
  <c r="H34" i="16"/>
  <c r="G34" i="16"/>
  <c r="I34" i="18" s="1"/>
  <c r="H33" i="16"/>
  <c r="G33" i="16"/>
  <c r="I33" i="18" s="1"/>
  <c r="H32" i="16"/>
  <c r="G32" i="16"/>
  <c r="I32" i="18" s="1"/>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G4" i="16"/>
  <c r="G3" i="16"/>
  <c r="G2" i="16"/>
  <c r="I32" i="16" l="1"/>
  <c r="I34" i="16"/>
  <c r="I38" i="16"/>
  <c r="I41" i="16"/>
  <c r="I48" i="16"/>
  <c r="I50" i="16"/>
  <c r="I51" i="16"/>
  <c r="I53" i="16"/>
  <c r="I60" i="16"/>
  <c r="I63" i="16"/>
  <c r="I67" i="16"/>
  <c r="I70" i="16"/>
  <c r="I74" i="16"/>
  <c r="I78" i="16"/>
  <c r="I82" i="16"/>
  <c r="I86" i="16"/>
  <c r="I90" i="16"/>
  <c r="I94" i="16"/>
  <c r="I98" i="16"/>
  <c r="I102" i="16"/>
  <c r="I106" i="16"/>
  <c r="I110" i="16"/>
  <c r="I114" i="16"/>
  <c r="I118" i="18"/>
  <c r="I118" i="16"/>
  <c r="I36" i="16"/>
  <c r="I39" i="16"/>
  <c r="I43" i="16"/>
  <c r="I46" i="16"/>
  <c r="I33" i="16"/>
  <c r="I35" i="16"/>
  <c r="I37" i="16"/>
  <c r="I40" i="16"/>
  <c r="I42" i="16"/>
  <c r="I44" i="16"/>
  <c r="I45" i="16"/>
  <c r="I47" i="16"/>
  <c r="I49" i="16"/>
  <c r="I52" i="16"/>
  <c r="I54" i="18"/>
  <c r="I54" i="16"/>
  <c r="I55" i="16"/>
  <c r="I58" i="16"/>
  <c r="I62" i="16"/>
  <c r="I65" i="16"/>
  <c r="I72" i="16"/>
  <c r="I76" i="16"/>
  <c r="I80" i="16"/>
  <c r="I84" i="16"/>
  <c r="I88" i="16"/>
  <c r="I92" i="16"/>
  <c r="I96" i="16"/>
  <c r="I100" i="16"/>
  <c r="I104" i="16"/>
  <c r="I108" i="16"/>
  <c r="I112" i="16"/>
  <c r="I116" i="16"/>
  <c r="I120" i="16"/>
  <c r="I142" i="16"/>
  <c r="I144" i="16"/>
  <c r="I146" i="16"/>
  <c r="I147" i="16"/>
  <c r="I149" i="16"/>
  <c r="I152" i="16"/>
  <c r="I154" i="16"/>
  <c r="I155" i="16"/>
  <c r="I157" i="16"/>
  <c r="I160" i="16"/>
  <c r="I162" i="16"/>
  <c r="I164" i="16"/>
  <c r="I166" i="16"/>
  <c r="I168" i="16"/>
  <c r="I170" i="16"/>
  <c r="I172" i="16"/>
  <c r="I174" i="16"/>
  <c r="I176" i="16"/>
  <c r="I178" i="16"/>
  <c r="I180" i="16"/>
  <c r="I182" i="16"/>
  <c r="I184" i="16"/>
  <c r="I186" i="16"/>
  <c r="I188" i="16"/>
  <c r="I190" i="16"/>
  <c r="I192" i="16"/>
  <c r="I194" i="16"/>
  <c r="I196" i="16"/>
  <c r="I198" i="16"/>
  <c r="I200" i="16"/>
  <c r="I232" i="16"/>
  <c r="I234" i="16"/>
  <c r="I236" i="16"/>
  <c r="I238" i="16"/>
  <c r="I239" i="16"/>
  <c r="I241" i="16"/>
  <c r="I243" i="16"/>
  <c r="I246" i="16"/>
  <c r="I248" i="16"/>
  <c r="I250" i="16"/>
  <c r="I251" i="16"/>
  <c r="I253" i="16"/>
  <c r="I255" i="16"/>
  <c r="I258" i="16"/>
  <c r="I260" i="16"/>
  <c r="I262" i="16"/>
  <c r="I263" i="16"/>
  <c r="I265" i="16"/>
  <c r="I267" i="16"/>
  <c r="I270" i="16"/>
  <c r="I272" i="16"/>
  <c r="I274" i="16"/>
  <c r="I276" i="16"/>
  <c r="I278" i="16"/>
  <c r="I280" i="16"/>
  <c r="I282" i="16"/>
  <c r="I284" i="16"/>
  <c r="I286" i="16"/>
  <c r="I288" i="16"/>
  <c r="I290" i="16"/>
  <c r="I292" i="16"/>
  <c r="I294" i="16"/>
  <c r="I296" i="16"/>
  <c r="I298" i="16"/>
  <c r="I300" i="16"/>
  <c r="I302" i="16"/>
  <c r="I304" i="16"/>
  <c r="I306" i="16"/>
  <c r="I308" i="16"/>
  <c r="I310" i="16"/>
  <c r="I312" i="16"/>
  <c r="I314" i="16"/>
  <c r="I316" i="16"/>
  <c r="I318" i="16"/>
  <c r="I320" i="16"/>
  <c r="I352" i="16"/>
  <c r="I354" i="16"/>
  <c r="I356" i="16"/>
  <c r="I358" i="16"/>
  <c r="I359" i="16"/>
  <c r="I361" i="16"/>
  <c r="I363" i="16"/>
  <c r="I366" i="16"/>
  <c r="I368" i="16"/>
  <c r="I370" i="16"/>
  <c r="I371" i="16"/>
  <c r="I373" i="16"/>
  <c r="I375" i="16"/>
  <c r="I378" i="16"/>
  <c r="I380" i="16"/>
  <c r="I382" i="16"/>
  <c r="I383" i="16"/>
  <c r="I385" i="16"/>
  <c r="I387" i="16"/>
  <c r="I390" i="16"/>
  <c r="I392" i="16"/>
  <c r="I394" i="16"/>
  <c r="I395" i="16"/>
  <c r="I397" i="16"/>
  <c r="I399" i="16"/>
  <c r="I401" i="16"/>
  <c r="I403" i="16"/>
  <c r="I405" i="16"/>
  <c r="I407" i="16"/>
  <c r="I409" i="16"/>
  <c r="I411" i="16"/>
  <c r="I413" i="16"/>
  <c r="I415" i="16"/>
  <c r="I417" i="16"/>
  <c r="I419" i="16"/>
  <c r="I421" i="16"/>
  <c r="I423" i="16"/>
  <c r="I425" i="16"/>
  <c r="I427" i="16"/>
  <c r="I429" i="16"/>
  <c r="I431" i="16"/>
  <c r="I433" i="16"/>
  <c r="I435" i="16"/>
  <c r="I437" i="16"/>
  <c r="I439" i="16"/>
  <c r="I441" i="16"/>
  <c r="I468" i="16"/>
  <c r="I470" i="16"/>
  <c r="I472" i="16"/>
  <c r="I473" i="16"/>
  <c r="I475" i="16"/>
  <c r="I477" i="16"/>
  <c r="I478" i="16"/>
  <c r="I480" i="16"/>
  <c r="I482" i="16"/>
  <c r="I483" i="16"/>
  <c r="I485" i="16"/>
  <c r="I487" i="16"/>
  <c r="I488" i="16"/>
  <c r="I490" i="16"/>
  <c r="I492" i="16"/>
  <c r="I493" i="16"/>
  <c r="I495" i="16"/>
  <c r="I497" i="16"/>
  <c r="I498" i="16"/>
  <c r="I500" i="16"/>
  <c r="I502" i="16"/>
  <c r="I504" i="16"/>
  <c r="I506" i="16"/>
  <c r="I508" i="16"/>
  <c r="I511" i="16"/>
  <c r="I513" i="16"/>
  <c r="I515" i="16"/>
  <c r="I517" i="16"/>
  <c r="I519" i="16"/>
  <c r="I521" i="16"/>
  <c r="I523" i="16"/>
  <c r="I525" i="16"/>
  <c r="I527" i="16"/>
  <c r="I529" i="16"/>
  <c r="I531" i="16"/>
  <c r="I533" i="16"/>
  <c r="I535" i="16"/>
  <c r="I537" i="16"/>
  <c r="I539" i="16"/>
  <c r="I541" i="16"/>
  <c r="I566" i="16"/>
  <c r="I567" i="16"/>
  <c r="I568" i="16"/>
  <c r="I569" i="16"/>
  <c r="I570" i="16"/>
  <c r="I571" i="16"/>
  <c r="K7" i="22"/>
  <c r="K6" i="22"/>
  <c r="K5" i="22"/>
  <c r="E20" i="19"/>
  <c r="C25" i="19"/>
  <c r="D20" i="19"/>
  <c r="H25" i="19"/>
  <c r="I678" i="16"/>
  <c r="I679" i="16"/>
  <c r="I680" i="16"/>
  <c r="I681" i="16"/>
  <c r="L7" i="22"/>
  <c r="L6" i="22"/>
  <c r="L5" i="22"/>
  <c r="L11" i="22" s="1"/>
  <c r="D21" i="19"/>
  <c r="E21" i="19"/>
  <c r="I766" i="16"/>
  <c r="I767" i="16"/>
  <c r="I768" i="16"/>
  <c r="I769" i="16"/>
  <c r="I770" i="16"/>
  <c r="I771" i="16"/>
  <c r="M7" i="22"/>
  <c r="M6" i="22"/>
  <c r="M5" i="22"/>
  <c r="M11" i="22" s="1"/>
  <c r="E22" i="19"/>
  <c r="D22" i="19"/>
  <c r="I886" i="16"/>
  <c r="I887" i="16"/>
  <c r="I888" i="16"/>
  <c r="I889" i="16"/>
  <c r="I890" i="16"/>
  <c r="I891" i="16"/>
  <c r="N7" i="22"/>
  <c r="N6" i="22"/>
  <c r="N5" i="22"/>
  <c r="N11" i="22" s="1"/>
  <c r="D23" i="19"/>
  <c r="E23" i="19"/>
  <c r="I1002" i="16"/>
  <c r="I1003" i="16"/>
  <c r="I1004" i="16"/>
  <c r="I1005" i="16"/>
  <c r="I1006" i="16"/>
  <c r="O7" i="22"/>
  <c r="O6" i="22"/>
  <c r="O5" i="22"/>
  <c r="E24" i="19"/>
  <c r="D24" i="19"/>
  <c r="H33" i="19"/>
  <c r="L30" i="19"/>
  <c r="I57" i="18"/>
  <c r="I59" i="18"/>
  <c r="I61" i="18"/>
  <c r="I69" i="18"/>
  <c r="I71" i="18"/>
  <c r="I73" i="18"/>
  <c r="I75" i="18"/>
  <c r="I77" i="18"/>
  <c r="I79" i="18"/>
  <c r="I81" i="18"/>
  <c r="I83" i="18"/>
  <c r="I85" i="18"/>
  <c r="I87" i="18"/>
  <c r="I89" i="18"/>
  <c r="I91" i="18"/>
  <c r="I93" i="18"/>
  <c r="I95" i="18"/>
  <c r="I97" i="18"/>
  <c r="I99" i="18"/>
  <c r="I101" i="18"/>
  <c r="I103" i="18"/>
  <c r="I105" i="18"/>
  <c r="I107" i="18"/>
  <c r="I109" i="18"/>
  <c r="I111" i="18"/>
  <c r="I113" i="18"/>
  <c r="I115" i="18"/>
  <c r="I117" i="18"/>
  <c r="I119" i="18"/>
  <c r="I121" i="18"/>
  <c r="I143" i="18"/>
  <c r="I145" i="18"/>
  <c r="I151" i="18"/>
  <c r="I153" i="18"/>
  <c r="I159" i="18"/>
  <c r="I161" i="18"/>
  <c r="I163" i="18"/>
  <c r="I165" i="18"/>
  <c r="I167" i="18"/>
  <c r="I169" i="18"/>
  <c r="I171" i="18"/>
  <c r="I173" i="18"/>
  <c r="I175" i="18"/>
  <c r="I177" i="18"/>
  <c r="I179" i="18"/>
  <c r="I181" i="18"/>
  <c r="I183" i="18"/>
  <c r="I185" i="18"/>
  <c r="I187" i="18"/>
  <c r="I189" i="18"/>
  <c r="I191" i="18"/>
  <c r="I193" i="18"/>
  <c r="I195" i="18"/>
  <c r="I197" i="18"/>
  <c r="I56" i="16"/>
  <c r="I64" i="16"/>
  <c r="I66" i="16"/>
  <c r="I68" i="16"/>
  <c r="I36" i="19" s="1"/>
  <c r="I148" i="16"/>
  <c r="I150" i="16"/>
  <c r="I156" i="16"/>
  <c r="I158" i="16"/>
  <c r="I37" i="19" s="1"/>
  <c r="I199" i="16"/>
  <c r="I201" i="16"/>
  <c r="I233" i="16"/>
  <c r="I235" i="16"/>
  <c r="I237" i="16"/>
  <c r="I240" i="16"/>
  <c r="I242" i="16"/>
  <c r="I244" i="16"/>
  <c r="I245" i="16"/>
  <c r="I247" i="16"/>
  <c r="I249" i="16"/>
  <c r="I252" i="16"/>
  <c r="I254" i="16"/>
  <c r="I256" i="16"/>
  <c r="I257" i="16"/>
  <c r="I259" i="16"/>
  <c r="I261" i="16"/>
  <c r="H38" i="19"/>
  <c r="I264" i="16"/>
  <c r="I266" i="16"/>
  <c r="I268" i="16"/>
  <c r="I269" i="16"/>
  <c r="I271" i="16"/>
  <c r="I273" i="16"/>
  <c r="I275" i="16"/>
  <c r="I277" i="16"/>
  <c r="I279" i="16"/>
  <c r="I281" i="16"/>
  <c r="I283" i="16"/>
  <c r="I285" i="16"/>
  <c r="I287" i="16"/>
  <c r="I289" i="16"/>
  <c r="I291" i="16"/>
  <c r="I293" i="16"/>
  <c r="I295" i="16"/>
  <c r="I297" i="16"/>
  <c r="I299" i="16"/>
  <c r="I301" i="16"/>
  <c r="I303" i="16"/>
  <c r="I305" i="16"/>
  <c r="I307" i="16"/>
  <c r="I309" i="16"/>
  <c r="I311" i="16"/>
  <c r="I313" i="16"/>
  <c r="I315" i="16"/>
  <c r="I317" i="16"/>
  <c r="I319" i="16"/>
  <c r="I321" i="16"/>
  <c r="I353" i="16"/>
  <c r="I355" i="16"/>
  <c r="I357" i="16"/>
  <c r="I360" i="16"/>
  <c r="I362" i="16"/>
  <c r="I364" i="16"/>
  <c r="I365" i="16"/>
  <c r="I367" i="16"/>
  <c r="I369" i="16"/>
  <c r="I372" i="16"/>
  <c r="I374" i="16"/>
  <c r="I376" i="16"/>
  <c r="I377" i="16"/>
  <c r="I379" i="16"/>
  <c r="I381" i="16"/>
  <c r="I384" i="16"/>
  <c r="I386" i="16"/>
  <c r="I388" i="16"/>
  <c r="I389" i="16"/>
  <c r="I391" i="16"/>
  <c r="I393" i="16"/>
  <c r="I396" i="16"/>
  <c r="I398" i="16"/>
  <c r="I400" i="16"/>
  <c r="I402" i="16"/>
  <c r="I404" i="16"/>
  <c r="I406" i="16"/>
  <c r="I408" i="16"/>
  <c r="I410" i="16"/>
  <c r="I412" i="16"/>
  <c r="I414" i="16"/>
  <c r="I416" i="16"/>
  <c r="I418" i="16"/>
  <c r="I420" i="16"/>
  <c r="I422" i="16"/>
  <c r="I424" i="16"/>
  <c r="I426" i="16"/>
  <c r="I428" i="16"/>
  <c r="I430" i="16"/>
  <c r="I432" i="16"/>
  <c r="I434" i="16"/>
  <c r="I436" i="16"/>
  <c r="I438" i="16"/>
  <c r="I440" i="16"/>
  <c r="I467" i="16"/>
  <c r="I469" i="16"/>
  <c r="I471" i="16"/>
  <c r="I474" i="16"/>
  <c r="I476" i="16"/>
  <c r="I479" i="16"/>
  <c r="I481" i="16"/>
  <c r="I484" i="16"/>
  <c r="I486" i="16"/>
  <c r="H40" i="19"/>
  <c r="I489" i="16"/>
  <c r="I491" i="16"/>
  <c r="I494" i="16"/>
  <c r="I496" i="16"/>
  <c r="I499" i="16"/>
  <c r="I501" i="16"/>
  <c r="I503" i="16"/>
  <c r="I505" i="16"/>
  <c r="I507" i="16"/>
  <c r="I509" i="16"/>
  <c r="I510" i="16"/>
  <c r="I512" i="16"/>
  <c r="I514" i="16"/>
  <c r="I516" i="16"/>
  <c r="I518" i="16"/>
  <c r="I520" i="16"/>
  <c r="I522" i="16"/>
  <c r="I524" i="16"/>
  <c r="I526" i="16"/>
  <c r="I528" i="16"/>
  <c r="I530" i="16"/>
  <c r="I532" i="16"/>
  <c r="I534" i="16"/>
  <c r="I536" i="16"/>
  <c r="I538" i="16"/>
  <c r="I540" i="16"/>
  <c r="I572" i="16"/>
  <c r="I573" i="16"/>
  <c r="I574" i="16"/>
  <c r="I575" i="16"/>
  <c r="I576" i="16"/>
  <c r="I577" i="16"/>
  <c r="I578" i="16"/>
  <c r="I579" i="16"/>
  <c r="I580" i="16"/>
  <c r="I581" i="16"/>
  <c r="I582" i="16"/>
  <c r="I583" i="16"/>
  <c r="I584" i="16"/>
  <c r="I585" i="16"/>
  <c r="I586" i="16"/>
  <c r="I587" i="16"/>
  <c r="I588" i="16"/>
  <c r="I589" i="16"/>
  <c r="I590" i="16"/>
  <c r="I591" i="16"/>
  <c r="I592" i="16"/>
  <c r="I593" i="16"/>
  <c r="I594" i="16"/>
  <c r="I595" i="16"/>
  <c r="I596" i="16"/>
  <c r="I597" i="16"/>
  <c r="I598" i="16"/>
  <c r="I599" i="16"/>
  <c r="I600" i="16"/>
  <c r="I601" i="16"/>
  <c r="I682" i="16"/>
  <c r="I683" i="16"/>
  <c r="I684" i="16"/>
  <c r="I685" i="16"/>
  <c r="I686" i="16"/>
  <c r="I687" i="16"/>
  <c r="I688" i="16"/>
  <c r="I689" i="16"/>
  <c r="I690" i="16"/>
  <c r="I691" i="16"/>
  <c r="I692" i="16"/>
  <c r="I693" i="16"/>
  <c r="I694" i="16"/>
  <c r="I695" i="16"/>
  <c r="I696" i="16"/>
  <c r="I697" i="16"/>
  <c r="I698" i="16"/>
  <c r="I699" i="16"/>
  <c r="I700" i="16"/>
  <c r="I701" i="16"/>
  <c r="I772" i="16"/>
  <c r="I773" i="16"/>
  <c r="I774" i="16"/>
  <c r="I775" i="16"/>
  <c r="I776" i="16"/>
  <c r="I777" i="16"/>
  <c r="I778" i="16"/>
  <c r="I779" i="16"/>
  <c r="I780" i="16"/>
  <c r="I781" i="16"/>
  <c r="I782" i="16"/>
  <c r="I783" i="16"/>
  <c r="I784" i="16"/>
  <c r="I785" i="16"/>
  <c r="I786" i="16"/>
  <c r="I787" i="16"/>
  <c r="I788" i="16"/>
  <c r="I789" i="16"/>
  <c r="I790" i="16"/>
  <c r="I791" i="16"/>
  <c r="I792" i="16"/>
  <c r="I793" i="16"/>
  <c r="I794" i="16"/>
  <c r="I795" i="16"/>
  <c r="I796" i="16"/>
  <c r="I797" i="16"/>
  <c r="I798" i="16"/>
  <c r="I799" i="16"/>
  <c r="I800" i="16"/>
  <c r="I801" i="16"/>
  <c r="I892" i="16"/>
  <c r="I893" i="16"/>
  <c r="I894" i="16"/>
  <c r="I895" i="16"/>
  <c r="I896" i="16"/>
  <c r="I897" i="16"/>
  <c r="I898" i="16"/>
  <c r="I899" i="16"/>
  <c r="I900" i="16"/>
  <c r="I901" i="16"/>
  <c r="I902" i="16"/>
  <c r="I903" i="16"/>
  <c r="I904" i="16"/>
  <c r="I905" i="16"/>
  <c r="I906" i="16"/>
  <c r="I907" i="16"/>
  <c r="I908" i="16"/>
  <c r="I909" i="16"/>
  <c r="I910" i="16"/>
  <c r="I911" i="16"/>
  <c r="I912" i="16"/>
  <c r="I913" i="16"/>
  <c r="I914" i="16"/>
  <c r="I915" i="16"/>
  <c r="I916" i="16"/>
  <c r="I917" i="16"/>
  <c r="I918" i="16"/>
  <c r="I919" i="16"/>
  <c r="I920" i="16"/>
  <c r="I921" i="16"/>
  <c r="I1007" i="16"/>
  <c r="I1008" i="16"/>
  <c r="I1009" i="16"/>
  <c r="I1010" i="16"/>
  <c r="I1011" i="16"/>
  <c r="I1012" i="16"/>
  <c r="I1013" i="16"/>
  <c r="I1014" i="16"/>
  <c r="I1015" i="16"/>
  <c r="I1016" i="16"/>
  <c r="I1017" i="16"/>
  <c r="I1018" i="16"/>
  <c r="I1019" i="16"/>
  <c r="I1020" i="16"/>
  <c r="I1021" i="16"/>
  <c r="I1022" i="16"/>
  <c r="I1023" i="16"/>
  <c r="I1024" i="16"/>
  <c r="I1025" i="16"/>
  <c r="I1026" i="16"/>
  <c r="I1027" i="16"/>
  <c r="I1028" i="16"/>
  <c r="I1029" i="16"/>
  <c r="I1030" i="16"/>
  <c r="I1031" i="16"/>
  <c r="I1622" i="18"/>
  <c r="L1135" i="18"/>
  <c r="I1088" i="16"/>
  <c r="I1089" i="16"/>
  <c r="I1090" i="16"/>
  <c r="I1091" i="16"/>
  <c r="I1092" i="16"/>
  <c r="I1093" i="16"/>
  <c r="I1094" i="16"/>
  <c r="I1095" i="16"/>
  <c r="I1096" i="16"/>
  <c r="I1097" i="16"/>
  <c r="I1098" i="16"/>
  <c r="I1099" i="16"/>
  <c r="I1100" i="16"/>
  <c r="I1101" i="16"/>
  <c r="I1102" i="16"/>
  <c r="I1103" i="16"/>
  <c r="I1104" i="16"/>
  <c r="I1105" i="16"/>
  <c r="I1106" i="16"/>
  <c r="I1107" i="16"/>
  <c r="I1108" i="16"/>
  <c r="I1109" i="16"/>
  <c r="I1110" i="16"/>
  <c r="I1111" i="16"/>
  <c r="I1112" i="16"/>
  <c r="I1113" i="16"/>
  <c r="I1114" i="16"/>
  <c r="I1115" i="16"/>
  <c r="I1116" i="16"/>
  <c r="I1117" i="16"/>
  <c r="I1118" i="16"/>
  <c r="I1119" i="16"/>
  <c r="I1120" i="16"/>
  <c r="I1121" i="16"/>
  <c r="I1122" i="16"/>
  <c r="I1123" i="16"/>
  <c r="I1124" i="16"/>
  <c r="I1125" i="16"/>
  <c r="I1126" i="16"/>
  <c r="I1127" i="16"/>
  <c r="I1128" i="16"/>
  <c r="I1129" i="16"/>
  <c r="I1130" i="16"/>
  <c r="I1131" i="16"/>
  <c r="I1132" i="16"/>
  <c r="I1133" i="16"/>
  <c r="I1134" i="16"/>
  <c r="I1135" i="16"/>
  <c r="I1136" i="16"/>
  <c r="I1137" i="16"/>
  <c r="I1138" i="16"/>
  <c r="I1139" i="16"/>
  <c r="I1140" i="16"/>
  <c r="I1141" i="16"/>
  <c r="I1142" i="16"/>
  <c r="I1143" i="16"/>
  <c r="I1144" i="16"/>
  <c r="I1145" i="16"/>
  <c r="I1146" i="16"/>
  <c r="I1147" i="16"/>
  <c r="I1148" i="16"/>
  <c r="I1149" i="16"/>
  <c r="I1150" i="16"/>
  <c r="I1151" i="16"/>
  <c r="I1152" i="16"/>
  <c r="I1153" i="16"/>
  <c r="I1206" i="16"/>
  <c r="I1207" i="16"/>
  <c r="I1208" i="16"/>
  <c r="I1209" i="16"/>
  <c r="I1210" i="16"/>
  <c r="I1211" i="16"/>
  <c r="I1212" i="16"/>
  <c r="I1213" i="16"/>
  <c r="I1214" i="16"/>
  <c r="I1215" i="16"/>
  <c r="I1216" i="16"/>
  <c r="I1217" i="16"/>
  <c r="I1218" i="16"/>
  <c r="I1219" i="16"/>
  <c r="I1220" i="16"/>
  <c r="I1221" i="16"/>
  <c r="I1222" i="16"/>
  <c r="I1223" i="16"/>
  <c r="I1224" i="16"/>
  <c r="I1225" i="16"/>
  <c r="I1226" i="16"/>
  <c r="I1227" i="16"/>
  <c r="I1228" i="16"/>
  <c r="I1229" i="16"/>
  <c r="I1230" i="16"/>
  <c r="I1231" i="16"/>
  <c r="I1232" i="16"/>
  <c r="I1233" i="16"/>
  <c r="I1234" i="16"/>
  <c r="I1235" i="16"/>
  <c r="I1236" i="16"/>
  <c r="I1237" i="16"/>
  <c r="I1238" i="16"/>
  <c r="I1239" i="16"/>
  <c r="I1240" i="16"/>
  <c r="I1241" i="16"/>
  <c r="I1242" i="16"/>
  <c r="I1243" i="16"/>
  <c r="I1244" i="16"/>
  <c r="I1245" i="16"/>
  <c r="I1246" i="16"/>
  <c r="I1247" i="16"/>
  <c r="I1248" i="16"/>
  <c r="I1249" i="16"/>
  <c r="I1288" i="16"/>
  <c r="I1289" i="16"/>
  <c r="I1290" i="16"/>
  <c r="I1291" i="16"/>
  <c r="I1292" i="16"/>
  <c r="I1293" i="16"/>
  <c r="I1294" i="16"/>
  <c r="I1295" i="16"/>
  <c r="I1296" i="16"/>
  <c r="I1297" i="16"/>
  <c r="I1298" i="16"/>
  <c r="I1299" i="16"/>
  <c r="I1300" i="16"/>
  <c r="I1301" i="16"/>
  <c r="I1302" i="16"/>
  <c r="I1303" i="16"/>
  <c r="I1304" i="16"/>
  <c r="I1305" i="16"/>
  <c r="I1306" i="16"/>
  <c r="I1307" i="16"/>
  <c r="I1308" i="16"/>
  <c r="I1309" i="16"/>
  <c r="I1310" i="16"/>
  <c r="I1311" i="16"/>
  <c r="I1312" i="16"/>
  <c r="I1313" i="16"/>
  <c r="I1314" i="16"/>
  <c r="I1315" i="16"/>
  <c r="I1316" i="16"/>
  <c r="I1317" i="16"/>
  <c r="I1318" i="16"/>
  <c r="I1319" i="16"/>
  <c r="I1320" i="16"/>
  <c r="I1321" i="16"/>
  <c r="I1322" i="16"/>
  <c r="I1323" i="16"/>
  <c r="I1324" i="16"/>
  <c r="I1325" i="16"/>
  <c r="I1326" i="16"/>
  <c r="I1327" i="16"/>
  <c r="I1328" i="16"/>
  <c r="I1329" i="16"/>
  <c r="I1330" i="16"/>
  <c r="I1331" i="16"/>
  <c r="I1332" i="16"/>
  <c r="I1333" i="16"/>
  <c r="I1334" i="16"/>
  <c r="I1335" i="16"/>
  <c r="I1336" i="16"/>
  <c r="I1337" i="16"/>
  <c r="I1338" i="16"/>
  <c r="I1339" i="16"/>
  <c r="I1340" i="16"/>
  <c r="I1341" i="16"/>
  <c r="I1342" i="16"/>
  <c r="I1343" i="16"/>
  <c r="I1344" i="16"/>
  <c r="I1345" i="16"/>
  <c r="I1346" i="16"/>
  <c r="I1347" i="16"/>
  <c r="I1348" i="16"/>
  <c r="I1349" i="16"/>
  <c r="I1350" i="16"/>
  <c r="I1351" i="16"/>
  <c r="I1352" i="16"/>
  <c r="I1353" i="16"/>
  <c r="I1408" i="16"/>
  <c r="I1409" i="16"/>
  <c r="I1410" i="16"/>
  <c r="I1411" i="16"/>
  <c r="I1412" i="16"/>
  <c r="I1413" i="16"/>
  <c r="I1414" i="16"/>
  <c r="I1415" i="16"/>
  <c r="I1416" i="16"/>
  <c r="I1417" i="16"/>
  <c r="I1418" i="16"/>
  <c r="I1419" i="16"/>
  <c r="I1420" i="16"/>
  <c r="I1421" i="16"/>
  <c r="I1422" i="16"/>
  <c r="I1423" i="16"/>
  <c r="I1424" i="16"/>
  <c r="I1425" i="16"/>
  <c r="I1426" i="16"/>
  <c r="I1427" i="16"/>
  <c r="I1428" i="16"/>
  <c r="I1429" i="16"/>
  <c r="I1430" i="16"/>
  <c r="I1431" i="16"/>
  <c r="I1432" i="16"/>
  <c r="I1433" i="16"/>
  <c r="I1434" i="16"/>
  <c r="I1435" i="16"/>
  <c r="I1436" i="16"/>
  <c r="I1437" i="16"/>
  <c r="I1438" i="16"/>
  <c r="I1439" i="16"/>
  <c r="I1440" i="16"/>
  <c r="I1441" i="16"/>
  <c r="I1442" i="16"/>
  <c r="I1443" i="16"/>
  <c r="I1444" i="16"/>
  <c r="I1445" i="16"/>
  <c r="I1446" i="16"/>
  <c r="I1447" i="16"/>
  <c r="I1448" i="16"/>
  <c r="I1449" i="16"/>
  <c r="I1450" i="16"/>
  <c r="I1451" i="16"/>
  <c r="I1452" i="16"/>
  <c r="I1453" i="16"/>
  <c r="I1454" i="16"/>
  <c r="I1455" i="16"/>
  <c r="I1456" i="16"/>
  <c r="I1457" i="16"/>
  <c r="I1458" i="16"/>
  <c r="I1459" i="16"/>
  <c r="I1460" i="16"/>
  <c r="I1461" i="16"/>
  <c r="I1462" i="16"/>
  <c r="I1463" i="16"/>
  <c r="I1464" i="16"/>
  <c r="I1465" i="16"/>
  <c r="I1466" i="16"/>
  <c r="I1467" i="16"/>
  <c r="I1468" i="16"/>
  <c r="I1469" i="16"/>
  <c r="I1470" i="16"/>
  <c r="I1471" i="16"/>
  <c r="I1472" i="16"/>
  <c r="I1473" i="16"/>
  <c r="I1537" i="16"/>
  <c r="I1538" i="16"/>
  <c r="I1539" i="16"/>
  <c r="I1540" i="16"/>
  <c r="I1541" i="16"/>
  <c r="I1542" i="16"/>
  <c r="I1543" i="16"/>
  <c r="I1544" i="16"/>
  <c r="I1545" i="16"/>
  <c r="I1546" i="16"/>
  <c r="I1547" i="16"/>
  <c r="I1548" i="16"/>
  <c r="I1549" i="16"/>
  <c r="I1550" i="16"/>
  <c r="I1551" i="16"/>
  <c r="M1407" i="18"/>
  <c r="M1622" i="18" s="1"/>
  <c r="P1135" i="18"/>
  <c r="P1162" i="18"/>
  <c r="P1189" i="18" s="1"/>
  <c r="P1216" i="18" s="1"/>
  <c r="P1243" i="18" s="1"/>
  <c r="P1270" i="18" s="1"/>
  <c r="P1297" i="18" s="1"/>
  <c r="K1135" i="18"/>
  <c r="P5" i="21"/>
  <c r="P11" i="21" s="1"/>
  <c r="G21" i="24"/>
  <c r="F7" i="20" s="1"/>
  <c r="F20" i="24"/>
  <c r="G20" i="24" s="1"/>
  <c r="K11" i="23"/>
  <c r="K1407" i="18" l="1"/>
  <c r="N1135" i="18"/>
  <c r="N1162" i="18" s="1"/>
  <c r="N1189" i="18" s="1"/>
  <c r="N1216" i="18" s="1"/>
  <c r="N1243" i="18" s="1"/>
  <c r="N1270" i="18" s="1"/>
  <c r="N1297" i="18" s="1"/>
  <c r="I32" i="19"/>
  <c r="J32" i="19" s="1"/>
  <c r="I31" i="19"/>
  <c r="J31" i="19" s="1"/>
  <c r="I30" i="19"/>
  <c r="I29" i="19"/>
  <c r="J29" i="19" s="1"/>
  <c r="I39" i="19"/>
  <c r="C13" i="23"/>
  <c r="M37" i="19"/>
  <c r="B13" i="23"/>
  <c r="M36" i="19"/>
  <c r="L33" i="19"/>
  <c r="H34" i="19"/>
  <c r="O11" i="22"/>
  <c r="D25" i="19"/>
  <c r="E25" i="19"/>
  <c r="P6" i="22"/>
  <c r="I40" i="19"/>
  <c r="K352" i="16"/>
  <c r="I38" i="19"/>
  <c r="I41" i="19" s="1"/>
  <c r="K142" i="16"/>
  <c r="J36" i="19"/>
  <c r="I28" i="19"/>
  <c r="L1407" i="18"/>
  <c r="L1622" i="18" s="1"/>
  <c r="O1135" i="18"/>
  <c r="O1162" i="18" s="1"/>
  <c r="O1189" i="18" s="1"/>
  <c r="O1216" i="18" s="1"/>
  <c r="O1243" i="18" s="1"/>
  <c r="O1270" i="18" s="1"/>
  <c r="O1297" i="18" s="1"/>
  <c r="I24" i="19"/>
  <c r="J24" i="19" s="1"/>
  <c r="I23" i="19"/>
  <c r="J23" i="19" s="1"/>
  <c r="I22" i="19"/>
  <c r="J22" i="19" s="1"/>
  <c r="I21" i="19"/>
  <c r="J21" i="19" s="1"/>
  <c r="I20" i="19"/>
  <c r="K467" i="16"/>
  <c r="H26" i="19"/>
  <c r="L25" i="19"/>
  <c r="K11" i="22"/>
  <c r="P5" i="22"/>
  <c r="P11" i="22" s="1"/>
  <c r="P7" i="22"/>
  <c r="K232" i="16"/>
  <c r="J37" i="19"/>
  <c r="K32" i="16"/>
  <c r="G13" i="23" l="1"/>
  <c r="M41" i="19"/>
  <c r="I25" i="19"/>
  <c r="J20" i="19"/>
  <c r="D13" i="22"/>
  <c r="K22" i="19"/>
  <c r="F13" i="22"/>
  <c r="K24" i="19"/>
  <c r="I33" i="19"/>
  <c r="J28" i="19"/>
  <c r="Q47" i="19"/>
  <c r="Q37" i="19"/>
  <c r="K146" i="16"/>
  <c r="Q49" i="19"/>
  <c r="Q39" i="19"/>
  <c r="K358" i="16"/>
  <c r="B22" i="23"/>
  <c r="B20" i="23"/>
  <c r="B18" i="23"/>
  <c r="B16" i="23"/>
  <c r="B21" i="23"/>
  <c r="B19" i="23"/>
  <c r="B17" i="23"/>
  <c r="B15" i="23"/>
  <c r="C21" i="23"/>
  <c r="C19" i="23"/>
  <c r="C17" i="23"/>
  <c r="C15" i="23"/>
  <c r="C22" i="23"/>
  <c r="C20" i="23"/>
  <c r="C18" i="23"/>
  <c r="C16" i="23"/>
  <c r="E13" i="23"/>
  <c r="M39" i="19"/>
  <c r="J39" i="19"/>
  <c r="C28" i="21"/>
  <c r="C13" i="21"/>
  <c r="K29" i="19"/>
  <c r="E28" i="21"/>
  <c r="E13" i="21"/>
  <c r="K31" i="19"/>
  <c r="Q46" i="19"/>
  <c r="Q36" i="19"/>
  <c r="K38" i="16"/>
  <c r="Q48" i="19"/>
  <c r="Q38" i="19"/>
  <c r="K238" i="16"/>
  <c r="Q40" i="19"/>
  <c r="Q50" i="19"/>
  <c r="K472" i="16"/>
  <c r="C13" i="22"/>
  <c r="K21" i="19"/>
  <c r="E13" i="22"/>
  <c r="K23" i="19"/>
  <c r="D13" i="23"/>
  <c r="M38" i="19"/>
  <c r="F13" i="23"/>
  <c r="M40" i="19"/>
  <c r="J38" i="19"/>
  <c r="J41" i="19" s="1"/>
  <c r="J40" i="19"/>
  <c r="M30" i="19"/>
  <c r="J30" i="19"/>
  <c r="F28" i="21"/>
  <c r="F13" i="21"/>
  <c r="K32" i="19"/>
  <c r="K1408" i="18"/>
  <c r="K1622" i="18" s="1"/>
  <c r="E28" i="22" l="1"/>
  <c r="E20" i="22"/>
  <c r="E18" i="22"/>
  <c r="E31" i="22" s="1"/>
  <c r="E16" i="22"/>
  <c r="E15" i="22"/>
  <c r="E22" i="22"/>
  <c r="E35" i="22" s="1"/>
  <c r="E21" i="22"/>
  <c r="E34" i="22" s="1"/>
  <c r="E19" i="22"/>
  <c r="E32" i="22" s="1"/>
  <c r="E17" i="22"/>
  <c r="E30" i="22" s="1"/>
  <c r="R50" i="19"/>
  <c r="W50" i="19" s="1"/>
  <c r="R40" i="19"/>
  <c r="K477" i="16"/>
  <c r="F22" i="21"/>
  <c r="F35" i="21" s="1"/>
  <c r="F21" i="21"/>
  <c r="F34" i="21" s="1"/>
  <c r="F20" i="21"/>
  <c r="F33" i="21" s="1"/>
  <c r="F18" i="21"/>
  <c r="F31" i="21" s="1"/>
  <c r="F16" i="21"/>
  <c r="F19" i="21"/>
  <c r="F32" i="21" s="1"/>
  <c r="F17" i="21"/>
  <c r="F30" i="21" s="1"/>
  <c r="F29" i="21" s="1"/>
  <c r="F15" i="21"/>
  <c r="D28" i="21"/>
  <c r="D13" i="21"/>
  <c r="K30" i="19"/>
  <c r="F22" i="23"/>
  <c r="F20" i="23"/>
  <c r="F18" i="23"/>
  <c r="F16" i="23"/>
  <c r="F21" i="23"/>
  <c r="F19" i="23"/>
  <c r="F17" i="23"/>
  <c r="F15" i="23"/>
  <c r="F14" i="23" s="1"/>
  <c r="D22" i="23"/>
  <c r="D20" i="23"/>
  <c r="D18" i="23"/>
  <c r="D16" i="23"/>
  <c r="D21" i="23"/>
  <c r="D19" i="23"/>
  <c r="D17" i="23"/>
  <c r="D15" i="23"/>
  <c r="D14" i="23" s="1"/>
  <c r="V50" i="19"/>
  <c r="Q41" i="19"/>
  <c r="C19" i="21"/>
  <c r="C32" i="21" s="1"/>
  <c r="C17" i="21"/>
  <c r="C30" i="21" s="1"/>
  <c r="C15" i="21"/>
  <c r="C22" i="21"/>
  <c r="C35" i="21" s="1"/>
  <c r="C21" i="21"/>
  <c r="C34" i="21" s="1"/>
  <c r="C20" i="21"/>
  <c r="C33" i="21" s="1"/>
  <c r="C18" i="21"/>
  <c r="C31" i="21" s="1"/>
  <c r="C16" i="21"/>
  <c r="E21" i="23"/>
  <c r="E19" i="23"/>
  <c r="E17" i="23"/>
  <c r="E15" i="23"/>
  <c r="E22" i="23"/>
  <c r="E20" i="23"/>
  <c r="E18" i="23"/>
  <c r="E16" i="23"/>
  <c r="G17" i="23"/>
  <c r="H17" i="23" s="1"/>
  <c r="G21" i="23"/>
  <c r="H21" i="23" s="1"/>
  <c r="G18" i="23"/>
  <c r="H18" i="23" s="1"/>
  <c r="G22" i="23"/>
  <c r="H22" i="23" s="1"/>
  <c r="R49" i="19"/>
  <c r="R39" i="19"/>
  <c r="K364" i="16"/>
  <c r="R37" i="19"/>
  <c r="R47" i="19"/>
  <c r="W47" i="19" s="1"/>
  <c r="K150" i="16"/>
  <c r="V47" i="19"/>
  <c r="I34" i="19"/>
  <c r="M33" i="19"/>
  <c r="N33" i="19" s="1"/>
  <c r="F28" i="22"/>
  <c r="F22" i="22"/>
  <c r="F35" i="22" s="1"/>
  <c r="F21" i="22"/>
  <c r="F34" i="22" s="1"/>
  <c r="F19" i="22"/>
  <c r="F32" i="22" s="1"/>
  <c r="F17" i="22"/>
  <c r="F30" i="22" s="1"/>
  <c r="F20" i="22"/>
  <c r="F18" i="22"/>
  <c r="F31" i="22" s="1"/>
  <c r="F16" i="22"/>
  <c r="F15" i="22"/>
  <c r="F14" i="22" s="1"/>
  <c r="D28" i="22"/>
  <c r="D22" i="22"/>
  <c r="D35" i="22" s="1"/>
  <c r="D21" i="22"/>
  <c r="D34" i="22" s="1"/>
  <c r="D19" i="22"/>
  <c r="D32" i="22" s="1"/>
  <c r="D17" i="22"/>
  <c r="D30" i="22" s="1"/>
  <c r="D20" i="22"/>
  <c r="D18" i="22"/>
  <c r="D31" i="22" s="1"/>
  <c r="D16" i="22"/>
  <c r="D15" i="22"/>
  <c r="I26" i="19"/>
  <c r="M25" i="19"/>
  <c r="C28" i="22"/>
  <c r="C20" i="22"/>
  <c r="C18" i="22"/>
  <c r="C31" i="22" s="1"/>
  <c r="C16" i="22"/>
  <c r="C15" i="22"/>
  <c r="C22" i="22"/>
  <c r="C35" i="22" s="1"/>
  <c r="C21" i="22"/>
  <c r="C34" i="22" s="1"/>
  <c r="C19" i="22"/>
  <c r="C32" i="22" s="1"/>
  <c r="C17" i="22"/>
  <c r="C30" i="22" s="1"/>
  <c r="R48" i="19"/>
  <c r="W48" i="19" s="1"/>
  <c r="R38" i="19"/>
  <c r="K244" i="16"/>
  <c r="R46" i="19"/>
  <c r="R51" i="19" s="1"/>
  <c r="R36" i="19"/>
  <c r="R41" i="19" s="1"/>
  <c r="K44" i="16"/>
  <c r="Q51" i="19"/>
  <c r="E19" i="21"/>
  <c r="E32" i="21" s="1"/>
  <c r="E17" i="21"/>
  <c r="E30" i="21" s="1"/>
  <c r="E15" i="21"/>
  <c r="E22" i="21"/>
  <c r="E35" i="21" s="1"/>
  <c r="E21" i="21"/>
  <c r="E34" i="21" s="1"/>
  <c r="E20" i="21"/>
  <c r="E33" i="21" s="1"/>
  <c r="E18" i="21"/>
  <c r="E31" i="21" s="1"/>
  <c r="E16" i="21"/>
  <c r="C14" i="23"/>
  <c r="G15" i="23"/>
  <c r="B14" i="23"/>
  <c r="G19" i="23"/>
  <c r="H19" i="23" s="1"/>
  <c r="G16" i="23"/>
  <c r="H16" i="23" s="1"/>
  <c r="G20" i="23"/>
  <c r="H20" i="23" s="1"/>
  <c r="B28" i="21"/>
  <c r="B13" i="21"/>
  <c r="J33" i="19"/>
  <c r="K28" i="19"/>
  <c r="K33" i="19" s="1"/>
  <c r="B13" i="22"/>
  <c r="J25" i="19"/>
  <c r="G28" i="22" s="1"/>
  <c r="K20" i="19"/>
  <c r="K25" i="19" s="1"/>
  <c r="B22" i="21" l="1"/>
  <c r="B35" i="21" s="1"/>
  <c r="B21" i="21"/>
  <c r="B20" i="21"/>
  <c r="B18" i="21"/>
  <c r="B16" i="21"/>
  <c r="B19" i="21"/>
  <c r="B17" i="21"/>
  <c r="B15" i="21"/>
  <c r="B28" i="22"/>
  <c r="B22" i="22"/>
  <c r="B21" i="22"/>
  <c r="B19" i="22"/>
  <c r="B17" i="22"/>
  <c r="B20" i="22"/>
  <c r="B18" i="22"/>
  <c r="B16" i="22"/>
  <c r="G16" i="22" s="1"/>
  <c r="H16" i="22" s="1"/>
  <c r="L16" i="22" s="1"/>
  <c r="B15" i="22"/>
  <c r="G28" i="21"/>
  <c r="G13" i="22"/>
  <c r="G13" i="21"/>
  <c r="E14" i="21"/>
  <c r="C37" i="22"/>
  <c r="C33" i="22"/>
  <c r="D14" i="22"/>
  <c r="F37" i="22"/>
  <c r="F33" i="22"/>
  <c r="S47" i="19"/>
  <c r="S37" i="19"/>
  <c r="K154" i="16"/>
  <c r="S49" i="19"/>
  <c r="S39" i="19"/>
  <c r="K370" i="16"/>
  <c r="C14" i="21"/>
  <c r="D22" i="21"/>
  <c r="D35" i="21" s="1"/>
  <c r="D21" i="21"/>
  <c r="D34" i="21" s="1"/>
  <c r="D20" i="21"/>
  <c r="D33" i="21" s="1"/>
  <c r="D18" i="21"/>
  <c r="D31" i="21" s="1"/>
  <c r="D16" i="21"/>
  <c r="D19" i="21"/>
  <c r="D32" i="21" s="1"/>
  <c r="D17" i="21"/>
  <c r="D30" i="21" s="1"/>
  <c r="D15" i="21"/>
  <c r="D14" i="21" s="1"/>
  <c r="F14" i="21"/>
  <c r="S40" i="19"/>
  <c r="S50" i="19"/>
  <c r="K482" i="16"/>
  <c r="E37" i="22"/>
  <c r="E33" i="22"/>
  <c r="H15" i="23"/>
  <c r="H14" i="23" s="1"/>
  <c r="D12" i="20" s="1"/>
  <c r="G14" i="23"/>
  <c r="E29" i="21"/>
  <c r="S46" i="19"/>
  <c r="S36" i="19"/>
  <c r="K50" i="16"/>
  <c r="S48" i="19"/>
  <c r="X48" i="19" s="1"/>
  <c r="S38" i="19"/>
  <c r="K250" i="16"/>
  <c r="C29" i="22"/>
  <c r="C14" i="22"/>
  <c r="D37" i="22"/>
  <c r="D33" i="22"/>
  <c r="D29" i="22" s="1"/>
  <c r="F29" i="22"/>
  <c r="E14" i="23"/>
  <c r="C29" i="21"/>
  <c r="E29" i="22"/>
  <c r="E14" i="22"/>
  <c r="T48" i="19" l="1"/>
  <c r="Y48" i="19" s="1"/>
  <c r="T38" i="19"/>
  <c r="K256" i="16"/>
  <c r="S41" i="19"/>
  <c r="X50" i="19"/>
  <c r="D29" i="21"/>
  <c r="T49" i="19"/>
  <c r="Y49" i="19" s="1"/>
  <c r="T39" i="19"/>
  <c r="K376" i="16"/>
  <c r="X49" i="19"/>
  <c r="T37" i="19"/>
  <c r="T47" i="19"/>
  <c r="Y47" i="19" s="1"/>
  <c r="K158" i="16"/>
  <c r="X47" i="19"/>
  <c r="B37" i="22"/>
  <c r="G37" i="22" s="1"/>
  <c r="H37" i="22" s="1"/>
  <c r="B33" i="22"/>
  <c r="G33" i="22" s="1"/>
  <c r="H33" i="22" s="1"/>
  <c r="K18" i="22" s="1"/>
  <c r="G20" i="22"/>
  <c r="H20" i="22" s="1"/>
  <c r="L20" i="22" s="1"/>
  <c r="M18" i="22" s="1"/>
  <c r="B32" i="22"/>
  <c r="G32" i="22" s="1"/>
  <c r="H32" i="22" s="1"/>
  <c r="K17" i="22" s="1"/>
  <c r="G19" i="22"/>
  <c r="H19" i="22" s="1"/>
  <c r="L19" i="22" s="1"/>
  <c r="M17" i="22" s="1"/>
  <c r="B35" i="22"/>
  <c r="G35" i="22" s="1"/>
  <c r="H35" i="22" s="1"/>
  <c r="K20" i="22" s="1"/>
  <c r="G22" i="22"/>
  <c r="H22" i="22" s="1"/>
  <c r="L22" i="22" s="1"/>
  <c r="G15" i="21"/>
  <c r="B14" i="21"/>
  <c r="B32" i="21"/>
  <c r="G32" i="21" s="1"/>
  <c r="H32" i="21" s="1"/>
  <c r="K17" i="21" s="1"/>
  <c r="G19" i="21"/>
  <c r="H19" i="21" s="1"/>
  <c r="L19" i="21" s="1"/>
  <c r="B31" i="21"/>
  <c r="G31" i="21" s="1"/>
  <c r="H31" i="21" s="1"/>
  <c r="K16" i="21" s="1"/>
  <c r="G18" i="21"/>
  <c r="H18" i="21" s="1"/>
  <c r="L18" i="21" s="1"/>
  <c r="B34" i="21"/>
  <c r="G34" i="21" s="1"/>
  <c r="H34" i="21" s="1"/>
  <c r="K19" i="21" s="1"/>
  <c r="G21" i="21"/>
  <c r="H21" i="21" s="1"/>
  <c r="L21" i="21" s="1"/>
  <c r="T46" i="19"/>
  <c r="T36" i="19"/>
  <c r="K56" i="16"/>
  <c r="S51" i="19"/>
  <c r="X46" i="19"/>
  <c r="X51" i="19" s="1"/>
  <c r="T50" i="19"/>
  <c r="Y50" i="19" s="1"/>
  <c r="T40" i="19"/>
  <c r="K487" i="16"/>
  <c r="L467" i="16"/>
  <c r="G15" i="22"/>
  <c r="B14" i="22"/>
  <c r="B31" i="22"/>
  <c r="G31" i="22" s="1"/>
  <c r="H31" i="22" s="1"/>
  <c r="K16" i="22" s="1"/>
  <c r="G18" i="22"/>
  <c r="H18" i="22" s="1"/>
  <c r="L18" i="22" s="1"/>
  <c r="M16" i="22" s="1"/>
  <c r="B30" i="22"/>
  <c r="G17" i="22"/>
  <c r="H17" i="22" s="1"/>
  <c r="L17" i="22" s="1"/>
  <c r="B34" i="22"/>
  <c r="G34" i="22" s="1"/>
  <c r="H34" i="22" s="1"/>
  <c r="K19" i="22" s="1"/>
  <c r="G21" i="22"/>
  <c r="H21" i="22" s="1"/>
  <c r="L21" i="22" s="1"/>
  <c r="M19" i="22" s="1"/>
  <c r="B30" i="21"/>
  <c r="G17" i="21"/>
  <c r="H17" i="21" s="1"/>
  <c r="L17" i="21" s="1"/>
  <c r="G16" i="21"/>
  <c r="H16" i="21" s="1"/>
  <c r="L16" i="21" s="1"/>
  <c r="B33" i="21"/>
  <c r="G33" i="21" s="1"/>
  <c r="H33" i="21" s="1"/>
  <c r="K18" i="21" s="1"/>
  <c r="G20" i="21"/>
  <c r="H20" i="21" s="1"/>
  <c r="L20" i="21" s="1"/>
  <c r="O18" i="21" l="1"/>
  <c r="M18" i="21"/>
  <c r="G30" i="21"/>
  <c r="B29" i="21"/>
  <c r="O19" i="22"/>
  <c r="G30" i="22"/>
  <c r="B29" i="22"/>
  <c r="O16" i="22"/>
  <c r="H15" i="22"/>
  <c r="G14" i="22"/>
  <c r="U40" i="19"/>
  <c r="Y40" i="19" s="1"/>
  <c r="U50" i="19"/>
  <c r="Z50" i="19" s="1"/>
  <c r="K492" i="16"/>
  <c r="K497" i="16" s="1"/>
  <c r="K509" i="16" s="1"/>
  <c r="U46" i="19"/>
  <c r="U36" i="19"/>
  <c r="K62" i="16"/>
  <c r="T51" i="19"/>
  <c r="Y46" i="19"/>
  <c r="Y51" i="19" s="1"/>
  <c r="H15" i="21"/>
  <c r="G14" i="21"/>
  <c r="O17" i="22"/>
  <c r="O18" i="22"/>
  <c r="U47" i="19"/>
  <c r="Z47" i="19" s="1"/>
  <c r="U37" i="19"/>
  <c r="Y37" i="19" s="1"/>
  <c r="L142" i="16"/>
  <c r="U48" i="19"/>
  <c r="U38" i="19"/>
  <c r="K262" i="16"/>
  <c r="T41" i="19"/>
  <c r="M19" i="21"/>
  <c r="O19" i="21"/>
  <c r="O16" i="21"/>
  <c r="M16" i="21"/>
  <c r="M17" i="21"/>
  <c r="O17" i="21"/>
  <c r="U49" i="19"/>
  <c r="U39" i="19"/>
  <c r="K382" i="16"/>
  <c r="AA50" i="19"/>
  <c r="V49" i="19" l="1"/>
  <c r="V39" i="19"/>
  <c r="K388" i="16"/>
  <c r="Z49" i="19"/>
  <c r="U41" i="19"/>
  <c r="H14" i="22"/>
  <c r="L15" i="22"/>
  <c r="L23" i="22" s="1"/>
  <c r="H30" i="21"/>
  <c r="G29" i="21"/>
  <c r="L352" i="16"/>
  <c r="V48" i="19"/>
  <c r="V38" i="19"/>
  <c r="Y38" i="19" s="1"/>
  <c r="K268" i="16"/>
  <c r="L232" i="16" s="1"/>
  <c r="Z48" i="19"/>
  <c r="AA48" i="19"/>
  <c r="AA47" i="19"/>
  <c r="H14" i="21"/>
  <c r="L15" i="21"/>
  <c r="L23" i="21" s="1"/>
  <c r="V46" i="19"/>
  <c r="V51" i="19" s="1"/>
  <c r="V36" i="19"/>
  <c r="K68" i="16"/>
  <c r="U51" i="19"/>
  <c r="Z46" i="19"/>
  <c r="Z51" i="19" s="1"/>
  <c r="O23" i="22"/>
  <c r="H30" i="22"/>
  <c r="G29" i="22"/>
  <c r="H29" i="22" l="1"/>
  <c r="K15" i="22"/>
  <c r="V41" i="19"/>
  <c r="W46" i="19"/>
  <c r="W36" i="19"/>
  <c r="L32" i="16"/>
  <c r="H29" i="21"/>
  <c r="K15" i="21"/>
  <c r="W49" i="19"/>
  <c r="AA49" i="19" s="1"/>
  <c r="W39" i="19"/>
  <c r="Y39" i="19" s="1"/>
  <c r="K394" i="16"/>
  <c r="L40" i="21" l="1"/>
  <c r="K40" i="21"/>
  <c r="W41" i="19"/>
  <c r="X41" i="19" s="1"/>
  <c r="K23" i="22"/>
  <c r="M15" i="22"/>
  <c r="M23" i="22" s="1"/>
  <c r="D5" i="20" s="1"/>
  <c r="K23" i="21"/>
  <c r="O15" i="21"/>
  <c r="O23" i="21" s="1"/>
  <c r="M15" i="21"/>
  <c r="M23" i="21" s="1"/>
  <c r="D4" i="20" s="1"/>
  <c r="W51" i="19"/>
  <c r="AA51" i="19" s="1"/>
  <c r="AA46" i="19"/>
  <c r="Y36" i="19"/>
  <c r="Y41" i="19" s="1"/>
  <c r="L38" i="22"/>
  <c r="K38" i="22"/>
  <c r="D15" i="20" l="1"/>
  <c r="F15" i="20"/>
  <c r="E34" i="5" l="1"/>
  <c r="E33" i="5"/>
  <c r="E32" i="5"/>
  <c r="J29" i="5"/>
  <c r="M25" i="5"/>
  <c r="J25" i="5"/>
  <c r="M23" i="5"/>
  <c r="J23" i="5"/>
  <c r="X19" i="5"/>
  <c r="Y19" i="5" s="1"/>
  <c r="R19" i="5"/>
  <c r="V19" i="5" s="1"/>
  <c r="Q19" i="5"/>
  <c r="M19" i="5"/>
  <c r="J19" i="5"/>
  <c r="X18" i="5"/>
  <c r="Y18" i="5" s="1"/>
  <c r="Z18" i="5" s="1"/>
  <c r="V18" i="5"/>
  <c r="R18" i="5"/>
  <c r="Y17" i="5"/>
  <c r="Z17" i="5" s="1"/>
  <c r="X17" i="5"/>
  <c r="V17" i="5"/>
  <c r="R17" i="5"/>
  <c r="M17" i="5"/>
  <c r="J17" i="5"/>
  <c r="X16" i="5"/>
  <c r="Y16" i="5" s="1"/>
  <c r="S16" i="5"/>
  <c r="V16" i="5" s="1"/>
  <c r="Q16" i="5"/>
  <c r="M16" i="5"/>
  <c r="J16" i="5"/>
  <c r="X15" i="5"/>
  <c r="Y15" i="5" s="1"/>
  <c r="Z15" i="5" s="1"/>
  <c r="V15" i="5"/>
  <c r="R15" i="5"/>
  <c r="M15" i="5"/>
  <c r="J15" i="5"/>
  <c r="Y14" i="5"/>
  <c r="Z14" i="5" s="1"/>
  <c r="X14" i="5"/>
  <c r="V14" i="5"/>
  <c r="T14" i="5"/>
  <c r="M14" i="5"/>
  <c r="J14" i="5"/>
  <c r="X13" i="5"/>
  <c r="Y13" i="5" s="1"/>
  <c r="Z13" i="5" s="1"/>
  <c r="V13" i="5"/>
  <c r="R13" i="5"/>
  <c r="M13" i="5"/>
  <c r="J13" i="5"/>
  <c r="Y12" i="5"/>
  <c r="X12" i="5"/>
  <c r="S12" i="5"/>
  <c r="V12" i="5" s="1"/>
  <c r="Q12" i="5"/>
  <c r="U12" i="5" s="1"/>
  <c r="P12" i="5"/>
  <c r="O12" i="5"/>
  <c r="N12" i="5"/>
  <c r="M12" i="5"/>
  <c r="K12" i="5"/>
  <c r="J12" i="5"/>
  <c r="X11" i="5"/>
  <c r="Y11" i="5" s="1"/>
  <c r="Z11" i="5" s="1"/>
  <c r="R11" i="5"/>
  <c r="V11" i="5" s="1"/>
  <c r="Q11" i="5"/>
  <c r="M11" i="5"/>
  <c r="J11" i="5"/>
  <c r="X10" i="5"/>
  <c r="Y10" i="5" s="1"/>
  <c r="T10" i="5"/>
  <c r="V10" i="5" s="1"/>
  <c r="Q10" i="5"/>
  <c r="M10" i="5"/>
  <c r="J10" i="5"/>
  <c r="X9" i="5"/>
  <c r="Y9" i="5" s="1"/>
  <c r="Z9" i="5" s="1"/>
  <c r="V9" i="5"/>
  <c r="R9" i="5"/>
  <c r="M9" i="5"/>
  <c r="J9" i="5"/>
  <c r="Y8" i="5"/>
  <c r="X8" i="5"/>
  <c r="Q8" i="5"/>
  <c r="S8" i="5" s="1"/>
  <c r="V8" i="5" s="1"/>
  <c r="M8" i="5"/>
  <c r="J8" i="5"/>
  <c r="Y7" i="5"/>
  <c r="X7" i="5"/>
  <c r="R7" i="5"/>
  <c r="V7" i="5" s="1"/>
  <c r="Q7" i="5"/>
  <c r="U7" i="5" s="1"/>
  <c r="O7" i="5"/>
  <c r="M7" i="5"/>
  <c r="N7" i="5" s="1"/>
  <c r="J7" i="5"/>
  <c r="K7" i="5" s="1"/>
  <c r="Y6" i="5"/>
  <c r="X6" i="5"/>
  <c r="Q6" i="5"/>
  <c r="R6" i="5" s="1"/>
  <c r="V6" i="5" s="1"/>
  <c r="M6" i="5"/>
  <c r="J6" i="5"/>
  <c r="Y5" i="5"/>
  <c r="X5" i="5"/>
  <c r="Q5" i="5"/>
  <c r="R5" i="5" s="1"/>
  <c r="V5" i="5" s="1"/>
  <c r="M5" i="5"/>
  <c r="J5" i="5"/>
  <c r="M4" i="5"/>
  <c r="J4" i="5"/>
  <c r="Y3" i="5"/>
  <c r="X3" i="5"/>
  <c r="Q3" i="5"/>
  <c r="S3" i="5" s="1"/>
  <c r="V3" i="5" s="1"/>
  <c r="M3" i="5"/>
  <c r="J3" i="5"/>
  <c r="Y2" i="5"/>
  <c r="Z2" i="5" s="1"/>
  <c r="Q2" i="5"/>
  <c r="R2" i="5" s="1"/>
  <c r="V2" i="5" s="1"/>
  <c r="P2" i="5"/>
  <c r="O2" i="5"/>
  <c r="M2" i="5"/>
  <c r="N2" i="5" s="1"/>
  <c r="J2" i="5"/>
  <c r="K2" i="5" s="1"/>
  <c r="E34" i="4"/>
  <c r="E33" i="4"/>
  <c r="E32" i="4"/>
  <c r="J29" i="4"/>
  <c r="M25" i="4"/>
  <c r="J25" i="4"/>
  <c r="M23" i="4"/>
  <c r="J23" i="4"/>
  <c r="CQ19" i="4"/>
  <c r="CR19" i="4" s="1"/>
  <c r="CP19" i="4"/>
  <c r="CN19" i="4"/>
  <c r="CH19" i="4"/>
  <c r="CE19" i="4"/>
  <c r="CC19" i="4"/>
  <c r="BY19" i="4"/>
  <c r="BV19" i="4"/>
  <c r="BP19" i="4"/>
  <c r="BM19" i="4"/>
  <c r="BG19" i="4"/>
  <c r="BD19" i="4"/>
  <c r="AX19" i="4"/>
  <c r="AU19" i="4"/>
  <c r="AO19" i="4"/>
  <c r="AL19" i="4"/>
  <c r="AF19" i="4"/>
  <c r="AC19" i="4"/>
  <c r="V19" i="4"/>
  <c r="S19" i="4"/>
  <c r="M19" i="4"/>
  <c r="J19" i="4"/>
  <c r="CP18" i="4"/>
  <c r="CQ18" i="4" s="1"/>
  <c r="CR18" i="4" s="1"/>
  <c r="CQ17" i="4"/>
  <c r="CR17" i="4" s="1"/>
  <c r="CP17" i="4"/>
  <c r="CN17" i="4"/>
  <c r="CL17" i="4"/>
  <c r="CH17" i="4"/>
  <c r="CE17" i="4"/>
  <c r="BY17" i="4"/>
  <c r="BV17" i="4"/>
  <c r="BP17" i="4"/>
  <c r="BM17" i="4"/>
  <c r="BG17" i="4"/>
  <c r="BD17" i="4"/>
  <c r="AX17" i="4"/>
  <c r="AU17" i="4"/>
  <c r="AO17" i="4"/>
  <c r="AL17" i="4"/>
  <c r="AF17" i="4"/>
  <c r="AC17" i="4"/>
  <c r="V17" i="4"/>
  <c r="S17" i="4"/>
  <c r="M17" i="4"/>
  <c r="J17" i="4"/>
  <c r="CP16" i="4"/>
  <c r="CQ16" i="4" s="1"/>
  <c r="CH16" i="4"/>
  <c r="CE16" i="4"/>
  <c r="BY16" i="4"/>
  <c r="BV16" i="4"/>
  <c r="BP16" i="4"/>
  <c r="BM16" i="4"/>
  <c r="BG16" i="4"/>
  <c r="BD16" i="4"/>
  <c r="AX16" i="4"/>
  <c r="AU16" i="4"/>
  <c r="AO16" i="4"/>
  <c r="AL16" i="4"/>
  <c r="AJ16" i="4"/>
  <c r="CN16" i="4" s="1"/>
  <c r="AF16" i="4"/>
  <c r="AC16" i="4"/>
  <c r="V16" i="4"/>
  <c r="S16" i="4"/>
  <c r="M16" i="4"/>
  <c r="J16" i="4"/>
  <c r="CQ15" i="4"/>
  <c r="CR15" i="4" s="1"/>
  <c r="CP15" i="4"/>
  <c r="CN15" i="4"/>
  <c r="CL15" i="4"/>
  <c r="CH15" i="4"/>
  <c r="CE15" i="4"/>
  <c r="BY15" i="4"/>
  <c r="BV15" i="4"/>
  <c r="BP15" i="4"/>
  <c r="BM15" i="4"/>
  <c r="BG15" i="4"/>
  <c r="BD15" i="4"/>
  <c r="AX15" i="4"/>
  <c r="AU15" i="4"/>
  <c r="AO15" i="4"/>
  <c r="AL15" i="4"/>
  <c r="AF15" i="4"/>
  <c r="AC15" i="4"/>
  <c r="V15" i="4"/>
  <c r="S15" i="4"/>
  <c r="M15" i="4"/>
  <c r="J15" i="4"/>
  <c r="CR14" i="4"/>
  <c r="CH14" i="4"/>
  <c r="CE14" i="4"/>
  <c r="BY14" i="4"/>
  <c r="BV14" i="4"/>
  <c r="BP14" i="4"/>
  <c r="BM14" i="4"/>
  <c r="BG14" i="4"/>
  <c r="BD14" i="4"/>
  <c r="AX14" i="4"/>
  <c r="AU14" i="4"/>
  <c r="AO14" i="4"/>
  <c r="AL14" i="4"/>
  <c r="AF14" i="4"/>
  <c r="AC14" i="4"/>
  <c r="V14" i="4"/>
  <c r="S14" i="4"/>
  <c r="M14" i="4"/>
  <c r="J14" i="4"/>
  <c r="CR13" i="4"/>
  <c r="CH13" i="4"/>
  <c r="CE13" i="4"/>
  <c r="BY13" i="4"/>
  <c r="BV13" i="4"/>
  <c r="BP13" i="4"/>
  <c r="BM13" i="4"/>
  <c r="BG13" i="4"/>
  <c r="BD13" i="4"/>
  <c r="AX13" i="4"/>
  <c r="AU13" i="4"/>
  <c r="AO13" i="4"/>
  <c r="AL13" i="4"/>
  <c r="AF13" i="4"/>
  <c r="AC13" i="4"/>
  <c r="V13" i="4"/>
  <c r="S13" i="4"/>
  <c r="M13" i="4"/>
  <c r="J13" i="4"/>
  <c r="CP12" i="4"/>
  <c r="CQ12" i="4" s="1"/>
  <c r="CH12" i="4"/>
  <c r="CI12" i="4" s="1"/>
  <c r="CE12" i="4"/>
  <c r="CF12" i="4" s="1"/>
  <c r="BY12" i="4"/>
  <c r="BZ12" i="4" s="1"/>
  <c r="BV12" i="4"/>
  <c r="BW12" i="4" s="1"/>
  <c r="BR12" i="4"/>
  <c r="BP12" i="4"/>
  <c r="BQ12" i="4" s="1"/>
  <c r="BM12" i="4"/>
  <c r="BN12" i="4" s="1"/>
  <c r="BI12" i="4"/>
  <c r="BG12" i="4"/>
  <c r="BH12" i="4" s="1"/>
  <c r="BD12" i="4"/>
  <c r="BE12" i="4" s="1"/>
  <c r="AY12" i="4"/>
  <c r="AX12" i="4"/>
  <c r="AV12" i="4"/>
  <c r="AU12" i="4"/>
  <c r="AO12" i="4"/>
  <c r="AP12" i="4" s="1"/>
  <c r="AL12" i="4"/>
  <c r="AM12" i="4" s="1"/>
  <c r="AH12" i="4"/>
  <c r="AI12" i="4" s="1"/>
  <c r="AR12" i="4" s="1"/>
  <c r="BA12" i="4" s="1"/>
  <c r="BJ12" i="4" s="1"/>
  <c r="BS12" i="4" s="1"/>
  <c r="CA12" i="4" s="1"/>
  <c r="CB12" i="4" s="1"/>
  <c r="CJ12" i="4" s="1"/>
  <c r="CK12" i="4" s="1"/>
  <c r="AF12" i="4"/>
  <c r="AG12" i="4" s="1"/>
  <c r="AC12" i="4"/>
  <c r="AD12" i="4" s="1"/>
  <c r="Y12" i="4"/>
  <c r="W12" i="4"/>
  <c r="V12" i="4"/>
  <c r="T12" i="4"/>
  <c r="S12" i="4"/>
  <c r="Q12" i="4"/>
  <c r="CN12" i="4" s="1"/>
  <c r="CM12" i="4" s="1"/>
  <c r="O12" i="4"/>
  <c r="X32" i="4" s="1"/>
  <c r="M12" i="4"/>
  <c r="N12" i="4" s="1"/>
  <c r="J12" i="4"/>
  <c r="K12" i="4" s="1"/>
  <c r="CQ11" i="4"/>
  <c r="CR11" i="4" s="1"/>
  <c r="CP11" i="4"/>
  <c r="CN11" i="4"/>
  <c r="CH11" i="4"/>
  <c r="CE11" i="4"/>
  <c r="BY11" i="4"/>
  <c r="BV11" i="4"/>
  <c r="BP11" i="4"/>
  <c r="BM11" i="4"/>
  <c r="BG11" i="4"/>
  <c r="BD11" i="4"/>
  <c r="AX11" i="4"/>
  <c r="AU11" i="4"/>
  <c r="AO11" i="4"/>
  <c r="AL11" i="4"/>
  <c r="AF11" i="4"/>
  <c r="AC11" i="4"/>
  <c r="V11" i="4"/>
  <c r="S11" i="4"/>
  <c r="Q11" i="4"/>
  <c r="M11" i="4"/>
  <c r="J11" i="4"/>
  <c r="CP10" i="4"/>
  <c r="CQ10" i="4" s="1"/>
  <c r="CR10" i="4" s="1"/>
  <c r="CL10" i="4"/>
  <c r="CN10" i="4" s="1"/>
  <c r="CH10" i="4"/>
  <c r="CE10" i="4"/>
  <c r="BY10" i="4"/>
  <c r="BV10" i="4"/>
  <c r="BP10" i="4"/>
  <c r="BM10" i="4"/>
  <c r="BG10" i="4"/>
  <c r="BD10" i="4"/>
  <c r="AX10" i="4"/>
  <c r="AU10" i="4"/>
  <c r="AO10" i="4"/>
  <c r="AL10" i="4"/>
  <c r="AF10" i="4"/>
  <c r="AC10" i="4"/>
  <c r="V10" i="4"/>
  <c r="S10" i="4"/>
  <c r="M10" i="4"/>
  <c r="J10" i="4"/>
  <c r="CR9" i="4"/>
  <c r="CH9" i="4"/>
  <c r="CE9" i="4"/>
  <c r="BY9" i="4"/>
  <c r="BV9" i="4"/>
  <c r="BP9" i="4"/>
  <c r="BM9" i="4"/>
  <c r="BG9" i="4"/>
  <c r="BD9" i="4"/>
  <c r="AX9" i="4"/>
  <c r="AU9" i="4"/>
  <c r="AO9" i="4"/>
  <c r="AL9" i="4"/>
  <c r="AF9" i="4"/>
  <c r="AC9" i="4"/>
  <c r="V9" i="4"/>
  <c r="S9" i="4"/>
  <c r="M9" i="4"/>
  <c r="J9" i="4"/>
  <c r="CP8" i="4"/>
  <c r="CQ8" i="4" s="1"/>
  <c r="CH8" i="4"/>
  <c r="CE8" i="4"/>
  <c r="BY8" i="4"/>
  <c r="BV8" i="4"/>
  <c r="BP8" i="4"/>
  <c r="BM8" i="4"/>
  <c r="BG8" i="4"/>
  <c r="BD8" i="4"/>
  <c r="AX8" i="4"/>
  <c r="AU8" i="4"/>
  <c r="AO8" i="4"/>
  <c r="AL8" i="4"/>
  <c r="AJ8" i="4"/>
  <c r="CN8" i="4" s="1"/>
  <c r="AF8" i="4"/>
  <c r="AC8" i="4"/>
  <c r="V8" i="4"/>
  <c r="S8" i="4"/>
  <c r="M8" i="4"/>
  <c r="J8" i="4"/>
  <c r="CQ7" i="4"/>
  <c r="CP7" i="4"/>
  <c r="CH7" i="4"/>
  <c r="CI7" i="4" s="1"/>
  <c r="CE7" i="4"/>
  <c r="CF7" i="4" s="1"/>
  <c r="BY7" i="4"/>
  <c r="BZ7" i="4" s="1"/>
  <c r="BV7" i="4"/>
  <c r="BW7" i="4" s="1"/>
  <c r="BP7" i="4"/>
  <c r="BQ7" i="4" s="1"/>
  <c r="BM7" i="4"/>
  <c r="BN7" i="4" s="1"/>
  <c r="BG7" i="4"/>
  <c r="BH7" i="4" s="1"/>
  <c r="BD7" i="4"/>
  <c r="BE7" i="4" s="1"/>
  <c r="AY7" i="4"/>
  <c r="AX7" i="4"/>
  <c r="AV7" i="4"/>
  <c r="AU7" i="4"/>
  <c r="AO7" i="4"/>
  <c r="AP7" i="4" s="1"/>
  <c r="AL7" i="4"/>
  <c r="AM7" i="4" s="1"/>
  <c r="AH7" i="4"/>
  <c r="BA7" i="4" s="1"/>
  <c r="BI7" i="4" s="1"/>
  <c r="AF7" i="4"/>
  <c r="AG7" i="4" s="1"/>
  <c r="AC7" i="4"/>
  <c r="AD7" i="4" s="1"/>
  <c r="AA7" i="4"/>
  <c r="CN7" i="4" s="1"/>
  <c r="CM7" i="4" s="1"/>
  <c r="W7" i="4"/>
  <c r="V7" i="4"/>
  <c r="T7" i="4"/>
  <c r="S7" i="4"/>
  <c r="O7" i="4"/>
  <c r="X7" i="4" s="1"/>
  <c r="Y7" i="4" s="1"/>
  <c r="M7" i="4"/>
  <c r="N7" i="4" s="1"/>
  <c r="J7" i="4"/>
  <c r="K7" i="4" s="1"/>
  <c r="CQ6" i="4"/>
  <c r="CR6" i="4" s="1"/>
  <c r="CP6" i="4"/>
  <c r="CN6" i="4"/>
  <c r="CH6" i="4"/>
  <c r="CE6" i="4"/>
  <c r="BY6" i="4"/>
  <c r="BV6" i="4"/>
  <c r="BT6" i="4"/>
  <c r="BP6" i="4"/>
  <c r="BM6" i="4"/>
  <c r="BG6" i="4"/>
  <c r="BD6" i="4"/>
  <c r="AX6" i="4"/>
  <c r="AU6" i="4"/>
  <c r="AO6" i="4"/>
  <c r="AL6" i="4"/>
  <c r="AF6" i="4"/>
  <c r="AC6" i="4"/>
  <c r="V6" i="4"/>
  <c r="S6" i="4"/>
  <c r="M6" i="4"/>
  <c r="J6" i="4"/>
  <c r="CP5" i="4"/>
  <c r="CQ5" i="4" s="1"/>
  <c r="CR5" i="4" s="1"/>
  <c r="CH5" i="4"/>
  <c r="CE5" i="4"/>
  <c r="BY5" i="4"/>
  <c r="BV5" i="4"/>
  <c r="BP5" i="4"/>
  <c r="BM5" i="4"/>
  <c r="BK5" i="4"/>
  <c r="CN5" i="4" s="1"/>
  <c r="BG5" i="4"/>
  <c r="BD5" i="4"/>
  <c r="AX5" i="4"/>
  <c r="AU5" i="4"/>
  <c r="AO5" i="4"/>
  <c r="AL5" i="4"/>
  <c r="AF5" i="4"/>
  <c r="AC5" i="4"/>
  <c r="V5" i="4"/>
  <c r="S5" i="4"/>
  <c r="M5" i="4"/>
  <c r="J5" i="4"/>
  <c r="CH4" i="4"/>
  <c r="CE4" i="4"/>
  <c r="BY4" i="4"/>
  <c r="BV4" i="4"/>
  <c r="BP4" i="4"/>
  <c r="BM4" i="4"/>
  <c r="BG4" i="4"/>
  <c r="BD4" i="4"/>
  <c r="AX4" i="4"/>
  <c r="AU4" i="4"/>
  <c r="AO4" i="4"/>
  <c r="AL4" i="4"/>
  <c r="AF4" i="4"/>
  <c r="AC4" i="4"/>
  <c r="V4" i="4"/>
  <c r="S4" i="4"/>
  <c r="M4" i="4"/>
  <c r="J4" i="4"/>
  <c r="CQ3" i="4"/>
  <c r="CR3" i="4" s="1"/>
  <c r="CP3" i="4"/>
  <c r="CN3" i="4"/>
  <c r="CH3" i="4"/>
  <c r="CE3" i="4"/>
  <c r="BY3" i="4"/>
  <c r="BV3" i="4"/>
  <c r="BP3" i="4"/>
  <c r="BM3" i="4"/>
  <c r="BG3" i="4"/>
  <c r="BD3" i="4"/>
  <c r="AX3" i="4"/>
  <c r="AU3" i="4"/>
  <c r="AO3" i="4"/>
  <c r="AL3" i="4"/>
  <c r="AJ3" i="4"/>
  <c r="AF3" i="4"/>
  <c r="AC3" i="4"/>
  <c r="V3" i="4"/>
  <c r="S3" i="4"/>
  <c r="M3" i="4"/>
  <c r="J3" i="4"/>
  <c r="CQ2" i="4"/>
  <c r="CH2" i="4"/>
  <c r="CI2" i="4" s="1"/>
  <c r="CE2" i="4"/>
  <c r="CF2" i="4" s="1"/>
  <c r="CA2" i="4"/>
  <c r="CB2" i="4" s="1"/>
  <c r="BY2" i="4"/>
  <c r="BZ2" i="4" s="1"/>
  <c r="BV2" i="4"/>
  <c r="BW2" i="4" s="1"/>
  <c r="BQ2" i="4"/>
  <c r="BP2" i="4"/>
  <c r="BN2" i="4"/>
  <c r="BM2" i="4"/>
  <c r="BG2" i="4"/>
  <c r="BH2" i="4" s="1"/>
  <c r="BD2" i="4"/>
  <c r="BE2" i="4" s="1"/>
  <c r="AX2" i="4"/>
  <c r="AY2" i="4" s="1"/>
  <c r="AU2" i="4"/>
  <c r="AV2" i="4" s="1"/>
  <c r="AO2" i="4"/>
  <c r="AP2" i="4" s="1"/>
  <c r="AL2" i="4"/>
  <c r="AM2" i="4" s="1"/>
  <c r="AH2" i="4"/>
  <c r="AI2" i="4" s="1"/>
  <c r="AF2" i="4"/>
  <c r="AG2" i="4" s="1"/>
  <c r="AC2" i="4"/>
  <c r="AD2" i="4" s="1"/>
  <c r="AA2" i="4"/>
  <c r="CN2" i="4" s="1"/>
  <c r="W2" i="4"/>
  <c r="V2" i="4"/>
  <c r="T2" i="4"/>
  <c r="S2" i="4"/>
  <c r="P2" i="4"/>
  <c r="O2" i="4"/>
  <c r="X2" i="4" s="1"/>
  <c r="Y2" i="4" s="1"/>
  <c r="N2" i="4"/>
  <c r="M2" i="4"/>
  <c r="K2" i="4"/>
  <c r="J2" i="4"/>
  <c r="Z5" i="5" l="1"/>
  <c r="Z7" i="5"/>
  <c r="Z12" i="5"/>
  <c r="Z3" i="5"/>
  <c r="Z21" i="5" s="1"/>
  <c r="Z25" i="5" s="1"/>
  <c r="Z6" i="5"/>
  <c r="Z8" i="5"/>
  <c r="Z10" i="5"/>
  <c r="Z16" i="5"/>
  <c r="Z19" i="5"/>
  <c r="U2" i="5"/>
  <c r="V21" i="5" s="1"/>
  <c r="CN21" i="4"/>
  <c r="CM2" i="4"/>
  <c r="CM21" i="4" s="1"/>
  <c r="CR2" i="4"/>
  <c r="BJ7" i="4"/>
  <c r="BR7" i="4"/>
  <c r="CR7" i="4"/>
  <c r="CR8" i="4"/>
  <c r="CR12" i="4"/>
  <c r="CR16" i="4"/>
  <c r="AQ2" i="4"/>
  <c r="CJ2" i="4"/>
  <c r="AR7" i="4"/>
  <c r="AI7" i="4"/>
  <c r="P12" i="4"/>
  <c r="B27" i="1"/>
  <c r="AR2" i="4" l="1"/>
  <c r="AZ2" i="4"/>
  <c r="BS7" i="4"/>
  <c r="CA7" i="4"/>
  <c r="CR21" i="4"/>
  <c r="L39" i="1"/>
  <c r="L37" i="1"/>
  <c r="L12" i="1"/>
  <c r="L11" i="1"/>
  <c r="L10" i="1"/>
  <c r="L9" i="1"/>
  <c r="L8" i="1"/>
  <c r="CB7" i="4" l="1"/>
  <c r="CJ7" i="4"/>
  <c r="BA2" i="4"/>
  <c r="BI2" i="4"/>
  <c r="BR2" i="4" s="1"/>
  <c r="L28" i="2"/>
  <c r="L26" i="2"/>
  <c r="L9" i="2"/>
  <c r="L8" i="2"/>
  <c r="L7" i="2"/>
  <c r="L6" i="2"/>
  <c r="L4" i="2"/>
  <c r="J43" i="1"/>
  <c r="J18" i="1"/>
  <c r="J17" i="1"/>
  <c r="J16" i="1"/>
  <c r="J15" i="1"/>
  <c r="J14" i="1"/>
  <c r="J19" i="1" l="1"/>
  <c r="M39" i="1"/>
  <c r="C59" i="1"/>
  <c r="C60" i="1"/>
  <c r="C61" i="1"/>
  <c r="C62" i="1"/>
  <c r="C63" i="1"/>
  <c r="C64" i="1"/>
  <c r="C65" i="1"/>
  <c r="C66" i="1"/>
  <c r="C58" i="1"/>
  <c r="C67" i="1" s="1"/>
  <c r="B59" i="1"/>
  <c r="B60" i="1"/>
  <c r="B61" i="1"/>
  <c r="B62" i="1"/>
  <c r="B63" i="1"/>
  <c r="B64" i="1"/>
  <c r="B65" i="1"/>
  <c r="B66" i="1"/>
  <c r="B58" i="1"/>
  <c r="B67" i="1" l="1"/>
  <c r="M43" i="1"/>
  <c r="H30" i="2" s="1"/>
  <c r="K43" i="1"/>
  <c r="I43" i="1"/>
  <c r="D30" i="2" s="1"/>
  <c r="L30" i="2" l="1"/>
  <c r="L43" i="1"/>
  <c r="H28" i="2"/>
  <c r="H9" i="2"/>
  <c r="H8" i="2"/>
  <c r="H7" i="2"/>
  <c r="H6" i="2"/>
  <c r="H4" i="2"/>
  <c r="D28" i="2"/>
  <c r="D26" i="2"/>
  <c r="D9" i="2"/>
  <c r="D8" i="2"/>
  <c r="D7" i="2"/>
  <c r="D6" i="2"/>
  <c r="D4" i="2"/>
  <c r="M18" i="1"/>
  <c r="H15" i="2" s="1"/>
  <c r="F36" i="1"/>
  <c r="F35" i="1"/>
  <c r="F34" i="1"/>
  <c r="F33" i="1"/>
  <c r="F32" i="1"/>
  <c r="F31" i="1"/>
  <c r="F30" i="1"/>
  <c r="F29" i="1"/>
  <c r="E29" i="1"/>
  <c r="D29" i="1"/>
  <c r="F28" i="1"/>
  <c r="E28" i="1"/>
  <c r="D28" i="1"/>
  <c r="E27" i="1"/>
  <c r="D27" i="1"/>
  <c r="D37" i="1" s="1"/>
  <c r="C34" i="1"/>
  <c r="C33" i="1"/>
  <c r="C32" i="1"/>
  <c r="C31" i="1"/>
  <c r="C30" i="1"/>
  <c r="C29" i="1"/>
  <c r="C28" i="1"/>
  <c r="C27" i="1"/>
  <c r="C37" i="1" s="1"/>
  <c r="B51" i="1"/>
  <c r="B30" i="1" s="1"/>
  <c r="F37" i="1" l="1"/>
  <c r="F22" i="1"/>
  <c r="J24" i="1" s="1"/>
  <c r="J30" i="1" s="1"/>
  <c r="E22" i="1"/>
  <c r="C22" i="1"/>
  <c r="J25" i="1" s="1"/>
  <c r="J31" i="1" s="1"/>
  <c r="D22" i="1"/>
  <c r="J23" i="1" s="1"/>
  <c r="J29" i="1" s="1"/>
  <c r="B29" i="1"/>
  <c r="B31" i="1"/>
  <c r="B28" i="1"/>
  <c r="E37" i="1"/>
  <c r="J36" i="1" l="1"/>
  <c r="B22" i="1"/>
  <c r="J22" i="1" s="1"/>
  <c r="J28" i="1" s="1"/>
  <c r="M24" i="1"/>
  <c r="M30" i="1" s="1"/>
  <c r="K24" i="1"/>
  <c r="K30" i="1" s="1"/>
  <c r="L21" i="2" s="1"/>
  <c r="I24" i="1"/>
  <c r="I30" i="1" s="1"/>
  <c r="M25" i="1"/>
  <c r="M31" i="1" s="1"/>
  <c r="K25" i="1"/>
  <c r="K31" i="1" s="1"/>
  <c r="L22" i="2" s="1"/>
  <c r="I25" i="1"/>
  <c r="I31" i="1" s="1"/>
  <c r="M23" i="1"/>
  <c r="M29" i="1" s="1"/>
  <c r="K23" i="1"/>
  <c r="K29" i="1" s="1"/>
  <c r="L20" i="2" s="1"/>
  <c r="I23" i="1"/>
  <c r="I29" i="1" s="1"/>
  <c r="B37" i="1"/>
  <c r="L31" i="1" l="1"/>
  <c r="J35" i="1"/>
  <c r="L29" i="1"/>
  <c r="L30" i="1"/>
  <c r="H20" i="2"/>
  <c r="D21" i="2"/>
  <c r="H21" i="2"/>
  <c r="H22" i="2"/>
  <c r="D20" i="2"/>
  <c r="D22" i="2"/>
  <c r="M22" i="1"/>
  <c r="M28" i="1" s="1"/>
  <c r="K22" i="1"/>
  <c r="K28" i="1" s="1"/>
  <c r="L19" i="2" s="1"/>
  <c r="I22" i="1"/>
  <c r="I28" i="1" s="1"/>
  <c r="J40" i="1" l="1"/>
  <c r="L28" i="1"/>
  <c r="H19" i="2"/>
  <c r="D19" i="2"/>
  <c r="K15" i="1" l="1"/>
  <c r="M15" i="1"/>
  <c r="K16" i="1"/>
  <c r="M16" i="1"/>
  <c r="K17" i="1"/>
  <c r="M17" i="1"/>
  <c r="K18" i="1"/>
  <c r="I15" i="1"/>
  <c r="I16" i="1"/>
  <c r="I17" i="1"/>
  <c r="I18" i="1"/>
  <c r="I14" i="1"/>
  <c r="K14" i="1"/>
  <c r="M14" i="1"/>
  <c r="C9" i="1"/>
  <c r="D9" i="1"/>
  <c r="E9" i="1"/>
  <c r="F9" i="1"/>
  <c r="C10" i="1"/>
  <c r="D10" i="1"/>
  <c r="E10" i="1"/>
  <c r="F10" i="1"/>
  <c r="C11" i="1"/>
  <c r="D11" i="1"/>
  <c r="E11" i="1"/>
  <c r="F11" i="1"/>
  <c r="C12" i="1"/>
  <c r="D12" i="1"/>
  <c r="E12" i="1"/>
  <c r="F12" i="1"/>
  <c r="B12" i="1"/>
  <c r="B11" i="1"/>
  <c r="B10" i="1"/>
  <c r="B9" i="1"/>
  <c r="I19" i="1" l="1"/>
  <c r="D16" i="2" s="1"/>
  <c r="D11" i="2"/>
  <c r="I35" i="1"/>
  <c r="D14" i="2"/>
  <c r="I38" i="1"/>
  <c r="D12" i="2"/>
  <c r="I36" i="1"/>
  <c r="L14" i="2"/>
  <c r="L17" i="1"/>
  <c r="L12" i="2"/>
  <c r="L15" i="1"/>
  <c r="M19" i="1"/>
  <c r="H16" i="2" s="1"/>
  <c r="H11" i="2"/>
  <c r="M35" i="1"/>
  <c r="H24" i="2" s="1"/>
  <c r="L11" i="2"/>
  <c r="L14" i="1"/>
  <c r="D13" i="2"/>
  <c r="L15" i="2"/>
  <c r="L18" i="1"/>
  <c r="L13" i="2"/>
  <c r="L16" i="1"/>
  <c r="H13" i="2"/>
  <c r="M37" i="1"/>
  <c r="H26" i="2" s="1"/>
  <c r="H14" i="2"/>
  <c r="M38" i="1"/>
  <c r="H27" i="2" s="1"/>
  <c r="H12" i="2"/>
  <c r="M36" i="1"/>
  <c r="D15" i="2"/>
  <c r="K38" i="1"/>
  <c r="K36" i="1"/>
  <c r="K35" i="1"/>
  <c r="K19" i="1"/>
  <c r="L24" i="2" l="1"/>
  <c r="L35" i="1"/>
  <c r="L27" i="2"/>
  <c r="L38" i="1"/>
  <c r="D27" i="2"/>
  <c r="L16" i="2"/>
  <c r="L19" i="1"/>
  <c r="L25" i="2"/>
  <c r="L36" i="1"/>
  <c r="D25" i="2"/>
  <c r="I40" i="1"/>
  <c r="D24" i="2"/>
  <c r="H25" i="2"/>
  <c r="M40" i="1"/>
  <c r="H29" i="2" s="1"/>
  <c r="K40" i="1"/>
  <c r="L29" i="2" l="1"/>
  <c r="L40" i="1"/>
  <c r="D29" i="2"/>
</calcChain>
</file>

<file path=xl/sharedStrings.xml><?xml version="1.0" encoding="utf-8"?>
<sst xmlns="http://schemas.openxmlformats.org/spreadsheetml/2006/main" count="7380" uniqueCount="297">
  <si>
    <t>Amendment</t>
  </si>
  <si>
    <t>cost(savings)</t>
  </si>
  <si>
    <t>number of engines</t>
  </si>
  <si>
    <t>No VDECS</t>
  </si>
  <si>
    <t>Low Use</t>
  </si>
  <si>
    <t>Equipment Transfers</t>
  </si>
  <si>
    <t>FEL engine</t>
  </si>
  <si>
    <t>Fleet size</t>
  </si>
  <si>
    <t># No VDECS</t>
  </si>
  <si>
    <t>#Low Use</t>
  </si>
  <si>
    <t># equipment transfers</t>
  </si>
  <si>
    <t># FEL engines</t>
  </si>
  <si>
    <t>Costs/(Savings)</t>
  </si>
  <si>
    <t>Opacity</t>
  </si>
  <si>
    <t>Total</t>
  </si>
  <si>
    <t>Note: Fleet of 77 inlcudes training and meter cost and testing at $50/engine/year</t>
  </si>
  <si>
    <t>Scaled to overall inventory</t>
  </si>
  <si>
    <t>Year</t>
  </si>
  <si>
    <t>NoVDECs</t>
  </si>
  <si>
    <t>FELs</t>
  </si>
  <si>
    <t>LowUse</t>
  </si>
  <si>
    <t>Small Port Exempt</t>
  </si>
  <si>
    <t>Equip. Transfer</t>
  </si>
  <si>
    <t>Yearly Percetages</t>
  </si>
  <si>
    <t>Round off for number of engines</t>
  </si>
  <si>
    <t>Percent of total</t>
  </si>
  <si>
    <t>Number of Equipment</t>
  </si>
  <si>
    <t>Total Inventory</t>
  </si>
  <si>
    <t>Business</t>
  </si>
  <si>
    <t>#of Equipment Affected by Amendment (2011 - 2020)</t>
  </si>
  <si>
    <t>Initial Costs/(Savings)</t>
  </si>
  <si>
    <t>Current Plus First 2 years</t>
  </si>
  <si>
    <t>#of Equipment Affected by Amendment (2011 - 2013)</t>
  </si>
  <si>
    <t>Container</t>
  </si>
  <si>
    <t>Local Government</t>
  </si>
  <si>
    <t># Low Use</t>
  </si>
  <si>
    <t># Equipment Transfers</t>
  </si>
  <si>
    <t>2011 +First 2 years</t>
  </si>
  <si>
    <t>2011+First 2 years</t>
  </si>
  <si>
    <t>Opacity Equipment</t>
  </si>
  <si>
    <t>Opacity Testing</t>
  </si>
  <si>
    <t>Business Type</t>
  </si>
  <si>
    <t>Small</t>
  </si>
  <si>
    <t>Typical Container</t>
  </si>
  <si>
    <t>Overall Costs/(Savings)</t>
  </si>
  <si>
    <t>Initial Costs/(Savings) from 2011 to 2013</t>
  </si>
  <si>
    <t>Overall Costs/(Savings) from 2011 to 2020</t>
  </si>
  <si>
    <t xml:space="preserve">Opacity </t>
  </si>
  <si>
    <t>Annual Operating and Maintenance: Opacity</t>
  </si>
  <si>
    <t>Opacity Monitoring Costs per engine</t>
  </si>
  <si>
    <t>$50/engine</t>
  </si>
  <si>
    <t>$60/engine</t>
  </si>
  <si>
    <t>Present Value</t>
  </si>
  <si>
    <t>Total/engine (PV)</t>
  </si>
  <si>
    <t>Local Agencies</t>
  </si>
  <si>
    <t>Small Business</t>
  </si>
  <si>
    <t>Number of Engines</t>
  </si>
  <si>
    <t>Ongoing Annual Cost</t>
  </si>
  <si>
    <t>Form 399 Information</t>
  </si>
  <si>
    <t>Tables C-38 - 43: Stockton Port District and Port of Sacramento Costs</t>
  </si>
  <si>
    <t>Tables C-32 - 37: Typical Business Costs</t>
  </si>
  <si>
    <t>Tables C-31-37: Small Business Costs</t>
  </si>
  <si>
    <t>Owner/Operator</t>
  </si>
  <si>
    <t>Equipment Type</t>
  </si>
  <si>
    <t>Engine Make</t>
  </si>
  <si>
    <t>Engine Model</t>
  </si>
  <si>
    <t>BHP</t>
  </si>
  <si>
    <t>Engine Year</t>
  </si>
  <si>
    <t>Annual Hrs       (2006)</t>
  </si>
  <si>
    <t xml:space="preserve">EF </t>
  </si>
  <si>
    <t>EF 2019</t>
  </si>
  <si>
    <t>HP*EF</t>
  </si>
  <si>
    <t>FAI2019</t>
  </si>
  <si>
    <t>FAT2019</t>
  </si>
  <si>
    <t>BHP*FAT2019</t>
  </si>
  <si>
    <t>FATR 2019</t>
  </si>
  <si>
    <t>BACT 2019</t>
  </si>
  <si>
    <t>BACT Credit 2019</t>
  </si>
  <si>
    <t>Cost 2019</t>
  </si>
  <si>
    <t>EF 2020</t>
  </si>
  <si>
    <t>FAI2020</t>
  </si>
  <si>
    <t>FAT2020</t>
  </si>
  <si>
    <t>BHP*FAT2020</t>
  </si>
  <si>
    <t>FATR 2020</t>
  </si>
  <si>
    <t>BACT 2020</t>
  </si>
  <si>
    <t>BACT Credit 2020</t>
  </si>
  <si>
    <t>Cost 2020</t>
  </si>
  <si>
    <t>Cost 2021</t>
  </si>
  <si>
    <t>EF2022</t>
  </si>
  <si>
    <t>FAI2022</t>
  </si>
  <si>
    <t>FAT2022</t>
  </si>
  <si>
    <t>BHP*FAT2022</t>
  </si>
  <si>
    <t>FATR 2022</t>
  </si>
  <si>
    <t>BACT 2022</t>
  </si>
  <si>
    <t>BACT Credit 2022</t>
  </si>
  <si>
    <t>Cost 2022</t>
  </si>
  <si>
    <t>EF2023</t>
  </si>
  <si>
    <t>FAI2023</t>
  </si>
  <si>
    <t>FAT2023</t>
  </si>
  <si>
    <t>BHP*FAT2023</t>
  </si>
  <si>
    <t>FATR 2023</t>
  </si>
  <si>
    <t>BACT 2023</t>
  </si>
  <si>
    <t>BACT Credit 2023</t>
  </si>
  <si>
    <t>Cost 2023</t>
  </si>
  <si>
    <t>EF2024</t>
  </si>
  <si>
    <t>FAI2024</t>
  </si>
  <si>
    <t>FAT2024</t>
  </si>
  <si>
    <t>BHP*FAT2024</t>
  </si>
  <si>
    <t>FATR 2024</t>
  </si>
  <si>
    <t>BACT 2024</t>
  </si>
  <si>
    <t>BACT Credit 2024</t>
  </si>
  <si>
    <t>Cost 2024</t>
  </si>
  <si>
    <t>EF2025</t>
  </si>
  <si>
    <t>FAI2025</t>
  </si>
  <si>
    <t>FAT2025</t>
  </si>
  <si>
    <t>BHP*FAT2025</t>
  </si>
  <si>
    <t>FATR2025</t>
  </si>
  <si>
    <t>BACT 2025</t>
  </si>
  <si>
    <t>BACT Credit 2025</t>
  </si>
  <si>
    <t>Cost 2025</t>
  </si>
  <si>
    <t>EF2026</t>
  </si>
  <si>
    <t>FAI2026</t>
  </si>
  <si>
    <t>FAT2026</t>
  </si>
  <si>
    <t>BHP*FAT2026</t>
  </si>
  <si>
    <t>FATR 2026</t>
  </si>
  <si>
    <t>BACT 2026</t>
  </si>
  <si>
    <t>BACT Credit 2026</t>
  </si>
  <si>
    <t>Cost 2026</t>
  </si>
  <si>
    <t>EF2027</t>
  </si>
  <si>
    <t>FAI2027</t>
  </si>
  <si>
    <t>FAT2027</t>
  </si>
  <si>
    <t>BHP*FAT2027</t>
  </si>
  <si>
    <t>FATR 2027</t>
  </si>
  <si>
    <t>BACT 2027</t>
  </si>
  <si>
    <t>BACT Credit 2027</t>
  </si>
  <si>
    <t>Cost 2027</t>
  </si>
  <si>
    <t>EF2028</t>
  </si>
  <si>
    <t>FAI2028</t>
  </si>
  <si>
    <t>FAT2028</t>
  </si>
  <si>
    <t>BHP*FAT2028</t>
  </si>
  <si>
    <t>FATR 2028</t>
  </si>
  <si>
    <t>BACT 2028</t>
  </si>
  <si>
    <t>BACT Credit 2028</t>
  </si>
  <si>
    <t>Cost 2028</t>
  </si>
  <si>
    <t>Total Cost</t>
  </si>
  <si>
    <t>Total Cost (Future)</t>
  </si>
  <si>
    <t>CHE Replace Year</t>
  </si>
  <si>
    <t>Present
Value
Year</t>
  </si>
  <si>
    <t>Years Discount</t>
  </si>
  <si>
    <t>Total Cost Present Value at 5%</t>
  </si>
  <si>
    <t>Percetn Dsicount Rate</t>
  </si>
  <si>
    <t>Loader</t>
  </si>
  <si>
    <t>Caterpillar</t>
  </si>
  <si>
    <t>Retired</t>
  </si>
  <si>
    <t>N/A</t>
  </si>
  <si>
    <t>3126B</t>
  </si>
  <si>
    <t>Scheider Dock and Intermodal Facility</t>
  </si>
  <si>
    <t>Log Loader</t>
  </si>
  <si>
    <t>Bulldozer</t>
  </si>
  <si>
    <t>Backhoe</t>
  </si>
  <si>
    <t>Cummins</t>
  </si>
  <si>
    <t>Dump Truck</t>
  </si>
  <si>
    <t>Fork Lift</t>
  </si>
  <si>
    <t>Perkins</t>
  </si>
  <si>
    <t>Total $:</t>
  </si>
  <si>
    <t>Compliant w/CHE Regulation</t>
  </si>
  <si>
    <t>Installed a Huss Level 3 E/R Dburner DPF</t>
  </si>
  <si>
    <t>VDECS Factor</t>
  </si>
  <si>
    <t>Excavator</t>
  </si>
  <si>
    <t>Daewoo</t>
  </si>
  <si>
    <t>Exempt under Ag exemption - off-road regs (use as compliance for 2010)</t>
  </si>
  <si>
    <t>Crane</t>
  </si>
  <si>
    <t>The following vehicle was not included in the off-road calculations because it appears to have an on-road engine and would not be subject to the off-road rule:</t>
  </si>
  <si>
    <t>3406E</t>
  </si>
  <si>
    <t>Owner</t>
  </si>
  <si>
    <t>BACT</t>
  </si>
  <si>
    <t>SP</t>
  </si>
  <si>
    <t>HB</t>
  </si>
  <si>
    <t>SD</t>
  </si>
  <si>
    <t>Notes:</t>
  </si>
  <si>
    <t>2.  This worksheet assumes compliance will be met through replacement to new vehicles.  Cost is $/hp by equipment type and is available in 2007 TSD at http://www.arb.ca.gov/regact/2007/ordiesl07/TSD.pdf (page 163).  The forklift was assumed to be similar in cost to an off-highway truck.</t>
  </si>
  <si>
    <t>3.  A Tier 4 premium was added to each new vehicle cost (based on hp, to account for the cost of an OEM DPF).  Premium amount is based on hp and is shown in the calculations.  A table of all of the premiums is available in the cost appendix (from 2010 amendments) at http://www.arb.ca.gov/regact/2010/offroadlsi10/offroadappf.pdf (page F- 4).</t>
  </si>
  <si>
    <t xml:space="preserve">CHE Cost </t>
  </si>
  <si>
    <t>Cost 2011</t>
  </si>
  <si>
    <t>Cost 2012</t>
  </si>
  <si>
    <t>Cost 2013</t>
  </si>
  <si>
    <t>retired</t>
  </si>
  <si>
    <t>Future (2011$) CHE  $:</t>
  </si>
  <si>
    <t xml:space="preserve"> Present Value CHE $:</t>
  </si>
  <si>
    <t>Savings from CHE Amendment vs Off-Road Regulation Present Value $:</t>
  </si>
  <si>
    <t>Assumptions:</t>
  </si>
  <si>
    <t>ratio for replace vs. retrofit</t>
  </si>
  <si>
    <t>Forklift</t>
  </si>
  <si>
    <t>90/10</t>
  </si>
  <si>
    <t>Others</t>
  </si>
  <si>
    <t>50/50</t>
  </si>
  <si>
    <t>replace lookup table: from off-road reg Page 163</t>
  </si>
  <si>
    <t>additional Tier 4 cost lookup table</t>
  </si>
  <si>
    <t>retrofit lookup table</t>
  </si>
  <si>
    <t>Equipment type</t>
  </si>
  <si>
    <t>Value (new $/hp)</t>
  </si>
  <si>
    <t>Offroad description</t>
  </si>
  <si>
    <t xml:space="preserve">hp </t>
  </si>
  <si>
    <t>additional cost</t>
  </si>
  <si>
    <t>hp</t>
  </si>
  <si>
    <t>retrofit cost</t>
  </si>
  <si>
    <t>Construction Equipment</t>
  </si>
  <si>
    <t>Other</t>
  </si>
  <si>
    <t>Container Handling Equipment</t>
  </si>
  <si>
    <t>Rubber Tired Loaders</t>
  </si>
  <si>
    <t>Rough Terrain Forklift</t>
  </si>
  <si>
    <t>Other General Industrial Equipment</t>
  </si>
  <si>
    <t>RTG Crane</t>
  </si>
  <si>
    <t>(&lt;600hp) 0.8 mil else 1.2 mil</t>
  </si>
  <si>
    <t>None</t>
  </si>
  <si>
    <t>Max/first year</t>
  </si>
  <si>
    <t>ARB Equipment Type</t>
  </si>
  <si>
    <t>Total No. of equipt.</t>
  </si>
  <si>
    <t>No. replace</t>
  </si>
  <si>
    <t>No. retrofit</t>
  </si>
  <si>
    <t>Replace cost</t>
  </si>
  <si>
    <t>Retrofit cost</t>
  </si>
  <si>
    <t>Total cost</t>
  </si>
  <si>
    <t>Savings</t>
  </si>
  <si>
    <t>Replace</t>
  </si>
  <si>
    <t>Retrofit</t>
  </si>
  <si>
    <t>MaxOfSafetyPop</t>
  </si>
  <si>
    <t>% Replace</t>
  </si>
  <si>
    <t>% Retrofit</t>
  </si>
  <si>
    <t>Safety/NoVDECS</t>
  </si>
  <si>
    <t>FEL Initial DECS Annual Costs</t>
  </si>
  <si>
    <t>MaxOfFELPop</t>
  </si>
  <si>
    <t>Sum Check</t>
  </si>
  <si>
    <t>FEL Engines</t>
  </si>
  <si>
    <t>Sum</t>
  </si>
  <si>
    <t>FEL Initial DECS + DECS 5 year Replacement Annual Costs</t>
  </si>
  <si>
    <t>Calendar Year</t>
  </si>
  <si>
    <t>SumOfPopulation</t>
  </si>
  <si>
    <t>Initial price/terminal: 2 mechanics/teminal</t>
  </si>
  <si>
    <t>140 terminals X 2</t>
  </si>
  <si>
    <t>140 meters @ $5,500</t>
  </si>
  <si>
    <t>HP</t>
  </si>
  <si>
    <t>Population</t>
  </si>
  <si>
    <t>lookup Value</t>
  </si>
  <si>
    <t>Replacement Cost</t>
  </si>
  <si>
    <t>Retrofit Cost</t>
  </si>
  <si>
    <t>Tier4 Additional Cost</t>
  </si>
  <si>
    <t>Annual FEL Cost</t>
  </si>
  <si>
    <t xml:space="preserve"> FELs</t>
  </si>
  <si>
    <t>NoVDECS/Safety</t>
  </si>
  <si>
    <t>Amendment Description</t>
  </si>
  <si>
    <t>Costs</t>
  </si>
  <si>
    <t>1.    Additional time for equipment with no VDECS available</t>
  </si>
  <si>
    <t>X</t>
  </si>
  <si>
    <t>2.    Add a safety provision for VDECS</t>
  </si>
  <si>
    <t>3.    Low-use compliance extension</t>
  </si>
  <si>
    <t>4.    Exempt equipment at low-throughput ports in NOx-exempt areas not within 75 miles of an urban area</t>
  </si>
  <si>
    <t>5.    Require CHE opacity testing and set maximum allowable levels</t>
  </si>
  <si>
    <t>6.    Allow demonstration of emissions equivalency</t>
  </si>
  <si>
    <t>7.    Non-yard truck equipment transfers</t>
  </si>
  <si>
    <t>8.    Manufacturer delays for new equipment</t>
  </si>
  <si>
    <t>9.    Warranty engine replacement</t>
  </si>
  <si>
    <t>10. Treat Tier 4 Engines Certified to Alt PM Emissions Standards as Tier 3 Engines</t>
  </si>
  <si>
    <t>11. Add Flexibility to extension for experimental diesel PM emissions control</t>
  </si>
  <si>
    <t>12. Allow compliance schedule swapping</t>
  </si>
  <si>
    <t>Net Costs/(Savings)</t>
  </si>
  <si>
    <t>Container Handling Equipt</t>
  </si>
  <si>
    <t>Other General Industrial Equipt</t>
  </si>
  <si>
    <t>% Distribution</t>
  </si>
  <si>
    <t>Cost Distribution With Amendment</t>
  </si>
  <si>
    <t>Present Value Cost without Amendment</t>
  </si>
  <si>
    <t>Present Value Cost with Amendment</t>
  </si>
  <si>
    <t>Present Value of (Savings)</t>
  </si>
  <si>
    <t>Present Value 2011 Dollars</t>
  </si>
  <si>
    <t>Cost Distribution W/O Amendment</t>
  </si>
  <si>
    <t>CHE</t>
  </si>
  <si>
    <t>to</t>
  </si>
  <si>
    <t>Total CHE</t>
  </si>
  <si>
    <t># CHE</t>
  </si>
  <si>
    <t>Table V-8: Cost for Terminal Mechanics to Conduct Opacity Tests</t>
  </si>
  <si>
    <t>Non-Yard Truck Engines</t>
  </si>
  <si>
    <t>Yard Trucks Engines</t>
  </si>
  <si>
    <t>Total Engines</t>
  </si>
  <si>
    <t>Mechanic Testing Cost Per Year</t>
  </si>
  <si>
    <t>Future Cost</t>
  </si>
  <si>
    <t>2011 $</t>
  </si>
  <si>
    <t>Total Initial Cost</t>
  </si>
  <si>
    <t>Total Initial Cost (PV @ 5%)</t>
  </si>
  <si>
    <t>Table V-9: Cost for Consultants to Conduct Opacity Tests</t>
  </si>
  <si>
    <t>A</t>
  </si>
  <si>
    <t>B</t>
  </si>
  <si>
    <t>C</t>
  </si>
  <si>
    <t>1.  All three fleets are considered "small fleets".  While A has other off-road equipment reported in DOORS, it is in a captive attainment area, so is still considered "small" regardless of fleet size.</t>
  </si>
  <si>
    <t>4.  While the A mobile crane is not covered under CHE (because it's a mobile crane), it is covered under off-road.  The calculations for its compliance are included (in case you need them) but not included in the total costs.</t>
  </si>
  <si>
    <t>Local Agency A</t>
  </si>
  <si>
    <t>Local Agency B</t>
  </si>
  <si>
    <t>From PTSD's model: Populations by amendment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</si>
</sst>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0"/>
    <numFmt numFmtId="168" formatCode="&quot;$&quot;#,##0"/>
    <numFmt numFmtId="169" formatCode="0.0"/>
    <numFmt numFmtId="170" formatCode="_(* #,##0.0_);_(* \(#,##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color rgb="FF000000"/>
      <name val="Arial"/>
      <family val="2"/>
    </font>
    <font>
      <sz val="10"/>
      <color indexed="8"/>
      <name val="Arial"/>
      <family val="2"/>
    </font>
    <font>
      <b/>
      <sz val="10"/>
      <color indexed="8"/>
      <name val="Arial"/>
      <family val="2"/>
    </font>
    <font>
      <sz val="11"/>
      <color indexed="8"/>
      <name val="Arial"/>
      <family val="2"/>
    </font>
    <font>
      <b/>
      <u/>
      <sz val="11"/>
      <color theme="1"/>
      <name val="Calibri"/>
      <family val="2"/>
      <scheme val="minor"/>
    </font>
    <font>
      <b/>
      <u/>
      <sz val="11"/>
      <name val="Calibri"/>
      <family val="2"/>
      <scheme val="minor"/>
    </font>
    <font>
      <sz val="11"/>
      <name val="Calibri"/>
      <family val="2"/>
      <scheme val="minor"/>
    </font>
    <font>
      <sz val="11"/>
      <color indexed="8"/>
      <name val="Calibri"/>
      <family val="2"/>
    </font>
    <font>
      <b/>
      <sz val="11"/>
      <color indexed="8"/>
      <name val="Calibri"/>
      <family val="2"/>
    </font>
    <font>
      <sz val="11"/>
      <color rgb="FF000000"/>
      <name val="Calibri"/>
      <family val="2"/>
    </font>
  </fonts>
  <fills count="22">
    <fill>
      <patternFill patternType="none"/>
    </fill>
    <fill>
      <patternFill patternType="gray125"/>
    </fill>
    <fill>
      <patternFill patternType="solid">
        <fgColor theme="6" tint="0.59999389629810485"/>
        <bgColor indexed="64"/>
      </patternFill>
    </fill>
    <fill>
      <patternFill patternType="solid">
        <fgColor theme="0" tint="-0.24994659260841701"/>
        <bgColor indexed="64"/>
      </patternFill>
    </fill>
    <fill>
      <patternFill patternType="solid">
        <fgColor indexed="22"/>
        <bgColor indexed="0"/>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0"/>
      </patternFill>
    </fill>
    <fill>
      <patternFill patternType="solid">
        <fgColor theme="0" tint="-0.249977111117893"/>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4"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ck">
        <color auto="1"/>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8"/>
      </right>
      <top/>
      <bottom style="thin">
        <color indexed="22"/>
      </bottom>
      <diagonal/>
    </border>
    <border>
      <left/>
      <right/>
      <top/>
      <bottom style="thin">
        <color indexed="22"/>
      </bottom>
      <diagonal/>
    </border>
    <border>
      <left style="thin">
        <color indexed="22"/>
      </left>
      <right/>
      <top/>
      <bottom style="thin">
        <color indexed="22"/>
      </bottom>
      <diagonal/>
    </border>
    <border>
      <left style="thick">
        <color auto="1"/>
      </left>
      <right/>
      <top/>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style="thin">
        <color indexed="22"/>
      </top>
      <bottom style="thin">
        <color indexed="22"/>
      </bottom>
      <diagonal/>
    </border>
    <border>
      <left/>
      <right/>
      <top/>
      <bottom style="thick">
        <color auto="1"/>
      </bottom>
      <diagonal/>
    </border>
    <border>
      <left style="thin">
        <color indexed="22"/>
      </left>
      <right style="thin">
        <color indexed="22"/>
      </right>
      <top style="thin">
        <color indexed="22"/>
      </top>
      <bottom style="thick">
        <color auto="1"/>
      </bottom>
      <diagonal/>
    </border>
    <border>
      <left style="thin">
        <color indexed="22"/>
      </left>
      <right style="thin">
        <color indexed="8"/>
      </right>
      <top style="thin">
        <color indexed="22"/>
      </top>
      <bottom style="thick">
        <color auto="1"/>
      </bottom>
      <diagonal/>
    </border>
    <border>
      <left/>
      <right/>
      <top style="thin">
        <color indexed="22"/>
      </top>
      <bottom style="thick">
        <color auto="1"/>
      </bottom>
      <diagonal/>
    </border>
    <border>
      <left style="thin">
        <color indexed="22"/>
      </left>
      <right/>
      <top style="thin">
        <color indexed="22"/>
      </top>
      <bottom style="thick">
        <color auto="1"/>
      </bottom>
      <diagonal/>
    </border>
    <border>
      <left style="thick">
        <color auto="1"/>
      </left>
      <right/>
      <top/>
      <bottom style="thick">
        <color auto="1"/>
      </bottom>
      <diagonal/>
    </border>
    <border>
      <left style="thin">
        <color indexed="64"/>
      </left>
      <right style="thin">
        <color indexed="64"/>
      </right>
      <top/>
      <bottom style="thick">
        <color auto="1"/>
      </bottom>
      <diagonal/>
    </border>
    <border>
      <left/>
      <right style="thin">
        <color indexed="8"/>
      </right>
      <top/>
      <bottom/>
      <diagonal/>
    </border>
    <border>
      <left/>
      <right/>
      <top style="thick">
        <color auto="1"/>
      </top>
      <bottom/>
      <diagonal/>
    </border>
    <border>
      <left style="thin">
        <color indexed="64"/>
      </left>
      <right style="thin">
        <color indexed="64"/>
      </right>
      <top style="thick">
        <color auto="1"/>
      </top>
      <bottom/>
      <diagonal/>
    </border>
    <border>
      <left/>
      <right style="thin">
        <color indexed="8"/>
      </right>
      <top/>
      <bottom style="thick">
        <color auto="1"/>
      </bottom>
      <diagonal/>
    </border>
    <border>
      <left style="thin">
        <color indexed="22"/>
      </left>
      <right style="thin">
        <color indexed="22"/>
      </right>
      <top/>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22"/>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double">
        <color indexed="64"/>
      </bottom>
      <diagonal/>
    </border>
    <border>
      <left style="thin">
        <color indexed="22"/>
      </left>
      <right/>
      <top/>
      <bottom style="double">
        <color indexed="64"/>
      </bottom>
      <diagonal/>
    </border>
    <border>
      <left/>
      <right/>
      <top/>
      <bottom style="double">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cellStyleXfs>
  <cellXfs count="400">
    <xf numFmtId="0" fontId="0" fillId="0" borderId="0" xfId="0"/>
    <xf numFmtId="37" fontId="0" fillId="0" borderId="0" xfId="0" applyNumberFormat="1"/>
    <xf numFmtId="39" fontId="0" fillId="0" borderId="0" xfId="0" applyNumberFormat="1"/>
    <xf numFmtId="0" fontId="0" fillId="0" borderId="0" xfId="0" applyAlignment="1">
      <alignment wrapText="1"/>
    </xf>
    <xf numFmtId="164" fontId="0" fillId="0" borderId="0" xfId="1" applyNumberFormat="1" applyFont="1"/>
    <xf numFmtId="0" fontId="2" fillId="0" borderId="0" xfId="0" applyFont="1"/>
    <xf numFmtId="164" fontId="0" fillId="0" borderId="1" xfId="1" applyNumberFormat="1" applyFont="1" applyBorder="1"/>
    <xf numFmtId="164" fontId="0" fillId="0" borderId="0" xfId="1" applyNumberFormat="1" applyFont="1" applyBorder="1"/>
    <xf numFmtId="0" fontId="0" fillId="0" borderId="1" xfId="0" applyBorder="1"/>
    <xf numFmtId="165" fontId="0" fillId="0" borderId="1" xfId="2" applyNumberFormat="1" applyFont="1" applyBorder="1"/>
    <xf numFmtId="165" fontId="0" fillId="0" borderId="0" xfId="0" applyNumberFormat="1"/>
    <xf numFmtId="164" fontId="2" fillId="0" borderId="1" xfId="1" applyNumberFormat="1" applyFont="1" applyBorder="1"/>
    <xf numFmtId="0" fontId="2" fillId="0" borderId="1" xfId="0" applyFont="1" applyBorder="1"/>
    <xf numFmtId="1" fontId="0" fillId="0" borderId="1" xfId="0" applyNumberFormat="1" applyBorder="1"/>
    <xf numFmtId="2" fontId="0" fillId="0" borderId="1" xfId="2" applyNumberFormat="1" applyFont="1" applyBorder="1"/>
    <xf numFmtId="0" fontId="3" fillId="0" borderId="0" xfId="0" applyFont="1"/>
    <xf numFmtId="0" fontId="3" fillId="0" borderId="1" xfId="0" applyFont="1" applyBorder="1"/>
    <xf numFmtId="0" fontId="3" fillId="0" borderId="1" xfId="0" applyFont="1" applyBorder="1" applyAlignment="1">
      <alignment horizontal="center"/>
    </xf>
    <xf numFmtId="37" fontId="3" fillId="0" borderId="1" xfId="0" applyNumberFormat="1" applyFont="1" applyBorder="1"/>
    <xf numFmtId="0" fontId="3" fillId="0" borderId="1" xfId="0" applyFont="1" applyBorder="1" applyAlignment="1">
      <alignment horizontal="center"/>
    </xf>
    <xf numFmtId="164" fontId="3" fillId="0" borderId="1" xfId="1" applyNumberFormat="1" applyFont="1" applyBorder="1"/>
    <xf numFmtId="0" fontId="4" fillId="0" borderId="1" xfId="0" applyFont="1" applyBorder="1"/>
    <xf numFmtId="164" fontId="4" fillId="0" borderId="1" xfId="1" applyNumberFormat="1" applyFont="1" applyBorder="1"/>
    <xf numFmtId="1" fontId="3" fillId="0" borderId="1" xfId="0" applyNumberFormat="1" applyFont="1" applyBorder="1"/>
    <xf numFmtId="44" fontId="0" fillId="0" borderId="0" xfId="1" applyFont="1"/>
    <xf numFmtId="44" fontId="0" fillId="0" borderId="0" xfId="0" applyNumberFormat="1"/>
    <xf numFmtId="0" fontId="0" fillId="2" borderId="0" xfId="0" applyFill="1"/>
    <xf numFmtId="0" fontId="0" fillId="2" borderId="1" xfId="0" applyFill="1" applyBorder="1"/>
    <xf numFmtId="2" fontId="0" fillId="2" borderId="1" xfId="2" applyNumberFormat="1" applyFont="1" applyFill="1" applyBorder="1"/>
    <xf numFmtId="1" fontId="0" fillId="2" borderId="1" xfId="0" applyNumberFormat="1" applyFill="1" applyBorder="1"/>
    <xf numFmtId="164" fontId="0" fillId="2" borderId="1" xfId="1" applyNumberFormat="1" applyFont="1" applyFill="1" applyBorder="1"/>
    <xf numFmtId="164" fontId="2" fillId="2" borderId="1" xfId="1" applyNumberFormat="1" applyFont="1" applyFill="1" applyBorder="1"/>
    <xf numFmtId="0" fontId="3" fillId="0" borderId="1" xfId="0" applyFont="1" applyBorder="1" applyAlignment="1">
      <alignment horizontal="center"/>
    </xf>
    <xf numFmtId="0" fontId="0" fillId="2" borderId="3" xfId="0" applyFill="1" applyBorder="1"/>
    <xf numFmtId="0" fontId="0" fillId="0" borderId="1" xfId="0" applyBorder="1" applyAlignment="1">
      <alignment horizontal="center" wrapText="1"/>
    </xf>
    <xf numFmtId="0" fontId="0" fillId="0" borderId="1" xfId="0" applyBorder="1" applyAlignment="1">
      <alignment wrapText="1"/>
    </xf>
    <xf numFmtId="0" fontId="0" fillId="0" borderId="2" xfId="0" applyBorder="1" applyAlignment="1">
      <alignment wrapText="1"/>
    </xf>
    <xf numFmtId="0" fontId="0" fillId="0" borderId="7" xfId="0" applyBorder="1"/>
    <xf numFmtId="0" fontId="0" fillId="0" borderId="0" xfId="0" applyBorder="1" applyAlignment="1">
      <alignment wrapText="1"/>
    </xf>
    <xf numFmtId="0" fontId="0" fillId="0" borderId="1" xfId="0" applyBorder="1" applyAlignment="1">
      <alignment horizontal="center"/>
    </xf>
    <xf numFmtId="0" fontId="0" fillId="0" borderId="6" xfId="0" applyBorder="1" applyAlignment="1">
      <alignment wrapText="1"/>
    </xf>
    <xf numFmtId="0" fontId="0" fillId="0" borderId="0" xfId="0" applyFill="1"/>
    <xf numFmtId="44" fontId="0" fillId="0" borderId="1" xfId="1" applyFont="1" applyBorder="1"/>
    <xf numFmtId="0" fontId="3" fillId="0" borderId="3" xfId="0" applyFont="1" applyFill="1" applyBorder="1" applyAlignment="1"/>
    <xf numFmtId="0" fontId="3" fillId="0" borderId="4" xfId="0" applyFont="1" applyFill="1" applyBorder="1" applyAlignment="1"/>
    <xf numFmtId="0" fontId="3" fillId="0" borderId="0" xfId="0" applyFont="1" applyBorder="1"/>
    <xf numFmtId="0" fontId="3" fillId="0" borderId="0" xfId="0" applyFont="1" applyBorder="1" applyAlignment="1"/>
    <xf numFmtId="164" fontId="3" fillId="0" borderId="0" xfId="1" applyNumberFormat="1" applyFont="1" applyBorder="1"/>
    <xf numFmtId="164" fontId="4" fillId="0" borderId="0" xfId="1" applyNumberFormat="1" applyFont="1" applyBorder="1"/>
    <xf numFmtId="0" fontId="3" fillId="0" borderId="0" xfId="0" applyFont="1" applyFill="1" applyBorder="1" applyAlignment="1"/>
    <xf numFmtId="1" fontId="3" fillId="0" borderId="0" xfId="0" applyNumberFormat="1" applyFont="1" applyBorder="1"/>
    <xf numFmtId="0" fontId="0" fillId="0" borderId="0" xfId="0" applyBorder="1"/>
    <xf numFmtId="0" fontId="5" fillId="0" borderId="1" xfId="0" applyFont="1" applyBorder="1" applyAlignment="1">
      <alignment wrapText="1"/>
    </xf>
    <xf numFmtId="0" fontId="0" fillId="3" borderId="8" xfId="0" applyFill="1" applyBorder="1" applyAlignment="1">
      <alignment horizontal="center" wrapText="1"/>
    </xf>
    <xf numFmtId="0" fontId="6" fillId="4" borderId="8" xfId="0" applyFont="1" applyFill="1" applyBorder="1" applyAlignment="1">
      <alignment horizontal="center" wrapText="1"/>
    </xf>
    <xf numFmtId="0" fontId="0" fillId="4" borderId="9" xfId="0" applyFont="1" applyFill="1" applyBorder="1" applyAlignment="1">
      <alignment horizontal="center" wrapText="1"/>
    </xf>
    <xf numFmtId="0" fontId="0"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4" borderId="10" xfId="0" applyFont="1" applyFill="1" applyBorder="1" applyAlignment="1">
      <alignment horizontal="center" wrapText="1"/>
    </xf>
    <xf numFmtId="0" fontId="6" fillId="4" borderId="12" xfId="0" applyFont="1" applyFill="1" applyBorder="1" applyAlignment="1">
      <alignment horizontal="center" wrapText="1"/>
    </xf>
    <xf numFmtId="0" fontId="6" fillId="4" borderId="10" xfId="0" applyFont="1" applyFill="1" applyBorder="1" applyAlignment="1">
      <alignment horizontal="right" wrapText="1"/>
    </xf>
    <xf numFmtId="0" fontId="6" fillId="4" borderId="9" xfId="0" applyFont="1" applyFill="1" applyBorder="1" applyAlignment="1">
      <alignment horizontal="center" wrapText="1"/>
    </xf>
    <xf numFmtId="0" fontId="7" fillId="4" borderId="12" xfId="0" applyFont="1" applyFill="1" applyBorder="1" applyAlignment="1">
      <alignment horizontal="center" wrapText="1"/>
    </xf>
    <xf numFmtId="0" fontId="6" fillId="4" borderId="13" xfId="0" applyFont="1" applyFill="1" applyBorder="1" applyAlignment="1">
      <alignment horizontal="center" wrapText="1"/>
    </xf>
    <xf numFmtId="0" fontId="8" fillId="4" borderId="13" xfId="0" applyFont="1" applyFill="1" applyBorder="1" applyAlignment="1">
      <alignment horizontal="center" wrapText="1"/>
    </xf>
    <xf numFmtId="0" fontId="0" fillId="0" borderId="9" xfId="0" applyBorder="1"/>
    <xf numFmtId="0" fontId="6" fillId="0" borderId="0" xfId="0" applyFont="1"/>
    <xf numFmtId="0" fontId="6" fillId="0" borderId="14" xfId="0" applyFont="1" applyFill="1" applyBorder="1" applyAlignment="1">
      <alignment horizontal="center" wrapText="1"/>
    </xf>
    <xf numFmtId="0" fontId="6" fillId="0" borderId="14" xfId="0" applyNumberFormat="1" applyFont="1" applyFill="1" applyBorder="1" applyAlignment="1">
      <alignment horizontal="center" wrapText="1"/>
    </xf>
    <xf numFmtId="0" fontId="8" fillId="5" borderId="15" xfId="0" applyFont="1" applyFill="1" applyBorder="1" applyAlignment="1">
      <alignment horizontal="center" wrapText="1"/>
    </xf>
    <xf numFmtId="0" fontId="6" fillId="0" borderId="16" xfId="0" applyFont="1" applyFill="1" applyBorder="1" applyAlignment="1">
      <alignment horizontal="center" wrapText="1"/>
    </xf>
    <xf numFmtId="0" fontId="6" fillId="0" borderId="17" xfId="0" applyFont="1" applyFill="1" applyBorder="1" applyAlignment="1">
      <alignment horizontal="center" wrapText="1"/>
    </xf>
    <xf numFmtId="0" fontId="6" fillId="0" borderId="18" xfId="0" applyFont="1" applyFill="1" applyBorder="1" applyAlignment="1">
      <alignment horizontal="center" wrapText="1"/>
    </xf>
    <xf numFmtId="0" fontId="0" fillId="0" borderId="6" xfId="0" applyBorder="1" applyAlignment="1">
      <alignment vertical="center"/>
    </xf>
    <xf numFmtId="0" fontId="0" fillId="0" borderId="0" xfId="0" applyAlignment="1">
      <alignment vertical="center"/>
    </xf>
    <xf numFmtId="0" fontId="0" fillId="0" borderId="6" xfId="0" applyBorder="1"/>
    <xf numFmtId="0" fontId="0" fillId="6" borderId="6" xfId="0" applyFill="1" applyBorder="1"/>
    <xf numFmtId="0" fontId="0" fillId="0" borderId="0" xfId="0" applyFill="1" applyBorder="1"/>
    <xf numFmtId="0" fontId="0" fillId="0" borderId="0" xfId="0" applyAlignment="1">
      <alignment horizontal="right"/>
    </xf>
    <xf numFmtId="0" fontId="0" fillId="0" borderId="0" xfId="0" applyFill="1" applyBorder="1" applyAlignment="1">
      <alignment horizontal="center" vertical="center"/>
    </xf>
    <xf numFmtId="0" fontId="0" fillId="0" borderId="0" xfId="0" applyBorder="1" applyAlignment="1">
      <alignment horizontal="center" vertical="center"/>
    </xf>
    <xf numFmtId="6" fontId="0" fillId="5" borderId="6" xfId="0" applyNumberFormat="1" applyFill="1" applyBorder="1"/>
    <xf numFmtId="0" fontId="0" fillId="5" borderId="1" xfId="0" applyFill="1" applyBorder="1"/>
    <xf numFmtId="0" fontId="0" fillId="0" borderId="6" xfId="0" applyBorder="1" applyAlignment="1">
      <alignment horizontal="center"/>
    </xf>
    <xf numFmtId="0" fontId="0" fillId="5" borderId="4" xfId="0" applyFill="1" applyBorder="1"/>
    <xf numFmtId="0" fontId="6" fillId="0" borderId="20" xfId="0" applyFont="1" applyFill="1" applyBorder="1" applyAlignment="1">
      <alignment horizontal="center" wrapText="1"/>
    </xf>
    <xf numFmtId="0" fontId="6" fillId="0" borderId="20" xfId="0" applyNumberFormat="1" applyFont="1" applyFill="1" applyBorder="1" applyAlignment="1">
      <alignment horizontal="center" wrapText="1"/>
    </xf>
    <xf numFmtId="0" fontId="8" fillId="5" borderId="21" xfId="0" applyFont="1" applyFill="1" applyBorder="1" applyAlignment="1">
      <alignment horizontal="center" wrapText="1"/>
    </xf>
    <xf numFmtId="0" fontId="6" fillId="0" borderId="22" xfId="0" applyFont="1" applyFill="1" applyBorder="1" applyAlignment="1">
      <alignment horizontal="center" wrapText="1"/>
    </xf>
    <xf numFmtId="0" fontId="6" fillId="0" borderId="23" xfId="0" applyFont="1" applyFill="1" applyBorder="1" applyAlignment="1">
      <alignment horizontal="center" wrapText="1"/>
    </xf>
    <xf numFmtId="0" fontId="0" fillId="0" borderId="24" xfId="0" applyBorder="1" applyAlignment="1">
      <alignment vertical="center"/>
    </xf>
    <xf numFmtId="0" fontId="0" fillId="0" borderId="24" xfId="0" applyBorder="1"/>
    <xf numFmtId="0" fontId="0" fillId="6" borderId="24" xfId="0" applyFill="1" applyBorder="1"/>
    <xf numFmtId="0" fontId="0" fillId="0" borderId="0" xfId="0" applyAlignment="1">
      <alignment horizontal="center" vertical="center"/>
    </xf>
    <xf numFmtId="6" fontId="0" fillId="5" borderId="24" xfId="0" applyNumberFormat="1" applyFill="1" applyBorder="1"/>
    <xf numFmtId="0" fontId="0" fillId="0" borderId="24" xfId="0" applyBorder="1" applyAlignment="1">
      <alignment horizontal="center"/>
    </xf>
    <xf numFmtId="0" fontId="8" fillId="5" borderId="25" xfId="0" applyFont="1" applyFill="1" applyBorder="1" applyAlignment="1">
      <alignment horizontal="center" wrapText="1"/>
    </xf>
    <xf numFmtId="6" fontId="0" fillId="5" borderId="24" xfId="0" applyNumberFormat="1" applyFill="1" applyBorder="1" applyAlignment="1">
      <alignment horizontal="right"/>
    </xf>
    <xf numFmtId="0" fontId="0" fillId="0" borderId="24" xfId="0" applyBorder="1" applyAlignment="1">
      <alignment horizontal="right"/>
    </xf>
    <xf numFmtId="0" fontId="6" fillId="0" borderId="27" xfId="0" applyFont="1" applyFill="1" applyBorder="1" applyAlignment="1">
      <alignment horizontal="center" wrapText="1"/>
    </xf>
    <xf numFmtId="0" fontId="6" fillId="0" borderId="27" xfId="0" applyNumberFormat="1" applyFont="1" applyFill="1" applyBorder="1" applyAlignment="1">
      <alignment horizontal="center" wrapText="1"/>
    </xf>
    <xf numFmtId="0" fontId="8" fillId="5" borderId="28" xfId="0" applyFont="1" applyFill="1" applyBorder="1" applyAlignment="1">
      <alignment horizontal="center" wrapText="1"/>
    </xf>
    <xf numFmtId="0" fontId="6" fillId="0" borderId="29" xfId="0" applyFont="1" applyFill="1" applyBorder="1" applyAlignment="1">
      <alignment horizontal="center" wrapText="1"/>
    </xf>
    <xf numFmtId="0" fontId="6" fillId="0" borderId="30" xfId="0" applyFont="1" applyFill="1" applyBorder="1" applyAlignment="1">
      <alignment horizontal="center" wrapText="1"/>
    </xf>
    <xf numFmtId="0" fontId="0" fillId="0" borderId="31" xfId="0" applyBorder="1" applyAlignment="1">
      <alignment horizontal="center"/>
    </xf>
    <xf numFmtId="0" fontId="0" fillId="0" borderId="26" xfId="0" applyBorder="1"/>
    <xf numFmtId="0" fontId="0" fillId="0" borderId="32" xfId="0" applyBorder="1" applyAlignment="1">
      <alignment vertical="center"/>
    </xf>
    <xf numFmtId="0" fontId="0" fillId="0" borderId="26" xfId="0" applyBorder="1" applyAlignment="1">
      <alignment vertical="center"/>
    </xf>
    <xf numFmtId="0" fontId="0" fillId="0" borderId="32" xfId="0" applyBorder="1"/>
    <xf numFmtId="0" fontId="0" fillId="0" borderId="26" xfId="0" applyBorder="1" applyAlignment="1">
      <alignment horizontal="right"/>
    </xf>
    <xf numFmtId="0" fontId="0" fillId="0" borderId="26" xfId="0" applyFill="1" applyBorder="1" applyAlignment="1">
      <alignment horizontal="center" vertical="center"/>
    </xf>
    <xf numFmtId="0" fontId="0" fillId="6" borderId="32" xfId="0" applyFill="1" applyBorder="1"/>
    <xf numFmtId="0" fontId="0" fillId="0" borderId="26" xfId="0" applyBorder="1" applyAlignment="1">
      <alignment horizontal="center" vertical="center"/>
    </xf>
    <xf numFmtId="6" fontId="0" fillId="5" borderId="32" xfId="0" applyNumberFormat="1" applyFill="1" applyBorder="1"/>
    <xf numFmtId="0" fontId="0" fillId="0" borderId="32" xfId="0" applyBorder="1" applyAlignment="1">
      <alignment horizontal="center"/>
    </xf>
    <xf numFmtId="167" fontId="6" fillId="0" borderId="0" xfId="0" applyNumberFormat="1" applyFont="1"/>
    <xf numFmtId="0" fontId="6" fillId="0" borderId="0" xfId="0" applyFont="1" applyAlignment="1">
      <alignment horizontal="center"/>
    </xf>
    <xf numFmtId="0" fontId="0" fillId="0" borderId="0" xfId="0" applyAlignment="1">
      <alignment horizontal="center"/>
    </xf>
    <xf numFmtId="0" fontId="0" fillId="7" borderId="33" xfId="0" applyFont="1" applyFill="1" applyBorder="1" applyAlignment="1">
      <alignment horizontal="center"/>
    </xf>
    <xf numFmtId="0" fontId="0" fillId="0" borderId="34" xfId="0" applyBorder="1"/>
    <xf numFmtId="0" fontId="0" fillId="0" borderId="35" xfId="0" applyBorder="1" applyAlignment="1">
      <alignment vertical="center"/>
    </xf>
    <xf numFmtId="0" fontId="0" fillId="0" borderId="34" xfId="0" applyBorder="1" applyAlignment="1">
      <alignment vertical="center"/>
    </xf>
    <xf numFmtId="0" fontId="0" fillId="0" borderId="24" xfId="0" applyFill="1" applyBorder="1"/>
    <xf numFmtId="0" fontId="0" fillId="0" borderId="34" xfId="0" applyFill="1" applyBorder="1"/>
    <xf numFmtId="0" fontId="0" fillId="0" borderId="34" xfId="0" applyFill="1" applyBorder="1" applyAlignment="1">
      <alignment horizontal="right" vertical="center"/>
    </xf>
    <xf numFmtId="0" fontId="0" fillId="0" borderId="34" xfId="0" applyFill="1" applyBorder="1" applyAlignment="1">
      <alignment horizontal="center" vertical="center"/>
    </xf>
    <xf numFmtId="0" fontId="0" fillId="5" borderId="33" xfId="0" applyFont="1" applyFill="1" applyBorder="1" applyAlignment="1">
      <alignment horizontal="center"/>
    </xf>
    <xf numFmtId="0" fontId="0" fillId="0" borderId="0" xfId="0" applyBorder="1" applyAlignment="1">
      <alignment vertical="center"/>
    </xf>
    <xf numFmtId="0" fontId="0" fillId="0" borderId="0" xfId="0" applyFill="1" applyBorder="1" applyAlignment="1">
      <alignment horizontal="right" vertical="center"/>
    </xf>
    <xf numFmtId="0" fontId="0" fillId="8" borderId="33" xfId="0" applyFont="1" applyFill="1" applyBorder="1" applyAlignment="1">
      <alignment horizontal="center"/>
    </xf>
    <xf numFmtId="0" fontId="6" fillId="0" borderId="0" xfId="0" applyFont="1" applyFill="1" applyBorder="1" applyAlignment="1">
      <alignment horizontal="center"/>
    </xf>
    <xf numFmtId="0" fontId="6" fillId="0" borderId="26" xfId="0" applyFont="1" applyFill="1" applyBorder="1" applyAlignment="1">
      <alignment horizontal="center"/>
    </xf>
    <xf numFmtId="0" fontId="0" fillId="0" borderId="26" xfId="0" applyBorder="1" applyAlignment="1">
      <alignment horizontal="center"/>
    </xf>
    <xf numFmtId="0" fontId="0" fillId="5" borderId="36" xfId="0" applyFont="1" applyFill="1" applyBorder="1" applyAlignment="1">
      <alignment horizontal="center"/>
    </xf>
    <xf numFmtId="0" fontId="0" fillId="6" borderId="32" xfId="0" applyFill="1" applyBorder="1" applyAlignment="1">
      <alignment vertical="center"/>
    </xf>
    <xf numFmtId="0" fontId="0" fillId="0" borderId="26" xfId="0" applyFill="1" applyBorder="1"/>
    <xf numFmtId="0" fontId="0" fillId="0" borderId="26" xfId="0" applyFill="1" applyBorder="1" applyAlignment="1">
      <alignment horizontal="right" vertical="center"/>
    </xf>
    <xf numFmtId="0" fontId="6" fillId="0" borderId="37" xfId="0" applyFont="1" applyFill="1" applyBorder="1" applyAlignment="1">
      <alignment horizontal="center" wrapText="1"/>
    </xf>
    <xf numFmtId="0" fontId="0" fillId="0" borderId="18" xfId="0" applyBorder="1" applyAlignment="1">
      <alignment horizontal="center"/>
    </xf>
    <xf numFmtId="0" fontId="0" fillId="6" borderId="24" xfId="0" applyFill="1" applyBorder="1" applyAlignment="1"/>
    <xf numFmtId="0" fontId="0" fillId="0" borderId="0" xfId="0" applyFill="1" applyBorder="1" applyAlignment="1">
      <alignment vertical="center"/>
    </xf>
    <xf numFmtId="0" fontId="0" fillId="0" borderId="0" xfId="0" applyFill="1" applyBorder="1" applyAlignment="1">
      <alignment horizontal="right"/>
    </xf>
    <xf numFmtId="0" fontId="0" fillId="0" borderId="24" xfId="0" applyFill="1" applyBorder="1" applyAlignment="1">
      <alignment vertical="center"/>
    </xf>
    <xf numFmtId="0" fontId="0" fillId="0" borderId="7" xfId="0" applyFill="1" applyBorder="1" applyAlignment="1">
      <alignment vertical="center"/>
    </xf>
    <xf numFmtId="0" fontId="0" fillId="0" borderId="7" xfId="0" applyFill="1" applyBorder="1"/>
    <xf numFmtId="0" fontId="0" fillId="6" borderId="7" xfId="0" applyFill="1" applyBorder="1"/>
    <xf numFmtId="6" fontId="0" fillId="5" borderId="7" xfId="0" applyNumberFormat="1" applyFill="1" applyBorder="1"/>
    <xf numFmtId="0" fontId="0" fillId="0" borderId="7" xfId="0" applyBorder="1" applyAlignment="1">
      <alignment horizontal="center"/>
    </xf>
    <xf numFmtId="167" fontId="0" fillId="0" borderId="0" xfId="0" applyNumberFormat="1"/>
    <xf numFmtId="167" fontId="0" fillId="0" borderId="0" xfId="0" applyNumberFormat="1" applyAlignment="1">
      <alignment horizontal="center"/>
    </xf>
    <xf numFmtId="167" fontId="0" fillId="0" borderId="33" xfId="0" applyNumberFormat="1" applyBorder="1" applyAlignment="1">
      <alignment horizontal="center"/>
    </xf>
    <xf numFmtId="166" fontId="0" fillId="0" borderId="0" xfId="3" applyNumberFormat="1" applyFont="1"/>
    <xf numFmtId="166" fontId="0" fillId="5" borderId="1" xfId="3" applyNumberFormat="1" applyFont="1" applyFill="1" applyBorder="1"/>
    <xf numFmtId="167" fontId="7" fillId="0" borderId="0" xfId="0" applyNumberFormat="1" applyFont="1"/>
    <xf numFmtId="167" fontId="7" fillId="0" borderId="0" xfId="0" applyNumberFormat="1" applyFont="1" applyAlignment="1">
      <alignment horizontal="left"/>
    </xf>
    <xf numFmtId="0" fontId="0" fillId="0" borderId="33" xfId="0" applyBorder="1" applyAlignment="1">
      <alignment horizontal="center"/>
    </xf>
    <xf numFmtId="0" fontId="7" fillId="0" borderId="0" xfId="0" applyFont="1" applyAlignment="1"/>
    <xf numFmtId="167" fontId="6" fillId="0" borderId="0" xfId="0" applyNumberFormat="1" applyFont="1" applyFill="1" applyBorder="1"/>
    <xf numFmtId="0" fontId="2" fillId="0" borderId="0" xfId="0" applyFont="1" applyAlignment="1"/>
    <xf numFmtId="2" fontId="0" fillId="0" borderId="0" xfId="0" applyNumberFormat="1" applyAlignment="1">
      <alignment vertical="center"/>
    </xf>
    <xf numFmtId="0" fontId="0" fillId="0" borderId="33" xfId="0" applyBorder="1"/>
    <xf numFmtId="0" fontId="6" fillId="4" borderId="38" xfId="0" applyFont="1" applyFill="1" applyBorder="1" applyAlignment="1">
      <alignment horizontal="center" wrapText="1"/>
    </xf>
    <xf numFmtId="0" fontId="6" fillId="4" borderId="39" xfId="0" applyFont="1" applyFill="1" applyBorder="1" applyAlignment="1">
      <alignment horizontal="center" wrapText="1"/>
    </xf>
    <xf numFmtId="0" fontId="6" fillId="0" borderId="17" xfId="0" applyNumberFormat="1" applyFont="1" applyFill="1" applyBorder="1" applyAlignment="1">
      <alignment horizontal="center" wrapText="1"/>
    </xf>
    <xf numFmtId="0" fontId="8" fillId="5" borderId="40" xfId="0" applyFont="1" applyFill="1" applyBorder="1" applyAlignment="1">
      <alignment horizontal="center" wrapText="1"/>
    </xf>
    <xf numFmtId="0" fontId="0" fillId="5" borderId="1" xfId="0" applyFill="1" applyBorder="1" applyAlignment="1">
      <alignment horizontal="center"/>
    </xf>
    <xf numFmtId="0" fontId="0" fillId="5" borderId="4" xfId="0" applyFill="1" applyBorder="1" applyAlignment="1">
      <alignment horizontal="center"/>
    </xf>
    <xf numFmtId="0" fontId="6" fillId="0" borderId="23" xfId="0" applyNumberFormat="1" applyFont="1" applyFill="1" applyBorder="1" applyAlignment="1">
      <alignment horizontal="center" wrapText="1"/>
    </xf>
    <xf numFmtId="0" fontId="6" fillId="0" borderId="30" xfId="0" applyNumberFormat="1" applyFont="1" applyFill="1" applyBorder="1" applyAlignment="1">
      <alignment horizontal="center" wrapText="1"/>
    </xf>
    <xf numFmtId="0" fontId="0" fillId="5" borderId="32" xfId="0" applyFont="1" applyFill="1" applyBorder="1" applyAlignment="1">
      <alignment horizontal="center"/>
    </xf>
    <xf numFmtId="0" fontId="0" fillId="7" borderId="24" xfId="0" applyFont="1" applyFill="1" applyBorder="1" applyAlignment="1">
      <alignment horizontal="center"/>
    </xf>
    <xf numFmtId="0" fontId="0" fillId="5" borderId="24" xfId="0" applyFont="1" applyFill="1" applyBorder="1" applyAlignment="1">
      <alignment horizontal="center"/>
    </xf>
    <xf numFmtId="0" fontId="0" fillId="8" borderId="24" xfId="0" applyFont="1" applyFill="1" applyBorder="1" applyAlignment="1">
      <alignment horizontal="center"/>
    </xf>
    <xf numFmtId="0" fontId="0" fillId="0" borderId="32" xfId="0" applyFont="1" applyBorder="1"/>
    <xf numFmtId="0" fontId="0" fillId="0" borderId="24" xfId="0" applyFill="1" applyBorder="1" applyAlignment="1">
      <alignment horizontal="center"/>
    </xf>
    <xf numFmtId="0" fontId="0" fillId="7" borderId="7" xfId="0" applyFont="1" applyFill="1" applyBorder="1" applyAlignment="1">
      <alignment horizontal="center"/>
    </xf>
    <xf numFmtId="166" fontId="0" fillId="5" borderId="4" xfId="3" applyNumberFormat="1" applyFont="1" applyFill="1" applyBorder="1"/>
    <xf numFmtId="166" fontId="0" fillId="5" borderId="4" xfId="0" applyNumberFormat="1" applyFill="1" applyBorder="1"/>
    <xf numFmtId="8" fontId="0" fillId="0" borderId="0" xfId="0" applyNumberFormat="1"/>
    <xf numFmtId="0" fontId="2" fillId="0" borderId="0" xfId="0" applyFont="1" applyBorder="1"/>
    <xf numFmtId="0" fontId="9" fillId="0" borderId="0" xfId="0" applyFont="1"/>
    <xf numFmtId="0" fontId="10" fillId="9" borderId="0" xfId="0" applyFont="1" applyFill="1"/>
    <xf numFmtId="0" fontId="11" fillId="9" borderId="0" xfId="0" applyFont="1" applyFill="1"/>
    <xf numFmtId="0" fontId="0" fillId="5" borderId="1" xfId="0" applyFill="1" applyBorder="1" applyAlignment="1">
      <alignment wrapText="1"/>
    </xf>
    <xf numFmtId="0" fontId="0" fillId="10" borderId="1" xfId="0" applyFill="1" applyBorder="1" applyAlignment="1">
      <alignment horizontal="center"/>
    </xf>
    <xf numFmtId="0" fontId="12" fillId="0" borderId="1" xfId="4" applyFont="1" applyFill="1" applyBorder="1" applyAlignment="1">
      <alignment wrapText="1"/>
    </xf>
    <xf numFmtId="168" fontId="0" fillId="0" borderId="41" xfId="0" applyNumberFormat="1" applyBorder="1" applyAlignment="1">
      <alignment horizontal="center"/>
    </xf>
    <xf numFmtId="168" fontId="0" fillId="0" borderId="0" xfId="0" applyNumberFormat="1" applyBorder="1" applyAlignment="1">
      <alignment horizontal="center"/>
    </xf>
    <xf numFmtId="168" fontId="0" fillId="0" borderId="1" xfId="0" applyNumberFormat="1" applyBorder="1" applyAlignment="1">
      <alignment horizontal="center"/>
    </xf>
    <xf numFmtId="0" fontId="0" fillId="0" borderId="42" xfId="0" applyBorder="1"/>
    <xf numFmtId="168" fontId="0" fillId="0" borderId="43" xfId="0" applyNumberFormat="1" applyBorder="1" applyAlignment="1">
      <alignment horizontal="center"/>
    </xf>
    <xf numFmtId="0" fontId="0" fillId="0" borderId="0" xfId="0" applyBorder="1" applyAlignment="1">
      <alignment horizontal="center"/>
    </xf>
    <xf numFmtId="0" fontId="12" fillId="11" borderId="1" xfId="4" applyFont="1" applyFill="1" applyBorder="1" applyAlignment="1">
      <alignment horizontal="center"/>
    </xf>
    <xf numFmtId="0" fontId="0" fillId="12" borderId="1" xfId="0" applyFill="1" applyBorder="1"/>
    <xf numFmtId="0" fontId="12" fillId="0" borderId="14" xfId="4" applyFont="1" applyFill="1" applyBorder="1" applyAlignment="1">
      <alignment wrapText="1"/>
    </xf>
    <xf numFmtId="169" fontId="12" fillId="0" borderId="14" xfId="4" applyNumberFormat="1" applyFont="1" applyFill="1" applyBorder="1" applyAlignment="1">
      <alignment horizontal="right" wrapText="1"/>
    </xf>
    <xf numFmtId="169" fontId="0" fillId="0" borderId="0" xfId="0" applyNumberFormat="1"/>
    <xf numFmtId="164" fontId="0" fillId="2" borderId="0" xfId="1" applyNumberFormat="1" applyFont="1" applyFill="1"/>
    <xf numFmtId="168" fontId="0" fillId="2" borderId="0" xfId="0" applyNumberFormat="1" applyFill="1"/>
    <xf numFmtId="168" fontId="0" fillId="5" borderId="0" xfId="0" applyNumberFormat="1" applyFill="1"/>
    <xf numFmtId="168" fontId="0" fillId="0" borderId="0" xfId="0" applyNumberFormat="1"/>
    <xf numFmtId="0" fontId="12" fillId="0" borderId="20" xfId="4" applyFont="1" applyFill="1" applyBorder="1" applyAlignment="1">
      <alignment wrapText="1"/>
    </xf>
    <xf numFmtId="169" fontId="12" fillId="0" borderId="20" xfId="4" applyNumberFormat="1" applyFont="1" applyFill="1" applyBorder="1" applyAlignment="1">
      <alignment horizontal="right" wrapText="1"/>
    </xf>
    <xf numFmtId="1" fontId="0" fillId="0" borderId="0" xfId="0" applyNumberFormat="1"/>
    <xf numFmtId="0" fontId="12" fillId="0" borderId="44" xfId="4" applyFont="1" applyFill="1" applyBorder="1" applyAlignment="1">
      <alignment wrapText="1"/>
    </xf>
    <xf numFmtId="169" fontId="12" fillId="0" borderId="44" xfId="4" applyNumberFormat="1" applyFont="1" applyFill="1" applyBorder="1" applyAlignment="1">
      <alignment horizontal="right" wrapText="1"/>
    </xf>
    <xf numFmtId="169" fontId="0" fillId="0" borderId="45" xfId="0" applyNumberFormat="1" applyBorder="1"/>
    <xf numFmtId="169" fontId="0" fillId="0" borderId="46" xfId="0" applyNumberFormat="1" applyBorder="1"/>
    <xf numFmtId="164" fontId="0" fillId="2" borderId="46" xfId="1" applyNumberFormat="1" applyFont="1" applyFill="1" applyBorder="1"/>
    <xf numFmtId="168" fontId="0" fillId="2" borderId="46" xfId="0" applyNumberFormat="1" applyFill="1" applyBorder="1"/>
    <xf numFmtId="168" fontId="0" fillId="5" borderId="46" xfId="0" applyNumberFormat="1" applyFill="1" applyBorder="1"/>
    <xf numFmtId="168" fontId="0" fillId="0" borderId="46" xfId="0" applyNumberFormat="1" applyBorder="1"/>
    <xf numFmtId="0" fontId="12" fillId="0" borderId="0" xfId="4" applyFont="1" applyFill="1" applyBorder="1" applyAlignment="1">
      <alignment wrapText="1"/>
    </xf>
    <xf numFmtId="0" fontId="13" fillId="0" borderId="0" xfId="4" applyFont="1" applyFill="1" applyBorder="1" applyAlignment="1">
      <alignment wrapText="1"/>
    </xf>
    <xf numFmtId="169" fontId="13" fillId="0" borderId="0" xfId="4" applyNumberFormat="1" applyFont="1" applyFill="1" applyBorder="1" applyAlignment="1">
      <alignment horizontal="right" wrapText="1"/>
    </xf>
    <xf numFmtId="0" fontId="13" fillId="0" borderId="0" xfId="4" applyFont="1" applyFill="1" applyBorder="1" applyAlignment="1">
      <alignment horizontal="right" wrapText="1"/>
    </xf>
    <xf numFmtId="164" fontId="2" fillId="2" borderId="0" xfId="1" applyNumberFormat="1" applyFont="1" applyFill="1"/>
    <xf numFmtId="164" fontId="2" fillId="5" borderId="0" xfId="1" applyNumberFormat="1" applyFont="1" applyFill="1"/>
    <xf numFmtId="44" fontId="0" fillId="0" borderId="6" xfId="0" applyNumberFormat="1" applyBorder="1"/>
    <xf numFmtId="44" fontId="0" fillId="0" borderId="0" xfId="0" applyNumberFormat="1" applyBorder="1"/>
    <xf numFmtId="0" fontId="12" fillId="4" borderId="1" xfId="5" applyFont="1" applyFill="1" applyBorder="1" applyAlignment="1">
      <alignment horizontal="center"/>
    </xf>
    <xf numFmtId="0" fontId="12" fillId="0" borderId="14" xfId="5" applyFont="1" applyFill="1" applyBorder="1" applyAlignment="1">
      <alignment wrapText="1"/>
    </xf>
    <xf numFmtId="169" fontId="12" fillId="0" borderId="14" xfId="5" applyNumberFormat="1" applyFont="1" applyFill="1" applyBorder="1" applyAlignment="1">
      <alignment horizontal="right" wrapText="1"/>
    </xf>
    <xf numFmtId="0" fontId="12" fillId="0" borderId="20" xfId="5" applyFont="1" applyFill="1" applyBorder="1" applyAlignment="1">
      <alignment wrapText="1"/>
    </xf>
    <xf numFmtId="169" fontId="12" fillId="0" borderId="20" xfId="5" applyNumberFormat="1" applyFont="1" applyFill="1" applyBorder="1" applyAlignment="1">
      <alignment horizontal="right" wrapText="1"/>
    </xf>
    <xf numFmtId="0" fontId="12" fillId="13" borderId="44" xfId="5" applyFont="1" applyFill="1" applyBorder="1" applyAlignment="1">
      <alignment wrapText="1"/>
    </xf>
    <xf numFmtId="0" fontId="12" fillId="0" borderId="44" xfId="5" applyFont="1" applyFill="1" applyBorder="1" applyAlignment="1">
      <alignment horizontal="right" wrapText="1"/>
    </xf>
    <xf numFmtId="0" fontId="0" fillId="0" borderId="46" xfId="0" applyBorder="1"/>
    <xf numFmtId="169" fontId="0" fillId="14" borderId="6" xfId="0" applyNumberFormat="1" applyFill="1" applyBorder="1" applyAlignment="1">
      <alignment horizontal="center"/>
    </xf>
    <xf numFmtId="0" fontId="12" fillId="0" borderId="0" xfId="5" applyFont="1" applyFill="1" applyBorder="1" applyAlignment="1">
      <alignment wrapText="1"/>
    </xf>
    <xf numFmtId="164" fontId="2" fillId="0" borderId="0" xfId="1" applyNumberFormat="1" applyFont="1" applyFill="1"/>
    <xf numFmtId="3" fontId="0" fillId="14" borderId="24" xfId="0" applyNumberFormat="1" applyFill="1" applyBorder="1" applyAlignment="1">
      <alignment horizontal="center"/>
    </xf>
    <xf numFmtId="166" fontId="0" fillId="0" borderId="0" xfId="3" applyNumberFormat="1" applyFont="1" applyAlignment="1">
      <alignment horizontal="center"/>
    </xf>
    <xf numFmtId="0" fontId="0" fillId="14" borderId="7" xfId="0" applyFill="1" applyBorder="1" applyAlignment="1">
      <alignment horizontal="center"/>
    </xf>
    <xf numFmtId="0" fontId="12" fillId="4" borderId="1" xfId="6" applyFont="1" applyFill="1" applyBorder="1" applyAlignment="1">
      <alignment horizontal="center"/>
    </xf>
    <xf numFmtId="0" fontId="0" fillId="15" borderId="1" xfId="0" applyFill="1" applyBorder="1" applyAlignment="1">
      <alignment horizontal="center"/>
    </xf>
    <xf numFmtId="0" fontId="12" fillId="0" borderId="14" xfId="6" applyFont="1" applyFill="1" applyBorder="1" applyAlignment="1">
      <alignment wrapText="1"/>
    </xf>
    <xf numFmtId="169" fontId="12" fillId="0" borderId="14" xfId="6" applyNumberFormat="1" applyFont="1" applyFill="1" applyBorder="1" applyAlignment="1">
      <alignment horizontal="right" wrapText="1"/>
    </xf>
    <xf numFmtId="168" fontId="0" fillId="0" borderId="0" xfId="0" applyNumberFormat="1" applyFill="1" applyBorder="1"/>
    <xf numFmtId="164" fontId="0" fillId="0" borderId="0" xfId="0" applyNumberFormat="1"/>
    <xf numFmtId="0" fontId="12" fillId="0" borderId="20" xfId="6" applyFont="1" applyFill="1" applyBorder="1" applyAlignment="1">
      <alignment wrapText="1"/>
    </xf>
    <xf numFmtId="169" fontId="12" fillId="0" borderId="20" xfId="6" applyNumberFormat="1" applyFont="1" applyFill="1" applyBorder="1" applyAlignment="1">
      <alignment horizontal="right" wrapText="1"/>
    </xf>
    <xf numFmtId="0" fontId="12" fillId="0" borderId="44" xfId="6" applyFont="1" applyFill="1" applyBorder="1" applyAlignment="1">
      <alignment wrapText="1"/>
    </xf>
    <xf numFmtId="169" fontId="12" fillId="0" borderId="44" xfId="6" applyNumberFormat="1" applyFont="1" applyFill="1" applyBorder="1" applyAlignment="1">
      <alignment horizontal="right" wrapText="1"/>
    </xf>
    <xf numFmtId="164" fontId="0" fillId="0" borderId="46" xfId="1" applyNumberFormat="1" applyFont="1" applyBorder="1"/>
    <xf numFmtId="44" fontId="0" fillId="0" borderId="1" xfId="0" applyNumberFormat="1" applyBorder="1"/>
    <xf numFmtId="164" fontId="2" fillId="0" borderId="0" xfId="1" applyNumberFormat="1" applyFont="1"/>
    <xf numFmtId="164" fontId="0" fillId="5" borderId="1" xfId="0" applyNumberFormat="1" applyFill="1" applyBorder="1"/>
    <xf numFmtId="0" fontId="0" fillId="15" borderId="1" xfId="0" applyFill="1" applyBorder="1"/>
    <xf numFmtId="164" fontId="0" fillId="0" borderId="46" xfId="0" applyNumberFormat="1" applyBorder="1"/>
    <xf numFmtId="164" fontId="2" fillId="0" borderId="0" xfId="0" applyNumberFormat="1" applyFont="1"/>
    <xf numFmtId="6" fontId="0" fillId="0" borderId="1" xfId="0" applyNumberFormat="1" applyBorder="1" applyAlignment="1">
      <alignment horizontal="center"/>
    </xf>
    <xf numFmtId="6" fontId="0" fillId="14" borderId="4" xfId="0" applyNumberFormat="1" applyFill="1" applyBorder="1" applyAlignment="1">
      <alignment vertical="center"/>
    </xf>
    <xf numFmtId="0" fontId="12" fillId="4" borderId="8" xfId="7" applyFont="1" applyFill="1" applyBorder="1" applyAlignment="1">
      <alignment horizontal="center" wrapText="1"/>
    </xf>
    <xf numFmtId="0" fontId="12" fillId="4" borderId="0" xfId="7" applyFont="1" applyFill="1" applyBorder="1" applyAlignment="1">
      <alignment horizontal="center" wrapText="1"/>
    </xf>
    <xf numFmtId="0" fontId="12" fillId="0" borderId="20" xfId="7" applyFont="1" applyFill="1" applyBorder="1" applyAlignment="1">
      <alignment wrapText="1"/>
    </xf>
    <xf numFmtId="0" fontId="12" fillId="0" borderId="20" xfId="7" applyFont="1" applyFill="1" applyBorder="1" applyAlignment="1">
      <alignment horizontal="right" wrapText="1"/>
    </xf>
    <xf numFmtId="0" fontId="12" fillId="0" borderId="0" xfId="7" applyFont="1" applyFill="1" applyBorder="1" applyAlignment="1">
      <alignment horizontal="right" wrapText="1"/>
    </xf>
    <xf numFmtId="169" fontId="12" fillId="0" borderId="0" xfId="7" applyNumberFormat="1" applyFont="1" applyFill="1" applyBorder="1" applyAlignment="1">
      <alignment horizontal="right" wrapText="1"/>
    </xf>
    <xf numFmtId="0" fontId="12" fillId="5" borderId="20" xfId="7" applyFont="1" applyFill="1" applyBorder="1" applyAlignment="1">
      <alignment wrapText="1"/>
    </xf>
    <xf numFmtId="0" fontId="12" fillId="5" borderId="20" xfId="7" applyFont="1" applyFill="1" applyBorder="1" applyAlignment="1">
      <alignment horizontal="right" wrapText="1"/>
    </xf>
    <xf numFmtId="0" fontId="0" fillId="5" borderId="0" xfId="0" applyFill="1"/>
    <xf numFmtId="0" fontId="12" fillId="5" borderId="0" xfId="7" applyFont="1" applyFill="1" applyBorder="1" applyAlignment="1">
      <alignment horizontal="right" wrapText="1"/>
    </xf>
    <xf numFmtId="164" fontId="0" fillId="5" borderId="0" xfId="1" applyNumberFormat="1" applyFont="1" applyFill="1"/>
    <xf numFmtId="164" fontId="0" fillId="16" borderId="0" xfId="1" applyNumberFormat="1" applyFont="1" applyFill="1"/>
    <xf numFmtId="0" fontId="0" fillId="16" borderId="0" xfId="0" applyFill="1"/>
    <xf numFmtId="164" fontId="0" fillId="5" borderId="0" xfId="0" applyNumberFormat="1" applyFill="1"/>
    <xf numFmtId="164" fontId="0" fillId="17" borderId="0" xfId="1" applyNumberFormat="1" applyFont="1" applyFill="1"/>
    <xf numFmtId="0" fontId="0" fillId="17" borderId="0" xfId="0" applyFill="1"/>
    <xf numFmtId="164" fontId="0" fillId="18" borderId="0" xfId="1" applyNumberFormat="1" applyFont="1" applyFill="1"/>
    <xf numFmtId="164" fontId="0" fillId="15" borderId="0" xfId="1" applyNumberFormat="1" applyFont="1" applyFill="1"/>
    <xf numFmtId="164" fontId="0" fillId="19" borderId="0" xfId="1" applyNumberFormat="1" applyFont="1" applyFill="1"/>
    <xf numFmtId="164" fontId="0" fillId="20" borderId="0" xfId="1" applyNumberFormat="1" applyFont="1" applyFill="1"/>
    <xf numFmtId="0" fontId="0" fillId="20" borderId="0" xfId="0" applyFill="1"/>
    <xf numFmtId="0" fontId="0" fillId="18" borderId="0" xfId="0" applyFill="1"/>
    <xf numFmtId="164" fontId="0" fillId="21" borderId="0" xfId="1" applyNumberFormat="1" applyFont="1" applyFill="1"/>
    <xf numFmtId="0" fontId="0" fillId="21" borderId="0" xfId="0" applyFill="1"/>
    <xf numFmtId="164" fontId="0" fillId="14" borderId="0" xfId="1" applyNumberFormat="1" applyFont="1" applyFill="1"/>
    <xf numFmtId="0" fontId="0" fillId="14" borderId="0" xfId="0" applyFill="1"/>
    <xf numFmtId="166" fontId="0" fillId="5" borderId="0" xfId="3" applyNumberFormat="1" applyFont="1" applyFill="1"/>
    <xf numFmtId="0" fontId="0" fillId="0" borderId="1" xfId="0" applyBorder="1" applyAlignment="1">
      <alignment horizontal="left"/>
    </xf>
    <xf numFmtId="165" fontId="0" fillId="0" borderId="1" xfId="2" applyNumberFormat="1" applyFont="1" applyBorder="1" applyAlignment="1">
      <alignment horizontal="center"/>
    </xf>
    <xf numFmtId="2" fontId="0" fillId="0" borderId="1" xfId="0" applyNumberFormat="1" applyBorder="1"/>
    <xf numFmtId="2" fontId="0" fillId="0" borderId="1" xfId="0" applyNumberFormat="1" applyFill="1" applyBorder="1"/>
    <xf numFmtId="10" fontId="0" fillId="5" borderId="1" xfId="2" applyNumberFormat="1" applyFont="1" applyFill="1" applyBorder="1" applyAlignment="1">
      <alignment horizontal="center"/>
    </xf>
    <xf numFmtId="10" fontId="0" fillId="0" borderId="1" xfId="2" applyNumberFormat="1" applyFont="1" applyBorder="1" applyAlignment="1">
      <alignment horizontal="center"/>
    </xf>
    <xf numFmtId="2" fontId="0" fillId="5" borderId="1" xfId="0" applyNumberFormat="1" applyFill="1" applyBorder="1"/>
    <xf numFmtId="0" fontId="0" fillId="0" borderId="0" xfId="0" applyAlignment="1">
      <alignment horizontal="left"/>
    </xf>
    <xf numFmtId="165" fontId="0" fillId="0" borderId="1" xfId="0" applyNumberFormat="1" applyBorder="1" applyAlignment="1">
      <alignment horizontal="center"/>
    </xf>
    <xf numFmtId="165" fontId="0" fillId="0" borderId="0" xfId="2" applyNumberFormat="1" applyFont="1" applyAlignment="1">
      <alignment horizontal="center" vertical="center"/>
    </xf>
    <xf numFmtId="166" fontId="0" fillId="0" borderId="0" xfId="0" applyNumberFormat="1"/>
    <xf numFmtId="170" fontId="0" fillId="10" borderId="1" xfId="0" applyNumberFormat="1" applyFill="1" applyBorder="1"/>
    <xf numFmtId="170" fontId="0" fillId="5" borderId="1" xfId="0" applyNumberFormat="1" applyFill="1" applyBorder="1"/>
    <xf numFmtId="166" fontId="0" fillId="0" borderId="1" xfId="0" applyNumberFormat="1" applyBorder="1" applyAlignment="1">
      <alignment horizontal="center"/>
    </xf>
    <xf numFmtId="43" fontId="0" fillId="5" borderId="1" xfId="0" applyNumberFormat="1" applyFill="1" applyBorder="1"/>
    <xf numFmtId="166" fontId="0" fillId="10" borderId="1" xfId="0" applyNumberFormat="1" applyFill="1" applyBorder="1"/>
    <xf numFmtId="166" fontId="0" fillId="5" borderId="1" xfId="0" applyNumberFormat="1" applyFill="1" applyBorder="1"/>
    <xf numFmtId="166" fontId="0" fillId="0" borderId="0" xfId="0" applyNumberFormat="1" applyAlignment="1">
      <alignment horizontal="left"/>
    </xf>
    <xf numFmtId="43" fontId="0" fillId="0" borderId="0" xfId="0" applyNumberFormat="1"/>
    <xf numFmtId="166" fontId="0" fillId="5" borderId="0" xfId="0" applyNumberFormat="1" applyFill="1"/>
    <xf numFmtId="10" fontId="0" fillId="5" borderId="1" xfId="2" applyNumberFormat="1" applyFont="1" applyFill="1" applyBorder="1"/>
    <xf numFmtId="0" fontId="12" fillId="4" borderId="8" xfId="8" applyFont="1" applyFill="1" applyBorder="1" applyAlignment="1">
      <alignment horizontal="center"/>
    </xf>
    <xf numFmtId="0" fontId="12" fillId="0" borderId="20" xfId="8" applyFont="1" applyFill="1" applyBorder="1" applyAlignment="1">
      <alignment wrapText="1"/>
    </xf>
    <xf numFmtId="0" fontId="12" fillId="0" borderId="20" xfId="8" applyFont="1" applyFill="1" applyBorder="1" applyAlignment="1">
      <alignment horizontal="right" wrapText="1"/>
    </xf>
    <xf numFmtId="164" fontId="0" fillId="5" borderId="1" xfId="1" applyNumberFormat="1" applyFont="1" applyFill="1" applyBorder="1"/>
    <xf numFmtId="164" fontId="0" fillId="10" borderId="0" xfId="1" applyNumberFormat="1" applyFont="1" applyFill="1"/>
    <xf numFmtId="6" fontId="0" fillId="5" borderId="1" xfId="0" applyNumberFormat="1" applyFont="1" applyFill="1" applyBorder="1"/>
    <xf numFmtId="6" fontId="0" fillId="0" borderId="0" xfId="0" applyNumberFormat="1" applyAlignment="1">
      <alignment horizontal="center"/>
    </xf>
    <xf numFmtId="164" fontId="0" fillId="5" borderId="1" xfId="0" applyNumberFormat="1" applyFont="1" applyFill="1" applyBorder="1"/>
    <xf numFmtId="0" fontId="14" fillId="0" borderId="1"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0" fillId="0" borderId="1" xfId="0" applyBorder="1" applyAlignment="1">
      <alignment horizontal="left" vertical="center" wrapText="1"/>
    </xf>
    <xf numFmtId="166" fontId="0" fillId="12" borderId="1" xfId="3" applyNumberFormat="1" applyFont="1" applyFill="1" applyBorder="1" applyAlignment="1">
      <alignment horizontal="center" vertical="center"/>
    </xf>
    <xf numFmtId="165" fontId="0" fillId="10" borderId="1" xfId="2" applyNumberFormat="1" applyFont="1" applyFill="1" applyBorder="1" applyAlignment="1">
      <alignment horizontal="center" vertical="center"/>
    </xf>
    <xf numFmtId="166" fontId="0" fillId="0" borderId="0" xfId="0" applyNumberFormat="1" applyAlignment="1">
      <alignment vertical="center"/>
    </xf>
    <xf numFmtId="0" fontId="0" fillId="10" borderId="1" xfId="0" applyFill="1" applyBorder="1" applyAlignment="1">
      <alignment horizontal="center" vertical="center" wrapText="1"/>
    </xf>
    <xf numFmtId="170" fontId="0" fillId="5" borderId="1" xfId="0" applyNumberFormat="1" applyFill="1" applyBorder="1" applyAlignment="1">
      <alignment vertical="center"/>
    </xf>
    <xf numFmtId="170" fontId="0" fillId="10" borderId="1" xfId="0" applyNumberFormat="1" applyFill="1" applyBorder="1" applyAlignment="1">
      <alignment vertical="center"/>
    </xf>
    <xf numFmtId="0" fontId="0" fillId="10" borderId="1" xfId="0" applyFill="1" applyBorder="1" applyAlignment="1">
      <alignment horizontal="center" vertical="center"/>
    </xf>
    <xf numFmtId="166" fontId="0" fillId="10" borderId="1" xfId="0" applyNumberFormat="1" applyFill="1" applyBorder="1" applyAlignment="1">
      <alignment horizontal="center"/>
    </xf>
    <xf numFmtId="43" fontId="0" fillId="10" borderId="1" xfId="0" applyNumberFormat="1" applyFill="1" applyBorder="1"/>
    <xf numFmtId="166" fontId="0" fillId="12" borderId="1" xfId="3" applyNumberFormat="1" applyFont="1" applyFill="1" applyBorder="1" applyAlignment="1">
      <alignment horizontal="left" vertical="center"/>
    </xf>
    <xf numFmtId="0" fontId="0" fillId="0" borderId="0" xfId="0" applyAlignment="1">
      <alignment horizontal="left" vertical="center"/>
    </xf>
    <xf numFmtId="166" fontId="0" fillId="10" borderId="1" xfId="0" applyNumberFormat="1" applyFill="1" applyBorder="1" applyAlignment="1">
      <alignment vertical="center"/>
    </xf>
    <xf numFmtId="10" fontId="0" fillId="9" borderId="1" xfId="2" applyNumberFormat="1" applyFont="1" applyFill="1" applyBorder="1"/>
    <xf numFmtId="10" fontId="0" fillId="9" borderId="1" xfId="2" applyNumberFormat="1" applyFont="1" applyFill="1" applyBorder="1" applyAlignment="1">
      <alignment horizontal="center"/>
    </xf>
    <xf numFmtId="2" fontId="0" fillId="9" borderId="1" xfId="0" applyNumberFormat="1" applyFill="1" applyBorder="1"/>
    <xf numFmtId="170" fontId="0" fillId="10" borderId="1" xfId="0" applyNumberFormat="1" applyFill="1" applyBorder="1" applyAlignment="1">
      <alignment horizontal="center"/>
    </xf>
    <xf numFmtId="166" fontId="0" fillId="0" borderId="0" xfId="0" applyNumberFormat="1" applyAlignment="1">
      <alignment horizontal="left" vertical="center"/>
    </xf>
    <xf numFmtId="0" fontId="14" fillId="0" borderId="7" xfId="0" applyFont="1" applyFill="1" applyBorder="1" applyAlignment="1" applyProtection="1">
      <alignment horizontal="center" vertical="center" wrapText="1"/>
    </xf>
    <xf numFmtId="2" fontId="0" fillId="0" borderId="7" xfId="0" applyNumberFormat="1" applyBorder="1"/>
    <xf numFmtId="0" fontId="0" fillId="15" borderId="1" xfId="0" applyFill="1" applyBorder="1" applyAlignment="1">
      <alignment horizontal="center" vertical="center" wrapText="1"/>
    </xf>
    <xf numFmtId="168" fontId="0" fillId="15" borderId="1" xfId="1" applyNumberFormat="1" applyFont="1" applyFill="1" applyBorder="1" applyAlignment="1">
      <alignment horizontal="center"/>
    </xf>
    <xf numFmtId="9" fontId="0" fillId="15" borderId="1" xfId="2" applyFont="1" applyFill="1" applyBorder="1" applyAlignment="1">
      <alignment horizontal="center"/>
    </xf>
    <xf numFmtId="3" fontId="0" fillId="0" borderId="1" xfId="0" applyNumberFormat="1" applyBorder="1" applyAlignment="1">
      <alignment horizontal="center"/>
    </xf>
    <xf numFmtId="6" fontId="0" fillId="5" borderId="1" xfId="0" applyNumberFormat="1" applyFill="1" applyBorder="1" applyAlignment="1">
      <alignment horizontal="center"/>
    </xf>
    <xf numFmtId="6" fontId="0" fillId="14" borderId="4" xfId="0" applyNumberFormat="1" applyFill="1" applyBorder="1"/>
    <xf numFmtId="6" fontId="0" fillId="5" borderId="4" xfId="0" applyNumberFormat="1" applyFill="1" applyBorder="1"/>
    <xf numFmtId="0" fontId="0" fillId="10" borderId="3" xfId="0" applyFill="1" applyBorder="1" applyAlignment="1">
      <alignment horizontal="left"/>
    </xf>
    <xf numFmtId="0" fontId="0" fillId="10" borderId="5" xfId="0" applyFill="1" applyBorder="1" applyAlignment="1">
      <alignment horizontal="left"/>
    </xf>
    <xf numFmtId="6" fontId="0" fillId="10" borderId="4" xfId="0" applyNumberFormat="1" applyFill="1" applyBorder="1"/>
    <xf numFmtId="6" fontId="0" fillId="10" borderId="1" xfId="0" applyNumberFormat="1" applyFill="1" applyBorder="1" applyAlignment="1">
      <alignment horizontal="center"/>
    </xf>
    <xf numFmtId="0" fontId="0" fillId="0" borderId="3" xfId="0" applyBorder="1" applyAlignment="1">
      <alignment horizontal="left"/>
    </xf>
    <xf numFmtId="0" fontId="0" fillId="0" borderId="5" xfId="0" applyBorder="1" applyAlignment="1">
      <alignment horizontal="center"/>
    </xf>
    <xf numFmtId="0" fontId="0" fillId="0" borderId="4" xfId="0"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0" fillId="0" borderId="0" xfId="0" applyAlignment="1">
      <alignment horizontal="left" wrapText="1"/>
    </xf>
    <xf numFmtId="0" fontId="0" fillId="0" borderId="33" xfId="0" applyBorder="1" applyAlignment="1">
      <alignment horizontal="left" wrapText="1"/>
    </xf>
    <xf numFmtId="0" fontId="0" fillId="5" borderId="3" xfId="0" applyFill="1" applyBorder="1" applyAlignment="1">
      <alignment horizontal="right"/>
    </xf>
    <xf numFmtId="0" fontId="0" fillId="5" borderId="5" xfId="0" applyFill="1" applyBorder="1" applyAlignment="1">
      <alignment horizontal="right"/>
    </xf>
    <xf numFmtId="0" fontId="7" fillId="0" borderId="0" xfId="0" applyFont="1" applyAlignment="1">
      <alignment horizontal="center"/>
    </xf>
    <xf numFmtId="0" fontId="2" fillId="0" borderId="0" xfId="0" applyFont="1" applyAlignment="1">
      <alignment horizontal="left" wrapText="1"/>
    </xf>
    <xf numFmtId="2" fontId="0" fillId="0" borderId="34" xfId="0" applyNumberFormat="1" applyBorder="1" applyAlignment="1">
      <alignment horizontal="center" vertical="center"/>
    </xf>
    <xf numFmtId="2" fontId="0" fillId="0" borderId="0" xfId="0" applyNumberFormat="1" applyBorder="1" applyAlignment="1">
      <alignment horizontal="center" vertical="center"/>
    </xf>
    <xf numFmtId="1" fontId="0" fillId="0" borderId="34" xfId="0" applyNumberFormat="1" applyBorder="1" applyAlignment="1">
      <alignment horizontal="center" vertical="center"/>
    </xf>
    <xf numFmtId="1" fontId="0" fillId="0" borderId="0" xfId="0" applyNumberFormat="1" applyBorder="1" applyAlignment="1">
      <alignment horizontal="center" vertical="center"/>
    </xf>
    <xf numFmtId="0" fontId="0" fillId="0" borderId="0" xfId="0" applyBorder="1" applyAlignment="1">
      <alignment horizontal="center" vertical="center"/>
    </xf>
    <xf numFmtId="166" fontId="0" fillId="0" borderId="35" xfId="3" applyNumberFormat="1" applyFont="1" applyBorder="1" applyAlignment="1">
      <alignment horizontal="right" vertical="center"/>
    </xf>
    <xf numFmtId="166" fontId="0" fillId="0" borderId="24" xfId="3" applyNumberFormat="1" applyFont="1" applyBorder="1" applyAlignment="1">
      <alignment horizontal="right" vertical="center"/>
    </xf>
    <xf numFmtId="166" fontId="0" fillId="0" borderId="7" xfId="3" applyNumberFormat="1" applyFont="1" applyBorder="1" applyAlignment="1">
      <alignment horizontal="right" vertical="center"/>
    </xf>
    <xf numFmtId="2" fontId="0" fillId="0" borderId="0" xfId="0" applyNumberFormat="1" applyAlignment="1">
      <alignment horizontal="center" vertical="center"/>
    </xf>
    <xf numFmtId="2" fontId="0" fillId="0" borderId="26" xfId="0" applyNumberFormat="1" applyBorder="1" applyAlignment="1">
      <alignment horizontal="center" vertical="center"/>
    </xf>
    <xf numFmtId="1" fontId="0" fillId="0" borderId="0" xfId="0" applyNumberFormat="1" applyAlignment="1">
      <alignment horizontal="center" vertical="center"/>
    </xf>
    <xf numFmtId="1" fontId="0" fillId="0" borderId="26" xfId="0" applyNumberFormat="1"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166" fontId="0" fillId="0" borderId="32" xfId="3" applyNumberFormat="1" applyFont="1" applyBorder="1" applyAlignment="1">
      <alignment horizontal="right" vertical="center"/>
    </xf>
    <xf numFmtId="0" fontId="0" fillId="0" borderId="34" xfId="0" applyBorder="1" applyAlignment="1">
      <alignment horizontal="center" vertical="center"/>
    </xf>
    <xf numFmtId="166" fontId="0" fillId="0" borderId="35" xfId="3" applyNumberFormat="1" applyFont="1" applyBorder="1" applyAlignment="1">
      <alignment horizontal="center" vertical="center"/>
    </xf>
    <xf numFmtId="166" fontId="0" fillId="0" borderId="24" xfId="3" applyNumberFormat="1" applyFont="1" applyBorder="1" applyAlignment="1">
      <alignment horizontal="center" vertical="center"/>
    </xf>
    <xf numFmtId="166" fontId="0" fillId="0" borderId="7" xfId="3" applyNumberFormat="1" applyFont="1" applyBorder="1" applyAlignment="1">
      <alignment horizontal="center" vertical="center"/>
    </xf>
    <xf numFmtId="0" fontId="0" fillId="0" borderId="34" xfId="0" applyFill="1" applyBorder="1" applyAlignment="1">
      <alignment horizontal="center" vertical="center"/>
    </xf>
    <xf numFmtId="0" fontId="0" fillId="0" borderId="0" xfId="0" applyFill="1" applyBorder="1" applyAlignment="1">
      <alignment horizontal="center" vertical="center"/>
    </xf>
    <xf numFmtId="0" fontId="0" fillId="0" borderId="26" xfId="0" applyFill="1" applyBorder="1" applyAlignment="1">
      <alignment horizontal="center" vertical="center"/>
    </xf>
    <xf numFmtId="166" fontId="0" fillId="0" borderId="32" xfId="3" applyNumberFormat="1" applyFont="1" applyBorder="1" applyAlignment="1">
      <alignment horizontal="center" vertical="center"/>
    </xf>
    <xf numFmtId="166" fontId="0" fillId="0" borderId="6" xfId="3" applyNumberFormat="1" applyFont="1" applyBorder="1" applyAlignment="1">
      <alignment horizontal="center" vertical="center"/>
    </xf>
    <xf numFmtId="1" fontId="0" fillId="0" borderId="19" xfId="0" applyNumberFormat="1" applyBorder="1" applyAlignment="1">
      <alignment horizontal="center" vertical="center"/>
    </xf>
    <xf numFmtId="0" fontId="0" fillId="14" borderId="3" xfId="0" applyFill="1" applyBorder="1" applyAlignment="1">
      <alignment horizontal="left" vertical="center" wrapText="1"/>
    </xf>
    <xf numFmtId="0" fontId="0" fillId="14" borderId="5" xfId="0" applyFill="1" applyBorder="1" applyAlignment="1">
      <alignment horizontal="left" vertical="center" wrapText="1"/>
    </xf>
    <xf numFmtId="0" fontId="0" fillId="14" borderId="3" xfId="0" applyFill="1" applyBorder="1" applyAlignment="1">
      <alignment horizontal="left"/>
    </xf>
    <xf numFmtId="0" fontId="0" fillId="14" borderId="5" xfId="0" applyFill="1" applyBorder="1" applyAlignment="1">
      <alignment horizontal="left"/>
    </xf>
    <xf numFmtId="0" fontId="0" fillId="5" borderId="3" xfId="0" applyFill="1" applyBorder="1" applyAlignment="1">
      <alignment horizontal="left"/>
    </xf>
    <xf numFmtId="0" fontId="0" fillId="5" borderId="5" xfId="0" applyFill="1" applyBorder="1" applyAlignment="1">
      <alignment horizontal="left"/>
    </xf>
    <xf numFmtId="0" fontId="0" fillId="10" borderId="1" xfId="0" applyFill="1" applyBorder="1" applyAlignment="1">
      <alignment horizontal="center"/>
    </xf>
    <xf numFmtId="0" fontId="0" fillId="15" borderId="1" xfId="0" applyFill="1" applyBorder="1" applyAlignment="1">
      <alignment horizontal="center" vertical="center" wrapText="1"/>
    </xf>
    <xf numFmtId="0" fontId="0" fillId="15" borderId="1" xfId="0" applyFill="1" applyBorder="1" applyAlignment="1">
      <alignment horizontal="center"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0" fillId="0" borderId="1" xfId="0" applyBorder="1" applyAlignment="1">
      <alignment horizontal="center"/>
    </xf>
    <xf numFmtId="0" fontId="0" fillId="0" borderId="6" xfId="0" applyBorder="1" applyAlignment="1">
      <alignment horizontal="center" wrapText="1"/>
    </xf>
    <xf numFmtId="0" fontId="2" fillId="0" borderId="1" xfId="0" applyFont="1" applyFill="1" applyBorder="1" applyAlignment="1">
      <alignment horizontal="center"/>
    </xf>
    <xf numFmtId="166" fontId="0" fillId="5" borderId="0" xfId="0" applyNumberFormat="1" applyFill="1" applyAlignment="1">
      <alignment horizontal="center" vertical="center"/>
    </xf>
  </cellXfs>
  <cellStyles count="9">
    <cellStyle name="Comma" xfId="3" builtinId="3"/>
    <cellStyle name="Currency" xfId="1" builtinId="4"/>
    <cellStyle name="Normal" xfId="0" builtinId="0"/>
    <cellStyle name="Normal_Low" xfId="8"/>
    <cellStyle name="Normal_Low use" xfId="5"/>
    <cellStyle name="Normal_Low use_1" xfId="6"/>
    <cellStyle name="Normal_No VDECS" xfId="4"/>
    <cellStyle name="Normal_Sheet1"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E%20Amendments%202011/Fiscal%20Analyses/Humboldt%20Off-Road%20vs%20CHE%20Cost%20Compari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mboldt Off-Road"/>
      <sheetName val="Humboldt CHE Amend"/>
    </sheetNames>
    <sheetDataSet>
      <sheetData sheetId="0">
        <row r="21">
          <cell r="CR21">
            <v>1599220.9730457237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18"/>
  <sheetViews>
    <sheetView tabSelected="1" workbookViewId="0"/>
  </sheetViews>
  <sheetFormatPr defaultRowHeight="15" x14ac:dyDescent="0.25"/>
  <cols>
    <col min="1" max="1" width="72.7109375" style="3" customWidth="1"/>
    <col min="2" max="2" width="6.140625" style="117" customWidth="1"/>
    <col min="3" max="3" width="7.42578125" style="117" customWidth="1"/>
    <col min="4" max="4" width="14.7109375" bestFit="1" customWidth="1"/>
    <col min="5" max="5" width="3.140625" customWidth="1"/>
    <col min="6" max="6" width="12.5703125" customWidth="1"/>
  </cols>
  <sheetData>
    <row r="2" spans="1:6" x14ac:dyDescent="0.25">
      <c r="A2" s="3" t="s">
        <v>250</v>
      </c>
      <c r="B2" s="117" t="s">
        <v>251</v>
      </c>
      <c r="C2" s="117" t="s">
        <v>223</v>
      </c>
      <c r="D2" t="s">
        <v>12</v>
      </c>
    </row>
    <row r="3" spans="1:6" x14ac:dyDescent="0.25">
      <c r="A3" s="3" t="s">
        <v>252</v>
      </c>
      <c r="C3" s="117" t="s">
        <v>253</v>
      </c>
    </row>
    <row r="4" spans="1:6" x14ac:dyDescent="0.25">
      <c r="A4" s="3" t="s">
        <v>254</v>
      </c>
      <c r="C4" s="117" t="s">
        <v>253</v>
      </c>
      <c r="D4" s="304">
        <f>'No VDECS $ PV'!M23</f>
        <v>-4319592.8354837392</v>
      </c>
      <c r="E4" s="4"/>
    </row>
    <row r="5" spans="1:6" x14ac:dyDescent="0.25">
      <c r="A5" s="3" t="s">
        <v>255</v>
      </c>
      <c r="C5" s="117" t="s">
        <v>253</v>
      </c>
      <c r="D5" s="304">
        <f>'Low-Use $ PV'!M23</f>
        <v>-3313230.5077592684</v>
      </c>
      <c r="E5" s="4"/>
    </row>
    <row r="6" spans="1:6" ht="30" x14ac:dyDescent="0.25">
      <c r="A6" s="3" t="s">
        <v>256</v>
      </c>
      <c r="C6" s="117" t="s">
        <v>253</v>
      </c>
      <c r="D6" s="305">
        <v>-980000</v>
      </c>
      <c r="E6" s="4"/>
    </row>
    <row r="7" spans="1:6" ht="15" customHeight="1" x14ac:dyDescent="0.25">
      <c r="A7" s="3" t="s">
        <v>257</v>
      </c>
      <c r="B7" s="117" t="s">
        <v>253</v>
      </c>
      <c r="D7" s="306">
        <f>'Opacity $ PV'!G37</f>
        <v>2115572.2324139955</v>
      </c>
      <c r="E7" s="307" t="s">
        <v>276</v>
      </c>
      <c r="F7" s="306">
        <f>'Opacity $ PV'!G21</f>
        <v>3016310.1936783292</v>
      </c>
    </row>
    <row r="8" spans="1:6" x14ac:dyDescent="0.25">
      <c r="A8" s="3" t="s">
        <v>258</v>
      </c>
      <c r="C8" s="117" t="s">
        <v>253</v>
      </c>
      <c r="D8">
        <v>0</v>
      </c>
    </row>
    <row r="9" spans="1:6" x14ac:dyDescent="0.25">
      <c r="A9" s="3" t="s">
        <v>259</v>
      </c>
      <c r="C9" s="117" t="s">
        <v>253</v>
      </c>
      <c r="D9" s="305">
        <v>-1400000</v>
      </c>
    </row>
    <row r="10" spans="1:6" x14ac:dyDescent="0.25">
      <c r="A10" s="3" t="s">
        <v>260</v>
      </c>
      <c r="D10">
        <v>0</v>
      </c>
    </row>
    <row r="11" spans="1:6" x14ac:dyDescent="0.25">
      <c r="A11" s="3" t="s">
        <v>261</v>
      </c>
      <c r="C11" s="117" t="s">
        <v>253</v>
      </c>
      <c r="D11">
        <v>0</v>
      </c>
    </row>
    <row r="12" spans="1:6" ht="30" x14ac:dyDescent="0.25">
      <c r="A12" s="3" t="s">
        <v>262</v>
      </c>
      <c r="B12" s="117" t="s">
        <v>253</v>
      </c>
      <c r="D12" s="304">
        <f>'FEL $ PV'!H14</f>
        <v>6041178.5830023531</v>
      </c>
      <c r="E12" s="4"/>
    </row>
    <row r="13" spans="1:6" x14ac:dyDescent="0.25">
      <c r="A13" s="3" t="s">
        <v>263</v>
      </c>
      <c r="C13" s="117" t="s">
        <v>253</v>
      </c>
      <c r="D13">
        <v>0</v>
      </c>
    </row>
    <row r="14" spans="1:6" x14ac:dyDescent="0.25">
      <c r="A14" s="3" t="s">
        <v>264</v>
      </c>
    </row>
    <row r="15" spans="1:6" x14ac:dyDescent="0.25">
      <c r="A15" s="3" t="s">
        <v>265</v>
      </c>
      <c r="D15" s="308">
        <f>SUM(D4:D14)</f>
        <v>-1856072.5278266575</v>
      </c>
      <c r="E15" s="307" t="s">
        <v>276</v>
      </c>
      <c r="F15" s="308">
        <f>SUM(D4:D14)-D7+F7</f>
        <v>-955334.56656232383</v>
      </c>
    </row>
    <row r="18" spans="1:1" x14ac:dyDescent="0.25">
      <c r="A18" s="3" t="s">
        <v>275</v>
      </c>
    </row>
  </sheetData>
  <sheetProtection password="CDC6"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7"/>
  <sheetViews>
    <sheetView workbookViewId="0">
      <selection activeCell="C3" sqref="C3"/>
    </sheetView>
  </sheetViews>
  <sheetFormatPr defaultRowHeight="15" x14ac:dyDescent="0.25"/>
  <cols>
    <col min="1" max="1" width="19.5703125" bestFit="1" customWidth="1"/>
    <col min="2" max="2" width="15.140625" bestFit="1" customWidth="1"/>
    <col min="3" max="3" width="11.42578125" customWidth="1"/>
    <col min="4" max="4" width="13.42578125" customWidth="1"/>
    <col min="5" max="5" width="11.85546875" customWidth="1"/>
    <col min="6" max="6" width="12.140625" customWidth="1"/>
    <col min="7" max="7" width="7.42578125" customWidth="1"/>
    <col min="8" max="8" width="20.85546875" customWidth="1"/>
    <col min="9" max="9" width="10.7109375" customWidth="1"/>
    <col min="10" max="10" width="11.85546875" customWidth="1"/>
    <col min="11" max="12" width="11.28515625" customWidth="1"/>
    <col min="13" max="13" width="10.85546875" customWidth="1"/>
    <col min="14" max="14" width="49.140625" customWidth="1"/>
  </cols>
  <sheetData>
    <row r="1" spans="1:13" ht="30" customHeight="1" x14ac:dyDescent="0.25">
      <c r="A1" s="3" t="s">
        <v>0</v>
      </c>
      <c r="B1" s="3" t="s">
        <v>1</v>
      </c>
      <c r="C1" s="3" t="s">
        <v>2</v>
      </c>
      <c r="H1" s="5" t="s">
        <v>58</v>
      </c>
    </row>
    <row r="2" spans="1:13" x14ac:dyDescent="0.25">
      <c r="A2" t="s">
        <v>3</v>
      </c>
      <c r="B2" s="1">
        <v>-4319600</v>
      </c>
      <c r="C2">
        <v>312</v>
      </c>
    </row>
    <row r="3" spans="1:13" x14ac:dyDescent="0.25">
      <c r="A3" t="s">
        <v>4</v>
      </c>
      <c r="B3" s="1">
        <v>-3313000</v>
      </c>
      <c r="C3">
        <v>176</v>
      </c>
    </row>
    <row r="4" spans="1:13" x14ac:dyDescent="0.25">
      <c r="A4" t="s">
        <v>5</v>
      </c>
      <c r="B4" s="1">
        <v>-1421564</v>
      </c>
      <c r="C4">
        <v>18</v>
      </c>
    </row>
    <row r="5" spans="1:13" x14ac:dyDescent="0.25">
      <c r="A5" t="s">
        <v>6</v>
      </c>
      <c r="B5" s="1">
        <v>6041000</v>
      </c>
      <c r="C5">
        <v>224</v>
      </c>
    </row>
    <row r="6" spans="1:13" ht="15" customHeight="1" x14ac:dyDescent="0.25">
      <c r="J6" s="397" t="s">
        <v>54</v>
      </c>
      <c r="K6" s="397"/>
      <c r="L6" s="397"/>
    </row>
    <row r="7" spans="1:13" ht="30" x14ac:dyDescent="0.25">
      <c r="B7" s="1">
        <v>4050</v>
      </c>
      <c r="H7" s="8" t="s">
        <v>41</v>
      </c>
      <c r="I7" s="40" t="s">
        <v>55</v>
      </c>
      <c r="J7" s="34" t="s">
        <v>294</v>
      </c>
      <c r="K7" s="35" t="s">
        <v>295</v>
      </c>
      <c r="L7" s="35" t="s">
        <v>14</v>
      </c>
      <c r="M7" s="35" t="s">
        <v>43</v>
      </c>
    </row>
    <row r="8" spans="1:13" x14ac:dyDescent="0.25">
      <c r="A8" t="s">
        <v>7</v>
      </c>
      <c r="B8" s="1">
        <v>3</v>
      </c>
      <c r="C8">
        <v>13</v>
      </c>
      <c r="D8">
        <v>32</v>
      </c>
      <c r="E8">
        <v>24</v>
      </c>
      <c r="F8">
        <v>77</v>
      </c>
      <c r="H8" s="8" t="s">
        <v>26</v>
      </c>
      <c r="I8" s="27">
        <v>11</v>
      </c>
      <c r="J8" s="37">
        <v>14</v>
      </c>
      <c r="K8" s="37">
        <v>23</v>
      </c>
      <c r="L8" s="37">
        <f>SUM(J8:K8)</f>
        <v>37</v>
      </c>
      <c r="M8" s="26">
        <v>77</v>
      </c>
    </row>
    <row r="9" spans="1:13" x14ac:dyDescent="0.25">
      <c r="A9" t="s">
        <v>8</v>
      </c>
      <c r="B9" s="2">
        <f>B$8/$B$7*$C$2</f>
        <v>0.2311111111111111</v>
      </c>
      <c r="C9" s="2">
        <f t="shared" ref="C9:F9" si="0">C$8/$B$7*$C$2</f>
        <v>1.0014814814814814</v>
      </c>
      <c r="D9" s="2">
        <f t="shared" si="0"/>
        <v>2.4651851851851854</v>
      </c>
      <c r="E9" s="2">
        <f t="shared" si="0"/>
        <v>1.8488888888888888</v>
      </c>
      <c r="F9" s="2">
        <f t="shared" si="0"/>
        <v>5.9318518518518522</v>
      </c>
      <c r="G9" s="2"/>
      <c r="H9" s="8" t="s">
        <v>8</v>
      </c>
      <c r="I9" s="33">
        <v>2</v>
      </c>
      <c r="J9" s="8">
        <v>2</v>
      </c>
      <c r="K9" s="8">
        <v>2</v>
      </c>
      <c r="L9" s="8">
        <f t="shared" ref="L9:L12" si="1">SUM(J9:K9)</f>
        <v>4</v>
      </c>
      <c r="M9" s="27">
        <v>4</v>
      </c>
    </row>
    <row r="10" spans="1:13" x14ac:dyDescent="0.25">
      <c r="A10" t="s">
        <v>9</v>
      </c>
      <c r="B10" s="2">
        <f>B$8/$B$7*$C$3</f>
        <v>0.13037037037037036</v>
      </c>
      <c r="C10" s="2">
        <f t="shared" ref="C10:F10" si="2">C$8/$B$7*$C$3</f>
        <v>0.56493827160493826</v>
      </c>
      <c r="D10" s="2">
        <f t="shared" si="2"/>
        <v>1.3906172839506172</v>
      </c>
      <c r="E10" s="2">
        <f t="shared" si="2"/>
        <v>1.0429629629629629</v>
      </c>
      <c r="F10" s="2">
        <f t="shared" si="2"/>
        <v>3.3461728395061732</v>
      </c>
      <c r="G10" s="2"/>
      <c r="H10" s="8" t="s">
        <v>9</v>
      </c>
      <c r="I10" s="27">
        <v>1</v>
      </c>
      <c r="J10" s="8">
        <v>2</v>
      </c>
      <c r="K10" s="8">
        <v>1</v>
      </c>
      <c r="L10" s="8">
        <f t="shared" si="1"/>
        <v>3</v>
      </c>
      <c r="M10" s="27">
        <v>2</v>
      </c>
    </row>
    <row r="11" spans="1:13" x14ac:dyDescent="0.25">
      <c r="A11" t="s">
        <v>10</v>
      </c>
      <c r="B11" s="2">
        <f>B$8/$B$7*$C$4</f>
        <v>1.3333333333333332E-2</v>
      </c>
      <c r="C11" s="2">
        <f t="shared" ref="C11:F11" si="3">C$8/$B$7*$C$4</f>
        <v>5.7777777777777775E-2</v>
      </c>
      <c r="D11" s="2">
        <f t="shared" si="3"/>
        <v>0.14222222222222222</v>
      </c>
      <c r="E11" s="2">
        <f t="shared" si="3"/>
        <v>0.10666666666666666</v>
      </c>
      <c r="F11" s="2">
        <f t="shared" si="3"/>
        <v>0.34222222222222221</v>
      </c>
      <c r="G11" s="2"/>
      <c r="H11" s="8" t="s">
        <v>10</v>
      </c>
      <c r="I11" s="27">
        <v>0</v>
      </c>
      <c r="J11" s="8">
        <v>0</v>
      </c>
      <c r="K11" s="8">
        <v>0</v>
      </c>
      <c r="L11" s="8">
        <f t="shared" si="1"/>
        <v>0</v>
      </c>
      <c r="M11" s="27">
        <v>1</v>
      </c>
    </row>
    <row r="12" spans="1:13" x14ac:dyDescent="0.25">
      <c r="A12" t="s">
        <v>11</v>
      </c>
      <c r="B12" s="2">
        <f>B$8/$B$7*$C$5</f>
        <v>0.16592592592592592</v>
      </c>
      <c r="C12" s="2">
        <f t="shared" ref="C12:F12" si="4">C$8/$B$7*$C$5</f>
        <v>0.71901234567901229</v>
      </c>
      <c r="D12" s="2">
        <f t="shared" si="4"/>
        <v>1.7698765432098766</v>
      </c>
      <c r="E12" s="2">
        <f t="shared" si="4"/>
        <v>1.3274074074074074</v>
      </c>
      <c r="F12" s="2">
        <f t="shared" si="4"/>
        <v>4.258765432098766</v>
      </c>
      <c r="G12" s="2"/>
      <c r="H12" s="8" t="s">
        <v>11</v>
      </c>
      <c r="I12" s="27">
        <v>1</v>
      </c>
      <c r="J12" s="8">
        <v>1</v>
      </c>
      <c r="K12" s="8">
        <v>1</v>
      </c>
      <c r="L12" s="8">
        <f t="shared" si="1"/>
        <v>2</v>
      </c>
      <c r="M12" s="27">
        <v>4</v>
      </c>
    </row>
    <row r="13" spans="1:13" x14ac:dyDescent="0.25">
      <c r="H13" s="392" t="s">
        <v>44</v>
      </c>
      <c r="I13" s="392"/>
      <c r="J13" s="392"/>
      <c r="K13" s="392"/>
      <c r="L13" s="392"/>
      <c r="M13" s="392"/>
    </row>
    <row r="14" spans="1:13" x14ac:dyDescent="0.25">
      <c r="H14" s="8" t="s">
        <v>3</v>
      </c>
      <c r="I14" s="30">
        <f t="shared" ref="I14:M14" si="5">I9/$C$2*$B$2</f>
        <v>-27689.74358974359</v>
      </c>
      <c r="J14" s="6">
        <f t="shared" si="5"/>
        <v>-27689.74358974359</v>
      </c>
      <c r="K14" s="6">
        <f t="shared" si="5"/>
        <v>-27689.74358974359</v>
      </c>
      <c r="L14" s="6">
        <f t="shared" ref="L14:L19" si="6">SUM(J14:K14)</f>
        <v>-55379.48717948718</v>
      </c>
      <c r="M14" s="30">
        <f t="shared" si="5"/>
        <v>-55379.48717948718</v>
      </c>
    </row>
    <row r="15" spans="1:13" x14ac:dyDescent="0.25">
      <c r="H15" s="8" t="s">
        <v>4</v>
      </c>
      <c r="I15" s="30">
        <f>I10/$C$3*$B$3</f>
        <v>-18823.863636363636</v>
      </c>
      <c r="J15" s="6">
        <f t="shared" ref="J15" si="7">J10/$C$3*$B$3</f>
        <v>-37647.727272727272</v>
      </c>
      <c r="K15" s="6">
        <f t="shared" ref="K15:M15" si="8">K10/$C$3*$B$3</f>
        <v>-18823.863636363636</v>
      </c>
      <c r="L15" s="6">
        <f t="shared" si="6"/>
        <v>-56471.590909090912</v>
      </c>
      <c r="M15" s="30">
        <f t="shared" si="8"/>
        <v>-37647.727272727272</v>
      </c>
    </row>
    <row r="16" spans="1:13" x14ac:dyDescent="0.25">
      <c r="H16" s="8" t="s">
        <v>5</v>
      </c>
      <c r="I16" s="30">
        <f>I11/$C$4*$B$4</f>
        <v>0</v>
      </c>
      <c r="J16" s="6">
        <f t="shared" ref="J16" si="9">J11/$C$4*$B$4</f>
        <v>0</v>
      </c>
      <c r="K16" s="6">
        <f t="shared" ref="K16:M16" si="10">K11/$C$4*$B$4</f>
        <v>0</v>
      </c>
      <c r="L16" s="6">
        <f t="shared" si="6"/>
        <v>0</v>
      </c>
      <c r="M16" s="30">
        <f t="shared" si="10"/>
        <v>-78975.777777777766</v>
      </c>
    </row>
    <row r="17" spans="1:14" x14ac:dyDescent="0.25">
      <c r="H17" s="8" t="s">
        <v>6</v>
      </c>
      <c r="I17" s="30">
        <f>I12/$C$5*$B$5</f>
        <v>26968.75</v>
      </c>
      <c r="J17" s="6">
        <f t="shared" ref="J17" si="11">J12/$C$5*$B$5</f>
        <v>26968.75</v>
      </c>
      <c r="K17" s="6">
        <f t="shared" ref="K17:M17" si="12">K12/$C$5*$B$5</f>
        <v>26968.75</v>
      </c>
      <c r="L17" s="6">
        <f t="shared" si="6"/>
        <v>53937.5</v>
      </c>
      <c r="M17" s="30">
        <f t="shared" si="12"/>
        <v>107875</v>
      </c>
    </row>
    <row r="18" spans="1:14" ht="30" x14ac:dyDescent="0.25">
      <c r="H18" s="12" t="s">
        <v>13</v>
      </c>
      <c r="I18" s="31">
        <f>I8*60*9</f>
        <v>5940</v>
      </c>
      <c r="J18" s="11">
        <f t="shared" ref="J18" si="13">J8*60*9</f>
        <v>7560</v>
      </c>
      <c r="K18" s="11">
        <f t="shared" ref="K18" si="14">K8*60*9</f>
        <v>12420</v>
      </c>
      <c r="L18" s="11">
        <f t="shared" si="6"/>
        <v>19980</v>
      </c>
      <c r="M18" s="31">
        <f>5500+2*1950+$M$8*50*9</f>
        <v>44050</v>
      </c>
      <c r="N18" s="38" t="s">
        <v>15</v>
      </c>
    </row>
    <row r="19" spans="1:14" x14ac:dyDescent="0.25">
      <c r="A19" t="s">
        <v>31</v>
      </c>
      <c r="H19" s="12" t="s">
        <v>14</v>
      </c>
      <c r="I19" s="31">
        <f>SUM(I14:I18)</f>
        <v>-13604.857226107226</v>
      </c>
      <c r="J19" s="11">
        <f t="shared" ref="J19" si="15">SUM(J14:J18)</f>
        <v>-30808.720862470858</v>
      </c>
      <c r="K19" s="11">
        <f t="shared" ref="K19:M19" si="16">SUM(K14:K18)</f>
        <v>-7124.8572261072259</v>
      </c>
      <c r="L19" s="11">
        <f t="shared" si="6"/>
        <v>-37933.578088578084</v>
      </c>
      <c r="M19" s="31">
        <f t="shared" si="16"/>
        <v>-20077.992229992233</v>
      </c>
    </row>
    <row r="20" spans="1:14" ht="30" customHeight="1" x14ac:dyDescent="0.25">
      <c r="B20" s="3" t="s">
        <v>18</v>
      </c>
      <c r="C20" s="3" t="s">
        <v>19</v>
      </c>
      <c r="D20" s="3" t="s">
        <v>20</v>
      </c>
      <c r="E20" s="3" t="s">
        <v>21</v>
      </c>
      <c r="F20" s="3" t="s">
        <v>22</v>
      </c>
      <c r="I20" s="41"/>
      <c r="L20" s="36"/>
    </row>
    <row r="21" spans="1:14" x14ac:dyDescent="0.25">
      <c r="B21" t="s">
        <v>25</v>
      </c>
      <c r="H21" s="12" t="s">
        <v>37</v>
      </c>
      <c r="I21" s="398" t="s">
        <v>56</v>
      </c>
      <c r="J21" s="398"/>
      <c r="K21" s="398"/>
      <c r="L21" s="398"/>
      <c r="M21" s="398"/>
      <c r="N21" s="3"/>
    </row>
    <row r="22" spans="1:14" x14ac:dyDescent="0.25">
      <c r="B22" s="10">
        <f>(B27+B28+B29)</f>
        <v>0.46972017137743455</v>
      </c>
      <c r="C22" s="10">
        <f t="shared" ref="C22:F22" si="17">(C27+C28+C29)</f>
        <v>0.33617246771774567</v>
      </c>
      <c r="D22" s="10">
        <f t="shared" si="17"/>
        <v>1</v>
      </c>
      <c r="E22" s="10">
        <f t="shared" si="17"/>
        <v>1</v>
      </c>
      <c r="F22" s="10">
        <f t="shared" si="17"/>
        <v>0.26160061769275555</v>
      </c>
      <c r="H22" s="8" t="s">
        <v>8</v>
      </c>
      <c r="I22" s="28">
        <f t="shared" ref="I22:M22" si="18">I9*$B$22</f>
        <v>0.9394403427548691</v>
      </c>
      <c r="J22" s="14">
        <f t="shared" ref="J22" si="19">J9*$B$22</f>
        <v>0.9394403427548691</v>
      </c>
      <c r="K22" s="14">
        <f t="shared" si="18"/>
        <v>0.9394403427548691</v>
      </c>
      <c r="L22" s="14"/>
      <c r="M22" s="28">
        <f t="shared" si="18"/>
        <v>1.8788806855097382</v>
      </c>
      <c r="N22" s="3"/>
    </row>
    <row r="23" spans="1:14" x14ac:dyDescent="0.25">
      <c r="H23" s="8" t="s">
        <v>9</v>
      </c>
      <c r="I23" s="28">
        <f t="shared" ref="I23:M23" si="20">I10*$D$22</f>
        <v>1</v>
      </c>
      <c r="J23" s="14">
        <f t="shared" ref="J23" si="21">J10*$D$22</f>
        <v>2</v>
      </c>
      <c r="K23" s="14">
        <f t="shared" si="20"/>
        <v>1</v>
      </c>
      <c r="L23" s="14"/>
      <c r="M23" s="28">
        <f t="shared" si="20"/>
        <v>2</v>
      </c>
      <c r="N23" s="3"/>
    </row>
    <row r="24" spans="1:14" x14ac:dyDescent="0.25">
      <c r="H24" s="8" t="s">
        <v>10</v>
      </c>
      <c r="I24" s="28">
        <f t="shared" ref="I24:M24" si="22">I11*$F$22</f>
        <v>0</v>
      </c>
      <c r="J24" s="14">
        <f t="shared" ref="J24" si="23">J11*$F$22</f>
        <v>0</v>
      </c>
      <c r="K24" s="14">
        <f t="shared" si="22"/>
        <v>0</v>
      </c>
      <c r="L24" s="14"/>
      <c r="M24" s="28">
        <f t="shared" si="22"/>
        <v>0.26160061769275555</v>
      </c>
      <c r="N24" s="3"/>
    </row>
    <row r="25" spans="1:14" x14ac:dyDescent="0.25">
      <c r="B25" t="s">
        <v>23</v>
      </c>
      <c r="H25" s="8" t="s">
        <v>11</v>
      </c>
      <c r="I25" s="28">
        <f t="shared" ref="I25:M25" si="24">I12*$C$22</f>
        <v>0.33617246771774567</v>
      </c>
      <c r="J25" s="14">
        <f t="shared" ref="J25" si="25">J12*$C$22</f>
        <v>0.33617246771774567</v>
      </c>
      <c r="K25" s="14">
        <f t="shared" si="24"/>
        <v>0.33617246771774567</v>
      </c>
      <c r="L25" s="14"/>
      <c r="M25" s="28">
        <f t="shared" si="24"/>
        <v>1.3446898708709827</v>
      </c>
      <c r="N25" s="3"/>
    </row>
    <row r="26" spans="1:14" x14ac:dyDescent="0.25">
      <c r="A26" t="s">
        <v>17</v>
      </c>
      <c r="B26" t="s">
        <v>18</v>
      </c>
      <c r="C26" t="s">
        <v>19</v>
      </c>
      <c r="D26" t="s">
        <v>20</v>
      </c>
      <c r="E26" t="s">
        <v>21</v>
      </c>
      <c r="F26" t="s">
        <v>22</v>
      </c>
      <c r="I26" s="26"/>
      <c r="M26" s="26"/>
      <c r="N26" s="3"/>
    </row>
    <row r="27" spans="1:14" x14ac:dyDescent="0.25">
      <c r="A27">
        <v>2011</v>
      </c>
      <c r="B27" s="9">
        <f>B41/B$51</f>
        <v>5.9580531571549571E-2</v>
      </c>
      <c r="C27" s="9">
        <f t="shared" ref="B27:E29" si="26">C41/C$51</f>
        <v>0</v>
      </c>
      <c r="D27" s="9">
        <f t="shared" si="26"/>
        <v>0.44311927750259184</v>
      </c>
      <c r="E27" s="9">
        <f t="shared" si="26"/>
        <v>0.30851472634331056</v>
      </c>
      <c r="F27" s="9"/>
      <c r="I27" s="392" t="s">
        <v>24</v>
      </c>
      <c r="J27" s="392"/>
      <c r="K27" s="392"/>
      <c r="L27" s="392"/>
      <c r="M27" s="392"/>
      <c r="N27" s="3"/>
    </row>
    <row r="28" spans="1:14" x14ac:dyDescent="0.25">
      <c r="A28">
        <v>2012</v>
      </c>
      <c r="B28" s="9">
        <f t="shared" si="26"/>
        <v>0.13959305110298137</v>
      </c>
      <c r="C28" s="9">
        <f t="shared" si="26"/>
        <v>0.16862927799219943</v>
      </c>
      <c r="D28" s="9">
        <f t="shared" si="26"/>
        <v>0.33009007547246727</v>
      </c>
      <c r="E28" s="9">
        <f t="shared" si="26"/>
        <v>0.57098357397318222</v>
      </c>
      <c r="F28" s="9">
        <f t="shared" ref="F28:F36" si="27">F42/F$51</f>
        <v>0.13399045733766438</v>
      </c>
      <c r="H28" s="8" t="s">
        <v>8</v>
      </c>
      <c r="I28" s="29">
        <f t="shared" ref="I28:M28" si="28">ROUND(I22,0)</f>
        <v>1</v>
      </c>
      <c r="J28" s="13">
        <f t="shared" ref="J28" si="29">ROUND(J22,0)</f>
        <v>1</v>
      </c>
      <c r="K28" s="13">
        <f t="shared" si="28"/>
        <v>1</v>
      </c>
      <c r="L28" s="8">
        <f t="shared" ref="L28:L31" si="30">SUM(J28:K28)</f>
        <v>2</v>
      </c>
      <c r="M28" s="29">
        <f t="shared" si="28"/>
        <v>2</v>
      </c>
      <c r="N28" s="3"/>
    </row>
    <row r="29" spans="1:14" x14ac:dyDescent="0.25">
      <c r="A29">
        <v>2013</v>
      </c>
      <c r="B29" s="9">
        <f t="shared" si="26"/>
        <v>0.2705465887029036</v>
      </c>
      <c r="C29" s="9">
        <f t="shared" si="26"/>
        <v>0.16754318972554627</v>
      </c>
      <c r="D29" s="9">
        <f t="shared" si="26"/>
        <v>0.22679064702494087</v>
      </c>
      <c r="E29" s="9">
        <f t="shared" si="26"/>
        <v>0.12050169968350721</v>
      </c>
      <c r="F29" s="9">
        <f t="shared" si="27"/>
        <v>0.12761016035509118</v>
      </c>
      <c r="H29" s="8" t="s">
        <v>9</v>
      </c>
      <c r="I29" s="29">
        <f t="shared" ref="I29:M29" si="31">ROUND(I23,0)</f>
        <v>1</v>
      </c>
      <c r="J29" s="13">
        <f t="shared" ref="J29" si="32">ROUND(J23,0)</f>
        <v>2</v>
      </c>
      <c r="K29" s="13">
        <f t="shared" si="31"/>
        <v>1</v>
      </c>
      <c r="L29" s="8">
        <f t="shared" si="30"/>
        <v>3</v>
      </c>
      <c r="M29" s="29">
        <f t="shared" si="31"/>
        <v>2</v>
      </c>
      <c r="N29" s="3"/>
    </row>
    <row r="30" spans="1:14" x14ac:dyDescent="0.25">
      <c r="A30">
        <v>2014</v>
      </c>
      <c r="B30" s="9">
        <f>B44/B$51</f>
        <v>0.27347788054362027</v>
      </c>
      <c r="C30" s="9">
        <f>C44/C$51</f>
        <v>0.25177711734699448</v>
      </c>
      <c r="D30" s="9"/>
      <c r="E30" s="9"/>
      <c r="F30" s="9">
        <f t="shared" si="27"/>
        <v>0.12153375403365044</v>
      </c>
      <c r="H30" s="8" t="s">
        <v>10</v>
      </c>
      <c r="I30" s="29">
        <f t="shared" ref="I30:M30" si="33">ROUND(I24,0)</f>
        <v>0</v>
      </c>
      <c r="J30" s="13">
        <f t="shared" ref="J30" si="34">ROUND(J24,0)</f>
        <v>0</v>
      </c>
      <c r="K30" s="13">
        <f t="shared" si="33"/>
        <v>0</v>
      </c>
      <c r="L30" s="8">
        <f t="shared" si="30"/>
        <v>0</v>
      </c>
      <c r="M30" s="29">
        <f t="shared" si="33"/>
        <v>0</v>
      </c>
      <c r="N30" s="3"/>
    </row>
    <row r="31" spans="1:14" x14ac:dyDescent="0.25">
      <c r="A31">
        <v>2015</v>
      </c>
      <c r="B31" s="9">
        <f>B45/B$51</f>
        <v>0.25680194807894507</v>
      </c>
      <c r="C31" s="9">
        <f>C45/C$51</f>
        <v>0.22306795686016404</v>
      </c>
      <c r="D31" s="9"/>
      <c r="E31" s="9"/>
      <c r="F31" s="9">
        <f t="shared" si="27"/>
        <v>0.11574576246004377</v>
      </c>
      <c r="H31" s="8" t="s">
        <v>11</v>
      </c>
      <c r="I31" s="29">
        <f t="shared" ref="I31:M31" si="35">ROUND(I25,0)</f>
        <v>0</v>
      </c>
      <c r="J31" s="13">
        <f t="shared" ref="J31" si="36">ROUND(J25,0)</f>
        <v>0</v>
      </c>
      <c r="K31" s="13">
        <f t="shared" si="35"/>
        <v>0</v>
      </c>
      <c r="L31" s="8">
        <f t="shared" si="30"/>
        <v>0</v>
      </c>
      <c r="M31" s="29">
        <f t="shared" si="35"/>
        <v>1</v>
      </c>
      <c r="N31" s="3"/>
    </row>
    <row r="32" spans="1:14" x14ac:dyDescent="0.25">
      <c r="A32">
        <v>2016</v>
      </c>
      <c r="B32" s="8"/>
      <c r="C32" s="9">
        <f>C46/C$51</f>
        <v>0.18898245807509573</v>
      </c>
      <c r="D32" s="9"/>
      <c r="E32" s="9"/>
      <c r="F32" s="9">
        <f t="shared" si="27"/>
        <v>0.11023422697399514</v>
      </c>
      <c r="I32" s="26"/>
      <c r="M32" s="26"/>
    </row>
    <row r="33" spans="1:13" x14ac:dyDescent="0.25">
      <c r="A33">
        <v>2017</v>
      </c>
      <c r="B33" s="8"/>
      <c r="C33" s="9">
        <f>C47/C$51</f>
        <v>0</v>
      </c>
      <c r="D33" s="9"/>
      <c r="E33" s="9"/>
      <c r="F33" s="9">
        <f t="shared" si="27"/>
        <v>0.10498507856341506</v>
      </c>
      <c r="H33" s="5" t="s">
        <v>38</v>
      </c>
      <c r="I33" t="s">
        <v>16</v>
      </c>
      <c r="M33" s="26"/>
    </row>
    <row r="34" spans="1:13" x14ac:dyDescent="0.25">
      <c r="A34">
        <v>2018</v>
      </c>
      <c r="B34" s="8"/>
      <c r="C34" s="9">
        <f>C48/C$51</f>
        <v>0</v>
      </c>
      <c r="D34" s="9"/>
      <c r="E34" s="9"/>
      <c r="F34" s="9">
        <f t="shared" si="27"/>
        <v>9.9985842253590612E-2</v>
      </c>
      <c r="I34" s="393" t="s">
        <v>12</v>
      </c>
      <c r="J34" s="394"/>
      <c r="K34" s="394"/>
      <c r="L34" s="394"/>
      <c r="M34" s="395"/>
    </row>
    <row r="35" spans="1:13" x14ac:dyDescent="0.25">
      <c r="A35">
        <v>2019</v>
      </c>
      <c r="B35" s="8"/>
      <c r="C35" s="8"/>
      <c r="D35" s="9"/>
      <c r="E35" s="9"/>
      <c r="F35" s="9">
        <f t="shared" si="27"/>
        <v>9.5224611670086293E-2</v>
      </c>
      <c r="H35" s="8" t="s">
        <v>3</v>
      </c>
      <c r="I35" s="30">
        <f t="shared" ref="I35:M35" si="37">(I28/I9)*I14</f>
        <v>-13844.871794871795</v>
      </c>
      <c r="J35" s="6">
        <f t="shared" ref="J35" si="38">(J28/J9)*J14</f>
        <v>-13844.871794871795</v>
      </c>
      <c r="K35" s="6">
        <f t="shared" si="37"/>
        <v>-13844.871794871795</v>
      </c>
      <c r="L35" s="6">
        <f t="shared" ref="L35:L40" si="39">SUM(J35:K35)</f>
        <v>-27689.74358974359</v>
      </c>
      <c r="M35" s="30">
        <f t="shared" si="37"/>
        <v>-27689.74358974359</v>
      </c>
    </row>
    <row r="36" spans="1:13" x14ac:dyDescent="0.25">
      <c r="A36">
        <v>2020</v>
      </c>
      <c r="B36" s="8"/>
      <c r="C36" s="8"/>
      <c r="D36" s="9"/>
      <c r="E36" s="9"/>
      <c r="F36" s="9">
        <f t="shared" si="27"/>
        <v>9.0690106352463135E-2</v>
      </c>
      <c r="H36" s="8" t="s">
        <v>4</v>
      </c>
      <c r="I36" s="30">
        <f t="shared" ref="I36:M36" si="40">(I29/I10)*I15</f>
        <v>-18823.863636363636</v>
      </c>
      <c r="J36" s="6">
        <f t="shared" ref="J36" si="41">(J29/J10)*J15</f>
        <v>-37647.727272727272</v>
      </c>
      <c r="K36" s="6">
        <f t="shared" si="40"/>
        <v>-18823.863636363636</v>
      </c>
      <c r="L36" s="6">
        <f t="shared" si="39"/>
        <v>-56471.590909090912</v>
      </c>
      <c r="M36" s="30">
        <f t="shared" si="40"/>
        <v>-37647.727272727272</v>
      </c>
    </row>
    <row r="37" spans="1:13" x14ac:dyDescent="0.25">
      <c r="A37" t="s">
        <v>14</v>
      </c>
      <c r="B37" s="10">
        <f>SUM(B27:B36)</f>
        <v>0.99999999999999989</v>
      </c>
      <c r="C37" s="10">
        <f t="shared" ref="C37:F37" si="42">SUM(C27:C36)</f>
        <v>0.99999999999999989</v>
      </c>
      <c r="D37" s="10">
        <f t="shared" si="42"/>
        <v>1</v>
      </c>
      <c r="E37" s="10">
        <f t="shared" si="42"/>
        <v>1</v>
      </c>
      <c r="F37" s="10">
        <f t="shared" si="42"/>
        <v>1</v>
      </c>
      <c r="H37" s="8" t="s">
        <v>5</v>
      </c>
      <c r="I37" s="30"/>
      <c r="J37" s="6"/>
      <c r="K37" s="6"/>
      <c r="L37" s="6">
        <f t="shared" si="39"/>
        <v>0</v>
      </c>
      <c r="M37" s="30">
        <f t="shared" ref="M37" si="43">(M30/M11)*M16</f>
        <v>0</v>
      </c>
    </row>
    <row r="38" spans="1:13" x14ac:dyDescent="0.25">
      <c r="H38" s="8" t="s">
        <v>6</v>
      </c>
      <c r="I38" s="30">
        <f t="shared" ref="I38:M38" si="44">(I31/I12)*I17</f>
        <v>0</v>
      </c>
      <c r="J38" s="6">
        <v>0</v>
      </c>
      <c r="K38" s="6">
        <f t="shared" si="44"/>
        <v>0</v>
      </c>
      <c r="L38" s="6">
        <f t="shared" si="39"/>
        <v>0</v>
      </c>
      <c r="M38" s="30">
        <f t="shared" si="44"/>
        <v>26968.75</v>
      </c>
    </row>
    <row r="39" spans="1:13" x14ac:dyDescent="0.25">
      <c r="H39" s="8" t="s">
        <v>39</v>
      </c>
      <c r="I39" s="30"/>
      <c r="J39" s="6"/>
      <c r="K39" s="6"/>
      <c r="L39" s="6">
        <f t="shared" si="39"/>
        <v>0</v>
      </c>
      <c r="M39" s="30">
        <f>5500+2*1950</f>
        <v>9400</v>
      </c>
    </row>
    <row r="40" spans="1:13" x14ac:dyDescent="0.25">
      <c r="H40" s="12" t="s">
        <v>14</v>
      </c>
      <c r="I40" s="31">
        <f>SUM(I34:I39)</f>
        <v>-32668.735431235429</v>
      </c>
      <c r="J40" s="11">
        <f t="shared" ref="J40" si="45">SUM(J34:J39)</f>
        <v>-51492.599067599069</v>
      </c>
      <c r="K40" s="11">
        <f t="shared" ref="K40:M40" si="46">SUM(K34:K39)</f>
        <v>-32668.735431235429</v>
      </c>
      <c r="L40" s="6">
        <f t="shared" si="39"/>
        <v>-84161.334498834505</v>
      </c>
      <c r="M40" s="31">
        <f t="shared" si="46"/>
        <v>-28968.720862470858</v>
      </c>
    </row>
    <row r="41" spans="1:13" x14ac:dyDescent="0.25">
      <c r="A41">
        <v>2011</v>
      </c>
      <c r="B41" s="6">
        <v>-257363.63731077826</v>
      </c>
      <c r="C41" s="6">
        <v>0</v>
      </c>
      <c r="D41" s="6">
        <v>-1468156.3087978326</v>
      </c>
      <c r="E41" s="6">
        <v>-302673</v>
      </c>
      <c r="F41" s="6"/>
      <c r="I41" s="26"/>
      <c r="L41" s="4"/>
      <c r="M41" s="26"/>
    </row>
    <row r="42" spans="1:13" x14ac:dyDescent="0.25">
      <c r="A42">
        <v>2012</v>
      </c>
      <c r="B42" s="6">
        <v>-602985.14342775382</v>
      </c>
      <c r="C42" s="6">
        <v>1018719.5826736252</v>
      </c>
      <c r="D42" s="6">
        <v>-1093664.508363938</v>
      </c>
      <c r="E42" s="6">
        <v>-560172</v>
      </c>
      <c r="F42" s="6">
        <v>-190476</v>
      </c>
      <c r="I42" s="396" t="s">
        <v>57</v>
      </c>
      <c r="J42" s="396"/>
      <c r="K42" s="396"/>
      <c r="L42" s="396"/>
      <c r="M42" s="396"/>
    </row>
    <row r="43" spans="1:13" x14ac:dyDescent="0.25">
      <c r="A43">
        <v>2013</v>
      </c>
      <c r="B43" s="6">
        <v>-1168651.1062256284</v>
      </c>
      <c r="C43" s="6">
        <v>1012158.3294978701</v>
      </c>
      <c r="D43" s="6">
        <v>-751409.69059749786</v>
      </c>
      <c r="E43" s="6">
        <v>-118220</v>
      </c>
      <c r="F43" s="6">
        <v>-181406</v>
      </c>
      <c r="H43" s="8" t="s">
        <v>40</v>
      </c>
      <c r="I43" s="30">
        <f>I8*60</f>
        <v>660</v>
      </c>
      <c r="J43" s="6">
        <f>J8*60</f>
        <v>840</v>
      </c>
      <c r="K43" s="6">
        <f>K8*60</f>
        <v>1380</v>
      </c>
      <c r="L43" s="6">
        <f>SUM(J43:K43)</f>
        <v>2220</v>
      </c>
      <c r="M43" s="30">
        <f>$M$8*50</f>
        <v>3850</v>
      </c>
    </row>
    <row r="44" spans="1:13" x14ac:dyDescent="0.25">
      <c r="A44">
        <v>2014</v>
      </c>
      <c r="B44" s="6">
        <v>-1181313.0934595</v>
      </c>
      <c r="C44" s="6">
        <v>1521030.5290067333</v>
      </c>
      <c r="D44" s="6">
        <v>0</v>
      </c>
      <c r="E44" s="6"/>
      <c r="F44" s="6">
        <v>-172768</v>
      </c>
    </row>
    <row r="45" spans="1:13" x14ac:dyDescent="0.25">
      <c r="A45">
        <v>2015</v>
      </c>
      <c r="B45" s="6">
        <v>-1109279.8550600782</v>
      </c>
      <c r="C45" s="6">
        <v>1347593.3635377157</v>
      </c>
      <c r="D45" s="6">
        <v>0</v>
      </c>
      <c r="E45" s="6"/>
      <c r="F45" s="6">
        <v>-164540</v>
      </c>
      <c r="G45" s="7"/>
    </row>
    <row r="46" spans="1:13" x14ac:dyDescent="0.25">
      <c r="A46">
        <v>2016</v>
      </c>
      <c r="B46" s="6">
        <v>0</v>
      </c>
      <c r="C46" s="6">
        <v>1141676.7782864084</v>
      </c>
      <c r="D46" s="6">
        <v>0</v>
      </c>
      <c r="E46" s="6"/>
      <c r="F46" s="6">
        <v>-156705</v>
      </c>
      <c r="G46" s="7"/>
    </row>
    <row r="47" spans="1:13" x14ac:dyDescent="0.25">
      <c r="A47">
        <v>2017</v>
      </c>
      <c r="B47" s="6"/>
      <c r="C47" s="6">
        <v>0</v>
      </c>
      <c r="D47" s="6">
        <v>0</v>
      </c>
      <c r="E47" s="6"/>
      <c r="F47" s="6">
        <v>-149243</v>
      </c>
      <c r="G47" s="7"/>
    </row>
    <row r="48" spans="1:13" x14ac:dyDescent="0.25">
      <c r="A48">
        <v>2018</v>
      </c>
      <c r="B48" s="6"/>
      <c r="C48" s="6"/>
      <c r="D48" s="6"/>
      <c r="E48" s="6"/>
      <c r="F48" s="6">
        <v>-142136.2660260243</v>
      </c>
      <c r="G48" s="7"/>
    </row>
    <row r="49" spans="1:7" x14ac:dyDescent="0.25">
      <c r="A49">
        <v>2019</v>
      </c>
      <c r="B49" s="6"/>
      <c r="C49" s="6"/>
      <c r="D49" s="6"/>
      <c r="E49" s="6"/>
      <c r="F49" s="6">
        <v>-135367.87240573743</v>
      </c>
      <c r="G49" s="7"/>
    </row>
    <row r="50" spans="1:7" x14ac:dyDescent="0.25">
      <c r="A50">
        <v>2020</v>
      </c>
      <c r="B50" s="6"/>
      <c r="C50" s="6"/>
      <c r="D50" s="6"/>
      <c r="E50" s="6"/>
      <c r="F50" s="6">
        <v>-128921.78324355946</v>
      </c>
      <c r="G50" s="7"/>
    </row>
    <row r="51" spans="1:7" x14ac:dyDescent="0.25">
      <c r="A51" t="s">
        <v>14</v>
      </c>
      <c r="B51" s="4">
        <f>SUM(B41:B50)</f>
        <v>-4319592.8354837392</v>
      </c>
      <c r="C51" s="4">
        <v>6041178.5830023531</v>
      </c>
      <c r="D51" s="4">
        <v>-3313230.5077592684</v>
      </c>
      <c r="E51" s="4">
        <v>-981065</v>
      </c>
      <c r="F51" s="4">
        <v>-1421563.9216753212</v>
      </c>
      <c r="G51" s="7"/>
    </row>
    <row r="52" spans="1:7" x14ac:dyDescent="0.25">
      <c r="G52" s="7"/>
    </row>
    <row r="53" spans="1:7" x14ac:dyDescent="0.25">
      <c r="G53" s="7"/>
    </row>
    <row r="54" spans="1:7" x14ac:dyDescent="0.25">
      <c r="B54" t="s">
        <v>49</v>
      </c>
      <c r="G54" s="7"/>
    </row>
    <row r="55" spans="1:7" x14ac:dyDescent="0.25">
      <c r="B55" t="s">
        <v>50</v>
      </c>
      <c r="C55" t="s">
        <v>51</v>
      </c>
      <c r="G55" s="4"/>
    </row>
    <row r="56" spans="1:7" x14ac:dyDescent="0.25">
      <c r="B56" t="s">
        <v>52</v>
      </c>
      <c r="C56" t="s">
        <v>52</v>
      </c>
    </row>
    <row r="57" spans="1:7" x14ac:dyDescent="0.25">
      <c r="A57">
        <v>2011</v>
      </c>
    </row>
    <row r="58" spans="1:7" x14ac:dyDescent="0.25">
      <c r="A58">
        <v>2012</v>
      </c>
      <c r="B58" s="24">
        <f t="shared" ref="B58:B66" si="47">50 /(1+0.05)^(A58-$A$57)</f>
        <v>47.61904761904762</v>
      </c>
      <c r="C58" s="24">
        <f>60 /(1+0.05)^(A58-$A$57)</f>
        <v>57.142857142857139</v>
      </c>
    </row>
    <row r="59" spans="1:7" x14ac:dyDescent="0.25">
      <c r="A59">
        <v>2013</v>
      </c>
      <c r="B59" s="24">
        <f t="shared" si="47"/>
        <v>45.351473922902493</v>
      </c>
      <c r="C59" s="24">
        <f t="shared" ref="C59:C66" si="48">60 /(1+0.05)^(A59-$A$57)</f>
        <v>54.42176870748299</v>
      </c>
    </row>
    <row r="60" spans="1:7" x14ac:dyDescent="0.25">
      <c r="A60">
        <v>2014</v>
      </c>
      <c r="B60" s="24">
        <f t="shared" si="47"/>
        <v>43.191879926573797</v>
      </c>
      <c r="C60" s="24">
        <f t="shared" si="48"/>
        <v>51.830255911888557</v>
      </c>
    </row>
    <row r="61" spans="1:7" x14ac:dyDescent="0.25">
      <c r="A61">
        <v>2015</v>
      </c>
      <c r="B61" s="24">
        <f t="shared" si="47"/>
        <v>41.1351237395941</v>
      </c>
      <c r="C61" s="24">
        <f t="shared" si="48"/>
        <v>49.362148487512918</v>
      </c>
    </row>
    <row r="62" spans="1:7" x14ac:dyDescent="0.25">
      <c r="A62">
        <v>2016</v>
      </c>
      <c r="B62" s="24">
        <f t="shared" si="47"/>
        <v>39.176308323422944</v>
      </c>
      <c r="C62" s="24">
        <f t="shared" si="48"/>
        <v>47.011569988107539</v>
      </c>
    </row>
    <row r="63" spans="1:7" x14ac:dyDescent="0.25">
      <c r="A63">
        <v>2017</v>
      </c>
      <c r="B63" s="24">
        <f t="shared" si="47"/>
        <v>37.310769831831387</v>
      </c>
      <c r="C63" s="24">
        <f t="shared" si="48"/>
        <v>44.77292379819766</v>
      </c>
    </row>
    <row r="64" spans="1:7" x14ac:dyDescent="0.25">
      <c r="A64">
        <v>2018</v>
      </c>
      <c r="B64" s="24">
        <f t="shared" si="47"/>
        <v>35.534066506506072</v>
      </c>
      <c r="C64" s="24">
        <f t="shared" si="48"/>
        <v>42.640879807807288</v>
      </c>
    </row>
    <row r="65" spans="1:4" x14ac:dyDescent="0.25">
      <c r="A65">
        <v>2019</v>
      </c>
      <c r="B65" s="24">
        <f t="shared" si="47"/>
        <v>33.841968101434361</v>
      </c>
      <c r="C65" s="24">
        <f t="shared" si="48"/>
        <v>40.610361721721233</v>
      </c>
    </row>
    <row r="66" spans="1:4" x14ac:dyDescent="0.25">
      <c r="A66">
        <v>2020</v>
      </c>
      <c r="B66" s="24">
        <f t="shared" si="47"/>
        <v>32.230445810889861</v>
      </c>
      <c r="C66" s="24">
        <f t="shared" si="48"/>
        <v>38.676534973067838</v>
      </c>
    </row>
    <row r="67" spans="1:4" x14ac:dyDescent="0.25">
      <c r="A67" s="8" t="s">
        <v>53</v>
      </c>
      <c r="B67" s="42">
        <f>SUM(B58:B66)</f>
        <v>355.39108378220266</v>
      </c>
      <c r="C67" s="42">
        <f>SUM(C58:C66)</f>
        <v>426.4693005386431</v>
      </c>
      <c r="D67" s="25"/>
    </row>
  </sheetData>
  <mergeCells count="6">
    <mergeCell ref="I27:M27"/>
    <mergeCell ref="I34:M34"/>
    <mergeCell ref="I42:M42"/>
    <mergeCell ref="J6:L6"/>
    <mergeCell ref="H13:M13"/>
    <mergeCell ref="I21:M21"/>
  </mergeCells>
  <printOptions gridLines="1"/>
  <pageMargins left="0.7" right="0.7" top="0.75" bottom="0.75" header="0.3" footer="0.3"/>
  <pageSetup scale="41" orientation="portrait" r:id="rId1"/>
  <headerFooter>
    <oddHeader>&amp;LCherie Rainforth&amp;CPage &amp;P&amp;R&amp;D</oddHeader>
    <oddFooter>&amp;Z&amp;F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1621"/>
  <sheetViews>
    <sheetView workbookViewId="0">
      <pane ySplit="1" topLeftCell="A26" activePane="bottomLeft" state="frozenSplit"/>
      <selection activeCell="C22" sqref="C22"/>
      <selection pane="bottomLeft" activeCell="C22" sqref="C22"/>
    </sheetView>
  </sheetViews>
  <sheetFormatPr defaultRowHeight="15" x14ac:dyDescent="0.25"/>
  <cols>
    <col min="1" max="1" width="16.42578125" customWidth="1"/>
    <col min="2" max="2" width="30" customWidth="1"/>
    <col min="3" max="3" width="10.28515625" customWidth="1"/>
    <col min="4" max="4" width="6.5703125" customWidth="1"/>
    <col min="5" max="6" width="11.140625" customWidth="1"/>
    <col min="7" max="7" width="8" customWidth="1"/>
    <col min="8" max="8" width="12.85546875" customWidth="1"/>
    <col min="9" max="9" width="11.5703125" customWidth="1"/>
    <col min="10" max="10" width="14.42578125" customWidth="1"/>
    <col min="11" max="11" width="10" bestFit="1" customWidth="1"/>
    <col min="12" max="12" width="11.5703125" bestFit="1" customWidth="1"/>
  </cols>
  <sheetData>
    <row r="1" spans="1:11" ht="32.25" customHeight="1" x14ac:dyDescent="0.25">
      <c r="A1" s="253" t="s">
        <v>0</v>
      </c>
      <c r="B1" s="253" t="s">
        <v>216</v>
      </c>
      <c r="C1" s="253" t="s">
        <v>236</v>
      </c>
      <c r="D1" s="253" t="s">
        <v>241</v>
      </c>
      <c r="E1" s="253" t="s">
        <v>242</v>
      </c>
      <c r="F1" s="254"/>
      <c r="G1" s="254" t="s">
        <v>243</v>
      </c>
      <c r="H1" s="254" t="s">
        <v>244</v>
      </c>
      <c r="I1" s="254" t="s">
        <v>245</v>
      </c>
      <c r="J1" s="254" t="s">
        <v>246</v>
      </c>
      <c r="K1" s="254" t="s">
        <v>247</v>
      </c>
    </row>
    <row r="2" spans="1:11" x14ac:dyDescent="0.25">
      <c r="A2" s="255" t="s">
        <v>248</v>
      </c>
      <c r="B2" s="255" t="s">
        <v>206</v>
      </c>
      <c r="C2" s="256">
        <v>2006</v>
      </c>
      <c r="D2" s="256">
        <v>50</v>
      </c>
      <c r="E2" s="256">
        <v>0</v>
      </c>
      <c r="F2" s="257"/>
      <c r="G2">
        <f t="shared" ref="G2:G65" si="0">IF(OR(D2=50,D2=75),50,IF(OR(D2=100,D2=125),125,IF(D2&gt;=400,400,D2)))</f>
        <v>50</v>
      </c>
    </row>
    <row r="3" spans="1:11" x14ac:dyDescent="0.25">
      <c r="A3" s="255" t="s">
        <v>248</v>
      </c>
      <c r="B3" s="255" t="s">
        <v>206</v>
      </c>
      <c r="C3" s="256">
        <v>2006</v>
      </c>
      <c r="D3" s="256">
        <v>75</v>
      </c>
      <c r="E3" s="256">
        <v>0</v>
      </c>
      <c r="F3" s="257"/>
      <c r="G3">
        <f t="shared" si="0"/>
        <v>50</v>
      </c>
    </row>
    <row r="4" spans="1:11" x14ac:dyDescent="0.25">
      <c r="A4" s="255" t="s">
        <v>248</v>
      </c>
      <c r="B4" s="255" t="s">
        <v>206</v>
      </c>
      <c r="C4" s="256">
        <v>2006</v>
      </c>
      <c r="D4" s="256">
        <v>100</v>
      </c>
      <c r="E4" s="256">
        <v>0</v>
      </c>
      <c r="F4" s="257"/>
      <c r="G4">
        <f t="shared" si="0"/>
        <v>125</v>
      </c>
    </row>
    <row r="5" spans="1:11" x14ac:dyDescent="0.25">
      <c r="A5" s="255" t="s">
        <v>248</v>
      </c>
      <c r="B5" s="255" t="s">
        <v>206</v>
      </c>
      <c r="C5" s="256">
        <v>2006</v>
      </c>
      <c r="D5" s="256">
        <v>175</v>
      </c>
      <c r="E5" s="256">
        <v>0</v>
      </c>
      <c r="F5" s="257"/>
      <c r="G5">
        <f t="shared" si="0"/>
        <v>175</v>
      </c>
    </row>
    <row r="6" spans="1:11" x14ac:dyDescent="0.25">
      <c r="A6" s="255" t="s">
        <v>248</v>
      </c>
      <c r="B6" s="255" t="s">
        <v>206</v>
      </c>
      <c r="C6" s="256">
        <v>2006</v>
      </c>
      <c r="D6" s="256">
        <v>300</v>
      </c>
      <c r="E6" s="256">
        <v>0</v>
      </c>
      <c r="F6" s="257"/>
      <c r="G6">
        <f t="shared" si="0"/>
        <v>300</v>
      </c>
    </row>
    <row r="7" spans="1:11" x14ac:dyDescent="0.25">
      <c r="A7" s="255" t="s">
        <v>248</v>
      </c>
      <c r="B7" s="255" t="s">
        <v>206</v>
      </c>
      <c r="C7" s="256">
        <v>2006</v>
      </c>
      <c r="D7" s="256">
        <v>600</v>
      </c>
      <c r="E7" s="256">
        <v>0</v>
      </c>
      <c r="F7" s="257"/>
      <c r="G7">
        <f t="shared" si="0"/>
        <v>400</v>
      </c>
    </row>
    <row r="8" spans="1:11" x14ac:dyDescent="0.25">
      <c r="A8" s="255" t="s">
        <v>248</v>
      </c>
      <c r="B8" s="255" t="s">
        <v>206</v>
      </c>
      <c r="C8" s="256">
        <v>2007</v>
      </c>
      <c r="D8" s="256">
        <v>50</v>
      </c>
      <c r="E8" s="256">
        <v>0</v>
      </c>
      <c r="F8" s="257"/>
      <c r="G8">
        <f t="shared" si="0"/>
        <v>50</v>
      </c>
    </row>
    <row r="9" spans="1:11" x14ac:dyDescent="0.25">
      <c r="A9" s="255" t="s">
        <v>248</v>
      </c>
      <c r="B9" s="255" t="s">
        <v>206</v>
      </c>
      <c r="C9" s="256">
        <v>2007</v>
      </c>
      <c r="D9" s="256">
        <v>75</v>
      </c>
      <c r="E9" s="256">
        <v>0</v>
      </c>
      <c r="F9" s="257"/>
      <c r="G9">
        <f t="shared" si="0"/>
        <v>50</v>
      </c>
    </row>
    <row r="10" spans="1:11" x14ac:dyDescent="0.25">
      <c r="A10" s="255" t="s">
        <v>248</v>
      </c>
      <c r="B10" s="255" t="s">
        <v>206</v>
      </c>
      <c r="C10" s="256">
        <v>2007</v>
      </c>
      <c r="D10" s="256">
        <v>100</v>
      </c>
      <c r="E10" s="256">
        <v>0</v>
      </c>
      <c r="F10" s="257"/>
      <c r="G10">
        <f t="shared" si="0"/>
        <v>125</v>
      </c>
    </row>
    <row r="11" spans="1:11" x14ac:dyDescent="0.25">
      <c r="A11" s="255" t="s">
        <v>248</v>
      </c>
      <c r="B11" s="255" t="s">
        <v>206</v>
      </c>
      <c r="C11" s="256">
        <v>2007</v>
      </c>
      <c r="D11" s="256">
        <v>175</v>
      </c>
      <c r="E11" s="256">
        <v>0</v>
      </c>
      <c r="F11" s="257"/>
      <c r="G11">
        <f t="shared" si="0"/>
        <v>175</v>
      </c>
    </row>
    <row r="12" spans="1:11" x14ac:dyDescent="0.25">
      <c r="A12" s="255" t="s">
        <v>248</v>
      </c>
      <c r="B12" s="255" t="s">
        <v>206</v>
      </c>
      <c r="C12" s="256">
        <v>2007</v>
      </c>
      <c r="D12" s="256">
        <v>300</v>
      </c>
      <c r="E12" s="256">
        <v>0</v>
      </c>
      <c r="F12" s="257"/>
      <c r="G12">
        <f t="shared" si="0"/>
        <v>300</v>
      </c>
    </row>
    <row r="13" spans="1:11" x14ac:dyDescent="0.25">
      <c r="A13" s="255" t="s">
        <v>248</v>
      </c>
      <c r="B13" s="255" t="s">
        <v>206</v>
      </c>
      <c r="C13" s="256">
        <v>2007</v>
      </c>
      <c r="D13" s="256">
        <v>600</v>
      </c>
      <c r="E13" s="256">
        <v>0</v>
      </c>
      <c r="F13" s="257"/>
      <c r="G13">
        <f t="shared" si="0"/>
        <v>400</v>
      </c>
    </row>
    <row r="14" spans="1:11" x14ac:dyDescent="0.25">
      <c r="A14" s="255" t="s">
        <v>248</v>
      </c>
      <c r="B14" s="255" t="s">
        <v>206</v>
      </c>
      <c r="C14" s="256">
        <v>2008</v>
      </c>
      <c r="D14" s="256">
        <v>50</v>
      </c>
      <c r="E14" s="256">
        <v>0</v>
      </c>
      <c r="F14" s="257"/>
      <c r="G14">
        <f t="shared" si="0"/>
        <v>50</v>
      </c>
    </row>
    <row r="15" spans="1:11" x14ac:dyDescent="0.25">
      <c r="A15" s="255" t="s">
        <v>248</v>
      </c>
      <c r="B15" s="255" t="s">
        <v>206</v>
      </c>
      <c r="C15" s="256">
        <v>2008</v>
      </c>
      <c r="D15" s="256">
        <v>75</v>
      </c>
      <c r="E15" s="256">
        <v>0</v>
      </c>
      <c r="F15" s="257"/>
      <c r="G15">
        <f t="shared" si="0"/>
        <v>50</v>
      </c>
    </row>
    <row r="16" spans="1:11" x14ac:dyDescent="0.25">
      <c r="A16" s="255" t="s">
        <v>248</v>
      </c>
      <c r="B16" s="255" t="s">
        <v>206</v>
      </c>
      <c r="C16" s="256">
        <v>2008</v>
      </c>
      <c r="D16" s="256">
        <v>100</v>
      </c>
      <c r="E16" s="256">
        <v>0</v>
      </c>
      <c r="F16" s="257"/>
      <c r="G16">
        <f t="shared" si="0"/>
        <v>125</v>
      </c>
    </row>
    <row r="17" spans="1:12" x14ac:dyDescent="0.25">
      <c r="A17" s="255" t="s">
        <v>248</v>
      </c>
      <c r="B17" s="255" t="s">
        <v>206</v>
      </c>
      <c r="C17" s="256">
        <v>2008</v>
      </c>
      <c r="D17" s="256">
        <v>175</v>
      </c>
      <c r="E17" s="256">
        <v>0</v>
      </c>
      <c r="F17" s="257"/>
      <c r="G17">
        <f t="shared" si="0"/>
        <v>175</v>
      </c>
    </row>
    <row r="18" spans="1:12" x14ac:dyDescent="0.25">
      <c r="A18" s="255" t="s">
        <v>248</v>
      </c>
      <c r="B18" s="255" t="s">
        <v>206</v>
      </c>
      <c r="C18" s="256">
        <v>2008</v>
      </c>
      <c r="D18" s="256">
        <v>300</v>
      </c>
      <c r="E18" s="256">
        <v>0</v>
      </c>
      <c r="F18" s="257"/>
      <c r="G18">
        <f t="shared" si="0"/>
        <v>300</v>
      </c>
    </row>
    <row r="19" spans="1:12" x14ac:dyDescent="0.25">
      <c r="A19" s="255" t="s">
        <v>248</v>
      </c>
      <c r="B19" s="255" t="s">
        <v>206</v>
      </c>
      <c r="C19" s="256">
        <v>2008</v>
      </c>
      <c r="D19" s="256">
        <v>600</v>
      </c>
      <c r="E19" s="256">
        <v>0</v>
      </c>
      <c r="F19" s="257"/>
      <c r="G19">
        <f t="shared" si="0"/>
        <v>400</v>
      </c>
    </row>
    <row r="20" spans="1:12" x14ac:dyDescent="0.25">
      <c r="A20" s="255" t="s">
        <v>248</v>
      </c>
      <c r="B20" s="255" t="s">
        <v>206</v>
      </c>
      <c r="C20" s="256">
        <v>2009</v>
      </c>
      <c r="D20" s="256">
        <v>50</v>
      </c>
      <c r="E20" s="256">
        <v>0</v>
      </c>
      <c r="F20" s="257"/>
      <c r="G20">
        <f t="shared" si="0"/>
        <v>50</v>
      </c>
    </row>
    <row r="21" spans="1:12" x14ac:dyDescent="0.25">
      <c r="A21" s="255" t="s">
        <v>248</v>
      </c>
      <c r="B21" s="255" t="s">
        <v>206</v>
      </c>
      <c r="C21" s="256">
        <v>2009</v>
      </c>
      <c r="D21" s="256">
        <v>75</v>
      </c>
      <c r="E21" s="256">
        <v>0</v>
      </c>
      <c r="F21" s="257"/>
      <c r="G21">
        <f t="shared" si="0"/>
        <v>50</v>
      </c>
    </row>
    <row r="22" spans="1:12" x14ac:dyDescent="0.25">
      <c r="A22" s="255" t="s">
        <v>248</v>
      </c>
      <c r="B22" s="255" t="s">
        <v>206</v>
      </c>
      <c r="C22" s="256">
        <v>2009</v>
      </c>
      <c r="D22" s="256">
        <v>100</v>
      </c>
      <c r="E22" s="256">
        <v>0</v>
      </c>
      <c r="F22" s="257"/>
      <c r="G22">
        <f t="shared" si="0"/>
        <v>125</v>
      </c>
    </row>
    <row r="23" spans="1:12" x14ac:dyDescent="0.25">
      <c r="A23" s="255" t="s">
        <v>248</v>
      </c>
      <c r="B23" s="255" t="s">
        <v>206</v>
      </c>
      <c r="C23" s="256">
        <v>2009</v>
      </c>
      <c r="D23" s="256">
        <v>175</v>
      </c>
      <c r="E23" s="256">
        <v>0</v>
      </c>
      <c r="F23" s="257"/>
      <c r="G23">
        <f t="shared" si="0"/>
        <v>175</v>
      </c>
    </row>
    <row r="24" spans="1:12" x14ac:dyDescent="0.25">
      <c r="A24" s="255" t="s">
        <v>248</v>
      </c>
      <c r="B24" s="255" t="s">
        <v>206</v>
      </c>
      <c r="C24" s="256">
        <v>2009</v>
      </c>
      <c r="D24" s="256">
        <v>300</v>
      </c>
      <c r="E24" s="256">
        <v>0</v>
      </c>
      <c r="F24" s="257"/>
      <c r="G24">
        <f t="shared" si="0"/>
        <v>300</v>
      </c>
    </row>
    <row r="25" spans="1:12" x14ac:dyDescent="0.25">
      <c r="A25" s="255" t="s">
        <v>248</v>
      </c>
      <c r="B25" s="255" t="s">
        <v>206</v>
      </c>
      <c r="C25" s="256">
        <v>2009</v>
      </c>
      <c r="D25" s="256">
        <v>600</v>
      </c>
      <c r="E25" s="256">
        <v>0</v>
      </c>
      <c r="F25" s="257"/>
      <c r="G25">
        <f t="shared" si="0"/>
        <v>400</v>
      </c>
    </row>
    <row r="26" spans="1:12" x14ac:dyDescent="0.25">
      <c r="A26" s="255" t="s">
        <v>248</v>
      </c>
      <c r="B26" s="255" t="s">
        <v>206</v>
      </c>
      <c r="C26" s="256">
        <v>2010</v>
      </c>
      <c r="D26" s="256">
        <v>50</v>
      </c>
      <c r="E26" s="256">
        <v>0</v>
      </c>
      <c r="F26" s="257"/>
      <c r="G26">
        <f t="shared" si="0"/>
        <v>50</v>
      </c>
    </row>
    <row r="27" spans="1:12" x14ac:dyDescent="0.25">
      <c r="A27" s="255" t="s">
        <v>248</v>
      </c>
      <c r="B27" s="255" t="s">
        <v>206</v>
      </c>
      <c r="C27" s="256">
        <v>2010</v>
      </c>
      <c r="D27" s="256">
        <v>75</v>
      </c>
      <c r="E27" s="256">
        <v>0</v>
      </c>
      <c r="F27" s="257"/>
      <c r="G27">
        <f t="shared" si="0"/>
        <v>50</v>
      </c>
    </row>
    <row r="28" spans="1:12" x14ac:dyDescent="0.25">
      <c r="A28" s="255" t="s">
        <v>248</v>
      </c>
      <c r="B28" s="255" t="s">
        <v>206</v>
      </c>
      <c r="C28" s="256">
        <v>2010</v>
      </c>
      <c r="D28" s="256">
        <v>100</v>
      </c>
      <c r="E28" s="256">
        <v>0</v>
      </c>
      <c r="F28" s="257"/>
      <c r="G28">
        <f t="shared" si="0"/>
        <v>125</v>
      </c>
    </row>
    <row r="29" spans="1:12" x14ac:dyDescent="0.25">
      <c r="A29" s="255" t="s">
        <v>248</v>
      </c>
      <c r="B29" s="255" t="s">
        <v>206</v>
      </c>
      <c r="C29" s="256">
        <v>2010</v>
      </c>
      <c r="D29" s="256">
        <v>175</v>
      </c>
      <c r="E29" s="256">
        <v>0</v>
      </c>
      <c r="F29" s="257"/>
      <c r="G29">
        <f t="shared" si="0"/>
        <v>175</v>
      </c>
    </row>
    <row r="30" spans="1:12" x14ac:dyDescent="0.25">
      <c r="A30" s="255" t="s">
        <v>248</v>
      </c>
      <c r="B30" s="255" t="s">
        <v>206</v>
      </c>
      <c r="C30" s="256">
        <v>2010</v>
      </c>
      <c r="D30" s="256">
        <v>300</v>
      </c>
      <c r="E30" s="256">
        <v>0</v>
      </c>
      <c r="F30" s="257"/>
      <c r="G30">
        <f t="shared" si="0"/>
        <v>300</v>
      </c>
    </row>
    <row r="31" spans="1:12" x14ac:dyDescent="0.25">
      <c r="A31" s="255" t="s">
        <v>248</v>
      </c>
      <c r="B31" s="255" t="s">
        <v>206</v>
      </c>
      <c r="C31" s="256">
        <v>2010</v>
      </c>
      <c r="D31" s="256">
        <v>600</v>
      </c>
      <c r="E31" s="256">
        <v>0</v>
      </c>
      <c r="F31" s="257"/>
      <c r="G31">
        <f t="shared" si="0"/>
        <v>400</v>
      </c>
    </row>
    <row r="32" spans="1:12" x14ac:dyDescent="0.25">
      <c r="A32" s="255" t="s">
        <v>248</v>
      </c>
      <c r="B32" s="255" t="s">
        <v>206</v>
      </c>
      <c r="C32" s="256">
        <v>2011</v>
      </c>
      <c r="D32" s="256">
        <v>50</v>
      </c>
      <c r="E32" s="256">
        <v>0</v>
      </c>
      <c r="F32" s="257"/>
      <c r="G32">
        <f t="shared" si="0"/>
        <v>50</v>
      </c>
      <c r="H32" s="4">
        <f>IF(B32="RTG Crane",IF(D32&lt;600,800000,1200000),VLOOKUP(B32,'$$$ Replace &amp; Retrofit'!$B$10:$C$14,2)*'CHE Model poplulation'!D32)*E32</f>
        <v>0</v>
      </c>
      <c r="I32" s="197">
        <f>E32*VLOOKUP('CHE Model poplulation'!G32,'$$$ Replace &amp; Retrofit'!$I$10:$J$15,2)</f>
        <v>0</v>
      </c>
      <c r="K32" s="239">
        <f>SUM(I32:I37)</f>
        <v>0</v>
      </c>
      <c r="L32" s="239">
        <f>SUM(K32:K68)</f>
        <v>631322.20027723908</v>
      </c>
    </row>
    <row r="33" spans="1:11" x14ac:dyDescent="0.25">
      <c r="A33" s="255" t="s">
        <v>248</v>
      </c>
      <c r="B33" s="255" t="s">
        <v>206</v>
      </c>
      <c r="C33" s="256">
        <v>2011</v>
      </c>
      <c r="D33" s="256">
        <v>75</v>
      </c>
      <c r="E33" s="256">
        <v>0</v>
      </c>
      <c r="F33" s="257"/>
      <c r="G33">
        <f t="shared" si="0"/>
        <v>50</v>
      </c>
      <c r="H33" s="4">
        <f>IF(B33="RTG Crane",IF(D33&lt;600,800000,1200000),VLOOKUP(B33,'$$$ Replace &amp; Retrofit'!$B$10:$C$14,2)*'CHE Model poplulation'!D33)*E33</f>
        <v>0</v>
      </c>
      <c r="I33" s="197">
        <f>E33*VLOOKUP('CHE Model poplulation'!G33,'$$$ Replace &amp; Retrofit'!$I$10:$J$15,2)</f>
        <v>0</v>
      </c>
      <c r="K33" s="239"/>
    </row>
    <row r="34" spans="1:11" x14ac:dyDescent="0.25">
      <c r="A34" s="255" t="s">
        <v>248</v>
      </c>
      <c r="B34" s="255" t="s">
        <v>206</v>
      </c>
      <c r="C34" s="256">
        <v>2011</v>
      </c>
      <c r="D34" s="256">
        <v>100</v>
      </c>
      <c r="E34" s="256">
        <v>0</v>
      </c>
      <c r="F34" s="257"/>
      <c r="G34">
        <f t="shared" si="0"/>
        <v>125</v>
      </c>
      <c r="H34" s="4">
        <f>IF(B34="RTG Crane",IF(D34&lt;600,800000,1200000),VLOOKUP(B34,'$$$ Replace &amp; Retrofit'!$B$10:$C$14,2)*'CHE Model poplulation'!D34)*E34</f>
        <v>0</v>
      </c>
      <c r="I34" s="197">
        <f>E34*VLOOKUP('CHE Model poplulation'!G34,'$$$ Replace &amp; Retrofit'!$I$10:$J$15,2)</f>
        <v>0</v>
      </c>
      <c r="K34" s="239"/>
    </row>
    <row r="35" spans="1:11" x14ac:dyDescent="0.25">
      <c r="A35" s="255" t="s">
        <v>248</v>
      </c>
      <c r="B35" s="255" t="s">
        <v>206</v>
      </c>
      <c r="C35" s="256">
        <v>2011</v>
      </c>
      <c r="D35" s="256">
        <v>175</v>
      </c>
      <c r="E35" s="256">
        <v>0</v>
      </c>
      <c r="F35" s="257"/>
      <c r="G35">
        <f t="shared" si="0"/>
        <v>175</v>
      </c>
      <c r="H35" s="4">
        <f>IF(B35="RTG Crane",IF(D35&lt;600,800000,1200000),VLOOKUP(B35,'$$$ Replace &amp; Retrofit'!$B$10:$C$14,2)*'CHE Model poplulation'!D35)*E35</f>
        <v>0</v>
      </c>
      <c r="I35" s="197">
        <f>E35*VLOOKUP('CHE Model poplulation'!G35,'$$$ Replace &amp; Retrofit'!$I$10:$J$15,2)</f>
        <v>0</v>
      </c>
      <c r="K35" s="239"/>
    </row>
    <row r="36" spans="1:11" x14ac:dyDescent="0.25">
      <c r="A36" s="255" t="s">
        <v>248</v>
      </c>
      <c r="B36" s="255" t="s">
        <v>206</v>
      </c>
      <c r="C36" s="256">
        <v>2011</v>
      </c>
      <c r="D36" s="256">
        <v>300</v>
      </c>
      <c r="E36" s="256">
        <v>0</v>
      </c>
      <c r="F36" s="257"/>
      <c r="G36">
        <f t="shared" si="0"/>
        <v>300</v>
      </c>
      <c r="H36" s="4">
        <f>IF(B36="RTG Crane",IF(D36&lt;600,800000,1200000),VLOOKUP(B36,'$$$ Replace &amp; Retrofit'!$B$10:$C$14,2)*'CHE Model poplulation'!D36)*E36</f>
        <v>0</v>
      </c>
      <c r="I36" s="197">
        <f>E36*VLOOKUP('CHE Model poplulation'!G36,'$$$ Replace &amp; Retrofit'!$I$10:$J$15,2)</f>
        <v>0</v>
      </c>
      <c r="K36" s="239"/>
    </row>
    <row r="37" spans="1:11" x14ac:dyDescent="0.25">
      <c r="A37" s="255" t="s">
        <v>248</v>
      </c>
      <c r="B37" s="255" t="s">
        <v>206</v>
      </c>
      <c r="C37" s="256">
        <v>2011</v>
      </c>
      <c r="D37" s="256">
        <v>600</v>
      </c>
      <c r="E37" s="256">
        <v>0</v>
      </c>
      <c r="F37" s="257"/>
      <c r="G37">
        <f t="shared" si="0"/>
        <v>400</v>
      </c>
      <c r="H37" s="4">
        <f>IF(B37="RTG Crane",IF(D37&lt;600,800000,1200000),VLOOKUP(B37,'$$$ Replace &amp; Retrofit'!$B$10:$C$14,2)*'CHE Model poplulation'!D37)*E37</f>
        <v>0</v>
      </c>
      <c r="I37" s="197">
        <f>E37*VLOOKUP('CHE Model poplulation'!G37,'$$$ Replace &amp; Retrofit'!$I$10:$J$15,2)</f>
        <v>0</v>
      </c>
      <c r="K37" s="239"/>
    </row>
    <row r="38" spans="1:11" x14ac:dyDescent="0.25">
      <c r="A38" s="255" t="s">
        <v>248</v>
      </c>
      <c r="B38" s="255" t="s">
        <v>206</v>
      </c>
      <c r="C38" s="256">
        <v>2012</v>
      </c>
      <c r="D38" s="256">
        <v>50</v>
      </c>
      <c r="E38">
        <v>0.11372331603794</v>
      </c>
      <c r="F38" s="257"/>
      <c r="G38">
        <f t="shared" si="0"/>
        <v>50</v>
      </c>
      <c r="H38" s="4">
        <f>IF(B38="RTG Crane",IF(D38&lt;600,800000,1200000),VLOOKUP(B38,'$$$ Replace &amp; Retrofit'!$B$10:$C$14,2)*'CHE Model poplulation'!D38)*E38</f>
        <v>5686.1658018970002</v>
      </c>
      <c r="I38" s="197">
        <f>E38*VLOOKUP('CHE Model poplulation'!G38,'$$$ Replace &amp; Retrofit'!$I$10:$J$15,2)</f>
        <v>2000.1656824752888</v>
      </c>
      <c r="K38" s="239">
        <f>SUM(I38:I43)-K32</f>
        <v>93327.401924941645</v>
      </c>
    </row>
    <row r="39" spans="1:11" x14ac:dyDescent="0.25">
      <c r="A39" s="255" t="s">
        <v>248</v>
      </c>
      <c r="B39" s="255" t="s">
        <v>206</v>
      </c>
      <c r="C39" s="256">
        <v>2012</v>
      </c>
      <c r="D39" s="256">
        <v>75</v>
      </c>
      <c r="E39">
        <v>0.29217209022802199</v>
      </c>
      <c r="F39" s="257"/>
      <c r="G39">
        <f t="shared" si="0"/>
        <v>50</v>
      </c>
      <c r="H39" s="4">
        <f>IF(B39="RTG Crane",IF(D39&lt;600,800000,1200000),VLOOKUP(B39,'$$$ Replace &amp; Retrofit'!$B$10:$C$14,2)*'CHE Model poplulation'!D39)*E39</f>
        <v>21912.906767101649</v>
      </c>
      <c r="I39" s="197">
        <f>E39*VLOOKUP('CHE Model poplulation'!G39,'$$$ Replace &amp; Retrofit'!$I$10:$J$15,2)</f>
        <v>5138.7227229304508</v>
      </c>
      <c r="K39" s="239"/>
    </row>
    <row r="40" spans="1:11" x14ac:dyDescent="0.25">
      <c r="A40" s="255" t="s">
        <v>248</v>
      </c>
      <c r="B40" s="255" t="s">
        <v>206</v>
      </c>
      <c r="C40" s="256">
        <v>2012</v>
      </c>
      <c r="D40" s="256">
        <v>100</v>
      </c>
      <c r="E40">
        <v>2.6834255149593799E-17</v>
      </c>
      <c r="F40" s="257"/>
      <c r="G40">
        <f t="shared" si="0"/>
        <v>125</v>
      </c>
      <c r="H40" s="4">
        <f>IF(B40="RTG Crane",IF(D40&lt;600,800000,1200000),VLOOKUP(B40,'$$$ Replace &amp; Retrofit'!$B$10:$C$14,2)*'CHE Model poplulation'!D40)*E40</f>
        <v>2.6834255149593799E-12</v>
      </c>
      <c r="I40" s="197">
        <f>E40*VLOOKUP('CHE Model poplulation'!G40,'$$$ Replace &amp; Retrofit'!$I$10:$J$15,2)</f>
        <v>5.2952035686693442E-13</v>
      </c>
      <c r="K40" s="239"/>
    </row>
    <row r="41" spans="1:11" x14ac:dyDescent="0.25">
      <c r="A41" s="255" t="s">
        <v>248</v>
      </c>
      <c r="B41" s="255" t="s">
        <v>206</v>
      </c>
      <c r="C41" s="256">
        <v>2012</v>
      </c>
      <c r="D41" s="256">
        <v>175</v>
      </c>
      <c r="E41">
        <v>9.6420224033314901E-17</v>
      </c>
      <c r="F41" s="257"/>
      <c r="G41">
        <f t="shared" si="0"/>
        <v>175</v>
      </c>
      <c r="H41" s="4">
        <f>IF(B41="RTG Crane",IF(D41&lt;600,800000,1200000),VLOOKUP(B41,'$$$ Replace &amp; Retrofit'!$B$10:$C$14,2)*'CHE Model poplulation'!D41)*E41</f>
        <v>1.6873539205830108E-11</v>
      </c>
      <c r="I41" s="197">
        <f>E41*VLOOKUP('CHE Model poplulation'!G41,'$$$ Replace &amp; Retrofit'!$I$10:$J$15,2)</f>
        <v>2.3908358751300762E-12</v>
      </c>
      <c r="K41" s="239"/>
    </row>
    <row r="42" spans="1:11" x14ac:dyDescent="0.25">
      <c r="A42" s="255" t="s">
        <v>248</v>
      </c>
      <c r="B42" s="255" t="s">
        <v>206</v>
      </c>
      <c r="C42" s="256">
        <v>2012</v>
      </c>
      <c r="D42" s="256">
        <v>300</v>
      </c>
      <c r="E42">
        <v>0.72607518957413897</v>
      </c>
      <c r="F42" s="257"/>
      <c r="G42">
        <f t="shared" si="0"/>
        <v>300</v>
      </c>
      <c r="H42" s="4">
        <f>IF(B42="RTG Crane",IF(D42&lt;600,800000,1200000),VLOOKUP(B42,'$$$ Replace &amp; Retrofit'!$B$10:$C$14,2)*'CHE Model poplulation'!D42)*E42</f>
        <v>217822.55687224169</v>
      </c>
      <c r="I42" s="197">
        <f>E42*VLOOKUP('CHE Model poplulation'!G42,'$$$ Replace &amp; Retrofit'!$I$10:$J$15,2)</f>
        <v>20884.100677720959</v>
      </c>
      <c r="K42" s="239"/>
    </row>
    <row r="43" spans="1:11" x14ac:dyDescent="0.25">
      <c r="A43" s="255" t="s">
        <v>248</v>
      </c>
      <c r="B43" s="255" t="s">
        <v>206</v>
      </c>
      <c r="C43" s="256">
        <v>2012</v>
      </c>
      <c r="D43" s="256">
        <v>600</v>
      </c>
      <c r="E43">
        <v>1.24786297062685</v>
      </c>
      <c r="F43" s="257"/>
      <c r="G43">
        <f t="shared" si="0"/>
        <v>400</v>
      </c>
      <c r="H43" s="4">
        <f>IF(B43="RTG Crane",IF(D43&lt;600,800000,1200000),VLOOKUP(B43,'$$$ Replace &amp; Retrofit'!$B$10:$C$14,2)*'CHE Model poplulation'!D43)*E43</f>
        <v>748717.78237610997</v>
      </c>
      <c r="I43" s="197">
        <f>E43*VLOOKUP('CHE Model poplulation'!G43,'$$$ Replace &amp; Retrofit'!$I$10:$J$15,2)</f>
        <v>65304.412841814941</v>
      </c>
      <c r="K43" s="239"/>
    </row>
    <row r="44" spans="1:11" x14ac:dyDescent="0.25">
      <c r="A44" s="255" t="s">
        <v>248</v>
      </c>
      <c r="B44" s="255" t="s">
        <v>206</v>
      </c>
      <c r="C44" s="256">
        <v>2013</v>
      </c>
      <c r="D44" s="256">
        <v>50</v>
      </c>
      <c r="E44">
        <v>0.22752123350040901</v>
      </c>
      <c r="F44" s="257"/>
      <c r="G44">
        <f t="shared" si="0"/>
        <v>50</v>
      </c>
      <c r="H44" s="4">
        <f>IF(B44="RTG Crane",IF(D44&lt;600,800000,1200000),VLOOKUP(B44,'$$$ Replace &amp; Retrofit'!$B$10:$C$14,2)*'CHE Model poplulation'!D44)*E44</f>
        <v>11376.06167502045</v>
      </c>
      <c r="I44" s="197">
        <f>E44*VLOOKUP('CHE Model poplulation'!G44,'$$$ Replace &amp; Retrofit'!$I$10:$J$15,2)</f>
        <v>4001.6434548051939</v>
      </c>
      <c r="K44" s="239">
        <f>SUM(I44:I49)-K38-K32</f>
        <v>97786.328317270832</v>
      </c>
    </row>
    <row r="45" spans="1:11" x14ac:dyDescent="0.25">
      <c r="A45" s="255" t="s">
        <v>248</v>
      </c>
      <c r="B45" s="255" t="s">
        <v>206</v>
      </c>
      <c r="C45" s="256">
        <v>2013</v>
      </c>
      <c r="D45" s="256">
        <v>75</v>
      </c>
      <c r="E45">
        <v>0.51585335142607003</v>
      </c>
      <c r="F45" s="257"/>
      <c r="G45">
        <f t="shared" si="0"/>
        <v>50</v>
      </c>
      <c r="H45" s="4">
        <f>IF(B45="RTG Crane",IF(D45&lt;600,800000,1200000),VLOOKUP(B45,'$$$ Replace &amp; Retrofit'!$B$10:$C$14,2)*'CHE Model poplulation'!D45)*E45</f>
        <v>38689.001356955254</v>
      </c>
      <c r="I45" s="197">
        <f>E45*VLOOKUP('CHE Model poplulation'!G45,'$$$ Replace &amp; Retrofit'!$I$10:$J$15,2)</f>
        <v>9072.8287448817191</v>
      </c>
      <c r="K45" s="239"/>
    </row>
    <row r="46" spans="1:11" x14ac:dyDescent="0.25">
      <c r="A46" s="255" t="s">
        <v>248</v>
      </c>
      <c r="B46" s="255" t="s">
        <v>206</v>
      </c>
      <c r="C46" s="256">
        <v>2013</v>
      </c>
      <c r="D46" s="256">
        <v>100</v>
      </c>
      <c r="E46">
        <v>0.269883124976592</v>
      </c>
      <c r="F46" s="257"/>
      <c r="G46">
        <f t="shared" si="0"/>
        <v>125</v>
      </c>
      <c r="H46" s="4">
        <f>IF(B46="RTG Crane",IF(D46&lt;600,800000,1200000),VLOOKUP(B46,'$$$ Replace &amp; Retrofit'!$B$10:$C$14,2)*'CHE Model poplulation'!D46)*E46</f>
        <v>26988.312497659201</v>
      </c>
      <c r="I46" s="197">
        <f>E46*VLOOKUP('CHE Model poplulation'!G46,'$$$ Replace &amp; Retrofit'!$I$10:$J$15,2)</f>
        <v>5325.6037051630901</v>
      </c>
      <c r="K46" s="239"/>
    </row>
    <row r="47" spans="1:11" x14ac:dyDescent="0.25">
      <c r="A47" s="255" t="s">
        <v>248</v>
      </c>
      <c r="B47" s="255" t="s">
        <v>206</v>
      </c>
      <c r="C47" s="256">
        <v>2013</v>
      </c>
      <c r="D47" s="256">
        <v>175</v>
      </c>
      <c r="E47">
        <v>0.45866879758922002</v>
      </c>
      <c r="F47" s="257"/>
      <c r="G47">
        <f t="shared" si="0"/>
        <v>175</v>
      </c>
      <c r="H47" s="4">
        <f>IF(B47="RTG Crane",IF(D47&lt;600,800000,1200000),VLOOKUP(B47,'$$$ Replace &amp; Retrofit'!$B$10:$C$14,2)*'CHE Model poplulation'!D47)*E47</f>
        <v>80267.039578113501</v>
      </c>
      <c r="I47" s="197">
        <f>E47*VLOOKUP('CHE Model poplulation'!G47,'$$$ Replace &amp; Retrofit'!$I$10:$J$15,2)</f>
        <v>11373.151505022299</v>
      </c>
      <c r="K47" s="239"/>
    </row>
    <row r="48" spans="1:11" x14ac:dyDescent="0.25">
      <c r="A48" s="255" t="s">
        <v>248</v>
      </c>
      <c r="B48" s="255" t="s">
        <v>206</v>
      </c>
      <c r="C48" s="256">
        <v>2013</v>
      </c>
      <c r="D48" s="256">
        <v>300</v>
      </c>
      <c r="E48">
        <v>1.2558135678854701</v>
      </c>
      <c r="F48" s="257"/>
      <c r="G48">
        <f t="shared" si="0"/>
        <v>300</v>
      </c>
      <c r="H48" s="4">
        <f>IF(B48="RTG Crane",IF(D48&lt;600,800000,1200000),VLOOKUP(B48,'$$$ Replace &amp; Retrofit'!$B$10:$C$14,2)*'CHE Model poplulation'!D48)*E48</f>
        <v>376744.07036564103</v>
      </c>
      <c r="I48" s="197">
        <f>E48*VLOOKUP('CHE Model poplulation'!G48,'$$$ Replace &amp; Retrofit'!$I$10:$J$15,2)</f>
        <v>36120.965653089777</v>
      </c>
      <c r="K48" s="239"/>
    </row>
    <row r="49" spans="1:11" x14ac:dyDescent="0.25">
      <c r="A49" s="255" t="s">
        <v>248</v>
      </c>
      <c r="B49" s="255" t="s">
        <v>206</v>
      </c>
      <c r="C49" s="256">
        <v>2013</v>
      </c>
      <c r="D49" s="256">
        <v>600</v>
      </c>
      <c r="E49">
        <v>2.3927452502101998</v>
      </c>
      <c r="F49" s="257"/>
      <c r="G49">
        <f t="shared" si="0"/>
        <v>400</v>
      </c>
      <c r="H49" s="4">
        <f>IF(B49="RTG Crane",IF(D49&lt;600,800000,1200000),VLOOKUP(B49,'$$$ Replace &amp; Retrofit'!$B$10:$C$14,2)*'CHE Model poplulation'!D49)*E49</f>
        <v>1435647.1501261198</v>
      </c>
      <c r="I49" s="197">
        <f>E49*VLOOKUP('CHE Model poplulation'!G49,'$$$ Replace &amp; Retrofit'!$I$10:$J$15,2)</f>
        <v>125219.53717925039</v>
      </c>
      <c r="K49" s="239"/>
    </row>
    <row r="50" spans="1:11" x14ac:dyDescent="0.25">
      <c r="A50" s="255" t="s">
        <v>248</v>
      </c>
      <c r="B50" s="255" t="s">
        <v>206</v>
      </c>
      <c r="C50" s="256">
        <v>2014</v>
      </c>
      <c r="D50" s="256">
        <v>50</v>
      </c>
      <c r="E50">
        <v>0.38975147277238698</v>
      </c>
      <c r="F50" s="257"/>
      <c r="G50">
        <f t="shared" si="0"/>
        <v>50</v>
      </c>
      <c r="H50" s="4">
        <f>IF(B50="RTG Crane",IF(D50&lt;600,800000,1200000),VLOOKUP(B50,'$$$ Replace &amp; Retrofit'!$B$10:$C$14,2)*'CHE Model poplulation'!D50)*E50</f>
        <v>19487.573638619349</v>
      </c>
      <c r="I50" s="197">
        <f>E50*VLOOKUP('CHE Model poplulation'!G50,'$$$ Replace &amp; Retrofit'!$I$10:$J$15,2)</f>
        <v>6854.9489031207422</v>
      </c>
      <c r="K50" s="239">
        <f>SUM(I50:I55)-K44-K38-K32</f>
        <v>146273.9852049519</v>
      </c>
    </row>
    <row r="51" spans="1:11" x14ac:dyDescent="0.25">
      <c r="A51" s="255" t="s">
        <v>248</v>
      </c>
      <c r="B51" s="255" t="s">
        <v>206</v>
      </c>
      <c r="C51" s="256">
        <v>2014</v>
      </c>
      <c r="D51" s="256">
        <v>75</v>
      </c>
      <c r="E51">
        <v>0.85255746414557998</v>
      </c>
      <c r="F51" s="257"/>
      <c r="G51">
        <f t="shared" si="0"/>
        <v>50</v>
      </c>
      <c r="H51" s="4">
        <f>IF(B51="RTG Crane",IF(D51&lt;600,800000,1200000),VLOOKUP(B51,'$$$ Replace &amp; Retrofit'!$B$10:$C$14,2)*'CHE Model poplulation'!D51)*E51</f>
        <v>63941.809810918501</v>
      </c>
      <c r="I51" s="197">
        <f>E51*VLOOKUP('CHE Model poplulation'!G51,'$$$ Replace &amp; Retrofit'!$I$10:$J$15,2)</f>
        <v>14994.780679392461</v>
      </c>
      <c r="K51" s="239"/>
    </row>
    <row r="52" spans="1:11" x14ac:dyDescent="0.25">
      <c r="A52" s="255" t="s">
        <v>248</v>
      </c>
      <c r="B52" s="255" t="s">
        <v>206</v>
      </c>
      <c r="C52" s="256">
        <v>2014</v>
      </c>
      <c r="D52" s="256">
        <v>100</v>
      </c>
      <c r="E52">
        <v>0.66703086201599404</v>
      </c>
      <c r="F52" s="257"/>
      <c r="G52">
        <f t="shared" si="0"/>
        <v>125</v>
      </c>
      <c r="H52" s="4">
        <f>IF(B52="RTG Crane",IF(D52&lt;600,800000,1200000),VLOOKUP(B52,'$$$ Replace &amp; Retrofit'!$B$10:$C$14,2)*'CHE Model poplulation'!D52)*E52</f>
        <v>66703.086201599406</v>
      </c>
      <c r="I52" s="197">
        <f>E52*VLOOKUP('CHE Model poplulation'!G52,'$$$ Replace &amp; Retrofit'!$I$10:$J$15,2)</f>
        <v>13162.52000016161</v>
      </c>
      <c r="K52" s="239"/>
    </row>
    <row r="53" spans="1:11" x14ac:dyDescent="0.25">
      <c r="A53" s="255" t="s">
        <v>248</v>
      </c>
      <c r="B53" s="255" t="s">
        <v>206</v>
      </c>
      <c r="C53" s="256">
        <v>2014</v>
      </c>
      <c r="D53" s="256">
        <v>175</v>
      </c>
      <c r="E53">
        <v>1.3737083111196899</v>
      </c>
      <c r="F53" s="257"/>
      <c r="G53">
        <f t="shared" si="0"/>
        <v>175</v>
      </c>
      <c r="H53" s="4">
        <f>IF(B53="RTG Crane",IF(D53&lt;600,800000,1200000),VLOOKUP(B53,'$$$ Replace &amp; Retrofit'!$B$10:$C$14,2)*'CHE Model poplulation'!D53)*E53</f>
        <v>240398.95444594574</v>
      </c>
      <c r="I53" s="197">
        <f>E53*VLOOKUP('CHE Model poplulation'!G53,'$$$ Replace &amp; Retrofit'!$I$10:$J$15,2)</f>
        <v>34062.471282523831</v>
      </c>
      <c r="K53" s="239"/>
    </row>
    <row r="54" spans="1:11" x14ac:dyDescent="0.25">
      <c r="A54" s="255" t="s">
        <v>248</v>
      </c>
      <c r="B54" s="255" t="s">
        <v>206</v>
      </c>
      <c r="C54" s="256">
        <v>2014</v>
      </c>
      <c r="D54" s="256">
        <v>300</v>
      </c>
      <c r="E54">
        <v>2.0151162607495698</v>
      </c>
      <c r="F54" s="257"/>
      <c r="G54">
        <f t="shared" si="0"/>
        <v>300</v>
      </c>
      <c r="H54" s="4">
        <f>IF(B54="RTG Crane",IF(D54&lt;600,800000,1200000),VLOOKUP(B54,'$$$ Replace &amp; Retrofit'!$B$10:$C$14,2)*'CHE Model poplulation'!D54)*E54</f>
        <v>604534.878224871</v>
      </c>
      <c r="I54" s="197">
        <f>E54*VLOOKUP('CHE Model poplulation'!G54,'$$$ Replace &amp; Retrofit'!$I$10:$J$15,2)</f>
        <v>57960.789007939879</v>
      </c>
      <c r="K54" s="239"/>
    </row>
    <row r="55" spans="1:11" x14ac:dyDescent="0.25">
      <c r="A55" s="255" t="s">
        <v>248</v>
      </c>
      <c r="B55" s="255" t="s">
        <v>206</v>
      </c>
      <c r="C55" s="256">
        <v>2014</v>
      </c>
      <c r="D55" s="256">
        <v>600</v>
      </c>
      <c r="E55">
        <v>4.0194944981947502</v>
      </c>
      <c r="F55" s="257"/>
      <c r="G55">
        <f t="shared" si="0"/>
        <v>400</v>
      </c>
      <c r="H55" s="4">
        <f>IF(B55="RTG Crane",IF(D55&lt;600,800000,1200000),VLOOKUP(B55,'$$$ Replace &amp; Retrofit'!$B$10:$C$14,2)*'CHE Model poplulation'!D55)*E55</f>
        <v>2411696.6989168501</v>
      </c>
      <c r="I55" s="197">
        <f>E55*VLOOKUP('CHE Model poplulation'!G55,'$$$ Replace &amp; Retrofit'!$I$10:$J$15,2)</f>
        <v>210352.20557402587</v>
      </c>
      <c r="K55" s="239"/>
    </row>
    <row r="56" spans="1:11" x14ac:dyDescent="0.25">
      <c r="A56" s="255" t="s">
        <v>248</v>
      </c>
      <c r="B56" s="255" t="s">
        <v>206</v>
      </c>
      <c r="C56" s="256">
        <v>2015</v>
      </c>
      <c r="D56" s="256">
        <v>50</v>
      </c>
      <c r="E56">
        <v>0.54455816003788304</v>
      </c>
      <c r="F56" s="257"/>
      <c r="G56">
        <f t="shared" si="0"/>
        <v>50</v>
      </c>
      <c r="H56" s="4">
        <f>IF(B56="RTG Crane",IF(D56&lt;600,800000,1200000),VLOOKUP(B56,'$$$ Replace &amp; Retrofit'!$B$10:$C$14,2)*'CHE Model poplulation'!D56)*E56</f>
        <v>27227.908001894153</v>
      </c>
      <c r="I56" s="197">
        <f>E56*VLOOKUP('CHE Model poplulation'!G56,'$$$ Replace &amp; Retrofit'!$I$10:$J$15,2)</f>
        <v>9577.6889187462875</v>
      </c>
      <c r="K56" s="239">
        <f>SUM(I56:I61)-K50-K44-K38-K32</f>
        <v>147811.41392893781</v>
      </c>
    </row>
    <row r="57" spans="1:11" x14ac:dyDescent="0.25">
      <c r="A57" s="255" t="s">
        <v>248</v>
      </c>
      <c r="B57" s="255" t="s">
        <v>206</v>
      </c>
      <c r="C57" s="256">
        <v>2015</v>
      </c>
      <c r="D57" s="256">
        <v>75</v>
      </c>
      <c r="E57">
        <v>1.2217804614908701</v>
      </c>
      <c r="F57" s="257"/>
      <c r="G57">
        <f t="shared" si="0"/>
        <v>50</v>
      </c>
      <c r="H57" s="4">
        <f>IF(B57="RTG Crane",IF(D57&lt;600,800000,1200000),VLOOKUP(B57,'$$$ Replace &amp; Retrofit'!$B$10:$C$14,2)*'CHE Model poplulation'!D57)*E57</f>
        <v>91633.534611815252</v>
      </c>
      <c r="I57" s="197">
        <f>E57*VLOOKUP('CHE Model poplulation'!G57,'$$$ Replace &amp; Retrofit'!$I$10:$J$15,2)</f>
        <v>21488.674756701421</v>
      </c>
      <c r="K57" s="239"/>
    </row>
    <row r="58" spans="1:11" x14ac:dyDescent="0.25">
      <c r="A58" s="255" t="s">
        <v>248</v>
      </c>
      <c r="B58" s="255" t="s">
        <v>206</v>
      </c>
      <c r="C58" s="256">
        <v>2015</v>
      </c>
      <c r="D58" s="256">
        <v>100</v>
      </c>
      <c r="E58">
        <v>1.0958162825822</v>
      </c>
      <c r="F58" s="257"/>
      <c r="G58">
        <f t="shared" si="0"/>
        <v>125</v>
      </c>
      <c r="H58" s="4">
        <f>IF(B58="RTG Crane",IF(D58&lt;600,800000,1200000),VLOOKUP(B58,'$$$ Replace &amp; Retrofit'!$B$10:$C$14,2)*'CHE Model poplulation'!D58)*E58</f>
        <v>109581.62825821999</v>
      </c>
      <c r="I58" s="197">
        <f>E58*VLOOKUP('CHE Model poplulation'!G58,'$$$ Replace &amp; Retrofit'!$I$10:$J$15,2)</f>
        <v>21623.742704194552</v>
      </c>
      <c r="K58" s="239"/>
    </row>
    <row r="59" spans="1:11" x14ac:dyDescent="0.25">
      <c r="A59" s="255" t="s">
        <v>248</v>
      </c>
      <c r="B59" s="255" t="s">
        <v>206</v>
      </c>
      <c r="C59" s="256">
        <v>2015</v>
      </c>
      <c r="D59" s="256">
        <v>175</v>
      </c>
      <c r="E59">
        <v>2.2209008050094798</v>
      </c>
      <c r="F59" s="257"/>
      <c r="G59">
        <f t="shared" si="0"/>
        <v>175</v>
      </c>
      <c r="H59" s="4">
        <f>IF(B59="RTG Crane",IF(D59&lt;600,800000,1200000),VLOOKUP(B59,'$$$ Replace &amp; Retrofit'!$B$10:$C$14,2)*'CHE Model poplulation'!D59)*E59</f>
        <v>388657.64087665896</v>
      </c>
      <c r="I59" s="197">
        <f>E59*VLOOKUP('CHE Model poplulation'!G59,'$$$ Replace &amp; Retrofit'!$I$10:$J$15,2)</f>
        <v>55069.456361015065</v>
      </c>
      <c r="K59" s="239"/>
    </row>
    <row r="60" spans="1:11" x14ac:dyDescent="0.25">
      <c r="A60" s="255" t="s">
        <v>248</v>
      </c>
      <c r="B60" s="255" t="s">
        <v>206</v>
      </c>
      <c r="C60" s="256">
        <v>2015</v>
      </c>
      <c r="D60" s="256">
        <v>300</v>
      </c>
      <c r="E60">
        <v>2.7266707190943702</v>
      </c>
      <c r="F60" s="257"/>
      <c r="G60">
        <f t="shared" si="0"/>
        <v>300</v>
      </c>
      <c r="H60" s="4">
        <f>IF(B60="RTG Crane",IF(D60&lt;600,800000,1200000),VLOOKUP(B60,'$$$ Replace &amp; Retrofit'!$B$10:$C$14,2)*'CHE Model poplulation'!D60)*E60</f>
        <v>818001.2157283111</v>
      </c>
      <c r="I60" s="197">
        <f>E60*VLOOKUP('CHE Model poplulation'!G60,'$$$ Replace &amp; Retrofit'!$I$10:$J$15,2)</f>
        <v>78427.229893311363</v>
      </c>
      <c r="K60" s="239"/>
    </row>
    <row r="61" spans="1:11" x14ac:dyDescent="0.25">
      <c r="A61" s="255" t="s">
        <v>248</v>
      </c>
      <c r="B61" s="255" t="s">
        <v>206</v>
      </c>
      <c r="C61" s="256">
        <v>2015</v>
      </c>
      <c r="D61" s="256">
        <v>600</v>
      </c>
      <c r="E61">
        <v>5.7136479227663903</v>
      </c>
      <c r="F61" s="257"/>
      <c r="G61">
        <f t="shared" si="0"/>
        <v>400</v>
      </c>
      <c r="H61" s="4">
        <f>IF(B61="RTG Crane",IF(D61&lt;600,800000,1200000),VLOOKUP(B61,'$$$ Replace &amp; Retrofit'!$B$10:$C$14,2)*'CHE Model poplulation'!D61)*E61</f>
        <v>3428188.7536598342</v>
      </c>
      <c r="I61" s="197">
        <f>E61*VLOOKUP('CHE Model poplulation'!G61,'$$$ Replace &amp; Retrofit'!$I$10:$J$15,2)</f>
        <v>299012.33674213348</v>
      </c>
      <c r="K61" s="239"/>
    </row>
    <row r="62" spans="1:11" x14ac:dyDescent="0.25">
      <c r="A62" s="255" t="s">
        <v>248</v>
      </c>
      <c r="B62" s="255" t="s">
        <v>206</v>
      </c>
      <c r="C62" s="256">
        <v>2016</v>
      </c>
      <c r="D62" s="256">
        <v>50</v>
      </c>
      <c r="E62">
        <v>0.70961309827967201</v>
      </c>
      <c r="F62" s="257"/>
      <c r="G62">
        <f t="shared" si="0"/>
        <v>50</v>
      </c>
      <c r="H62" s="4">
        <f>IF(B62="RTG Crane",IF(D62&lt;600,800000,1200000),VLOOKUP(B62,'$$$ Replace &amp; Retrofit'!$B$10:$C$14,2)*'CHE Model poplulation'!D62)*E62</f>
        <v>35480.654913983599</v>
      </c>
      <c r="I62" s="197">
        <f>E62*VLOOKUP('CHE Model poplulation'!G62,'$$$ Replace &amp; Retrofit'!$I$10:$J$15,2)</f>
        <v>12480.675172542871</v>
      </c>
      <c r="K62" s="239">
        <f>SUM(I62:I67)-K56-K50-K44-K38-K32</f>
        <v>146087.57637892728</v>
      </c>
    </row>
    <row r="63" spans="1:11" x14ac:dyDescent="0.25">
      <c r="A63" s="255" t="s">
        <v>248</v>
      </c>
      <c r="B63" s="255" t="s">
        <v>206</v>
      </c>
      <c r="C63" s="256">
        <v>2016</v>
      </c>
      <c r="D63" s="256">
        <v>75</v>
      </c>
      <c r="E63">
        <v>1.5703586522539601</v>
      </c>
      <c r="F63" s="257"/>
      <c r="G63">
        <f t="shared" si="0"/>
        <v>50</v>
      </c>
      <c r="H63" s="4">
        <f>IF(B63="RTG Crane",IF(D63&lt;600,800000,1200000),VLOOKUP(B63,'$$$ Replace &amp; Retrofit'!$B$10:$C$14,2)*'CHE Model poplulation'!D63)*E63</f>
        <v>117776.898919047</v>
      </c>
      <c r="I63" s="197">
        <f>E63*VLOOKUP('CHE Model poplulation'!G63,'$$$ Replace &amp; Retrofit'!$I$10:$J$15,2)</f>
        <v>27619.46797584265</v>
      </c>
      <c r="K63" s="239"/>
    </row>
    <row r="64" spans="1:11" x14ac:dyDescent="0.25">
      <c r="A64" s="255" t="s">
        <v>248</v>
      </c>
      <c r="B64" s="255" t="s">
        <v>206</v>
      </c>
      <c r="C64" s="256">
        <v>2016</v>
      </c>
      <c r="D64" s="256">
        <v>100</v>
      </c>
      <c r="E64">
        <v>1.4751939967758101</v>
      </c>
      <c r="F64" s="257"/>
      <c r="G64">
        <f t="shared" si="0"/>
        <v>125</v>
      </c>
      <c r="H64" s="4">
        <f>IF(B64="RTG Crane",IF(D64&lt;600,800000,1200000),VLOOKUP(B64,'$$$ Replace &amp; Retrofit'!$B$10:$C$14,2)*'CHE Model poplulation'!D64)*E64</f>
        <v>147519.39967758101</v>
      </c>
      <c r="I64" s="197">
        <f>E64*VLOOKUP('CHE Model poplulation'!G64,'$$$ Replace &amp; Retrofit'!$I$10:$J$15,2)</f>
        <v>29110.003138377062</v>
      </c>
      <c r="K64" s="239"/>
    </row>
    <row r="65" spans="1:11" x14ac:dyDescent="0.25">
      <c r="A65" s="255" t="s">
        <v>248</v>
      </c>
      <c r="B65" s="255" t="s">
        <v>206</v>
      </c>
      <c r="C65" s="256">
        <v>2016</v>
      </c>
      <c r="D65" s="256">
        <v>175</v>
      </c>
      <c r="E65">
        <v>3.05612009949684</v>
      </c>
      <c r="F65" s="257"/>
      <c r="G65">
        <f t="shared" si="0"/>
        <v>175</v>
      </c>
      <c r="H65" s="4">
        <f>IF(B65="RTG Crane",IF(D65&lt;600,800000,1200000),VLOOKUP(B65,'$$$ Replace &amp; Retrofit'!$B$10:$C$14,2)*'CHE Model poplulation'!D65)*E65</f>
        <v>534821.01741194702</v>
      </c>
      <c r="I65" s="197">
        <f>E65*VLOOKUP('CHE Model poplulation'!G65,'$$$ Replace &amp; Retrofit'!$I$10:$J$15,2)</f>
        <v>75779.55398712364</v>
      </c>
      <c r="K65" s="239"/>
    </row>
    <row r="66" spans="1:11" x14ac:dyDescent="0.25">
      <c r="A66" s="255" t="s">
        <v>248</v>
      </c>
      <c r="B66" s="255" t="s">
        <v>206</v>
      </c>
      <c r="C66" s="256">
        <v>2016</v>
      </c>
      <c r="D66" s="256">
        <v>300</v>
      </c>
      <c r="E66">
        <v>3.5052324593916002</v>
      </c>
      <c r="F66" s="257"/>
      <c r="G66">
        <f t="shared" ref="G66:G121" si="1">IF(OR(D66=50,D66=75),50,IF(OR(D66=100,D66=125),125,IF(D66&gt;=400,400,D66)))</f>
        <v>300</v>
      </c>
      <c r="H66" s="4">
        <f>IF(B66="RTG Crane",IF(D66&lt;600,800000,1200000),VLOOKUP(B66,'$$$ Replace &amp; Retrofit'!$B$10:$C$14,2)*'CHE Model poplulation'!D66)*E66</f>
        <v>1051569.73781748</v>
      </c>
      <c r="I66" s="197">
        <f>E66*VLOOKUP('CHE Model poplulation'!G66,'$$$ Replace &amp; Retrofit'!$I$10:$J$15,2)</f>
        <v>100821.00122948059</v>
      </c>
      <c r="K66" s="239"/>
    </row>
    <row r="67" spans="1:11" x14ac:dyDescent="0.25">
      <c r="A67" s="255" t="s">
        <v>248</v>
      </c>
      <c r="B67" s="255" t="s">
        <v>206</v>
      </c>
      <c r="C67" s="256">
        <v>2016</v>
      </c>
      <c r="D67" s="256">
        <v>600</v>
      </c>
      <c r="E67">
        <v>7.3658304368498397</v>
      </c>
      <c r="F67" s="257"/>
      <c r="G67">
        <f t="shared" si="1"/>
        <v>400</v>
      </c>
      <c r="H67" s="4">
        <f>IF(B67="RTG Crane",IF(D67&lt;600,800000,1200000),VLOOKUP(B67,'$$$ Replace &amp; Retrofit'!$B$10:$C$14,2)*'CHE Model poplulation'!D67)*E67</f>
        <v>4419498.2621099036</v>
      </c>
      <c r="I67" s="197">
        <f>E67*VLOOKUP('CHE Model poplulation'!G67,'$$$ Replace &amp; Retrofit'!$I$10:$J$15,2)</f>
        <v>385476.00425166264</v>
      </c>
      <c r="K67" s="239"/>
    </row>
    <row r="68" spans="1:11" x14ac:dyDescent="0.25">
      <c r="A68" s="255" t="s">
        <v>248</v>
      </c>
      <c r="B68" s="255" t="s">
        <v>206</v>
      </c>
      <c r="C68" s="256">
        <v>2017</v>
      </c>
      <c r="D68" s="256">
        <v>50</v>
      </c>
      <c r="E68">
        <v>0.70516930791940502</v>
      </c>
      <c r="F68" s="257"/>
      <c r="G68">
        <f t="shared" si="1"/>
        <v>50</v>
      </c>
      <c r="H68" s="4">
        <f>IF(B68="RTG Crane",IF(D68&lt;600,800000,1200000),VLOOKUP(B68,'$$$ Replace &amp; Retrofit'!$B$10:$C$14,2)*'CHE Model poplulation'!D68)*E68</f>
        <v>35258.465395970248</v>
      </c>
      <c r="I68" s="197">
        <f>E68*VLOOKUP('CHE Model poplulation'!G68,'$$$ Replace &amp; Retrofit'!$I$10:$J$15,2)</f>
        <v>12402.517787686496</v>
      </c>
      <c r="K68" s="239">
        <f>SUM(I68:I73)-K62-K56-K50-K44-K38-K32</f>
        <v>35.494522209628485</v>
      </c>
    </row>
    <row r="69" spans="1:11" x14ac:dyDescent="0.25">
      <c r="A69" s="255" t="s">
        <v>248</v>
      </c>
      <c r="B69" s="255" t="s">
        <v>206</v>
      </c>
      <c r="C69" s="256">
        <v>2017</v>
      </c>
      <c r="D69" s="256">
        <v>75</v>
      </c>
      <c r="E69">
        <v>1.5678211052636299</v>
      </c>
      <c r="F69" s="257"/>
      <c r="G69">
        <f t="shared" si="1"/>
        <v>50</v>
      </c>
      <c r="H69" s="4">
        <f>IF(B69="RTG Crane",IF(D69&lt;600,800000,1200000),VLOOKUP(B69,'$$$ Replace &amp; Retrofit'!$B$10:$C$14,2)*'CHE Model poplulation'!D69)*E69</f>
        <v>117586.58289477225</v>
      </c>
      <c r="I69" s="197">
        <f>E69*VLOOKUP('CHE Model poplulation'!G69,'$$$ Replace &amp; Retrofit'!$I$10:$J$15,2)</f>
        <v>27574.837599376722</v>
      </c>
      <c r="K69" s="239"/>
    </row>
    <row r="70" spans="1:11" x14ac:dyDescent="0.25">
      <c r="A70" s="255" t="s">
        <v>248</v>
      </c>
      <c r="B70" s="255" t="s">
        <v>206</v>
      </c>
      <c r="C70" s="256">
        <v>2017</v>
      </c>
      <c r="D70" s="256">
        <v>100</v>
      </c>
      <c r="E70">
        <v>1.46717865918053</v>
      </c>
      <c r="F70" s="257"/>
      <c r="G70">
        <f t="shared" si="1"/>
        <v>125</v>
      </c>
      <c r="H70" s="4">
        <f>IF(B70="RTG Crane",IF(D70&lt;600,800000,1200000),VLOOKUP(B70,'$$$ Replace &amp; Retrofit'!$B$10:$C$14,2)*'CHE Model poplulation'!D70)*E70</f>
        <v>146717.86591805299</v>
      </c>
      <c r="I70" s="197">
        <f>E70*VLOOKUP('CHE Model poplulation'!G70,'$$$ Replace &amp; Retrofit'!$I$10:$J$15,2)</f>
        <v>28951.8364816094</v>
      </c>
      <c r="K70" s="239"/>
    </row>
    <row r="71" spans="1:11" x14ac:dyDescent="0.25">
      <c r="A71" s="255" t="s">
        <v>248</v>
      </c>
      <c r="B71" s="255" t="s">
        <v>206</v>
      </c>
      <c r="C71" s="256">
        <v>2017</v>
      </c>
      <c r="D71" s="256">
        <v>175</v>
      </c>
      <c r="E71">
        <v>3.0694908670627798</v>
      </c>
      <c r="F71" s="257"/>
      <c r="G71">
        <f t="shared" si="1"/>
        <v>175</v>
      </c>
      <c r="H71" s="4">
        <f>IF(B71="RTG Crane",IF(D71&lt;600,800000,1200000),VLOOKUP(B71,'$$$ Replace &amp; Retrofit'!$B$10:$C$14,2)*'CHE Model poplulation'!D71)*E71</f>
        <v>537160.90173598647</v>
      </c>
      <c r="I71" s="197">
        <f>E71*VLOOKUP('CHE Model poplulation'!G71,'$$$ Replace &amp; Retrofit'!$I$10:$J$15,2)</f>
        <v>76111.095539688686</v>
      </c>
      <c r="K71" s="239"/>
    </row>
    <row r="72" spans="1:11" x14ac:dyDescent="0.25">
      <c r="A72" s="255" t="s">
        <v>248</v>
      </c>
      <c r="B72" s="255" t="s">
        <v>206</v>
      </c>
      <c r="C72" s="256">
        <v>2017</v>
      </c>
      <c r="D72" s="256">
        <v>300</v>
      </c>
      <c r="E72">
        <v>3.5270289080925799</v>
      </c>
      <c r="F72" s="257"/>
      <c r="G72">
        <f t="shared" si="1"/>
        <v>300</v>
      </c>
      <c r="H72" s="4">
        <f>IF(B72="RTG Crane",IF(D72&lt;600,800000,1200000),VLOOKUP(B72,'$$$ Replace &amp; Retrofit'!$B$10:$C$14,2)*'CHE Model poplulation'!D72)*E72</f>
        <v>1058108.6724277739</v>
      </c>
      <c r="I72" s="197">
        <f>E72*VLOOKUP('CHE Model poplulation'!G72,'$$$ Replace &amp; Retrofit'!$I$10:$J$15,2)</f>
        <v>101447.93248346688</v>
      </c>
      <c r="K72" s="239"/>
    </row>
    <row r="73" spans="1:11" x14ac:dyDescent="0.25">
      <c r="A73" s="255" t="s">
        <v>248</v>
      </c>
      <c r="B73" s="255" t="s">
        <v>206</v>
      </c>
      <c r="C73" s="256">
        <v>2017</v>
      </c>
      <c r="D73" s="256">
        <v>600</v>
      </c>
      <c r="E73">
        <v>7.3535623867427997</v>
      </c>
      <c r="F73" s="257"/>
      <c r="G73">
        <f t="shared" si="1"/>
        <v>400</v>
      </c>
      <c r="H73" s="4">
        <f>IF(B73="RTG Crane",IF(D73&lt;600,800000,1200000),VLOOKUP(B73,'$$$ Replace &amp; Retrofit'!$B$10:$C$14,2)*'CHE Model poplulation'!D73)*E73</f>
        <v>4412137.4320456795</v>
      </c>
      <c r="I73" s="197">
        <f>E73*VLOOKUP('CHE Model poplulation'!G73,'$$$ Replace &amp; Retrofit'!$I$10:$J$15,2)</f>
        <v>384833.98038541095</v>
      </c>
      <c r="K73" s="239"/>
    </row>
    <row r="74" spans="1:11" x14ac:dyDescent="0.25">
      <c r="A74" s="255" t="s">
        <v>248</v>
      </c>
      <c r="B74" s="255" t="s">
        <v>206</v>
      </c>
      <c r="C74" s="256">
        <v>2018</v>
      </c>
      <c r="D74" s="256">
        <v>50</v>
      </c>
      <c r="E74">
        <v>0.69874419560126899</v>
      </c>
      <c r="F74" s="257"/>
      <c r="G74">
        <f t="shared" si="1"/>
        <v>50</v>
      </c>
      <c r="H74" s="4">
        <f>IF(B74="RTG Crane",IF(D74&lt;600,800000,1200000),VLOOKUP(B74,'$$$ Replace &amp; Retrofit'!$B$10:$C$14,2)*'CHE Model poplulation'!D74)*E74</f>
        <v>34937.209780063451</v>
      </c>
      <c r="I74" s="197">
        <f>E74*VLOOKUP('CHE Model poplulation'!G74,'$$$ Replace &amp; Retrofit'!$I$10:$J$15,2)</f>
        <v>12289.512912235119</v>
      </c>
      <c r="K74" s="239"/>
    </row>
    <row r="75" spans="1:11" x14ac:dyDescent="0.25">
      <c r="A75" s="255" t="s">
        <v>248</v>
      </c>
      <c r="B75" s="255" t="s">
        <v>206</v>
      </c>
      <c r="C75" s="256">
        <v>2018</v>
      </c>
      <c r="D75" s="256">
        <v>75</v>
      </c>
      <c r="E75">
        <v>1.5591149648885601</v>
      </c>
      <c r="F75" s="257"/>
      <c r="G75">
        <f t="shared" si="1"/>
        <v>50</v>
      </c>
      <c r="H75" s="4">
        <f>IF(B75="RTG Crane",IF(D75&lt;600,800000,1200000),VLOOKUP(B75,'$$$ Replace &amp; Retrofit'!$B$10:$C$14,2)*'CHE Model poplulation'!D75)*E75</f>
        <v>116933.622366642</v>
      </c>
      <c r="I75" s="197">
        <f>E75*VLOOKUP('CHE Model poplulation'!G75,'$$$ Replace &amp; Retrofit'!$I$10:$J$15,2)</f>
        <v>27421.714002459994</v>
      </c>
      <c r="K75" s="239"/>
    </row>
    <row r="76" spans="1:11" x14ac:dyDescent="0.25">
      <c r="A76" s="255" t="s">
        <v>248</v>
      </c>
      <c r="B76" s="255" t="s">
        <v>206</v>
      </c>
      <c r="C76" s="256">
        <v>2018</v>
      </c>
      <c r="D76" s="256">
        <v>100</v>
      </c>
      <c r="E76">
        <v>1.45436555493124</v>
      </c>
      <c r="F76" s="257"/>
      <c r="G76">
        <f t="shared" si="1"/>
        <v>125</v>
      </c>
      <c r="H76" s="4">
        <f>IF(B76="RTG Crane",IF(D76&lt;600,800000,1200000),VLOOKUP(B76,'$$$ Replace &amp; Retrofit'!$B$10:$C$14,2)*'CHE Model poplulation'!D76)*E76</f>
        <v>145436.555493124</v>
      </c>
      <c r="I76" s="197">
        <f>E76*VLOOKUP('CHE Model poplulation'!G76,'$$$ Replace &amp; Retrofit'!$I$10:$J$15,2)</f>
        <v>28698.995495458159</v>
      </c>
      <c r="K76" s="239"/>
    </row>
    <row r="77" spans="1:11" x14ac:dyDescent="0.25">
      <c r="A77" s="255" t="s">
        <v>248</v>
      </c>
      <c r="B77" s="255" t="s">
        <v>206</v>
      </c>
      <c r="C77" s="256">
        <v>2018</v>
      </c>
      <c r="D77" s="256">
        <v>175</v>
      </c>
      <c r="E77">
        <v>3.0674335838455802</v>
      </c>
      <c r="F77" s="257"/>
      <c r="G77">
        <f t="shared" si="1"/>
        <v>175</v>
      </c>
      <c r="H77" s="4">
        <f>IF(B77="RTG Crane",IF(D77&lt;600,800000,1200000),VLOOKUP(B77,'$$$ Replace &amp; Retrofit'!$B$10:$C$14,2)*'CHE Model poplulation'!D77)*E77</f>
        <v>536800.8771729765</v>
      </c>
      <c r="I77" s="197">
        <f>E77*VLOOKUP('CHE Model poplulation'!G77,'$$$ Replace &amp; Retrofit'!$I$10:$J$15,2)</f>
        <v>76060.083145035009</v>
      </c>
      <c r="K77" s="239"/>
    </row>
    <row r="78" spans="1:11" x14ac:dyDescent="0.25">
      <c r="A78" s="255" t="s">
        <v>248</v>
      </c>
      <c r="B78" s="255" t="s">
        <v>206</v>
      </c>
      <c r="C78" s="256">
        <v>2018</v>
      </c>
      <c r="D78" s="256">
        <v>300</v>
      </c>
      <c r="E78">
        <v>3.52858730693423</v>
      </c>
      <c r="F78" s="257"/>
      <c r="G78">
        <f t="shared" si="1"/>
        <v>300</v>
      </c>
      <c r="H78" s="4">
        <f>IF(B78="RTG Crane",IF(D78&lt;600,800000,1200000),VLOOKUP(B78,'$$$ Replace &amp; Retrofit'!$B$10:$C$14,2)*'CHE Model poplulation'!D78)*E78</f>
        <v>1058576.1920802689</v>
      </c>
      <c r="I78" s="197">
        <f>E78*VLOOKUP('CHE Model poplulation'!G78,'$$$ Replace &amp; Retrofit'!$I$10:$J$15,2)</f>
        <v>101492.75670934925</v>
      </c>
      <c r="K78" s="239"/>
    </row>
    <row r="79" spans="1:11" x14ac:dyDescent="0.25">
      <c r="A79" s="255" t="s">
        <v>248</v>
      </c>
      <c r="B79" s="255" t="s">
        <v>206</v>
      </c>
      <c r="C79" s="256">
        <v>2018</v>
      </c>
      <c r="D79" s="256">
        <v>600</v>
      </c>
      <c r="E79">
        <v>7.3118572324002296</v>
      </c>
      <c r="F79" s="257"/>
      <c r="G79">
        <f t="shared" si="1"/>
        <v>400</v>
      </c>
      <c r="H79" s="4">
        <f>IF(B79="RTG Crane",IF(D79&lt;600,800000,1200000),VLOOKUP(B79,'$$$ Replace &amp; Retrofit'!$B$10:$C$14,2)*'CHE Model poplulation'!D79)*E79</f>
        <v>4387114.3394401381</v>
      </c>
      <c r="I79" s="197">
        <f>E79*VLOOKUP('CHE Model poplulation'!G79,'$$$ Replace &amp; Retrofit'!$I$10:$J$15,2)</f>
        <v>382651.42454320122</v>
      </c>
      <c r="K79" s="239"/>
    </row>
    <row r="80" spans="1:11" x14ac:dyDescent="0.25">
      <c r="A80" s="255" t="s">
        <v>248</v>
      </c>
      <c r="B80" s="255" t="s">
        <v>206</v>
      </c>
      <c r="C80" s="256">
        <v>2019</v>
      </c>
      <c r="D80" s="256">
        <v>50</v>
      </c>
      <c r="E80">
        <v>0.69282053882410199</v>
      </c>
      <c r="F80" s="257"/>
      <c r="G80">
        <f t="shared" si="1"/>
        <v>50</v>
      </c>
      <c r="H80" s="4">
        <f>IF(B80="RTG Crane",IF(D80&lt;600,800000,1200000),VLOOKUP(B80,'$$$ Replace &amp; Retrofit'!$B$10:$C$14,2)*'CHE Model poplulation'!D80)*E80</f>
        <v>34641.026941205098</v>
      </c>
      <c r="I80" s="197">
        <f>E80*VLOOKUP('CHE Model poplulation'!G80,'$$$ Replace &amp; Retrofit'!$I$10:$J$15,2)</f>
        <v>12185.327636838307</v>
      </c>
      <c r="K80" s="239"/>
    </row>
    <row r="81" spans="1:11" x14ac:dyDescent="0.25">
      <c r="A81" s="255" t="s">
        <v>248</v>
      </c>
      <c r="B81" s="255" t="s">
        <v>206</v>
      </c>
      <c r="C81" s="256">
        <v>2019</v>
      </c>
      <c r="D81" s="256">
        <v>75</v>
      </c>
      <c r="E81">
        <v>1.55221547348943</v>
      </c>
      <c r="F81" s="257"/>
      <c r="G81">
        <f t="shared" si="1"/>
        <v>50</v>
      </c>
      <c r="H81" s="4">
        <f>IF(B81="RTG Crane",IF(D81&lt;600,800000,1200000),VLOOKUP(B81,'$$$ Replace &amp; Retrofit'!$B$10:$C$14,2)*'CHE Model poplulation'!D81)*E81</f>
        <v>116416.16051170725</v>
      </c>
      <c r="I81" s="197">
        <f>E81*VLOOKUP('CHE Model poplulation'!G81,'$$$ Replace &amp; Retrofit'!$I$10:$J$15,2)</f>
        <v>27300.365747732096</v>
      </c>
      <c r="K81" s="239"/>
    </row>
    <row r="82" spans="1:11" x14ac:dyDescent="0.25">
      <c r="A82" s="255" t="s">
        <v>248</v>
      </c>
      <c r="B82" s="255" t="s">
        <v>206</v>
      </c>
      <c r="C82" s="256">
        <v>2019</v>
      </c>
      <c r="D82" s="256">
        <v>100</v>
      </c>
      <c r="E82">
        <v>1.44419865198872</v>
      </c>
      <c r="F82" s="257"/>
      <c r="G82">
        <f t="shared" si="1"/>
        <v>125</v>
      </c>
      <c r="H82" s="4">
        <f>IF(B82="RTG Crane",IF(D82&lt;600,800000,1200000),VLOOKUP(B82,'$$$ Replace &amp; Retrofit'!$B$10:$C$14,2)*'CHE Model poplulation'!D82)*E82</f>
        <v>144419.86519887199</v>
      </c>
      <c r="I82" s="197">
        <f>E82*VLOOKUP('CHE Model poplulation'!G82,'$$$ Replace &amp; Retrofit'!$I$10:$J$15,2)</f>
        <v>28498.371999693412</v>
      </c>
      <c r="K82" s="239"/>
    </row>
    <row r="83" spans="1:11" x14ac:dyDescent="0.25">
      <c r="A83" s="255" t="s">
        <v>248</v>
      </c>
      <c r="B83" s="255" t="s">
        <v>206</v>
      </c>
      <c r="C83" s="256">
        <v>2019</v>
      </c>
      <c r="D83" s="256">
        <v>175</v>
      </c>
      <c r="E83">
        <v>3.0684553126132599</v>
      </c>
      <c r="F83" s="257"/>
      <c r="G83">
        <f t="shared" si="1"/>
        <v>175</v>
      </c>
      <c r="H83" s="4">
        <f>IF(B83="RTG Crane",IF(D83&lt;600,800000,1200000),VLOOKUP(B83,'$$$ Replace &amp; Retrofit'!$B$10:$C$14,2)*'CHE Model poplulation'!D83)*E83</f>
        <v>536979.67970732052</v>
      </c>
      <c r="I83" s="197">
        <f>E83*VLOOKUP('CHE Model poplulation'!G83,'$$$ Replace &amp; Retrofit'!$I$10:$J$15,2)</f>
        <v>76085.41793155839</v>
      </c>
      <c r="K83" s="239"/>
    </row>
    <row r="84" spans="1:11" x14ac:dyDescent="0.25">
      <c r="A84" s="255" t="s">
        <v>248</v>
      </c>
      <c r="B84" s="255" t="s">
        <v>206</v>
      </c>
      <c r="C84" s="256">
        <v>2019</v>
      </c>
      <c r="D84" s="256">
        <v>300</v>
      </c>
      <c r="E84">
        <v>3.5315139603808001</v>
      </c>
      <c r="F84" s="257"/>
      <c r="G84">
        <f t="shared" si="1"/>
        <v>300</v>
      </c>
      <c r="H84" s="4">
        <f>IF(B84="RTG Crane",IF(D84&lt;600,800000,1200000),VLOOKUP(B84,'$$$ Replace &amp; Retrofit'!$B$10:$C$14,2)*'CHE Model poplulation'!D84)*E84</f>
        <v>1059454.1881142401</v>
      </c>
      <c r="I84" s="197">
        <f>E84*VLOOKUP('CHE Model poplulation'!G84,'$$$ Replace &amp; Retrofit'!$I$10:$J$15,2)</f>
        <v>101576.93604243295</v>
      </c>
      <c r="K84" s="239"/>
    </row>
    <row r="85" spans="1:11" x14ac:dyDescent="0.25">
      <c r="A85" s="255" t="s">
        <v>248</v>
      </c>
      <c r="B85" s="255" t="s">
        <v>206</v>
      </c>
      <c r="C85" s="256">
        <v>2019</v>
      </c>
      <c r="D85" s="256">
        <v>600</v>
      </c>
      <c r="E85">
        <v>7.2780387356394698</v>
      </c>
      <c r="F85" s="257"/>
      <c r="G85">
        <f t="shared" si="1"/>
        <v>400</v>
      </c>
      <c r="H85" s="4">
        <f>IF(B85="RTG Crane",IF(D85&lt;600,800000,1200000),VLOOKUP(B85,'$$$ Replace &amp; Retrofit'!$B$10:$C$14,2)*'CHE Model poplulation'!D85)*E85</f>
        <v>4366823.241383682</v>
      </c>
      <c r="I85" s="197">
        <f>E85*VLOOKUP('CHE Model poplulation'!G85,'$$$ Replace &amp; Retrofit'!$I$10:$J$15,2)</f>
        <v>380881.60115222039</v>
      </c>
      <c r="K85" s="239"/>
    </row>
    <row r="86" spans="1:11" x14ac:dyDescent="0.25">
      <c r="A86" s="255" t="s">
        <v>248</v>
      </c>
      <c r="B86" s="255" t="s">
        <v>206</v>
      </c>
      <c r="C86" s="256">
        <v>2020</v>
      </c>
      <c r="D86" s="256">
        <v>50</v>
      </c>
      <c r="E86">
        <v>0.68571250481874002</v>
      </c>
      <c r="F86" s="257"/>
      <c r="G86">
        <f t="shared" si="1"/>
        <v>50</v>
      </c>
      <c r="H86" s="4">
        <f>IF(B86="RTG Crane",IF(D86&lt;600,800000,1200000),VLOOKUP(B86,'$$$ Replace &amp; Retrofit'!$B$10:$C$14,2)*'CHE Model poplulation'!D86)*E86</f>
        <v>34285.625240936999</v>
      </c>
      <c r="I86" s="197">
        <f>E86*VLOOKUP('CHE Model poplulation'!G86,'$$$ Replace &amp; Retrofit'!$I$10:$J$15,2)</f>
        <v>12060.311534752</v>
      </c>
      <c r="K86" s="239"/>
    </row>
    <row r="87" spans="1:11" x14ac:dyDescent="0.25">
      <c r="A87" s="255" t="s">
        <v>248</v>
      </c>
      <c r="B87" s="255" t="s">
        <v>206</v>
      </c>
      <c r="C87" s="256">
        <v>2020</v>
      </c>
      <c r="D87" s="256">
        <v>75</v>
      </c>
      <c r="E87">
        <v>1.5383517371969599</v>
      </c>
      <c r="F87" s="257"/>
      <c r="G87">
        <f t="shared" si="1"/>
        <v>50</v>
      </c>
      <c r="H87" s="4">
        <f>IF(B87="RTG Crane",IF(D87&lt;600,800000,1200000),VLOOKUP(B87,'$$$ Replace &amp; Retrofit'!$B$10:$C$14,2)*'CHE Model poplulation'!D87)*E87</f>
        <v>115376.380289772</v>
      </c>
      <c r="I87" s="197">
        <f>E87*VLOOKUP('CHE Model poplulation'!G87,'$$$ Replace &amp; Retrofit'!$I$10:$J$15,2)</f>
        <v>27056.530353820133</v>
      </c>
      <c r="K87" s="239"/>
    </row>
    <row r="88" spans="1:11" x14ac:dyDescent="0.25">
      <c r="A88" s="255" t="s">
        <v>248</v>
      </c>
      <c r="B88" s="255" t="s">
        <v>206</v>
      </c>
      <c r="C88" s="256">
        <v>2020</v>
      </c>
      <c r="D88" s="256">
        <v>100</v>
      </c>
      <c r="E88">
        <v>1.4288095772668099</v>
      </c>
      <c r="F88" s="257"/>
      <c r="G88">
        <f t="shared" si="1"/>
        <v>125</v>
      </c>
      <c r="H88" s="4">
        <f>IF(B88="RTG Crane",IF(D88&lt;600,800000,1200000),VLOOKUP(B88,'$$$ Replace &amp; Retrofit'!$B$10:$C$14,2)*'CHE Model poplulation'!D88)*E88</f>
        <v>142880.95772668099</v>
      </c>
      <c r="I88" s="197">
        <f>E88*VLOOKUP('CHE Model poplulation'!G88,'$$$ Replace &amp; Retrofit'!$I$10:$J$15,2)</f>
        <v>28194.699388205961</v>
      </c>
      <c r="K88" s="239"/>
    </row>
    <row r="89" spans="1:11" x14ac:dyDescent="0.25">
      <c r="A89" s="255" t="s">
        <v>248</v>
      </c>
      <c r="B89" s="255" t="s">
        <v>206</v>
      </c>
      <c r="C89" s="256">
        <v>2020</v>
      </c>
      <c r="D89" s="256">
        <v>175</v>
      </c>
      <c r="E89">
        <v>3.0582491894525501</v>
      </c>
      <c r="F89" s="257"/>
      <c r="G89">
        <f t="shared" si="1"/>
        <v>175</v>
      </c>
      <c r="H89" s="4">
        <f>IF(B89="RTG Crane",IF(D89&lt;600,800000,1200000),VLOOKUP(B89,'$$$ Replace &amp; Retrofit'!$B$10:$C$14,2)*'CHE Model poplulation'!D89)*E89</f>
        <v>535193.60815419629</v>
      </c>
      <c r="I89" s="197">
        <f>E89*VLOOKUP('CHE Model poplulation'!G89,'$$$ Replace &amp; Retrofit'!$I$10:$J$15,2)</f>
        <v>75832.346901665427</v>
      </c>
      <c r="K89" s="239"/>
    </row>
    <row r="90" spans="1:11" x14ac:dyDescent="0.25">
      <c r="A90" s="255" t="s">
        <v>248</v>
      </c>
      <c r="B90" s="255" t="s">
        <v>206</v>
      </c>
      <c r="C90" s="256">
        <v>2020</v>
      </c>
      <c r="D90" s="256">
        <v>300</v>
      </c>
      <c r="E90">
        <v>3.5097540611376701</v>
      </c>
      <c r="F90" s="257"/>
      <c r="G90">
        <f t="shared" si="1"/>
        <v>300</v>
      </c>
      <c r="H90" s="4">
        <f>IF(B90="RTG Crane",IF(D90&lt;600,800000,1200000),VLOOKUP(B90,'$$$ Replace &amp; Retrofit'!$B$10:$C$14,2)*'CHE Model poplulation'!D90)*E90</f>
        <v>1052926.218341301</v>
      </c>
      <c r="I90" s="197">
        <f>E90*VLOOKUP('CHE Model poplulation'!G90,'$$$ Replace &amp; Retrofit'!$I$10:$J$15,2)</f>
        <v>100951.0560605028</v>
      </c>
      <c r="K90" s="239"/>
    </row>
    <row r="91" spans="1:11" x14ac:dyDescent="0.25">
      <c r="A91" s="255" t="s">
        <v>248</v>
      </c>
      <c r="B91" s="255" t="s">
        <v>206</v>
      </c>
      <c r="C91" s="256">
        <v>2020</v>
      </c>
      <c r="D91" s="256">
        <v>600</v>
      </c>
      <c r="E91">
        <v>7.2043840148343801</v>
      </c>
      <c r="F91" s="257"/>
      <c r="G91">
        <f t="shared" si="1"/>
        <v>400</v>
      </c>
      <c r="H91" s="4">
        <f>IF(B91="RTG Crane",IF(D91&lt;600,800000,1200000),VLOOKUP(B91,'$$$ Replace &amp; Retrofit'!$B$10:$C$14,2)*'CHE Model poplulation'!D91)*E91</f>
        <v>4322630.4089006279</v>
      </c>
      <c r="I91" s="197">
        <f>E91*VLOOKUP('CHE Model poplulation'!G91,'$$$ Replace &amp; Retrofit'!$I$10:$J$15,2)</f>
        <v>377027.02864832763</v>
      </c>
      <c r="K91" s="239"/>
    </row>
    <row r="92" spans="1:11" x14ac:dyDescent="0.25">
      <c r="A92" s="255" t="s">
        <v>248</v>
      </c>
      <c r="B92" s="255" t="s">
        <v>206</v>
      </c>
      <c r="C92" s="256">
        <v>2021</v>
      </c>
      <c r="D92" s="256">
        <v>50</v>
      </c>
      <c r="E92">
        <v>0.67785852656787504</v>
      </c>
      <c r="F92" s="257"/>
      <c r="G92">
        <f t="shared" si="1"/>
        <v>50</v>
      </c>
      <c r="H92" s="4">
        <f>IF(B92="RTG Crane",IF(D92&lt;600,800000,1200000),VLOOKUP(B92,'$$$ Replace &amp; Retrofit'!$B$10:$C$14,2)*'CHE Model poplulation'!D92)*E92</f>
        <v>33892.926328393754</v>
      </c>
      <c r="I92" s="197">
        <f>E92*VLOOKUP('CHE Model poplulation'!G92,'$$$ Replace &amp; Retrofit'!$I$10:$J$15,2)</f>
        <v>11922.175765275786</v>
      </c>
      <c r="K92" s="239"/>
    </row>
    <row r="93" spans="1:11" x14ac:dyDescent="0.25">
      <c r="A93" s="255" t="s">
        <v>248</v>
      </c>
      <c r="B93" s="255" t="s">
        <v>206</v>
      </c>
      <c r="C93" s="256">
        <v>2021</v>
      </c>
      <c r="D93" s="256">
        <v>75</v>
      </c>
      <c r="E93">
        <v>1.52130386052138</v>
      </c>
      <c r="F93" s="257"/>
      <c r="G93">
        <f t="shared" si="1"/>
        <v>50</v>
      </c>
      <c r="H93" s="4">
        <f>IF(B93="RTG Crane",IF(D93&lt;600,800000,1200000),VLOOKUP(B93,'$$$ Replace &amp; Retrofit'!$B$10:$C$14,2)*'CHE Model poplulation'!D93)*E93</f>
        <v>114097.7895391035</v>
      </c>
      <c r="I93" s="197">
        <f>E93*VLOOKUP('CHE Model poplulation'!G93,'$$$ Replace &amp; Retrofit'!$I$10:$J$15,2)</f>
        <v>26756.69229885003</v>
      </c>
      <c r="K93" s="239"/>
    </row>
    <row r="94" spans="1:11" x14ac:dyDescent="0.25">
      <c r="A94" s="255" t="s">
        <v>248</v>
      </c>
      <c r="B94" s="255" t="s">
        <v>206</v>
      </c>
      <c r="C94" s="256">
        <v>2021</v>
      </c>
      <c r="D94" s="256">
        <v>100</v>
      </c>
      <c r="E94">
        <v>1.4118503290423301</v>
      </c>
      <c r="F94" s="257"/>
      <c r="G94">
        <f t="shared" si="1"/>
        <v>125</v>
      </c>
      <c r="H94" s="4">
        <f>IF(B94="RTG Crane",IF(D94&lt;600,800000,1200000),VLOOKUP(B94,'$$$ Replace &amp; Retrofit'!$B$10:$C$14,2)*'CHE Model poplulation'!D94)*E94</f>
        <v>141185.032904233</v>
      </c>
      <c r="I94" s="197">
        <f>E94*VLOOKUP('CHE Model poplulation'!G94,'$$$ Replace &amp; Retrofit'!$I$10:$J$15,2)</f>
        <v>27860.042542992302</v>
      </c>
      <c r="K94" s="239"/>
    </row>
    <row r="95" spans="1:11" x14ac:dyDescent="0.25">
      <c r="A95" s="255" t="s">
        <v>248</v>
      </c>
      <c r="B95" s="255" t="s">
        <v>206</v>
      </c>
      <c r="C95" s="256">
        <v>2021</v>
      </c>
      <c r="D95" s="256">
        <v>175</v>
      </c>
      <c r="E95">
        <v>3.0432907568788901</v>
      </c>
      <c r="F95" s="257"/>
      <c r="G95">
        <f t="shared" si="1"/>
        <v>175</v>
      </c>
      <c r="H95" s="4">
        <f>IF(B95="RTG Crane",IF(D95&lt;600,800000,1200000),VLOOKUP(B95,'$$$ Replace &amp; Retrofit'!$B$10:$C$14,2)*'CHE Model poplulation'!D95)*E95</f>
        <v>532575.88245380577</v>
      </c>
      <c r="I95" s="197">
        <f>E95*VLOOKUP('CHE Model poplulation'!G95,'$$$ Replace &amp; Retrofit'!$I$10:$J$15,2)</f>
        <v>75461.437607568951</v>
      </c>
      <c r="K95" s="239"/>
    </row>
    <row r="96" spans="1:11" x14ac:dyDescent="0.25">
      <c r="A96" s="255" t="s">
        <v>248</v>
      </c>
      <c r="B96" s="255" t="s">
        <v>206</v>
      </c>
      <c r="C96" s="256">
        <v>2021</v>
      </c>
      <c r="D96" s="256">
        <v>300</v>
      </c>
      <c r="E96">
        <v>3.4800031136135599</v>
      </c>
      <c r="F96" s="257"/>
      <c r="G96">
        <f t="shared" si="1"/>
        <v>300</v>
      </c>
      <c r="H96" s="4">
        <f>IF(B96="RTG Crane",IF(D96&lt;600,800000,1200000),VLOOKUP(B96,'$$$ Replace &amp; Retrofit'!$B$10:$C$14,2)*'CHE Model poplulation'!D96)*E96</f>
        <v>1044000.9340840679</v>
      </c>
      <c r="I96" s="197">
        <f>E96*VLOOKUP('CHE Model poplulation'!G96,'$$$ Replace &amp; Retrofit'!$I$10:$J$15,2)</f>
        <v>100095.32955686683</v>
      </c>
      <c r="K96" s="239"/>
    </row>
    <row r="97" spans="1:11" x14ac:dyDescent="0.25">
      <c r="A97" s="255" t="s">
        <v>248</v>
      </c>
      <c r="B97" s="255" t="s">
        <v>206</v>
      </c>
      <c r="C97" s="256">
        <v>2021</v>
      </c>
      <c r="D97" s="256">
        <v>600</v>
      </c>
      <c r="E97">
        <v>7.1189144931377397</v>
      </c>
      <c r="F97" s="257"/>
      <c r="G97">
        <f t="shared" si="1"/>
        <v>400</v>
      </c>
      <c r="H97" s="4">
        <f>IF(B97="RTG Crane",IF(D97&lt;600,800000,1200000),VLOOKUP(B97,'$$$ Replace &amp; Retrofit'!$B$10:$C$14,2)*'CHE Model poplulation'!D97)*E97</f>
        <v>4271348.6958826436</v>
      </c>
      <c r="I97" s="197">
        <f>E97*VLOOKUP('CHE Model poplulation'!G97,'$$$ Replace &amp; Retrofit'!$I$10:$J$15,2)</f>
        <v>372554.15216937731</v>
      </c>
      <c r="K97" s="239"/>
    </row>
    <row r="98" spans="1:11" x14ac:dyDescent="0.25">
      <c r="A98" s="255" t="s">
        <v>248</v>
      </c>
      <c r="B98" s="255" t="s">
        <v>206</v>
      </c>
      <c r="C98" s="256">
        <v>2022</v>
      </c>
      <c r="D98" s="256">
        <v>50</v>
      </c>
      <c r="E98">
        <v>0.66993254653716705</v>
      </c>
      <c r="F98" s="257"/>
      <c r="G98">
        <f t="shared" si="1"/>
        <v>50</v>
      </c>
      <c r="H98" s="4">
        <f>IF(B98="RTG Crane",IF(D98&lt;600,800000,1200000),VLOOKUP(B98,'$$$ Replace &amp; Retrofit'!$B$10:$C$14,2)*'CHE Model poplulation'!D98)*E98</f>
        <v>33496.627326858354</v>
      </c>
      <c r="I98" s="197">
        <f>E98*VLOOKUP('CHE Model poplulation'!G98,'$$$ Replace &amp; Retrofit'!$I$10:$J$15,2)</f>
        <v>11782.773628495694</v>
      </c>
      <c r="K98" s="239"/>
    </row>
    <row r="99" spans="1:11" x14ac:dyDescent="0.25">
      <c r="A99" s="255" t="s">
        <v>248</v>
      </c>
      <c r="B99" s="255" t="s">
        <v>206</v>
      </c>
      <c r="C99" s="256">
        <v>2022</v>
      </c>
      <c r="D99" s="256">
        <v>75</v>
      </c>
      <c r="E99">
        <v>1.50150437966058</v>
      </c>
      <c r="F99" s="257"/>
      <c r="G99">
        <f t="shared" si="1"/>
        <v>50</v>
      </c>
      <c r="H99" s="4">
        <f>IF(B99="RTG Crane",IF(D99&lt;600,800000,1200000),VLOOKUP(B99,'$$$ Replace &amp; Retrofit'!$B$10:$C$14,2)*'CHE Model poplulation'!D99)*E99</f>
        <v>112612.82847454351</v>
      </c>
      <c r="I99" s="197">
        <f>E99*VLOOKUP('CHE Model poplulation'!G99,'$$$ Replace &amp; Retrofit'!$I$10:$J$15,2)</f>
        <v>26408.459029470283</v>
      </c>
      <c r="K99" s="239"/>
    </row>
    <row r="100" spans="1:11" x14ac:dyDescent="0.25">
      <c r="A100" s="255" t="s">
        <v>248</v>
      </c>
      <c r="B100" s="255" t="s">
        <v>206</v>
      </c>
      <c r="C100" s="256">
        <v>2022</v>
      </c>
      <c r="D100" s="256">
        <v>100</v>
      </c>
      <c r="E100">
        <v>1.39112605942462</v>
      </c>
      <c r="F100" s="257"/>
      <c r="G100">
        <f t="shared" si="1"/>
        <v>125</v>
      </c>
      <c r="H100" s="4">
        <f>IF(B100="RTG Crane",IF(D100&lt;600,800000,1200000),VLOOKUP(B100,'$$$ Replace &amp; Retrofit'!$B$10:$C$14,2)*'CHE Model poplulation'!D100)*E100</f>
        <v>139112.60594246199</v>
      </c>
      <c r="I100" s="197">
        <f>E100*VLOOKUP('CHE Model poplulation'!G100,'$$$ Replace &amp; Retrofit'!$I$10:$J$15,2)</f>
        <v>27451.090530626025</v>
      </c>
      <c r="K100" s="239"/>
    </row>
    <row r="101" spans="1:11" x14ac:dyDescent="0.25">
      <c r="A101" s="255" t="s">
        <v>248</v>
      </c>
      <c r="B101" s="255" t="s">
        <v>206</v>
      </c>
      <c r="C101" s="256">
        <v>2022</v>
      </c>
      <c r="D101" s="256">
        <v>175</v>
      </c>
      <c r="E101">
        <v>3.0216677583401901</v>
      </c>
      <c r="F101" s="257"/>
      <c r="G101">
        <f t="shared" si="1"/>
        <v>175</v>
      </c>
      <c r="H101" s="4">
        <f>IF(B101="RTG Crane",IF(D101&lt;600,800000,1200000),VLOOKUP(B101,'$$$ Replace &amp; Retrofit'!$B$10:$C$14,2)*'CHE Model poplulation'!D101)*E101</f>
        <v>528791.8577095333</v>
      </c>
      <c r="I101" s="197">
        <f>E101*VLOOKUP('CHE Model poplulation'!G101,'$$$ Replace &amp; Retrofit'!$I$10:$J$15,2)</f>
        <v>74925.273735803348</v>
      </c>
      <c r="K101" s="239"/>
    </row>
    <row r="102" spans="1:11" x14ac:dyDescent="0.25">
      <c r="A102" s="255" t="s">
        <v>248</v>
      </c>
      <c r="B102" s="255" t="s">
        <v>206</v>
      </c>
      <c r="C102" s="256">
        <v>2022</v>
      </c>
      <c r="D102" s="256">
        <v>300</v>
      </c>
      <c r="E102">
        <v>3.4397607187489401</v>
      </c>
      <c r="F102" s="257"/>
      <c r="G102">
        <f t="shared" si="1"/>
        <v>300</v>
      </c>
      <c r="H102" s="4">
        <f>IF(B102="RTG Crane",IF(D102&lt;600,800000,1200000),VLOOKUP(B102,'$$$ Replace &amp; Retrofit'!$B$10:$C$14,2)*'CHE Model poplulation'!D102)*E102</f>
        <v>1031928.215624682</v>
      </c>
      <c r="I102" s="197">
        <f>E102*VLOOKUP('CHE Model poplulation'!G102,'$$$ Replace &amp; Retrofit'!$I$10:$J$15,2)</f>
        <v>98937.837553375764</v>
      </c>
      <c r="K102" s="239"/>
    </row>
    <row r="103" spans="1:11" x14ac:dyDescent="0.25">
      <c r="A103" s="255" t="s">
        <v>248</v>
      </c>
      <c r="B103" s="255" t="s">
        <v>206</v>
      </c>
      <c r="C103" s="256">
        <v>2022</v>
      </c>
      <c r="D103" s="256">
        <v>600</v>
      </c>
      <c r="E103">
        <v>7.0152992470564604</v>
      </c>
      <c r="F103" s="257"/>
      <c r="G103">
        <f t="shared" si="1"/>
        <v>400</v>
      </c>
      <c r="H103" s="4">
        <f>IF(B103="RTG Crane",IF(D103&lt;600,800000,1200000),VLOOKUP(B103,'$$$ Replace &amp; Retrofit'!$B$10:$C$14,2)*'CHE Model poplulation'!D103)*E103</f>
        <v>4209179.548233876</v>
      </c>
      <c r="I103" s="197">
        <f>E103*VLOOKUP('CHE Model poplulation'!G103,'$$$ Replace &amp; Retrofit'!$I$10:$J$15,2)</f>
        <v>367131.65549620573</v>
      </c>
      <c r="K103" s="239"/>
    </row>
    <row r="104" spans="1:11" x14ac:dyDescent="0.25">
      <c r="A104" s="255" t="s">
        <v>248</v>
      </c>
      <c r="B104" s="255" t="s">
        <v>206</v>
      </c>
      <c r="C104" s="256">
        <v>2023</v>
      </c>
      <c r="D104" s="256">
        <v>50</v>
      </c>
      <c r="E104">
        <v>0.66071775318083703</v>
      </c>
      <c r="F104" s="257"/>
      <c r="G104">
        <f t="shared" si="1"/>
        <v>50</v>
      </c>
      <c r="H104" s="4">
        <f>IF(B104="RTG Crane",IF(D104&lt;600,800000,1200000),VLOOKUP(B104,'$$$ Replace &amp; Retrofit'!$B$10:$C$14,2)*'CHE Model poplulation'!D104)*E104</f>
        <v>33035.887659041851</v>
      </c>
      <c r="I104" s="197">
        <f>E104*VLOOKUP('CHE Model poplulation'!G104,'$$$ Replace &amp; Retrofit'!$I$10:$J$15,2)</f>
        <v>11620.703842944562</v>
      </c>
      <c r="K104" s="239"/>
    </row>
    <row r="105" spans="1:11" x14ac:dyDescent="0.25">
      <c r="A105" s="255" t="s">
        <v>248</v>
      </c>
      <c r="B105" s="255" t="s">
        <v>206</v>
      </c>
      <c r="C105" s="256">
        <v>2023</v>
      </c>
      <c r="D105" s="256">
        <v>75</v>
      </c>
      <c r="E105">
        <v>1.4768010055515299</v>
      </c>
      <c r="F105" s="257"/>
      <c r="G105">
        <f t="shared" si="1"/>
        <v>50</v>
      </c>
      <c r="H105" s="4">
        <f>IF(B105="RTG Crane",IF(D105&lt;600,800000,1200000),VLOOKUP(B105,'$$$ Replace &amp; Retrofit'!$B$10:$C$14,2)*'CHE Model poplulation'!D105)*E105</f>
        <v>110760.07541636475</v>
      </c>
      <c r="I105" s="197">
        <f>E105*VLOOKUP('CHE Model poplulation'!G105,'$$$ Replace &amp; Retrofit'!$I$10:$J$15,2)</f>
        <v>25973.976085640308</v>
      </c>
      <c r="K105" s="239"/>
    </row>
    <row r="106" spans="1:11" x14ac:dyDescent="0.25">
      <c r="A106" s="255" t="s">
        <v>248</v>
      </c>
      <c r="B106" s="255" t="s">
        <v>206</v>
      </c>
      <c r="C106" s="256">
        <v>2023</v>
      </c>
      <c r="D106" s="256">
        <v>100</v>
      </c>
      <c r="E106">
        <v>1.36673205122151</v>
      </c>
      <c r="F106" s="257"/>
      <c r="G106">
        <f t="shared" si="1"/>
        <v>125</v>
      </c>
      <c r="H106" s="4">
        <f>IF(B106="RTG Crane",IF(D106&lt;600,800000,1200000),VLOOKUP(B106,'$$$ Replace &amp; Retrofit'!$B$10:$C$14,2)*'CHE Model poplulation'!D106)*E106</f>
        <v>136673.205122151</v>
      </c>
      <c r="I106" s="197">
        <f>E106*VLOOKUP('CHE Model poplulation'!G106,'$$$ Replace &amp; Retrofit'!$I$10:$J$15,2)</f>
        <v>26969.723566754055</v>
      </c>
      <c r="K106" s="239"/>
    </row>
    <row r="107" spans="1:11" x14ac:dyDescent="0.25">
      <c r="A107" s="255" t="s">
        <v>248</v>
      </c>
      <c r="B107" s="255" t="s">
        <v>206</v>
      </c>
      <c r="C107" s="256">
        <v>2023</v>
      </c>
      <c r="D107" s="256">
        <v>175</v>
      </c>
      <c r="E107">
        <v>2.9904316514708098</v>
      </c>
      <c r="F107" s="257"/>
      <c r="G107">
        <f t="shared" si="1"/>
        <v>175</v>
      </c>
      <c r="H107" s="4">
        <f>IF(B107="RTG Crane",IF(D107&lt;600,800000,1200000),VLOOKUP(B107,'$$$ Replace &amp; Retrofit'!$B$10:$C$14,2)*'CHE Model poplulation'!D107)*E107</f>
        <v>523325.53900739172</v>
      </c>
      <c r="I107" s="197">
        <f>E107*VLOOKUP('CHE Model poplulation'!G107,'$$$ Replace &amp; Retrofit'!$I$10:$J$15,2)</f>
        <v>74150.743229870204</v>
      </c>
      <c r="K107" s="239"/>
    </row>
    <row r="108" spans="1:11" x14ac:dyDescent="0.25">
      <c r="A108" s="255" t="s">
        <v>248</v>
      </c>
      <c r="B108" s="255" t="s">
        <v>206</v>
      </c>
      <c r="C108" s="256">
        <v>2023</v>
      </c>
      <c r="D108" s="256">
        <v>300</v>
      </c>
      <c r="E108">
        <v>3.3860345921101098</v>
      </c>
      <c r="F108" s="257"/>
      <c r="G108">
        <f t="shared" si="1"/>
        <v>300</v>
      </c>
      <c r="H108" s="4">
        <f>IF(B108="RTG Crane",IF(D108&lt;600,800000,1200000),VLOOKUP(B108,'$$$ Replace &amp; Retrofit'!$B$10:$C$14,2)*'CHE Model poplulation'!D108)*E108</f>
        <v>1015810.377633033</v>
      </c>
      <c r="I108" s="197">
        <f>E108*VLOOKUP('CHE Model poplulation'!G108,'$$$ Replace &amp; Retrofit'!$I$10:$J$15,2)</f>
        <v>97392.512972863085</v>
      </c>
      <c r="K108" s="239"/>
    </row>
    <row r="109" spans="1:11" x14ac:dyDescent="0.25">
      <c r="A109" s="255" t="s">
        <v>248</v>
      </c>
      <c r="B109" s="255" t="s">
        <v>206</v>
      </c>
      <c r="C109" s="256">
        <v>2023</v>
      </c>
      <c r="D109" s="256">
        <v>600</v>
      </c>
      <c r="E109">
        <v>6.8891460215129099</v>
      </c>
      <c r="F109" s="257"/>
      <c r="G109">
        <f t="shared" si="1"/>
        <v>400</v>
      </c>
      <c r="H109" s="4">
        <f>IF(B109="RTG Crane",IF(D109&lt;600,800000,1200000),VLOOKUP(B109,'$$$ Replace &amp; Retrofit'!$B$10:$C$14,2)*'CHE Model poplulation'!D109)*E109</f>
        <v>4133487.6129077459</v>
      </c>
      <c r="I109" s="197">
        <f>E109*VLOOKUP('CHE Model poplulation'!G109,'$$$ Replace &amp; Retrofit'!$I$10:$J$15,2)</f>
        <v>360529.67874383513</v>
      </c>
      <c r="K109" s="239"/>
    </row>
    <row r="110" spans="1:11" x14ac:dyDescent="0.25">
      <c r="A110" s="255" t="s">
        <v>248</v>
      </c>
      <c r="B110" s="255" t="s">
        <v>206</v>
      </c>
      <c r="C110" s="256">
        <v>2024</v>
      </c>
      <c r="D110" s="256">
        <v>50</v>
      </c>
      <c r="E110">
        <v>0.64302415994015505</v>
      </c>
      <c r="F110" s="257"/>
      <c r="G110">
        <f t="shared" si="1"/>
        <v>50</v>
      </c>
      <c r="H110" s="4">
        <f>IF(B110="RTG Crane",IF(D110&lt;600,800000,1200000),VLOOKUP(B110,'$$$ Replace &amp; Retrofit'!$B$10:$C$14,2)*'CHE Model poplulation'!D110)*E110</f>
        <v>32151.207997007754</v>
      </c>
      <c r="I110" s="197">
        <f>E110*VLOOKUP('CHE Model poplulation'!G110,'$$$ Replace &amp; Retrofit'!$I$10:$J$15,2)</f>
        <v>11309.508925027447</v>
      </c>
      <c r="K110" s="239"/>
    </row>
    <row r="111" spans="1:11" x14ac:dyDescent="0.25">
      <c r="A111" s="255" t="s">
        <v>248</v>
      </c>
      <c r="B111" s="255" t="s">
        <v>206</v>
      </c>
      <c r="C111" s="256">
        <v>2024</v>
      </c>
      <c r="D111" s="256">
        <v>75</v>
      </c>
      <c r="E111">
        <v>1.4231484440536299</v>
      </c>
      <c r="F111" s="257"/>
      <c r="G111">
        <f t="shared" si="1"/>
        <v>50</v>
      </c>
      <c r="H111" s="4">
        <f>IF(B111="RTG Crane",IF(D111&lt;600,800000,1200000),VLOOKUP(B111,'$$$ Replace &amp; Retrofit'!$B$10:$C$14,2)*'CHE Model poplulation'!D111)*E111</f>
        <v>106736.13330402225</v>
      </c>
      <c r="I111" s="197">
        <f>E111*VLOOKUP('CHE Model poplulation'!G111,'$$$ Replace &amp; Retrofit'!$I$10:$J$15,2)</f>
        <v>25030.334834015244</v>
      </c>
      <c r="K111" s="239"/>
    </row>
    <row r="112" spans="1:11" x14ac:dyDescent="0.25">
      <c r="A112" s="255" t="s">
        <v>248</v>
      </c>
      <c r="B112" s="255" t="s">
        <v>206</v>
      </c>
      <c r="C112" s="256">
        <v>2024</v>
      </c>
      <c r="D112" s="256">
        <v>100</v>
      </c>
      <c r="E112">
        <v>1.3225156968578899</v>
      </c>
      <c r="F112" s="257"/>
      <c r="G112">
        <f t="shared" si="1"/>
        <v>125</v>
      </c>
      <c r="H112" s="4">
        <f>IF(B112="RTG Crane",IF(D112&lt;600,800000,1200000),VLOOKUP(B112,'$$$ Replace &amp; Retrofit'!$B$10:$C$14,2)*'CHE Model poplulation'!D112)*E112</f>
        <v>132251.569685789</v>
      </c>
      <c r="I112" s="197">
        <f>E112*VLOOKUP('CHE Model poplulation'!G112,'$$$ Replace &amp; Retrofit'!$I$10:$J$15,2)</f>
        <v>26097.202246096742</v>
      </c>
      <c r="K112" s="239"/>
    </row>
    <row r="113" spans="1:11" x14ac:dyDescent="0.25">
      <c r="A113" s="255" t="s">
        <v>248</v>
      </c>
      <c r="B113" s="255" t="s">
        <v>206</v>
      </c>
      <c r="C113" s="256">
        <v>2024</v>
      </c>
      <c r="D113" s="256">
        <v>175</v>
      </c>
      <c r="E113">
        <v>2.9241766737557802</v>
      </c>
      <c r="F113" s="257"/>
      <c r="G113">
        <f t="shared" si="1"/>
        <v>175</v>
      </c>
      <c r="H113" s="4">
        <f>IF(B113="RTG Crane",IF(D113&lt;600,800000,1200000),VLOOKUP(B113,'$$$ Replace &amp; Retrofit'!$B$10:$C$14,2)*'CHE Model poplulation'!D113)*E113</f>
        <v>511730.91790726152</v>
      </c>
      <c r="I113" s="197">
        <f>E113*VLOOKUP('CHE Model poplulation'!G113,'$$$ Replace &amp; Retrofit'!$I$10:$J$15,2)</f>
        <v>72507.88480244833</v>
      </c>
      <c r="K113" s="239"/>
    </row>
    <row r="114" spans="1:11" x14ac:dyDescent="0.25">
      <c r="A114" s="255" t="s">
        <v>248</v>
      </c>
      <c r="B114" s="255" t="s">
        <v>206</v>
      </c>
      <c r="C114" s="256">
        <v>2024</v>
      </c>
      <c r="D114" s="256">
        <v>300</v>
      </c>
      <c r="E114">
        <v>3.2656311873455399</v>
      </c>
      <c r="F114" s="257"/>
      <c r="G114">
        <f t="shared" si="1"/>
        <v>300</v>
      </c>
      <c r="H114" s="4">
        <f>IF(B114="RTG Crane",IF(D114&lt;600,800000,1200000),VLOOKUP(B114,'$$$ Replace &amp; Retrofit'!$B$10:$C$14,2)*'CHE Model poplulation'!D114)*E114</f>
        <v>979689.356203662</v>
      </c>
      <c r="I114" s="197">
        <f>E114*VLOOKUP('CHE Model poplulation'!G114,'$$$ Replace &amp; Retrofit'!$I$10:$J$15,2)</f>
        <v>93929.349841619769</v>
      </c>
      <c r="K114" s="239"/>
    </row>
    <row r="115" spans="1:11" x14ac:dyDescent="0.25">
      <c r="A115" s="255" t="s">
        <v>248</v>
      </c>
      <c r="B115" s="255" t="s">
        <v>206</v>
      </c>
      <c r="C115" s="256">
        <v>2024</v>
      </c>
      <c r="D115" s="256">
        <v>600</v>
      </c>
      <c r="E115">
        <v>6.6240310390311201</v>
      </c>
      <c r="F115" s="257"/>
      <c r="G115">
        <f t="shared" si="1"/>
        <v>400</v>
      </c>
      <c r="H115" s="4">
        <f>IF(B115="RTG Crane",IF(D115&lt;600,800000,1200000),VLOOKUP(B115,'$$$ Replace &amp; Retrofit'!$B$10:$C$14,2)*'CHE Model poplulation'!D115)*E115</f>
        <v>3974418.623418672</v>
      </c>
      <c r="I115" s="197">
        <f>E115*VLOOKUP('CHE Model poplulation'!G115,'$$$ Replace &amp; Retrofit'!$I$10:$J$15,2)</f>
        <v>346655.41636561562</v>
      </c>
      <c r="K115" s="239"/>
    </row>
    <row r="116" spans="1:11" x14ac:dyDescent="0.25">
      <c r="A116" s="255" t="s">
        <v>248</v>
      </c>
      <c r="B116" s="255" t="s">
        <v>206</v>
      </c>
      <c r="C116" s="256">
        <v>2025</v>
      </c>
      <c r="D116" s="256">
        <v>50</v>
      </c>
      <c r="E116">
        <v>0.62473211403908901</v>
      </c>
      <c r="F116" s="257"/>
      <c r="G116">
        <f t="shared" si="1"/>
        <v>50</v>
      </c>
      <c r="H116" s="4">
        <f>IF(B116="RTG Crane",IF(D116&lt;600,800000,1200000),VLOOKUP(B116,'$$$ Replace &amp; Retrofit'!$B$10:$C$14,2)*'CHE Model poplulation'!D116)*E116</f>
        <v>31236.60570195445</v>
      </c>
      <c r="I116" s="197">
        <f>E116*VLOOKUP('CHE Model poplulation'!G116,'$$$ Replace &amp; Retrofit'!$I$10:$J$15,2)</f>
        <v>10987.788421719497</v>
      </c>
      <c r="K116" s="239"/>
    </row>
    <row r="117" spans="1:11" x14ac:dyDescent="0.25">
      <c r="A117" s="255" t="s">
        <v>248</v>
      </c>
      <c r="B117" s="255" t="s">
        <v>206</v>
      </c>
      <c r="C117" s="256">
        <v>2025</v>
      </c>
      <c r="D117" s="256">
        <v>75</v>
      </c>
      <c r="E117">
        <v>1.3672562134553901</v>
      </c>
      <c r="F117" s="257"/>
      <c r="G117">
        <f t="shared" si="1"/>
        <v>50</v>
      </c>
      <c r="H117" s="4">
        <f>IF(B117="RTG Crane",IF(D117&lt;600,800000,1200000),VLOOKUP(B117,'$$$ Replace &amp; Retrofit'!$B$10:$C$14,2)*'CHE Model poplulation'!D117)*E117</f>
        <v>102544.21600915426</v>
      </c>
      <c r="I117" s="197">
        <f>E117*VLOOKUP('CHE Model poplulation'!G117,'$$$ Replace &amp; Retrofit'!$I$10:$J$15,2)</f>
        <v>24047.3022822534</v>
      </c>
      <c r="K117" s="239"/>
    </row>
    <row r="118" spans="1:11" x14ac:dyDescent="0.25">
      <c r="A118" s="255" t="s">
        <v>248</v>
      </c>
      <c r="B118" s="255" t="s">
        <v>206</v>
      </c>
      <c r="C118" s="256">
        <v>2025</v>
      </c>
      <c r="D118" s="256">
        <v>100</v>
      </c>
      <c r="E118">
        <v>1.29112793673658</v>
      </c>
      <c r="F118" s="257"/>
      <c r="G118">
        <f t="shared" si="1"/>
        <v>125</v>
      </c>
      <c r="H118" s="4">
        <f>IF(B118="RTG Crane",IF(D118&lt;600,800000,1200000),VLOOKUP(B118,'$$$ Replace &amp; Retrofit'!$B$10:$C$14,2)*'CHE Model poplulation'!D118)*E118</f>
        <v>129112.793673658</v>
      </c>
      <c r="I118" s="197">
        <f>E118*VLOOKUP('CHE Model poplulation'!G118,'$$$ Replace &amp; Retrofit'!$I$10:$J$15,2)</f>
        <v>25477.827575622934</v>
      </c>
      <c r="K118" s="239"/>
    </row>
    <row r="119" spans="1:11" x14ac:dyDescent="0.25">
      <c r="A119" s="255" t="s">
        <v>248</v>
      </c>
      <c r="B119" s="255" t="s">
        <v>206</v>
      </c>
      <c r="C119" s="256">
        <v>2025</v>
      </c>
      <c r="D119" s="256">
        <v>175</v>
      </c>
      <c r="E119">
        <v>2.8784501033982499</v>
      </c>
      <c r="F119" s="257"/>
      <c r="G119">
        <f t="shared" si="1"/>
        <v>175</v>
      </c>
      <c r="H119" s="4">
        <f>IF(B119="RTG Crane",IF(D119&lt;600,800000,1200000),VLOOKUP(B119,'$$$ Replace &amp; Retrofit'!$B$10:$C$14,2)*'CHE Model poplulation'!D119)*E119</f>
        <v>503728.76809469372</v>
      </c>
      <c r="I119" s="197">
        <f>E119*VLOOKUP('CHE Model poplulation'!G119,'$$$ Replace &amp; Retrofit'!$I$10:$J$15,2)</f>
        <v>71374.048763863</v>
      </c>
      <c r="K119" s="239"/>
    </row>
    <row r="120" spans="1:11" x14ac:dyDescent="0.25">
      <c r="A120" s="255" t="s">
        <v>248</v>
      </c>
      <c r="B120" s="255" t="s">
        <v>206</v>
      </c>
      <c r="C120" s="256">
        <v>2025</v>
      </c>
      <c r="D120" s="256">
        <v>300</v>
      </c>
      <c r="E120">
        <v>3.1359145591677402</v>
      </c>
      <c r="F120" s="257"/>
      <c r="G120">
        <f t="shared" si="1"/>
        <v>300</v>
      </c>
      <c r="H120" s="4">
        <f>IF(B120="RTG Crane",IF(D120&lt;600,800000,1200000),VLOOKUP(B120,'$$$ Replace &amp; Retrofit'!$B$10:$C$14,2)*'CHE Model poplulation'!D120)*E120</f>
        <v>940774.3677503221</v>
      </c>
      <c r="I120" s="197">
        <f>E120*VLOOKUP('CHE Model poplulation'!G120,'$$$ Replace &amp; Retrofit'!$I$10:$J$15,2)</f>
        <v>90198.31046534171</v>
      </c>
      <c r="K120" s="239"/>
    </row>
    <row r="121" spans="1:11" x14ac:dyDescent="0.25">
      <c r="A121" s="255" t="s">
        <v>248</v>
      </c>
      <c r="B121" s="255" t="s">
        <v>206</v>
      </c>
      <c r="C121" s="256">
        <v>2025</v>
      </c>
      <c r="D121" s="256">
        <v>600</v>
      </c>
      <c r="E121">
        <v>6.3462954559235802</v>
      </c>
      <c r="F121" s="257"/>
      <c r="G121">
        <f t="shared" si="1"/>
        <v>400</v>
      </c>
      <c r="H121" s="4">
        <f>IF(B121="RTG Crane",IF(D121&lt;600,800000,1200000),VLOOKUP(B121,'$$$ Replace &amp; Retrofit'!$B$10:$C$14,2)*'CHE Model poplulation'!D121)*E121</f>
        <v>3807777.2735541482</v>
      </c>
      <c r="I121" s="197">
        <f>E121*VLOOKUP('CHE Model poplulation'!G121,'$$$ Replace &amp; Retrofit'!$I$10:$J$15,2)</f>
        <v>332120.68009484874</v>
      </c>
      <c r="K121" s="239"/>
    </row>
    <row r="122" spans="1:11" x14ac:dyDescent="0.25">
      <c r="A122" s="255" t="s">
        <v>248</v>
      </c>
      <c r="B122" s="255" t="s">
        <v>208</v>
      </c>
      <c r="C122" s="256">
        <v>2006</v>
      </c>
      <c r="D122" s="256">
        <v>100</v>
      </c>
      <c r="E122" s="256">
        <v>0</v>
      </c>
      <c r="F122" s="257"/>
      <c r="H122" s="239"/>
      <c r="I122" s="4"/>
      <c r="K122" s="239"/>
    </row>
    <row r="123" spans="1:11" x14ac:dyDescent="0.25">
      <c r="A123" s="255" t="s">
        <v>248</v>
      </c>
      <c r="B123" s="255" t="s">
        <v>208</v>
      </c>
      <c r="C123" s="256">
        <v>2006</v>
      </c>
      <c r="D123" s="256">
        <v>175</v>
      </c>
      <c r="E123" s="256">
        <v>0</v>
      </c>
      <c r="F123" s="257"/>
      <c r="H123" s="239"/>
      <c r="I123" s="4"/>
      <c r="K123" s="239"/>
    </row>
    <row r="124" spans="1:11" x14ac:dyDescent="0.25">
      <c r="A124" s="255" t="s">
        <v>248</v>
      </c>
      <c r="B124" s="255" t="s">
        <v>208</v>
      </c>
      <c r="C124" s="256">
        <v>2006</v>
      </c>
      <c r="D124" s="256">
        <v>300</v>
      </c>
      <c r="E124" s="256">
        <v>0</v>
      </c>
      <c r="F124" s="257"/>
      <c r="H124" s="239"/>
      <c r="I124" s="4"/>
      <c r="K124" s="239"/>
    </row>
    <row r="125" spans="1:11" x14ac:dyDescent="0.25">
      <c r="A125" s="255" t="s">
        <v>248</v>
      </c>
      <c r="B125" s="255" t="s">
        <v>208</v>
      </c>
      <c r="C125" s="256">
        <v>2006</v>
      </c>
      <c r="D125" s="256">
        <v>600</v>
      </c>
      <c r="E125" s="256">
        <v>0</v>
      </c>
      <c r="F125" s="257"/>
      <c r="H125" s="239"/>
      <c r="I125" s="4"/>
      <c r="K125" s="239"/>
    </row>
    <row r="126" spans="1:11" x14ac:dyDescent="0.25">
      <c r="A126" s="255" t="s">
        <v>248</v>
      </c>
      <c r="B126" s="255" t="s">
        <v>208</v>
      </c>
      <c r="C126" s="256">
        <v>2007</v>
      </c>
      <c r="D126" s="256">
        <v>100</v>
      </c>
      <c r="E126" s="256">
        <v>0</v>
      </c>
      <c r="F126" s="257"/>
      <c r="H126" s="239"/>
      <c r="I126" s="4"/>
      <c r="K126" s="239"/>
    </row>
    <row r="127" spans="1:11" x14ac:dyDescent="0.25">
      <c r="A127" s="255" t="s">
        <v>248</v>
      </c>
      <c r="B127" s="255" t="s">
        <v>208</v>
      </c>
      <c r="C127" s="256">
        <v>2007</v>
      </c>
      <c r="D127" s="256">
        <v>175</v>
      </c>
      <c r="E127" s="256">
        <v>0</v>
      </c>
      <c r="F127" s="257"/>
      <c r="H127" s="239"/>
      <c r="I127" s="4"/>
      <c r="K127" s="239"/>
    </row>
    <row r="128" spans="1:11" x14ac:dyDescent="0.25">
      <c r="A128" s="255" t="s">
        <v>248</v>
      </c>
      <c r="B128" s="255" t="s">
        <v>208</v>
      </c>
      <c r="C128" s="256">
        <v>2007</v>
      </c>
      <c r="D128" s="256">
        <v>300</v>
      </c>
      <c r="E128" s="256">
        <v>0</v>
      </c>
      <c r="F128" s="257"/>
      <c r="H128" s="239"/>
      <c r="I128" s="4"/>
      <c r="K128" s="239"/>
    </row>
    <row r="129" spans="1:12" x14ac:dyDescent="0.25">
      <c r="A129" s="255" t="s">
        <v>248</v>
      </c>
      <c r="B129" s="255" t="s">
        <v>208</v>
      </c>
      <c r="C129" s="256">
        <v>2007</v>
      </c>
      <c r="D129" s="256">
        <v>600</v>
      </c>
      <c r="E129" s="256">
        <v>0</v>
      </c>
      <c r="F129" s="257"/>
      <c r="H129" s="239"/>
      <c r="I129" s="4"/>
      <c r="K129" s="239"/>
    </row>
    <row r="130" spans="1:12" x14ac:dyDescent="0.25">
      <c r="A130" s="255" t="s">
        <v>248</v>
      </c>
      <c r="B130" s="255" t="s">
        <v>208</v>
      </c>
      <c r="C130" s="256">
        <v>2008</v>
      </c>
      <c r="D130" s="256">
        <v>100</v>
      </c>
      <c r="E130" s="256">
        <v>0</v>
      </c>
      <c r="F130" s="257"/>
      <c r="H130" s="239"/>
      <c r="I130" s="4"/>
      <c r="K130" s="239"/>
    </row>
    <row r="131" spans="1:12" x14ac:dyDescent="0.25">
      <c r="A131" s="255" t="s">
        <v>248</v>
      </c>
      <c r="B131" s="255" t="s">
        <v>208</v>
      </c>
      <c r="C131" s="256">
        <v>2008</v>
      </c>
      <c r="D131" s="256">
        <v>175</v>
      </c>
      <c r="E131" s="256">
        <v>0</v>
      </c>
      <c r="F131" s="257"/>
      <c r="H131" s="239"/>
      <c r="I131" s="4"/>
      <c r="K131" s="239"/>
    </row>
    <row r="132" spans="1:12" x14ac:dyDescent="0.25">
      <c r="A132" s="255" t="s">
        <v>248</v>
      </c>
      <c r="B132" s="255" t="s">
        <v>208</v>
      </c>
      <c r="C132" s="256">
        <v>2008</v>
      </c>
      <c r="D132" s="256">
        <v>300</v>
      </c>
      <c r="E132" s="256">
        <v>0</v>
      </c>
      <c r="F132" s="257"/>
      <c r="H132" s="239"/>
      <c r="I132" s="4"/>
      <c r="K132" s="239"/>
    </row>
    <row r="133" spans="1:12" x14ac:dyDescent="0.25">
      <c r="A133" s="255" t="s">
        <v>248</v>
      </c>
      <c r="B133" s="255" t="s">
        <v>208</v>
      </c>
      <c r="C133" s="256">
        <v>2008</v>
      </c>
      <c r="D133" s="256">
        <v>600</v>
      </c>
      <c r="E133" s="256">
        <v>0</v>
      </c>
      <c r="F133" s="257"/>
      <c r="H133" s="239"/>
      <c r="I133" s="4"/>
      <c r="K133" s="239"/>
    </row>
    <row r="134" spans="1:12" x14ac:dyDescent="0.25">
      <c r="A134" s="255" t="s">
        <v>248</v>
      </c>
      <c r="B134" s="255" t="s">
        <v>208</v>
      </c>
      <c r="C134" s="256">
        <v>2009</v>
      </c>
      <c r="D134" s="256">
        <v>100</v>
      </c>
      <c r="E134" s="256">
        <v>0</v>
      </c>
      <c r="F134" s="257"/>
      <c r="H134" s="239"/>
      <c r="I134" s="4"/>
      <c r="K134" s="239"/>
    </row>
    <row r="135" spans="1:12" x14ac:dyDescent="0.25">
      <c r="A135" s="255" t="s">
        <v>248</v>
      </c>
      <c r="B135" s="255" t="s">
        <v>208</v>
      </c>
      <c r="C135" s="256">
        <v>2009</v>
      </c>
      <c r="D135" s="256">
        <v>175</v>
      </c>
      <c r="E135" s="256">
        <v>0</v>
      </c>
      <c r="F135" s="257"/>
      <c r="H135" s="239"/>
      <c r="I135" s="4"/>
      <c r="K135" s="239"/>
    </row>
    <row r="136" spans="1:12" x14ac:dyDescent="0.25">
      <c r="A136" s="255" t="s">
        <v>248</v>
      </c>
      <c r="B136" s="255" t="s">
        <v>208</v>
      </c>
      <c r="C136" s="256">
        <v>2009</v>
      </c>
      <c r="D136" s="256">
        <v>300</v>
      </c>
      <c r="E136" s="256">
        <v>0</v>
      </c>
      <c r="F136" s="257"/>
      <c r="H136" s="239"/>
      <c r="I136" s="4"/>
      <c r="K136" s="239"/>
    </row>
    <row r="137" spans="1:12" x14ac:dyDescent="0.25">
      <c r="A137" s="255" t="s">
        <v>248</v>
      </c>
      <c r="B137" s="255" t="s">
        <v>208</v>
      </c>
      <c r="C137" s="256">
        <v>2009</v>
      </c>
      <c r="D137" s="256">
        <v>600</v>
      </c>
      <c r="E137" s="256">
        <v>0</v>
      </c>
      <c r="F137" s="257"/>
      <c r="H137" s="239"/>
      <c r="I137" s="4"/>
      <c r="K137" s="239"/>
    </row>
    <row r="138" spans="1:12" x14ac:dyDescent="0.25">
      <c r="A138" s="255" t="s">
        <v>248</v>
      </c>
      <c r="B138" s="255" t="s">
        <v>208</v>
      </c>
      <c r="C138" s="256">
        <v>2010</v>
      </c>
      <c r="D138" s="256">
        <v>100</v>
      </c>
      <c r="E138" s="256">
        <v>0</v>
      </c>
      <c r="F138" s="257"/>
      <c r="H138" s="239"/>
      <c r="I138" s="4"/>
      <c r="K138" s="239"/>
    </row>
    <row r="139" spans="1:12" x14ac:dyDescent="0.25">
      <c r="A139" s="255" t="s">
        <v>248</v>
      </c>
      <c r="B139" s="255" t="s">
        <v>208</v>
      </c>
      <c r="C139" s="256">
        <v>2010</v>
      </c>
      <c r="D139" s="256">
        <v>175</v>
      </c>
      <c r="E139" s="256">
        <v>0</v>
      </c>
      <c r="F139" s="257"/>
      <c r="H139" s="239"/>
      <c r="I139" s="4"/>
      <c r="K139" s="239"/>
    </row>
    <row r="140" spans="1:12" x14ac:dyDescent="0.25">
      <c r="A140" s="255" t="s">
        <v>248</v>
      </c>
      <c r="B140" s="255" t="s">
        <v>208</v>
      </c>
      <c r="C140" s="256">
        <v>2010</v>
      </c>
      <c r="D140" s="256">
        <v>300</v>
      </c>
      <c r="E140" s="256">
        <v>0</v>
      </c>
      <c r="F140" s="257"/>
      <c r="H140" s="239"/>
      <c r="I140" s="4"/>
      <c r="K140" s="239"/>
    </row>
    <row r="141" spans="1:12" x14ac:dyDescent="0.25">
      <c r="A141" s="255" t="s">
        <v>248</v>
      </c>
      <c r="B141" s="255" t="s">
        <v>208</v>
      </c>
      <c r="C141" s="256">
        <v>2010</v>
      </c>
      <c r="D141" s="256">
        <v>600</v>
      </c>
      <c r="E141" s="256">
        <v>0</v>
      </c>
      <c r="F141" s="257"/>
      <c r="H141" s="239"/>
      <c r="I141" s="4"/>
      <c r="K141" s="239"/>
    </row>
    <row r="142" spans="1:12" x14ac:dyDescent="0.25">
      <c r="A142" s="255" t="s">
        <v>248</v>
      </c>
      <c r="B142" s="255" t="s">
        <v>208</v>
      </c>
      <c r="C142" s="256">
        <v>2011</v>
      </c>
      <c r="D142" s="256">
        <v>100</v>
      </c>
      <c r="E142">
        <v>0</v>
      </c>
      <c r="F142" s="257"/>
      <c r="G142">
        <f t="shared" ref="G142:G201" si="2">IF(OR(D142=50,D142=75),50,IF(OR(D142=100,D142=125),125,IF(D142&gt;=400,400,D142)))</f>
        <v>125</v>
      </c>
      <c r="H142" s="4">
        <f>IF(B142="RTG Crane",IF(D142&lt;600,800000,1200000),VLOOKUP(B142,'$$$ Replace &amp; Retrofit'!$B$10:$C$14,2)*'CHE Model poplulation'!D142)*E142</f>
        <v>0</v>
      </c>
      <c r="I142" s="197">
        <f>E142*VLOOKUP('CHE Model poplulation'!G142,'$$$ Replace &amp; Retrofit'!$I$10:$J$15,2)</f>
        <v>0</v>
      </c>
      <c r="K142" s="239">
        <f>SUM(I142:I145)</f>
        <v>0</v>
      </c>
      <c r="L142" s="239">
        <f>SUM(K142:K158)</f>
        <v>2406322.7052948987</v>
      </c>
    </row>
    <row r="143" spans="1:12" x14ac:dyDescent="0.25">
      <c r="A143" s="255" t="s">
        <v>248</v>
      </c>
      <c r="B143" s="255" t="s">
        <v>208</v>
      </c>
      <c r="C143" s="256">
        <v>2011</v>
      </c>
      <c r="D143" s="256">
        <v>175</v>
      </c>
      <c r="E143">
        <v>0</v>
      </c>
      <c r="F143" s="257"/>
      <c r="G143">
        <f t="shared" si="2"/>
        <v>175</v>
      </c>
      <c r="H143" s="4">
        <f>IF(B143="RTG Crane",IF(D143&lt;600,800000,1200000),VLOOKUP(B143,'$$$ Replace &amp; Retrofit'!$B$10:$C$14,2)*'CHE Model poplulation'!D143)*E143</f>
        <v>0</v>
      </c>
      <c r="I143" s="197">
        <f>E143*VLOOKUP('CHE Model poplulation'!G143,'$$$ Replace &amp; Retrofit'!$I$10:$J$15,2)</f>
        <v>0</v>
      </c>
      <c r="K143" s="239"/>
    </row>
    <row r="144" spans="1:12" x14ac:dyDescent="0.25">
      <c r="A144" s="255" t="s">
        <v>248</v>
      </c>
      <c r="B144" s="255" t="s">
        <v>208</v>
      </c>
      <c r="C144" s="256">
        <v>2011</v>
      </c>
      <c r="D144" s="256">
        <v>300</v>
      </c>
      <c r="E144">
        <v>0</v>
      </c>
      <c r="F144" s="257"/>
      <c r="G144">
        <f t="shared" si="2"/>
        <v>300</v>
      </c>
      <c r="H144" s="4">
        <f>IF(B144="RTG Crane",IF(D144&lt;600,800000,1200000),VLOOKUP(B144,'$$$ Replace &amp; Retrofit'!$B$10:$C$14,2)*'CHE Model poplulation'!D144)*E144</f>
        <v>0</v>
      </c>
      <c r="I144" s="197">
        <f>E144*VLOOKUP('CHE Model poplulation'!G144,'$$$ Replace &amp; Retrofit'!$I$10:$J$15,2)</f>
        <v>0</v>
      </c>
      <c r="K144" s="239"/>
    </row>
    <row r="145" spans="1:11" x14ac:dyDescent="0.25">
      <c r="A145" s="255" t="s">
        <v>248</v>
      </c>
      <c r="B145" s="255" t="s">
        <v>208</v>
      </c>
      <c r="C145" s="256">
        <v>2011</v>
      </c>
      <c r="D145" s="256">
        <v>600</v>
      </c>
      <c r="E145">
        <v>0</v>
      </c>
      <c r="F145" s="257"/>
      <c r="G145">
        <f t="shared" si="2"/>
        <v>400</v>
      </c>
      <c r="H145" s="4">
        <f>IF(B145="RTG Crane",IF(D145&lt;600,800000,1200000),VLOOKUP(B145,'$$$ Replace &amp; Retrofit'!$B$10:$C$14,2)*'CHE Model poplulation'!D145)*E145</f>
        <v>0</v>
      </c>
      <c r="I145" s="197">
        <f>E145*VLOOKUP('CHE Model poplulation'!G145,'$$$ Replace &amp; Retrofit'!$I$10:$J$15,2)</f>
        <v>0</v>
      </c>
      <c r="K145" s="239"/>
    </row>
    <row r="146" spans="1:11" x14ac:dyDescent="0.25">
      <c r="A146" s="255" t="s">
        <v>248</v>
      </c>
      <c r="B146" s="255" t="s">
        <v>208</v>
      </c>
      <c r="C146" s="256">
        <v>2012</v>
      </c>
      <c r="D146" s="256">
        <v>100</v>
      </c>
      <c r="E146">
        <v>0</v>
      </c>
      <c r="F146" s="257"/>
      <c r="G146">
        <f t="shared" si="2"/>
        <v>125</v>
      </c>
      <c r="H146" s="4">
        <f>IF(B146="RTG Crane",IF(D146&lt;600,800000,1200000),VLOOKUP(B146,'$$$ Replace &amp; Retrofit'!$B$10:$C$14,2)*'CHE Model poplulation'!D146)*E146</f>
        <v>0</v>
      </c>
      <c r="I146" s="197">
        <f>E146*VLOOKUP('CHE Model poplulation'!G146,'$$$ Replace &amp; Retrofit'!$I$10:$J$15,2)</f>
        <v>0</v>
      </c>
      <c r="K146" s="239">
        <f>SUM(I146:I149)-K142</f>
        <v>596059.06275635865</v>
      </c>
    </row>
    <row r="147" spans="1:11" x14ac:dyDescent="0.25">
      <c r="A147" s="255" t="s">
        <v>248</v>
      </c>
      <c r="B147" s="255" t="s">
        <v>208</v>
      </c>
      <c r="C147" s="256">
        <v>2012</v>
      </c>
      <c r="D147" s="256">
        <v>175</v>
      </c>
      <c r="E147">
        <v>0</v>
      </c>
      <c r="F147" s="257"/>
      <c r="G147">
        <f t="shared" si="2"/>
        <v>175</v>
      </c>
      <c r="H147" s="4">
        <f>IF(B147="RTG Crane",IF(D147&lt;600,800000,1200000),VLOOKUP(B147,'$$$ Replace &amp; Retrofit'!$B$10:$C$14,2)*'CHE Model poplulation'!D147)*E147</f>
        <v>0</v>
      </c>
      <c r="I147" s="197">
        <f>E147*VLOOKUP('CHE Model poplulation'!G147,'$$$ Replace &amp; Retrofit'!$I$10:$J$15,2)</f>
        <v>0</v>
      </c>
      <c r="K147" s="239"/>
    </row>
    <row r="148" spans="1:11" x14ac:dyDescent="0.25">
      <c r="A148" s="255" t="s">
        <v>248</v>
      </c>
      <c r="B148" s="255" t="s">
        <v>208</v>
      </c>
      <c r="C148" s="256">
        <v>2012</v>
      </c>
      <c r="D148" s="256">
        <v>300</v>
      </c>
      <c r="E148">
        <v>9.42721259781767</v>
      </c>
      <c r="F148" s="257"/>
      <c r="G148">
        <f t="shared" si="2"/>
        <v>300</v>
      </c>
      <c r="H148" s="4">
        <f>IF(B148="RTG Crane",IF(D148&lt;600,800000,1200000),VLOOKUP(B148,'$$$ Replace &amp; Retrofit'!$B$10:$C$14,2)*'CHE Model poplulation'!D148)*E148</f>
        <v>2254046.5321382047</v>
      </c>
      <c r="I148" s="197">
        <f>E148*VLOOKUP('CHE Model poplulation'!G148,'$$$ Replace &amp; Retrofit'!$I$10:$J$15,2)</f>
        <v>271154.91595102963</v>
      </c>
    </row>
    <row r="149" spans="1:11" x14ac:dyDescent="0.25">
      <c r="A149" s="255" t="s">
        <v>248</v>
      </c>
      <c r="B149" s="255" t="s">
        <v>208</v>
      </c>
      <c r="C149" s="256">
        <v>2012</v>
      </c>
      <c r="D149" s="256">
        <v>600</v>
      </c>
      <c r="E149">
        <v>6.2083990370383697</v>
      </c>
      <c r="F149" s="257"/>
      <c r="G149">
        <f t="shared" si="2"/>
        <v>400</v>
      </c>
      <c r="H149" s="4">
        <f>IF(B149="RTG Crane",IF(D149&lt;600,800000,1200000),VLOOKUP(B149,'$$$ Replace &amp; Retrofit'!$B$10:$C$14,2)*'CHE Model poplulation'!D149)*E149</f>
        <v>2968856.4195117485</v>
      </c>
      <c r="I149" s="197">
        <f>E149*VLOOKUP('CHE Model poplulation'!G149,'$$$ Replace &amp; Retrofit'!$I$10:$J$15,2)</f>
        <v>324904.14680532902</v>
      </c>
      <c r="K149" s="239"/>
    </row>
    <row r="150" spans="1:11" x14ac:dyDescent="0.25">
      <c r="A150" s="255" t="s">
        <v>248</v>
      </c>
      <c r="B150" s="255" t="s">
        <v>208</v>
      </c>
      <c r="C150" s="256">
        <v>2013</v>
      </c>
      <c r="D150" s="256">
        <v>100</v>
      </c>
      <c r="E150">
        <v>5.6636233103553799E-2</v>
      </c>
      <c r="F150" s="257"/>
      <c r="G150">
        <f t="shared" si="2"/>
        <v>125</v>
      </c>
      <c r="H150" s="4">
        <f>IF(B150="RTG Crane",IF(D150&lt;600,800000,1200000),VLOOKUP(B150,'$$$ Replace &amp; Retrofit'!$B$10:$C$14,2)*'CHE Model poplulation'!D150)*E150</f>
        <v>4513.9077783532375</v>
      </c>
      <c r="I150" s="197">
        <f>E150*VLOOKUP('CHE Model poplulation'!G150,'$$$ Replace &amp; Retrofit'!$I$10:$J$15,2)</f>
        <v>1117.6027878324271</v>
      </c>
      <c r="K150" s="239">
        <f>SUM(I150:I153)-K146-K142</f>
        <v>551661.97484848229</v>
      </c>
    </row>
    <row r="151" spans="1:11" x14ac:dyDescent="0.25">
      <c r="A151" s="255" t="s">
        <v>248</v>
      </c>
      <c r="B151" s="255" t="s">
        <v>208</v>
      </c>
      <c r="C151" s="256">
        <v>2013</v>
      </c>
      <c r="D151" s="256">
        <v>175</v>
      </c>
      <c r="E151">
        <v>2.2487387481718999</v>
      </c>
      <c r="F151" s="257"/>
      <c r="G151">
        <f t="shared" si="2"/>
        <v>175</v>
      </c>
      <c r="H151" s="4">
        <f>IF(B151="RTG Crane",IF(D151&lt;600,800000,1200000),VLOOKUP(B151,'$$$ Replace &amp; Retrofit'!$B$10:$C$14,2)*'CHE Model poplulation'!D151)*E151</f>
        <v>313642.83690127573</v>
      </c>
      <c r="I151" s="197">
        <f>E151*VLOOKUP('CHE Model poplulation'!G151,'$$$ Replace &amp; Retrofit'!$I$10:$J$15,2)</f>
        <v>55759.725999670431</v>
      </c>
      <c r="K151" s="239"/>
    </row>
    <row r="152" spans="1:11" x14ac:dyDescent="0.25">
      <c r="A152" s="255" t="s">
        <v>248</v>
      </c>
      <c r="B152" s="255" t="s">
        <v>208</v>
      </c>
      <c r="C152" s="256">
        <v>2013</v>
      </c>
      <c r="D152" s="256">
        <v>300</v>
      </c>
      <c r="E152">
        <v>17.061142795339599</v>
      </c>
      <c r="F152" s="257"/>
      <c r="G152">
        <f t="shared" si="2"/>
        <v>300</v>
      </c>
      <c r="H152" s="4">
        <f>IF(B152="RTG Crane",IF(D152&lt;600,800000,1200000),VLOOKUP(B152,'$$$ Replace &amp; Retrofit'!$B$10:$C$14,2)*'CHE Model poplulation'!D152)*E152</f>
        <v>4079319.2423656979</v>
      </c>
      <c r="I152" s="197">
        <f>E152*VLOOKUP('CHE Model poplulation'!G152,'$$$ Replace &amp; Retrofit'!$I$10:$J$15,2)</f>
        <v>490729.65022235288</v>
      </c>
      <c r="K152" s="239"/>
    </row>
    <row r="153" spans="1:11" x14ac:dyDescent="0.25">
      <c r="A153" s="255" t="s">
        <v>248</v>
      </c>
      <c r="B153" s="255" t="s">
        <v>208</v>
      </c>
      <c r="C153" s="256">
        <v>2013</v>
      </c>
      <c r="D153" s="256">
        <v>600</v>
      </c>
      <c r="E153">
        <v>11.467220656086701</v>
      </c>
      <c r="F153" s="257"/>
      <c r="G153">
        <f t="shared" si="2"/>
        <v>400</v>
      </c>
      <c r="H153" s="4">
        <f>IF(B153="RTG Crane",IF(D153&lt;600,800000,1200000),VLOOKUP(B153,'$$$ Replace &amp; Retrofit'!$B$10:$C$14,2)*'CHE Model poplulation'!D153)*E153</f>
        <v>5483624.9177406607</v>
      </c>
      <c r="I153" s="197">
        <f>E153*VLOOKUP('CHE Model poplulation'!G153,'$$$ Replace &amp; Retrofit'!$I$10:$J$15,2)</f>
        <v>600114.05859498528</v>
      </c>
      <c r="K153" s="239"/>
    </row>
    <row r="154" spans="1:11" x14ac:dyDescent="0.25">
      <c r="A154" s="255" t="s">
        <v>248</v>
      </c>
      <c r="B154" s="255" t="s">
        <v>208</v>
      </c>
      <c r="C154" s="256">
        <v>2014</v>
      </c>
      <c r="D154" s="256">
        <v>100</v>
      </c>
      <c r="E154">
        <v>0.129563237599638</v>
      </c>
      <c r="F154" s="257"/>
      <c r="G154">
        <f t="shared" si="2"/>
        <v>125</v>
      </c>
      <c r="H154" s="4">
        <f>IF(B154="RTG Crane",IF(D154&lt;600,800000,1200000),VLOOKUP(B154,'$$$ Replace &amp; Retrofit'!$B$10:$C$14,2)*'CHE Model poplulation'!D154)*E154</f>
        <v>10326.190036691149</v>
      </c>
      <c r="I154" s="197">
        <f>E154*VLOOKUP('CHE Model poplulation'!G154,'$$$ Replace &amp; Retrofit'!$I$10:$J$15,2)</f>
        <v>2556.6713675536566</v>
      </c>
      <c r="K154" s="239">
        <f>SUM(I154:I157)-K150-K146-K142</f>
        <v>682182.57595376763</v>
      </c>
    </row>
    <row r="155" spans="1:11" x14ac:dyDescent="0.25">
      <c r="A155" s="255" t="s">
        <v>248</v>
      </c>
      <c r="B155" s="255" t="s">
        <v>208</v>
      </c>
      <c r="C155" s="256">
        <v>2014</v>
      </c>
      <c r="D155" s="256">
        <v>175</v>
      </c>
      <c r="E155">
        <v>4.8184880598023199</v>
      </c>
      <c r="F155" s="257"/>
      <c r="G155">
        <f t="shared" si="2"/>
        <v>175</v>
      </c>
      <c r="H155" s="4">
        <f>IF(B155="RTG Crane",IF(D155&lt;600,800000,1200000),VLOOKUP(B155,'$$$ Replace &amp; Retrofit'!$B$10:$C$14,2)*'CHE Model poplulation'!D155)*E155</f>
        <v>672058.62214092852</v>
      </c>
      <c r="I155" s="197">
        <f>E155*VLOOKUP('CHE Model poplulation'!G155,'$$$ Replace &amp; Retrofit'!$I$10:$J$15,2)</f>
        <v>119479.22993085832</v>
      </c>
      <c r="K155" s="239"/>
    </row>
    <row r="156" spans="1:11" x14ac:dyDescent="0.25">
      <c r="A156" s="255" t="s">
        <v>248</v>
      </c>
      <c r="B156" s="255" t="s">
        <v>208</v>
      </c>
      <c r="C156" s="256">
        <v>2014</v>
      </c>
      <c r="D156" s="256">
        <v>300</v>
      </c>
      <c r="E156">
        <v>26.0168805388153</v>
      </c>
      <c r="F156" s="257"/>
      <c r="G156">
        <f t="shared" si="2"/>
        <v>300</v>
      </c>
      <c r="H156" s="4">
        <f>IF(B156="RTG Crane",IF(D156&lt;600,800000,1200000),VLOOKUP(B156,'$$$ Replace &amp; Retrofit'!$B$10:$C$14,2)*'CHE Model poplulation'!D156)*E156</f>
        <v>6220636.1368307387</v>
      </c>
      <c r="I156" s="197">
        <f>E156*VLOOKUP('CHE Model poplulation'!G156,'$$$ Replace &amp; Retrofit'!$I$10:$J$15,2)</f>
        <v>748323.5349379445</v>
      </c>
      <c r="K156" s="239"/>
    </row>
    <row r="157" spans="1:11" x14ac:dyDescent="0.25">
      <c r="A157" s="255" t="s">
        <v>248</v>
      </c>
      <c r="B157" s="255" t="s">
        <v>208</v>
      </c>
      <c r="C157" s="256">
        <v>2014</v>
      </c>
      <c r="D157" s="256">
        <v>600</v>
      </c>
      <c r="E157">
        <v>18.335355842819101</v>
      </c>
      <c r="F157" s="257"/>
      <c r="G157">
        <f t="shared" si="2"/>
        <v>400</v>
      </c>
      <c r="H157" s="4">
        <f>IF(B157="RTG Crane",IF(D157&lt;600,800000,1200000),VLOOKUP(B157,'$$$ Replace &amp; Retrofit'!$B$10:$C$14,2)*'CHE Model poplulation'!D157)*E157</f>
        <v>8767967.1640360951</v>
      </c>
      <c r="I157" s="197">
        <f>E157*VLOOKUP('CHE Model poplulation'!G157,'$$$ Replace &amp; Retrofit'!$I$10:$J$15,2)</f>
        <v>959544.17732225207</v>
      </c>
      <c r="K157" s="239"/>
    </row>
    <row r="158" spans="1:11" x14ac:dyDescent="0.25">
      <c r="A158" s="255" t="s">
        <v>248</v>
      </c>
      <c r="B158" s="255" t="s">
        <v>208</v>
      </c>
      <c r="C158" s="256">
        <v>2015</v>
      </c>
      <c r="D158" s="256">
        <v>100</v>
      </c>
      <c r="E158">
        <v>0.15088400879157601</v>
      </c>
      <c r="F158" s="257"/>
      <c r="G158">
        <f t="shared" si="2"/>
        <v>125</v>
      </c>
      <c r="H158" s="4">
        <f>IF(B158="RTG Crane",IF(D158&lt;600,800000,1200000),VLOOKUP(B158,'$$$ Replace &amp; Retrofit'!$B$10:$C$14,2)*'CHE Model poplulation'!D158)*E158</f>
        <v>12025.455500688608</v>
      </c>
      <c r="I158" s="197">
        <f>E158*VLOOKUP('CHE Model poplulation'!G158,'$$$ Replace &amp; Retrofit'!$I$10:$J$15,2)</f>
        <v>2977.3941454841693</v>
      </c>
      <c r="K158" s="239">
        <f>SUM(I158:I161)-K154-K150-K146-K142</f>
        <v>576419.09173629014</v>
      </c>
    </row>
    <row r="159" spans="1:11" x14ac:dyDescent="0.25">
      <c r="A159" s="255" t="s">
        <v>248</v>
      </c>
      <c r="B159" s="255" t="s">
        <v>208</v>
      </c>
      <c r="C159" s="256">
        <v>2015</v>
      </c>
      <c r="D159" s="256">
        <v>175</v>
      </c>
      <c r="E159">
        <v>6.6148506254252197</v>
      </c>
      <c r="F159" s="257"/>
      <c r="G159">
        <f t="shared" si="2"/>
        <v>175</v>
      </c>
      <c r="H159" s="4">
        <f>IF(B159="RTG Crane",IF(D159&lt;600,800000,1200000),VLOOKUP(B159,'$$$ Replace &amp; Retrofit'!$B$10:$C$14,2)*'CHE Model poplulation'!D159)*E159</f>
        <v>922606.29098118248</v>
      </c>
      <c r="I159" s="197">
        <f>E159*VLOOKUP('CHE Model poplulation'!G159,'$$$ Replace &amp; Retrofit'!$I$10:$J$15,2)</f>
        <v>164021.83610804376</v>
      </c>
      <c r="K159" s="239"/>
    </row>
    <row r="160" spans="1:11" x14ac:dyDescent="0.25">
      <c r="A160" s="255" t="s">
        <v>248</v>
      </c>
      <c r="B160" s="255" t="s">
        <v>208</v>
      </c>
      <c r="C160" s="256">
        <v>2015</v>
      </c>
      <c r="D160" s="256">
        <v>300</v>
      </c>
      <c r="E160">
        <v>32.8183972336547</v>
      </c>
      <c r="F160" s="257"/>
      <c r="G160">
        <f t="shared" si="2"/>
        <v>300</v>
      </c>
      <c r="H160" s="4">
        <f>IF(B160="RTG Crane",IF(D160&lt;600,800000,1200000),VLOOKUP(B160,'$$$ Replace &amp; Retrofit'!$B$10:$C$14,2)*'CHE Model poplulation'!D160)*E160</f>
        <v>7846878.7785668392</v>
      </c>
      <c r="I160" s="197">
        <f>E160*VLOOKUP('CHE Model poplulation'!G160,'$$$ Replace &amp; Retrofit'!$I$10:$J$15,2)</f>
        <v>943955.55963161017</v>
      </c>
    </row>
    <row r="161" spans="1:11" x14ac:dyDescent="0.25">
      <c r="A161" s="255" t="s">
        <v>248</v>
      </c>
      <c r="B161" s="255" t="s">
        <v>208</v>
      </c>
      <c r="C161" s="256">
        <v>2015</v>
      </c>
      <c r="D161" s="256">
        <v>600</v>
      </c>
      <c r="E161">
        <v>24.7524108193637</v>
      </c>
      <c r="F161" s="257"/>
      <c r="G161">
        <f t="shared" si="2"/>
        <v>400</v>
      </c>
      <c r="H161" s="4">
        <f>IF(B161="RTG Crane",IF(D161&lt;600,800000,1200000),VLOOKUP(B161,'$$$ Replace &amp; Retrofit'!$B$10:$C$14,2)*'CHE Model poplulation'!D161)*E161</f>
        <v>11836602.85381972</v>
      </c>
      <c r="I161" s="197">
        <f>E161*VLOOKUP('CHE Model poplulation'!G161,'$$$ Replace &amp; Retrofit'!$I$10:$J$15,2)</f>
        <v>1295367.9154097605</v>
      </c>
      <c r="K161" s="239"/>
    </row>
    <row r="162" spans="1:11" x14ac:dyDescent="0.25">
      <c r="A162" s="255" t="s">
        <v>248</v>
      </c>
      <c r="B162" s="255" t="s">
        <v>208</v>
      </c>
      <c r="C162" s="256">
        <v>2016</v>
      </c>
      <c r="D162" s="256">
        <v>100</v>
      </c>
      <c r="E162">
        <v>0.18408944862051699</v>
      </c>
      <c r="F162" s="257"/>
      <c r="G162">
        <f t="shared" si="2"/>
        <v>125</v>
      </c>
      <c r="H162" s="4">
        <f>IF(B162="RTG Crane",IF(D162&lt;600,800000,1200000),VLOOKUP(B162,'$$$ Replace &amp; Retrofit'!$B$10:$C$14,2)*'CHE Model poplulation'!D162)*E162</f>
        <v>14671.929055055203</v>
      </c>
      <c r="I162" s="197">
        <f>E162*VLOOKUP('CHE Model poplulation'!G162,'$$$ Replace &amp; Retrofit'!$I$10:$J$15,2)</f>
        <v>3632.6370896286617</v>
      </c>
      <c r="K162" s="239"/>
    </row>
    <row r="163" spans="1:11" x14ac:dyDescent="0.25">
      <c r="A163" s="255" t="s">
        <v>248</v>
      </c>
      <c r="B163" s="255" t="s">
        <v>208</v>
      </c>
      <c r="C163" s="256">
        <v>2016</v>
      </c>
      <c r="D163" s="256">
        <v>175</v>
      </c>
      <c r="E163">
        <v>8.4346363389910302</v>
      </c>
      <c r="F163" s="257"/>
      <c r="G163">
        <f t="shared" si="2"/>
        <v>175</v>
      </c>
      <c r="H163" s="4">
        <f>IF(B163="RTG Crane",IF(D163&lt;600,800000,1200000),VLOOKUP(B163,'$$$ Replace &amp; Retrofit'!$B$10:$C$14,2)*'CHE Model poplulation'!D163)*E163</f>
        <v>1176420.903380774</v>
      </c>
      <c r="I163" s="197">
        <f>E163*VLOOKUP('CHE Model poplulation'!G163,'$$$ Replace &amp; Retrofit'!$I$10:$J$15,2)</f>
        <v>209145.2426616216</v>
      </c>
      <c r="K163" s="239"/>
    </row>
    <row r="164" spans="1:11" x14ac:dyDescent="0.25">
      <c r="A164" s="255" t="s">
        <v>248</v>
      </c>
      <c r="B164" s="255" t="s">
        <v>208</v>
      </c>
      <c r="C164" s="256">
        <v>2016</v>
      </c>
      <c r="D164" s="256">
        <v>300</v>
      </c>
      <c r="E164">
        <v>38.490784788686497</v>
      </c>
      <c r="F164" s="257"/>
      <c r="G164">
        <f t="shared" si="2"/>
        <v>300</v>
      </c>
      <c r="H164" s="4">
        <f>IF(B164="RTG Crane",IF(D164&lt;600,800000,1200000),VLOOKUP(B164,'$$$ Replace &amp; Retrofit'!$B$10:$C$14,2)*'CHE Model poplulation'!D164)*E164</f>
        <v>9203146.6429749411</v>
      </c>
      <c r="I164" s="197">
        <f>E164*VLOOKUP('CHE Model poplulation'!G164,'$$$ Replace &amp; Retrofit'!$I$10:$J$15,2)</f>
        <v>1107110.4428769897</v>
      </c>
      <c r="K164" s="239"/>
    </row>
    <row r="165" spans="1:11" x14ac:dyDescent="0.25">
      <c r="A165" s="255" t="s">
        <v>248</v>
      </c>
      <c r="B165" s="255" t="s">
        <v>208</v>
      </c>
      <c r="C165" s="256">
        <v>2016</v>
      </c>
      <c r="D165" s="256">
        <v>600</v>
      </c>
      <c r="E165">
        <v>29.172386276402602</v>
      </c>
      <c r="F165" s="257"/>
      <c r="G165">
        <f t="shared" si="2"/>
        <v>400</v>
      </c>
      <c r="H165" s="4">
        <f>IF(B165="RTG Crane",IF(D165&lt;600,800000,1200000),VLOOKUP(B165,'$$$ Replace &amp; Retrofit'!$B$10:$C$14,2)*'CHE Model poplulation'!D165)*E165</f>
        <v>13950235.117375724</v>
      </c>
      <c r="I165" s="197">
        <f>E165*VLOOKUP('CHE Model poplulation'!G165,'$$$ Replace &amp; Retrofit'!$I$10:$J$15,2)</f>
        <v>1526678.4910029774</v>
      </c>
      <c r="K165" s="239"/>
    </row>
    <row r="166" spans="1:11" x14ac:dyDescent="0.25">
      <c r="A166" s="255" t="s">
        <v>248</v>
      </c>
      <c r="B166" s="255" t="s">
        <v>208</v>
      </c>
      <c r="C166" s="256">
        <v>2017</v>
      </c>
      <c r="D166" s="256">
        <v>100</v>
      </c>
      <c r="E166">
        <v>0.18110090443198101</v>
      </c>
      <c r="F166" s="257"/>
      <c r="G166">
        <f t="shared" si="2"/>
        <v>125</v>
      </c>
      <c r="H166" s="4">
        <f>IF(B166="RTG Crane",IF(D166&lt;600,800000,1200000),VLOOKUP(B166,'$$$ Replace &amp; Retrofit'!$B$10:$C$14,2)*'CHE Model poplulation'!D166)*E166</f>
        <v>14433.742083228886</v>
      </c>
      <c r="I166" s="197">
        <f>E166*VLOOKUP('CHE Model poplulation'!G166,'$$$ Replace &amp; Retrofit'!$I$10:$J$15,2)</f>
        <v>3573.6641471562812</v>
      </c>
    </row>
    <row r="167" spans="1:11" x14ac:dyDescent="0.25">
      <c r="A167" s="255" t="s">
        <v>248</v>
      </c>
      <c r="B167" s="255" t="s">
        <v>208</v>
      </c>
      <c r="C167" s="256">
        <v>2017</v>
      </c>
      <c r="D167" s="256">
        <v>175</v>
      </c>
      <c r="E167">
        <v>8.3581766549544092</v>
      </c>
      <c r="F167" s="257"/>
      <c r="G167">
        <f t="shared" si="2"/>
        <v>175</v>
      </c>
      <c r="H167" s="4">
        <f>IF(B167="RTG Crane",IF(D167&lt;600,800000,1200000),VLOOKUP(B167,'$$$ Replace &amp; Retrofit'!$B$10:$C$14,2)*'CHE Model poplulation'!D167)*E167</f>
        <v>1165756.6889497663</v>
      </c>
      <c r="I167" s="197">
        <f>E167*VLOOKUP('CHE Model poplulation'!G167,'$$$ Replace &amp; Retrofit'!$I$10:$J$15,2)</f>
        <v>207249.34833624953</v>
      </c>
      <c r="K167" s="239"/>
    </row>
    <row r="168" spans="1:11" x14ac:dyDescent="0.25">
      <c r="A168" s="255" t="s">
        <v>248</v>
      </c>
      <c r="B168" s="255" t="s">
        <v>208</v>
      </c>
      <c r="C168" s="256">
        <v>2017</v>
      </c>
      <c r="D168" s="256">
        <v>300</v>
      </c>
      <c r="E168">
        <v>37.486870914839002</v>
      </c>
      <c r="F168" s="257"/>
      <c r="G168">
        <f t="shared" si="2"/>
        <v>300</v>
      </c>
      <c r="H168" s="4">
        <f>IF(B168="RTG Crane",IF(D168&lt;600,800000,1200000),VLOOKUP(B168,'$$$ Replace &amp; Retrofit'!$B$10:$C$14,2)*'CHE Model poplulation'!D168)*E168</f>
        <v>8963110.8357380051</v>
      </c>
      <c r="I168" s="197">
        <f>E168*VLOOKUP('CHE Model poplulation'!G168,'$$$ Replace &amp; Retrofit'!$I$10:$J$15,2)</f>
        <v>1078234.8681235141</v>
      </c>
      <c r="K168" s="239"/>
    </row>
    <row r="169" spans="1:11" x14ac:dyDescent="0.25">
      <c r="A169" s="255" t="s">
        <v>248</v>
      </c>
      <c r="B169" s="255" t="s">
        <v>208</v>
      </c>
      <c r="C169" s="256">
        <v>2017</v>
      </c>
      <c r="D169" s="256">
        <v>600</v>
      </c>
      <c r="E169">
        <v>28.302116283710401</v>
      </c>
      <c r="F169" s="257"/>
      <c r="G169">
        <f t="shared" si="2"/>
        <v>400</v>
      </c>
      <c r="H169" s="4">
        <f>IF(B169="RTG Crane",IF(D169&lt;600,800000,1200000),VLOOKUP(B169,'$$$ Replace &amp; Retrofit'!$B$10:$C$14,2)*'CHE Model poplulation'!D169)*E169</f>
        <v>13534072.006870314</v>
      </c>
      <c r="I169" s="197">
        <f>E169*VLOOKUP('CHE Model poplulation'!G169,'$$$ Replace &amp; Retrofit'!$I$10:$J$15,2)</f>
        <v>1481134.6514754165</v>
      </c>
      <c r="K169" s="239"/>
    </row>
    <row r="170" spans="1:11" x14ac:dyDescent="0.25">
      <c r="A170" s="255" t="s">
        <v>248</v>
      </c>
      <c r="B170" s="255" t="s">
        <v>208</v>
      </c>
      <c r="C170" s="256">
        <v>2018</v>
      </c>
      <c r="D170" s="256">
        <v>100</v>
      </c>
      <c r="E170">
        <v>0.17559624716236399</v>
      </c>
      <c r="F170" s="257"/>
      <c r="G170">
        <f t="shared" si="2"/>
        <v>125</v>
      </c>
      <c r="H170" s="4">
        <f>IF(B170="RTG Crane",IF(D170&lt;600,800000,1200000),VLOOKUP(B170,'$$$ Replace &amp; Retrofit'!$B$10:$C$14,2)*'CHE Model poplulation'!D170)*E170</f>
        <v>13995.02089884041</v>
      </c>
      <c r="I170" s="197">
        <f>E170*VLOOKUP('CHE Model poplulation'!G170,'$$$ Replace &amp; Retrofit'!$I$10:$J$15,2)</f>
        <v>3465.0407452549289</v>
      </c>
      <c r="K170" s="239"/>
    </row>
    <row r="171" spans="1:11" x14ac:dyDescent="0.25">
      <c r="A171" s="255" t="s">
        <v>248</v>
      </c>
      <c r="B171" s="255" t="s">
        <v>208</v>
      </c>
      <c r="C171" s="256">
        <v>2018</v>
      </c>
      <c r="D171" s="256">
        <v>175</v>
      </c>
      <c r="E171">
        <v>8.1897744367180607</v>
      </c>
      <c r="F171" s="257"/>
      <c r="G171">
        <f t="shared" si="2"/>
        <v>175</v>
      </c>
      <c r="H171" s="4">
        <f>IF(B171="RTG Crane",IF(D171&lt;600,800000,1200000),VLOOKUP(B171,'$$$ Replace &amp; Retrofit'!$B$10:$C$14,2)*'CHE Model poplulation'!D171)*E171</f>
        <v>1142268.7895612514</v>
      </c>
      <c r="I171" s="197">
        <f>E171*VLOOKUP('CHE Model poplulation'!G171,'$$$ Replace &amp; Retrofit'!$I$10:$J$15,2)</f>
        <v>203073.64693286104</v>
      </c>
      <c r="K171" s="239"/>
    </row>
    <row r="172" spans="1:11" x14ac:dyDescent="0.25">
      <c r="A172" s="255" t="s">
        <v>248</v>
      </c>
      <c r="B172" s="255" t="s">
        <v>208</v>
      </c>
      <c r="C172" s="256">
        <v>2018</v>
      </c>
      <c r="D172" s="256">
        <v>300</v>
      </c>
      <c r="E172">
        <v>36.4133177877682</v>
      </c>
      <c r="F172" s="257"/>
      <c r="G172">
        <f t="shared" si="2"/>
        <v>300</v>
      </c>
      <c r="H172" s="4">
        <f>IF(B172="RTG Crane",IF(D172&lt;600,800000,1200000),VLOOKUP(B172,'$$$ Replace &amp; Retrofit'!$B$10:$C$14,2)*'CHE Model poplulation'!D172)*E172</f>
        <v>8706424.2830553763</v>
      </c>
      <c r="I172" s="197">
        <f>E172*VLOOKUP('CHE Model poplulation'!G172,'$$$ Replace &amp; Retrofit'!$I$10:$J$15,2)</f>
        <v>1047356.2595295768</v>
      </c>
    </row>
    <row r="173" spans="1:11" x14ac:dyDescent="0.25">
      <c r="A173" s="255" t="s">
        <v>248</v>
      </c>
      <c r="B173" s="255" t="s">
        <v>208</v>
      </c>
      <c r="C173" s="256">
        <v>2018</v>
      </c>
      <c r="D173" s="256">
        <v>600</v>
      </c>
      <c r="E173">
        <v>27.418196425395902</v>
      </c>
      <c r="F173" s="257"/>
      <c r="G173">
        <f t="shared" si="2"/>
        <v>400</v>
      </c>
      <c r="H173" s="4">
        <f>IF(B173="RTG Crane",IF(D173&lt;600,800000,1200000),VLOOKUP(B173,'$$$ Replace &amp; Retrofit'!$B$10:$C$14,2)*'CHE Model poplulation'!D173)*E173</f>
        <v>13111381.530624321</v>
      </c>
      <c r="I173" s="197">
        <f>E173*VLOOKUP('CHE Model poplulation'!G173,'$$$ Replace &amp; Retrofit'!$I$10:$J$15,2)</f>
        <v>1434876.4735302436</v>
      </c>
      <c r="K173" s="239"/>
    </row>
    <row r="174" spans="1:11" x14ac:dyDescent="0.25">
      <c r="A174" s="255" t="s">
        <v>248</v>
      </c>
      <c r="B174" s="255" t="s">
        <v>208</v>
      </c>
      <c r="C174" s="256">
        <v>2019</v>
      </c>
      <c r="D174" s="256">
        <v>100</v>
      </c>
      <c r="E174">
        <v>0.169112892003387</v>
      </c>
      <c r="F174" s="257"/>
      <c r="G174">
        <f t="shared" si="2"/>
        <v>125</v>
      </c>
      <c r="H174" s="4">
        <f>IF(B174="RTG Crane",IF(D174&lt;600,800000,1200000),VLOOKUP(B174,'$$$ Replace &amp; Retrofit'!$B$10:$C$14,2)*'CHE Model poplulation'!D174)*E174</f>
        <v>13478.297492669944</v>
      </c>
      <c r="I174" s="197">
        <f>E174*VLOOKUP('CHE Model poplulation'!G174,'$$$ Replace &amp; Retrofit'!$I$10:$J$15,2)</f>
        <v>3337.1046979028356</v>
      </c>
      <c r="K174" s="239"/>
    </row>
    <row r="175" spans="1:11" x14ac:dyDescent="0.25">
      <c r="A175" s="255" t="s">
        <v>248</v>
      </c>
      <c r="B175" s="255" t="s">
        <v>208</v>
      </c>
      <c r="C175" s="256">
        <v>2019</v>
      </c>
      <c r="D175" s="256">
        <v>175</v>
      </c>
      <c r="E175">
        <v>7.9854026835353498</v>
      </c>
      <c r="F175" s="257"/>
      <c r="G175">
        <f t="shared" si="2"/>
        <v>175</v>
      </c>
      <c r="H175" s="4">
        <f>IF(B175="RTG Crane",IF(D175&lt;600,800000,1200000),VLOOKUP(B175,'$$$ Replace &amp; Retrofit'!$B$10:$C$14,2)*'CHE Model poplulation'!D175)*E175</f>
        <v>1113764.0392860929</v>
      </c>
      <c r="I175" s="197">
        <f>E175*VLOOKUP('CHE Model poplulation'!G175,'$$$ Replace &amp; Retrofit'!$I$10:$J$15,2)</f>
        <v>198006.04494094252</v>
      </c>
      <c r="K175" s="239"/>
    </row>
    <row r="176" spans="1:11" x14ac:dyDescent="0.25">
      <c r="A176" s="255" t="s">
        <v>248</v>
      </c>
      <c r="B176" s="255" t="s">
        <v>208</v>
      </c>
      <c r="C176" s="256">
        <v>2019</v>
      </c>
      <c r="D176" s="256">
        <v>300</v>
      </c>
      <c r="E176">
        <v>35.063382593606498</v>
      </c>
      <c r="F176" s="257"/>
      <c r="G176">
        <f t="shared" si="2"/>
        <v>300</v>
      </c>
      <c r="H176" s="4">
        <f>IF(B176="RTG Crane",IF(D176&lt;600,800000,1200000),VLOOKUP(B176,'$$$ Replace &amp; Retrofit'!$B$10:$C$14,2)*'CHE Model poplulation'!D176)*E176</f>
        <v>8383654.7781313136</v>
      </c>
      <c r="I176" s="197">
        <f>E176*VLOOKUP('CHE Model poplulation'!G176,'$$$ Replace &amp; Retrofit'!$I$10:$J$15,2)</f>
        <v>1008528.0735399037</v>
      </c>
      <c r="K176" s="239"/>
    </row>
    <row r="177" spans="1:11" x14ac:dyDescent="0.25">
      <c r="A177" s="255" t="s">
        <v>248</v>
      </c>
      <c r="B177" s="255" t="s">
        <v>208</v>
      </c>
      <c r="C177" s="256">
        <v>2019</v>
      </c>
      <c r="D177" s="256">
        <v>600</v>
      </c>
      <c r="E177">
        <v>26.308833962460898</v>
      </c>
      <c r="F177" s="257"/>
      <c r="G177">
        <f t="shared" si="2"/>
        <v>400</v>
      </c>
      <c r="H177" s="4">
        <f>IF(B177="RTG Crane",IF(D177&lt;600,800000,1200000),VLOOKUP(B177,'$$$ Replace &amp; Retrofit'!$B$10:$C$14,2)*'CHE Model poplulation'!D177)*E177</f>
        <v>12580884.400848802</v>
      </c>
      <c r="I177" s="197">
        <f>E177*VLOOKUP('CHE Model poplulation'!G177,'$$$ Replace &amp; Retrofit'!$I$10:$J$15,2)</f>
        <v>1376820.2077574662</v>
      </c>
      <c r="K177" s="239"/>
    </row>
    <row r="178" spans="1:11" x14ac:dyDescent="0.25">
      <c r="A178" s="255" t="s">
        <v>248</v>
      </c>
      <c r="B178" s="255" t="s">
        <v>208</v>
      </c>
      <c r="C178" s="256">
        <v>2020</v>
      </c>
      <c r="D178" s="256">
        <v>100</v>
      </c>
      <c r="E178">
        <v>0.16126683320017801</v>
      </c>
      <c r="F178" s="257"/>
      <c r="G178">
        <f t="shared" si="2"/>
        <v>125</v>
      </c>
      <c r="H178" s="4">
        <f>IF(B178="RTG Crane",IF(D178&lt;600,800000,1200000),VLOOKUP(B178,'$$$ Replace &amp; Retrofit'!$B$10:$C$14,2)*'CHE Model poplulation'!D178)*E178</f>
        <v>12852.966606054188</v>
      </c>
      <c r="I178" s="197">
        <f>E178*VLOOKUP('CHE Model poplulation'!G178,'$$$ Replace &amp; Retrofit'!$I$10:$J$15,2)</f>
        <v>3182.2784195391127</v>
      </c>
      <c r="K178" s="239"/>
    </row>
    <row r="179" spans="1:11" x14ac:dyDescent="0.25">
      <c r="A179" s="255" t="s">
        <v>248</v>
      </c>
      <c r="B179" s="255" t="s">
        <v>208</v>
      </c>
      <c r="C179" s="256">
        <v>2020</v>
      </c>
      <c r="D179" s="256">
        <v>175</v>
      </c>
      <c r="E179">
        <v>7.7163645176029299</v>
      </c>
      <c r="F179" s="257"/>
      <c r="G179">
        <f t="shared" si="2"/>
        <v>175</v>
      </c>
      <c r="H179" s="4">
        <f>IF(B179="RTG Crane",IF(D179&lt;600,800000,1200000),VLOOKUP(B179,'$$$ Replace &amp; Retrofit'!$B$10:$C$14,2)*'CHE Model poplulation'!D179)*E179</f>
        <v>1076239.9410926686</v>
      </c>
      <c r="I179" s="197">
        <f>E179*VLOOKUP('CHE Model poplulation'!G179,'$$$ Replace &amp; Retrofit'!$I$10:$J$15,2)</f>
        <v>191334.97457848224</v>
      </c>
      <c r="K179" s="239"/>
    </row>
    <row r="180" spans="1:11" x14ac:dyDescent="0.25">
      <c r="A180" s="255" t="s">
        <v>248</v>
      </c>
      <c r="B180" s="255" t="s">
        <v>208</v>
      </c>
      <c r="C180" s="256">
        <v>2020</v>
      </c>
      <c r="D180" s="256">
        <v>300</v>
      </c>
      <c r="E180">
        <v>31.560406871338898</v>
      </c>
      <c r="F180" s="257"/>
      <c r="G180">
        <f t="shared" si="2"/>
        <v>300</v>
      </c>
      <c r="H180" s="4">
        <f>IF(B180="RTG Crane",IF(D180&lt;600,800000,1200000),VLOOKUP(B180,'$$$ Replace &amp; Retrofit'!$B$10:$C$14,2)*'CHE Model poplulation'!D180)*E180</f>
        <v>7546093.2829371309</v>
      </c>
      <c r="I180" s="197">
        <f>E180*VLOOKUP('CHE Model poplulation'!G180,'$$$ Replace &amp; Retrofit'!$I$10:$J$15,2)</f>
        <v>907771.98284032068</v>
      </c>
      <c r="K180" s="239"/>
    </row>
    <row r="181" spans="1:11" x14ac:dyDescent="0.25">
      <c r="A181" s="255" t="s">
        <v>248</v>
      </c>
      <c r="B181" s="255" t="s">
        <v>208</v>
      </c>
      <c r="C181" s="256">
        <v>2020</v>
      </c>
      <c r="D181" s="256">
        <v>600</v>
      </c>
      <c r="E181">
        <v>23.7446798894611</v>
      </c>
      <c r="F181" s="257"/>
      <c r="G181">
        <f t="shared" si="2"/>
        <v>400</v>
      </c>
      <c r="H181" s="4">
        <f>IF(B181="RTG Crane",IF(D181&lt;600,800000,1200000),VLOOKUP(B181,'$$$ Replace &amp; Retrofit'!$B$10:$C$14,2)*'CHE Model poplulation'!D181)*E181</f>
        <v>11354705.923140299</v>
      </c>
      <c r="I181" s="197">
        <f>E181*VLOOKUP('CHE Model poplulation'!G181,'$$$ Replace &amp; Retrofit'!$I$10:$J$15,2)</f>
        <v>1242630.3326551677</v>
      </c>
      <c r="K181" s="239"/>
    </row>
    <row r="182" spans="1:11" x14ac:dyDescent="0.25">
      <c r="A182" s="255" t="s">
        <v>248</v>
      </c>
      <c r="B182" s="255" t="s">
        <v>208</v>
      </c>
      <c r="C182" s="256">
        <v>2021</v>
      </c>
      <c r="D182" s="256">
        <v>100</v>
      </c>
      <c r="E182">
        <v>0.14031403047515001</v>
      </c>
      <c r="F182" s="257"/>
      <c r="G182">
        <f t="shared" si="2"/>
        <v>125</v>
      </c>
      <c r="H182" s="4">
        <f>IF(B182="RTG Crane",IF(D182&lt;600,800000,1200000),VLOOKUP(B182,'$$$ Replace &amp; Retrofit'!$B$10:$C$14,2)*'CHE Model poplulation'!D182)*E182</f>
        <v>11183.028228869456</v>
      </c>
      <c r="I182" s="197">
        <f>E182*VLOOKUP('CHE Model poplulation'!G182,'$$$ Replace &amp; Retrofit'!$I$10:$J$15,2)</f>
        <v>2768.8167633661351</v>
      </c>
      <c r="K182" s="239"/>
    </row>
    <row r="183" spans="1:11" x14ac:dyDescent="0.25">
      <c r="A183" s="255" t="s">
        <v>248</v>
      </c>
      <c r="B183" s="255" t="s">
        <v>208</v>
      </c>
      <c r="C183" s="256">
        <v>2021</v>
      </c>
      <c r="D183" s="256">
        <v>175</v>
      </c>
      <c r="E183">
        <v>7.0398012021474496</v>
      </c>
      <c r="F183" s="257"/>
      <c r="G183">
        <f t="shared" si="2"/>
        <v>175</v>
      </c>
      <c r="H183" s="4">
        <f>IF(B183="RTG Crane",IF(D183&lt;600,800000,1200000),VLOOKUP(B183,'$$$ Replace &amp; Retrofit'!$B$10:$C$14,2)*'CHE Model poplulation'!D183)*E183</f>
        <v>981876.27266951557</v>
      </c>
      <c r="I183" s="197">
        <f>E183*VLOOKUP('CHE Model poplulation'!G183,'$$$ Replace &amp; Retrofit'!$I$10:$J$15,2)</f>
        <v>174558.91060844818</v>
      </c>
      <c r="K183" s="239"/>
    </row>
    <row r="184" spans="1:11" x14ac:dyDescent="0.25">
      <c r="A184" s="255" t="s">
        <v>248</v>
      </c>
      <c r="B184" s="255" t="s">
        <v>208</v>
      </c>
      <c r="C184" s="256">
        <v>2021</v>
      </c>
      <c r="D184" s="256">
        <v>300</v>
      </c>
      <c r="E184">
        <v>26.644359698272801</v>
      </c>
      <c r="F184" s="257"/>
      <c r="G184">
        <f t="shared" si="2"/>
        <v>300</v>
      </c>
      <c r="H184" s="4">
        <f>IF(B184="RTG Crane",IF(D184&lt;600,800000,1200000),VLOOKUP(B184,'$$$ Replace &amp; Retrofit'!$B$10:$C$14,2)*'CHE Model poplulation'!D184)*E184</f>
        <v>6370666.4038570272</v>
      </c>
      <c r="I184" s="197">
        <f>E184*VLOOKUP('CHE Model poplulation'!G184,'$$$ Replace &amp; Retrofit'!$I$10:$J$15,2)</f>
        <v>766371.71800142061</v>
      </c>
      <c r="K184" s="239"/>
    </row>
    <row r="185" spans="1:11" x14ac:dyDescent="0.25">
      <c r="A185" s="255" t="s">
        <v>248</v>
      </c>
      <c r="B185" s="255" t="s">
        <v>208</v>
      </c>
      <c r="C185" s="256">
        <v>2021</v>
      </c>
      <c r="D185" s="256">
        <v>600</v>
      </c>
      <c r="E185">
        <v>20.1663642172579</v>
      </c>
      <c r="F185" s="257"/>
      <c r="G185">
        <f t="shared" si="2"/>
        <v>400</v>
      </c>
      <c r="H185" s="4">
        <f>IF(B185="RTG Crane",IF(D185&lt;600,800000,1200000),VLOOKUP(B185,'$$$ Replace &amp; Retrofit'!$B$10:$C$14,2)*'CHE Model poplulation'!D185)*E185</f>
        <v>9643555.3686927278</v>
      </c>
      <c r="I185" s="197">
        <f>E185*VLOOKUP('CHE Model poplulation'!G185,'$$$ Replace &amp; Retrofit'!$I$10:$J$15,2)</f>
        <v>1055366.3385817576</v>
      </c>
      <c r="K185" s="239"/>
    </row>
    <row r="186" spans="1:11" x14ac:dyDescent="0.25">
      <c r="A186" s="255" t="s">
        <v>248</v>
      </c>
      <c r="B186" s="255" t="s">
        <v>208</v>
      </c>
      <c r="C186" s="256">
        <v>2022</v>
      </c>
      <c r="D186" s="256">
        <v>100</v>
      </c>
      <c r="E186">
        <v>0.104461138216418</v>
      </c>
      <c r="F186" s="257"/>
      <c r="G186">
        <f t="shared" si="2"/>
        <v>125</v>
      </c>
      <c r="H186" s="4">
        <f>IF(B186="RTG Crane",IF(D186&lt;600,800000,1200000),VLOOKUP(B186,'$$$ Replace &amp; Retrofit'!$B$10:$C$14,2)*'CHE Model poplulation'!D186)*E186</f>
        <v>8325.5527158485147</v>
      </c>
      <c r="I186" s="197">
        <f>E186*VLOOKUP('CHE Model poplulation'!G186,'$$$ Replace &amp; Retrofit'!$I$10:$J$15,2)</f>
        <v>2061.3316404245766</v>
      </c>
      <c r="K186" s="239"/>
    </row>
    <row r="187" spans="1:11" x14ac:dyDescent="0.25">
      <c r="A187" s="255" t="s">
        <v>248</v>
      </c>
      <c r="B187" s="255" t="s">
        <v>208</v>
      </c>
      <c r="C187" s="256">
        <v>2022</v>
      </c>
      <c r="D187" s="256">
        <v>175</v>
      </c>
      <c r="E187">
        <v>5.93044143446504</v>
      </c>
      <c r="F187" s="257"/>
      <c r="G187">
        <f t="shared" si="2"/>
        <v>175</v>
      </c>
      <c r="H187" s="4">
        <f>IF(B187="RTG Crane",IF(D187&lt;600,800000,1200000),VLOOKUP(B187,'$$$ Replace &amp; Retrofit'!$B$10:$C$14,2)*'CHE Model poplulation'!D187)*E187</f>
        <v>827148.31907201151</v>
      </c>
      <c r="I187" s="197">
        <f>E187*VLOOKUP('CHE Model poplulation'!G187,'$$$ Replace &amp; Retrofit'!$I$10:$J$15,2)</f>
        <v>147051.22580899514</v>
      </c>
      <c r="K187" s="239"/>
    </row>
    <row r="188" spans="1:11" x14ac:dyDescent="0.25">
      <c r="A188" s="255" t="s">
        <v>248</v>
      </c>
      <c r="B188" s="255" t="s">
        <v>208</v>
      </c>
      <c r="C188" s="256">
        <v>2022</v>
      </c>
      <c r="D188" s="256">
        <v>300</v>
      </c>
      <c r="E188">
        <v>21.538115076800299</v>
      </c>
      <c r="F188" s="257"/>
      <c r="G188">
        <f t="shared" si="2"/>
        <v>300</v>
      </c>
      <c r="H188" s="4">
        <f>IF(B188="RTG Crane",IF(D188&lt;600,800000,1200000),VLOOKUP(B188,'$$$ Replace &amp; Retrofit'!$B$10:$C$14,2)*'CHE Model poplulation'!D188)*E188</f>
        <v>5149763.3148629516</v>
      </c>
      <c r="I188" s="197">
        <f>E188*VLOOKUP('CHE Model poplulation'!G188,'$$$ Replace &amp; Retrofit'!$I$10:$J$15,2)</f>
        <v>619500.80395400699</v>
      </c>
      <c r="K188" s="239"/>
    </row>
    <row r="189" spans="1:11" x14ac:dyDescent="0.25">
      <c r="A189" s="255" t="s">
        <v>248</v>
      </c>
      <c r="B189" s="255" t="s">
        <v>208</v>
      </c>
      <c r="C189" s="256">
        <v>2022</v>
      </c>
      <c r="D189" s="256">
        <v>600</v>
      </c>
      <c r="E189">
        <v>16.238397953216701</v>
      </c>
      <c r="F189" s="257"/>
      <c r="G189">
        <f t="shared" si="2"/>
        <v>400</v>
      </c>
      <c r="H189" s="4">
        <f>IF(B189="RTG Crane",IF(D189&lt;600,800000,1200000),VLOOKUP(B189,'$$$ Replace &amp; Retrofit'!$B$10:$C$14,2)*'CHE Model poplulation'!D189)*E189</f>
        <v>7765201.9012282267</v>
      </c>
      <c r="I189" s="197">
        <f>E189*VLOOKUP('CHE Model poplulation'!G189,'$$$ Replace &amp; Retrofit'!$I$10:$J$15,2)</f>
        <v>849804.08008568967</v>
      </c>
      <c r="K189" s="239"/>
    </row>
    <row r="190" spans="1:11" x14ac:dyDescent="0.25">
      <c r="A190" s="255" t="s">
        <v>248</v>
      </c>
      <c r="B190" s="255" t="s">
        <v>208</v>
      </c>
      <c r="C190" s="256">
        <v>2023</v>
      </c>
      <c r="D190" s="256">
        <v>100</v>
      </c>
      <c r="E190">
        <v>7.5470753918960104E-2</v>
      </c>
      <c r="F190" s="257"/>
      <c r="G190">
        <f t="shared" si="2"/>
        <v>125</v>
      </c>
      <c r="H190" s="4">
        <f>IF(B190="RTG Crane",IF(D190&lt;600,800000,1200000),VLOOKUP(B190,'$$$ Replace &amp; Retrofit'!$B$10:$C$14,2)*'CHE Model poplulation'!D190)*E190</f>
        <v>6015.0190873411202</v>
      </c>
      <c r="I190" s="197">
        <f>E190*VLOOKUP('CHE Model poplulation'!G190,'$$$ Replace &amp; Retrofit'!$I$10:$J$15,2)</f>
        <v>1489.2643870828397</v>
      </c>
      <c r="K190" s="239"/>
    </row>
    <row r="191" spans="1:11" x14ac:dyDescent="0.25">
      <c r="A191" s="255" t="s">
        <v>248</v>
      </c>
      <c r="B191" s="255" t="s">
        <v>208</v>
      </c>
      <c r="C191" s="256">
        <v>2023</v>
      </c>
      <c r="D191" s="256">
        <v>175</v>
      </c>
      <c r="E191">
        <v>4.8864657686646797</v>
      </c>
      <c r="F191" s="257"/>
      <c r="G191">
        <f t="shared" si="2"/>
        <v>175</v>
      </c>
      <c r="H191" s="4">
        <f>IF(B191="RTG Crane",IF(D191&lt;600,800000,1200000),VLOOKUP(B191,'$$$ Replace &amp; Retrofit'!$B$10:$C$14,2)*'CHE Model poplulation'!D191)*E191</f>
        <v>681539.8130845062</v>
      </c>
      <c r="I191" s="197">
        <f>E191*VLOOKUP('CHE Model poplulation'!G191,'$$$ Replace &amp; Retrofit'!$I$10:$J$15,2)</f>
        <v>121164.8051998094</v>
      </c>
      <c r="K191" s="239"/>
    </row>
    <row r="192" spans="1:11" x14ac:dyDescent="0.25">
      <c r="A192" s="255" t="s">
        <v>248</v>
      </c>
      <c r="B192" s="255" t="s">
        <v>208</v>
      </c>
      <c r="C192" s="256">
        <v>2023</v>
      </c>
      <c r="D192" s="256">
        <v>300</v>
      </c>
      <c r="E192">
        <v>16.740759850171099</v>
      </c>
      <c r="F192" s="257"/>
      <c r="G192">
        <f t="shared" si="2"/>
        <v>300</v>
      </c>
      <c r="H192" s="4">
        <f>IF(B192="RTG Crane",IF(D192&lt;600,800000,1200000),VLOOKUP(B192,'$$$ Replace &amp; Retrofit'!$B$10:$C$14,2)*'CHE Model poplulation'!D192)*E192</f>
        <v>4002715.6801759098</v>
      </c>
      <c r="I192" s="197">
        <f>E192*VLOOKUP('CHE Model poplulation'!G192,'$$$ Replace &amp; Retrofit'!$I$10:$J$15,2)</f>
        <v>481514.47557047132</v>
      </c>
      <c r="K192" s="239"/>
    </row>
    <row r="193" spans="1:11" x14ac:dyDescent="0.25">
      <c r="A193" s="255" t="s">
        <v>248</v>
      </c>
      <c r="B193" s="255" t="s">
        <v>208</v>
      </c>
      <c r="C193" s="256">
        <v>2023</v>
      </c>
      <c r="D193" s="256">
        <v>600</v>
      </c>
      <c r="E193">
        <v>12.138081322337101</v>
      </c>
      <c r="F193" s="257"/>
      <c r="G193">
        <f t="shared" si="2"/>
        <v>400</v>
      </c>
      <c r="H193" s="4">
        <f>IF(B193="RTG Crane",IF(D193&lt;600,800000,1200000),VLOOKUP(B193,'$$$ Replace &amp; Retrofit'!$B$10:$C$14,2)*'CHE Model poplulation'!D193)*E193</f>
        <v>5804430.4883416016</v>
      </c>
      <c r="I193" s="197">
        <f>E193*VLOOKUP('CHE Model poplulation'!G193,'$$$ Replace &amp; Retrofit'!$I$10:$J$15,2)</f>
        <v>635222.20984186744</v>
      </c>
      <c r="K193" s="239"/>
    </row>
    <row r="194" spans="1:11" x14ac:dyDescent="0.25">
      <c r="A194" s="255" t="s">
        <v>248</v>
      </c>
      <c r="B194" s="255" t="s">
        <v>208</v>
      </c>
      <c r="C194" s="256">
        <v>2024</v>
      </c>
      <c r="D194" s="256">
        <v>100</v>
      </c>
      <c r="E194">
        <v>4.2149724760989098E-2</v>
      </c>
      <c r="F194" s="257"/>
      <c r="G194">
        <f t="shared" si="2"/>
        <v>125</v>
      </c>
      <c r="H194" s="4">
        <f>IF(B194="RTG Crane",IF(D194&lt;600,800000,1200000),VLOOKUP(B194,'$$$ Replace &amp; Retrofit'!$B$10:$C$14,2)*'CHE Model poplulation'!D194)*E194</f>
        <v>3359.3330634508311</v>
      </c>
      <c r="I194" s="197">
        <f>E194*VLOOKUP('CHE Model poplulation'!G194,'$$$ Replace &amp; Retrofit'!$I$10:$J$15,2)</f>
        <v>831.74051870859785</v>
      </c>
      <c r="K194" s="239"/>
    </row>
    <row r="195" spans="1:11" x14ac:dyDescent="0.25">
      <c r="A195" s="255" t="s">
        <v>248</v>
      </c>
      <c r="B195" s="255" t="s">
        <v>208</v>
      </c>
      <c r="C195" s="256">
        <v>2024</v>
      </c>
      <c r="D195" s="256">
        <v>175</v>
      </c>
      <c r="E195">
        <v>3.48782523789207</v>
      </c>
      <c r="F195" s="257"/>
      <c r="G195">
        <f t="shared" si="2"/>
        <v>175</v>
      </c>
      <c r="H195" s="4">
        <f>IF(B195="RTG Crane",IF(D195&lt;600,800000,1200000),VLOOKUP(B195,'$$$ Replace &amp; Retrofit'!$B$10:$C$14,2)*'CHE Model poplulation'!D195)*E195</f>
        <v>486464.42505499645</v>
      </c>
      <c r="I195" s="197">
        <f>E195*VLOOKUP('CHE Model poplulation'!G195,'$$$ Replace &amp; Retrofit'!$I$10:$J$15,2)</f>
        <v>86484.114598771761</v>
      </c>
      <c r="K195" s="239"/>
    </row>
    <row r="196" spans="1:11" x14ac:dyDescent="0.25">
      <c r="A196" s="255" t="s">
        <v>248</v>
      </c>
      <c r="B196" s="255" t="s">
        <v>208</v>
      </c>
      <c r="C196" s="256">
        <v>2024</v>
      </c>
      <c r="D196" s="256">
        <v>300</v>
      </c>
      <c r="E196">
        <v>10.3595081301685</v>
      </c>
      <c r="F196" s="257"/>
      <c r="G196">
        <f t="shared" si="2"/>
        <v>300</v>
      </c>
      <c r="H196" s="4">
        <f>IF(B196="RTG Crane",IF(D196&lt;600,800000,1200000),VLOOKUP(B196,'$$$ Replace &amp; Retrofit'!$B$10:$C$14,2)*'CHE Model poplulation'!D196)*E196</f>
        <v>2476958.3939232882</v>
      </c>
      <c r="I196" s="197">
        <f>E196*VLOOKUP('CHE Model poplulation'!G196,'$$$ Replace &amp; Retrofit'!$I$10:$J$15,2)</f>
        <v>297970.53234803659</v>
      </c>
      <c r="K196" s="239"/>
    </row>
    <row r="197" spans="1:11" x14ac:dyDescent="0.25">
      <c r="A197" s="255" t="s">
        <v>248</v>
      </c>
      <c r="B197" s="255" t="s">
        <v>208</v>
      </c>
      <c r="C197" s="256">
        <v>2024</v>
      </c>
      <c r="D197" s="256">
        <v>600</v>
      </c>
      <c r="E197">
        <v>6.67865945673885</v>
      </c>
      <c r="F197" s="257"/>
      <c r="G197">
        <f t="shared" si="2"/>
        <v>400</v>
      </c>
      <c r="H197" s="4">
        <f>IF(B197="RTG Crane",IF(D197&lt;600,800000,1200000),VLOOKUP(B197,'$$$ Replace &amp; Retrofit'!$B$10:$C$14,2)*'CHE Model poplulation'!D197)*E197</f>
        <v>3193734.9522125181</v>
      </c>
      <c r="I197" s="197">
        <f>E197*VLOOKUP('CHE Model poplulation'!G197,'$$$ Replace &amp; Retrofit'!$I$10:$J$15,2)</f>
        <v>349514.28534951422</v>
      </c>
      <c r="K197" s="239"/>
    </row>
    <row r="198" spans="1:11" x14ac:dyDescent="0.25">
      <c r="A198" s="255" t="s">
        <v>248</v>
      </c>
      <c r="B198" s="255" t="s">
        <v>208</v>
      </c>
      <c r="C198" s="256">
        <v>2025</v>
      </c>
      <c r="D198" s="256">
        <v>100</v>
      </c>
      <c r="E198">
        <v>3.2138831774417898E-2</v>
      </c>
      <c r="F198" s="257"/>
      <c r="G198">
        <f t="shared" si="2"/>
        <v>125</v>
      </c>
      <c r="H198" s="4">
        <f>IF(B198="RTG Crane",IF(D198&lt;600,800000,1200000),VLOOKUP(B198,'$$$ Replace &amp; Retrofit'!$B$10:$C$14,2)*'CHE Model poplulation'!D198)*E198</f>
        <v>2561.4648924211065</v>
      </c>
      <c r="I198" s="197">
        <f>E198*VLOOKUP('CHE Model poplulation'!G198,'$$$ Replace &amp; Retrofit'!$I$10:$J$15,2)</f>
        <v>634.19556740458836</v>
      </c>
      <c r="K198" s="239"/>
    </row>
    <row r="199" spans="1:11" x14ac:dyDescent="0.25">
      <c r="A199" s="255" t="s">
        <v>248</v>
      </c>
      <c r="B199" s="255" t="s">
        <v>208</v>
      </c>
      <c r="C199" s="256">
        <v>2025</v>
      </c>
      <c r="D199" s="256">
        <v>175</v>
      </c>
      <c r="E199">
        <v>3.1250411071508499</v>
      </c>
      <c r="F199" s="257"/>
      <c r="G199">
        <f t="shared" si="2"/>
        <v>175</v>
      </c>
      <c r="H199" s="4">
        <f>IF(B199="RTG Crane",IF(D199&lt;600,800000,1200000),VLOOKUP(B199,'$$$ Replace &amp; Retrofit'!$B$10:$C$14,2)*'CHE Model poplulation'!D199)*E199</f>
        <v>435865.10841986479</v>
      </c>
      <c r="I199" s="197">
        <f>E199*VLOOKUP('CHE Model poplulation'!G199,'$$$ Replace &amp; Retrofit'!$I$10:$J$15,2)</f>
        <v>77488.519292912475</v>
      </c>
      <c r="K199" s="239"/>
    </row>
    <row r="200" spans="1:11" x14ac:dyDescent="0.25">
      <c r="A200" s="255" t="s">
        <v>248</v>
      </c>
      <c r="B200" s="255" t="s">
        <v>208</v>
      </c>
      <c r="C200" s="256">
        <v>2025</v>
      </c>
      <c r="D200" s="256">
        <v>300</v>
      </c>
      <c r="E200">
        <v>8.4982298933669806</v>
      </c>
      <c r="F200" s="257"/>
      <c r="G200">
        <f t="shared" si="2"/>
        <v>300</v>
      </c>
      <c r="H200" s="4">
        <f>IF(B200="RTG Crane",IF(D200&lt;600,800000,1200000),VLOOKUP(B200,'$$$ Replace &amp; Retrofit'!$B$10:$C$14,2)*'CHE Model poplulation'!D200)*E200</f>
        <v>2031926.767504045</v>
      </c>
      <c r="I200" s="197">
        <f>E200*VLOOKUP('CHE Model poplulation'!G200,'$$$ Replace &amp; Retrofit'!$I$10:$J$15,2)</f>
        <v>244434.58642291446</v>
      </c>
      <c r="K200" s="239"/>
    </row>
    <row r="201" spans="1:11" x14ac:dyDescent="0.25">
      <c r="A201" s="255" t="s">
        <v>248</v>
      </c>
      <c r="B201" s="255" t="s">
        <v>208</v>
      </c>
      <c r="C201" s="256">
        <v>2025</v>
      </c>
      <c r="D201" s="256">
        <v>600</v>
      </c>
      <c r="E201">
        <v>5.2463631876218102</v>
      </c>
      <c r="F201" s="257"/>
      <c r="G201">
        <f t="shared" si="2"/>
        <v>400</v>
      </c>
      <c r="H201" s="4">
        <f>IF(B201="RTG Crane",IF(D201&lt;600,800000,1200000),VLOOKUP(B201,'$$$ Replace &amp; Retrofit'!$B$10:$C$14,2)*'CHE Model poplulation'!D201)*E201</f>
        <v>2508810.8763207495</v>
      </c>
      <c r="I201" s="197">
        <f>E201*VLOOKUP('CHE Model poplulation'!G201,'$$$ Replace &amp; Retrofit'!$I$10:$J$15,2)</f>
        <v>274557.92469781218</v>
      </c>
      <c r="K201" s="239"/>
    </row>
    <row r="202" spans="1:11" x14ac:dyDescent="0.25">
      <c r="A202" s="255" t="s">
        <v>248</v>
      </c>
      <c r="B202" s="255" t="s">
        <v>192</v>
      </c>
      <c r="C202" s="256">
        <v>2006</v>
      </c>
      <c r="D202" s="256">
        <v>50</v>
      </c>
      <c r="E202">
        <v>0</v>
      </c>
      <c r="F202" s="257"/>
      <c r="H202" s="239"/>
      <c r="I202" s="4"/>
      <c r="K202" s="239"/>
    </row>
    <row r="203" spans="1:11" x14ac:dyDescent="0.25">
      <c r="A203" s="255" t="s">
        <v>248</v>
      </c>
      <c r="B203" s="255" t="s">
        <v>192</v>
      </c>
      <c r="C203" s="256">
        <v>2006</v>
      </c>
      <c r="D203" s="256">
        <v>75</v>
      </c>
      <c r="E203">
        <v>0</v>
      </c>
      <c r="F203" s="257"/>
      <c r="H203" s="239"/>
      <c r="I203" s="4"/>
      <c r="K203" s="239"/>
    </row>
    <row r="204" spans="1:11" x14ac:dyDescent="0.25">
      <c r="A204" s="255" t="s">
        <v>248</v>
      </c>
      <c r="B204" s="255" t="s">
        <v>192</v>
      </c>
      <c r="C204" s="256">
        <v>2006</v>
      </c>
      <c r="D204" s="256">
        <v>100</v>
      </c>
      <c r="E204">
        <v>0</v>
      </c>
      <c r="F204" s="257"/>
      <c r="H204" s="239"/>
      <c r="I204" s="4"/>
      <c r="K204" s="239"/>
    </row>
    <row r="205" spans="1:11" x14ac:dyDescent="0.25">
      <c r="A205" s="255" t="s">
        <v>248</v>
      </c>
      <c r="B205" s="255" t="s">
        <v>192</v>
      </c>
      <c r="C205" s="256">
        <v>2006</v>
      </c>
      <c r="D205" s="256">
        <v>175</v>
      </c>
      <c r="E205">
        <v>0</v>
      </c>
      <c r="F205" s="257"/>
      <c r="H205" s="239"/>
      <c r="I205" s="4"/>
      <c r="K205" s="239"/>
    </row>
    <row r="206" spans="1:11" x14ac:dyDescent="0.25">
      <c r="A206" s="255" t="s">
        <v>248</v>
      </c>
      <c r="B206" s="255" t="s">
        <v>192</v>
      </c>
      <c r="C206" s="256">
        <v>2006</v>
      </c>
      <c r="D206" s="256">
        <v>300</v>
      </c>
      <c r="E206">
        <v>0</v>
      </c>
      <c r="F206" s="257"/>
      <c r="H206" s="239"/>
      <c r="I206" s="4"/>
      <c r="K206" s="239"/>
    </row>
    <row r="207" spans="1:11" x14ac:dyDescent="0.25">
      <c r="A207" s="255" t="s">
        <v>248</v>
      </c>
      <c r="B207" s="255" t="s">
        <v>192</v>
      </c>
      <c r="C207" s="256">
        <v>2006</v>
      </c>
      <c r="D207" s="256">
        <v>600</v>
      </c>
      <c r="E207">
        <v>0</v>
      </c>
      <c r="F207" s="257"/>
      <c r="H207" s="239"/>
      <c r="I207" s="4"/>
      <c r="K207" s="239"/>
    </row>
    <row r="208" spans="1:11" x14ac:dyDescent="0.25">
      <c r="A208" s="255" t="s">
        <v>248</v>
      </c>
      <c r="B208" s="255" t="s">
        <v>192</v>
      </c>
      <c r="C208" s="256">
        <v>2007</v>
      </c>
      <c r="D208" s="256">
        <v>50</v>
      </c>
      <c r="E208">
        <v>0</v>
      </c>
      <c r="F208" s="257"/>
      <c r="H208" s="239"/>
      <c r="I208" s="4"/>
      <c r="K208" s="239"/>
    </row>
    <row r="209" spans="1:11" x14ac:dyDescent="0.25">
      <c r="A209" s="255" t="s">
        <v>248</v>
      </c>
      <c r="B209" s="255" t="s">
        <v>192</v>
      </c>
      <c r="C209" s="256">
        <v>2007</v>
      </c>
      <c r="D209" s="256">
        <v>75</v>
      </c>
      <c r="E209">
        <v>0</v>
      </c>
      <c r="F209" s="257"/>
      <c r="H209" s="239"/>
      <c r="I209" s="4"/>
      <c r="K209" s="239"/>
    </row>
    <row r="210" spans="1:11" x14ac:dyDescent="0.25">
      <c r="A210" s="255" t="s">
        <v>248</v>
      </c>
      <c r="B210" s="255" t="s">
        <v>192</v>
      </c>
      <c r="C210" s="256">
        <v>2007</v>
      </c>
      <c r="D210" s="256">
        <v>100</v>
      </c>
      <c r="E210">
        <v>0</v>
      </c>
      <c r="F210" s="257"/>
      <c r="H210" s="239"/>
      <c r="I210" s="4"/>
      <c r="K210" s="239"/>
    </row>
    <row r="211" spans="1:11" x14ac:dyDescent="0.25">
      <c r="A211" s="255" t="s">
        <v>248</v>
      </c>
      <c r="B211" s="255" t="s">
        <v>192</v>
      </c>
      <c r="C211" s="256">
        <v>2007</v>
      </c>
      <c r="D211" s="256">
        <v>175</v>
      </c>
      <c r="E211">
        <v>0</v>
      </c>
      <c r="F211" s="257"/>
      <c r="H211" s="239"/>
      <c r="I211" s="4"/>
      <c r="K211" s="239"/>
    </row>
    <row r="212" spans="1:11" x14ac:dyDescent="0.25">
      <c r="A212" s="255" t="s">
        <v>248</v>
      </c>
      <c r="B212" s="255" t="s">
        <v>192</v>
      </c>
      <c r="C212" s="256">
        <v>2007</v>
      </c>
      <c r="D212" s="256">
        <v>300</v>
      </c>
      <c r="E212">
        <v>0</v>
      </c>
      <c r="F212" s="257"/>
      <c r="H212" s="239"/>
      <c r="I212" s="4"/>
      <c r="K212" s="239"/>
    </row>
    <row r="213" spans="1:11" x14ac:dyDescent="0.25">
      <c r="A213" s="255" t="s">
        <v>248</v>
      </c>
      <c r="B213" s="255" t="s">
        <v>192</v>
      </c>
      <c r="C213" s="256">
        <v>2007</v>
      </c>
      <c r="D213" s="256">
        <v>600</v>
      </c>
      <c r="E213">
        <v>0</v>
      </c>
      <c r="F213" s="257"/>
      <c r="H213" s="239"/>
      <c r="I213" s="4"/>
      <c r="K213" s="239"/>
    </row>
    <row r="214" spans="1:11" x14ac:dyDescent="0.25">
      <c r="A214" s="255" t="s">
        <v>248</v>
      </c>
      <c r="B214" s="255" t="s">
        <v>192</v>
      </c>
      <c r="C214" s="256">
        <v>2008</v>
      </c>
      <c r="D214" s="256">
        <v>50</v>
      </c>
      <c r="E214">
        <v>0</v>
      </c>
      <c r="F214" s="257"/>
      <c r="H214" s="239"/>
      <c r="I214" s="4"/>
      <c r="K214" s="239"/>
    </row>
    <row r="215" spans="1:11" x14ac:dyDescent="0.25">
      <c r="A215" s="255" t="s">
        <v>248</v>
      </c>
      <c r="B215" s="255" t="s">
        <v>192</v>
      </c>
      <c r="C215" s="256">
        <v>2008</v>
      </c>
      <c r="D215" s="256">
        <v>75</v>
      </c>
      <c r="E215">
        <v>0</v>
      </c>
      <c r="F215" s="257"/>
      <c r="H215" s="239"/>
      <c r="I215" s="4"/>
      <c r="K215" s="239"/>
    </row>
    <row r="216" spans="1:11" x14ac:dyDescent="0.25">
      <c r="A216" s="255" t="s">
        <v>248</v>
      </c>
      <c r="B216" s="255" t="s">
        <v>192</v>
      </c>
      <c r="C216" s="256">
        <v>2008</v>
      </c>
      <c r="D216" s="256">
        <v>100</v>
      </c>
      <c r="E216">
        <v>0</v>
      </c>
      <c r="F216" s="257"/>
      <c r="H216" s="239"/>
      <c r="I216" s="4"/>
      <c r="K216" s="239"/>
    </row>
    <row r="217" spans="1:11" x14ac:dyDescent="0.25">
      <c r="A217" s="255" t="s">
        <v>248</v>
      </c>
      <c r="B217" s="255" t="s">
        <v>192</v>
      </c>
      <c r="C217" s="256">
        <v>2008</v>
      </c>
      <c r="D217" s="256">
        <v>175</v>
      </c>
      <c r="E217">
        <v>0</v>
      </c>
      <c r="F217" s="257"/>
      <c r="H217" s="239"/>
      <c r="I217" s="4"/>
      <c r="K217" s="239"/>
    </row>
    <row r="218" spans="1:11" x14ac:dyDescent="0.25">
      <c r="A218" s="255" t="s">
        <v>248</v>
      </c>
      <c r="B218" s="255" t="s">
        <v>192</v>
      </c>
      <c r="C218" s="256">
        <v>2008</v>
      </c>
      <c r="D218" s="256">
        <v>300</v>
      </c>
      <c r="E218">
        <v>0</v>
      </c>
      <c r="F218" s="257"/>
      <c r="H218" s="239"/>
      <c r="I218" s="4"/>
      <c r="K218" s="239"/>
    </row>
    <row r="219" spans="1:11" x14ac:dyDescent="0.25">
      <c r="A219" s="255" t="s">
        <v>248</v>
      </c>
      <c r="B219" s="255" t="s">
        <v>192</v>
      </c>
      <c r="C219" s="256">
        <v>2008</v>
      </c>
      <c r="D219" s="256">
        <v>600</v>
      </c>
      <c r="E219">
        <v>0</v>
      </c>
      <c r="F219" s="257"/>
      <c r="H219" s="239"/>
      <c r="I219" s="4"/>
      <c r="K219" s="239"/>
    </row>
    <row r="220" spans="1:11" x14ac:dyDescent="0.25">
      <c r="A220" s="255" t="s">
        <v>248</v>
      </c>
      <c r="B220" s="255" t="s">
        <v>192</v>
      </c>
      <c r="C220" s="256">
        <v>2009</v>
      </c>
      <c r="D220" s="256">
        <v>50</v>
      </c>
      <c r="E220">
        <v>0</v>
      </c>
      <c r="F220" s="257"/>
      <c r="H220" s="239"/>
      <c r="I220" s="4"/>
      <c r="K220" s="239"/>
    </row>
    <row r="221" spans="1:11" x14ac:dyDescent="0.25">
      <c r="A221" s="255" t="s">
        <v>248</v>
      </c>
      <c r="B221" s="255" t="s">
        <v>192</v>
      </c>
      <c r="C221" s="256">
        <v>2009</v>
      </c>
      <c r="D221" s="256">
        <v>75</v>
      </c>
      <c r="E221">
        <v>0</v>
      </c>
      <c r="F221" s="257"/>
      <c r="H221" s="239"/>
      <c r="I221" s="4"/>
      <c r="K221" s="239"/>
    </row>
    <row r="222" spans="1:11" x14ac:dyDescent="0.25">
      <c r="A222" s="255" t="s">
        <v>248</v>
      </c>
      <c r="B222" s="255" t="s">
        <v>192</v>
      </c>
      <c r="C222" s="256">
        <v>2009</v>
      </c>
      <c r="D222" s="256">
        <v>100</v>
      </c>
      <c r="E222">
        <v>0</v>
      </c>
      <c r="F222" s="257"/>
      <c r="H222" s="239"/>
      <c r="I222" s="4"/>
      <c r="K222" s="239"/>
    </row>
    <row r="223" spans="1:11" x14ac:dyDescent="0.25">
      <c r="A223" s="255" t="s">
        <v>248</v>
      </c>
      <c r="B223" s="255" t="s">
        <v>192</v>
      </c>
      <c r="C223" s="256">
        <v>2009</v>
      </c>
      <c r="D223" s="256">
        <v>175</v>
      </c>
      <c r="E223">
        <v>0</v>
      </c>
      <c r="F223" s="257"/>
      <c r="H223" s="239"/>
      <c r="I223" s="4"/>
      <c r="K223" s="239"/>
    </row>
    <row r="224" spans="1:11" x14ac:dyDescent="0.25">
      <c r="A224" s="255" t="s">
        <v>248</v>
      </c>
      <c r="B224" s="255" t="s">
        <v>192</v>
      </c>
      <c r="C224" s="256">
        <v>2009</v>
      </c>
      <c r="D224" s="256">
        <v>300</v>
      </c>
      <c r="E224">
        <v>0</v>
      </c>
      <c r="F224" s="257"/>
      <c r="H224" s="239"/>
      <c r="I224" s="4"/>
      <c r="K224" s="239"/>
    </row>
    <row r="225" spans="1:12" x14ac:dyDescent="0.25">
      <c r="A225" s="255" t="s">
        <v>248</v>
      </c>
      <c r="B225" s="255" t="s">
        <v>192</v>
      </c>
      <c r="C225" s="256">
        <v>2009</v>
      </c>
      <c r="D225" s="256">
        <v>600</v>
      </c>
      <c r="E225">
        <v>0</v>
      </c>
      <c r="F225" s="257"/>
      <c r="H225" s="239"/>
      <c r="I225" s="4"/>
      <c r="K225" s="239"/>
    </row>
    <row r="226" spans="1:12" x14ac:dyDescent="0.25">
      <c r="A226" s="255" t="s">
        <v>248</v>
      </c>
      <c r="B226" s="255" t="s">
        <v>192</v>
      </c>
      <c r="C226" s="256">
        <v>2010</v>
      </c>
      <c r="D226" s="256">
        <v>50</v>
      </c>
      <c r="E226">
        <v>0</v>
      </c>
      <c r="F226" s="257"/>
      <c r="H226" s="239"/>
      <c r="I226" s="4"/>
      <c r="K226" s="239"/>
    </row>
    <row r="227" spans="1:12" x14ac:dyDescent="0.25">
      <c r="A227" s="255" t="s">
        <v>248</v>
      </c>
      <c r="B227" s="255" t="s">
        <v>192</v>
      </c>
      <c r="C227" s="256">
        <v>2010</v>
      </c>
      <c r="D227" s="256">
        <v>75</v>
      </c>
      <c r="E227">
        <v>0</v>
      </c>
      <c r="F227" s="257"/>
      <c r="H227" s="239"/>
      <c r="I227" s="4"/>
      <c r="K227" s="239"/>
    </row>
    <row r="228" spans="1:12" x14ac:dyDescent="0.25">
      <c r="A228" s="255" t="s">
        <v>248</v>
      </c>
      <c r="B228" s="255" t="s">
        <v>192</v>
      </c>
      <c r="C228" s="256">
        <v>2010</v>
      </c>
      <c r="D228" s="256">
        <v>100</v>
      </c>
      <c r="E228">
        <v>0</v>
      </c>
      <c r="F228" s="257"/>
      <c r="H228" s="239"/>
      <c r="I228" s="4"/>
      <c r="K228" s="239"/>
    </row>
    <row r="229" spans="1:12" x14ac:dyDescent="0.25">
      <c r="A229" s="255" t="s">
        <v>248</v>
      </c>
      <c r="B229" s="255" t="s">
        <v>192</v>
      </c>
      <c r="C229" s="256">
        <v>2010</v>
      </c>
      <c r="D229" s="256">
        <v>175</v>
      </c>
      <c r="E229">
        <v>0</v>
      </c>
      <c r="F229" s="257"/>
      <c r="H229" s="239"/>
      <c r="I229" s="4"/>
      <c r="K229" s="239"/>
    </row>
    <row r="230" spans="1:12" x14ac:dyDescent="0.25">
      <c r="A230" s="255" t="s">
        <v>248</v>
      </c>
      <c r="B230" s="255" t="s">
        <v>192</v>
      </c>
      <c r="C230" s="256">
        <v>2010</v>
      </c>
      <c r="D230" s="256">
        <v>300</v>
      </c>
      <c r="E230">
        <v>0</v>
      </c>
      <c r="F230" s="257"/>
      <c r="H230" s="239"/>
      <c r="I230" s="4"/>
      <c r="K230" s="239"/>
    </row>
    <row r="231" spans="1:12" x14ac:dyDescent="0.25">
      <c r="A231" s="255" t="s">
        <v>248</v>
      </c>
      <c r="B231" s="255" t="s">
        <v>192</v>
      </c>
      <c r="C231" s="256">
        <v>2010</v>
      </c>
      <c r="D231" s="256">
        <v>600</v>
      </c>
      <c r="E231">
        <v>0</v>
      </c>
      <c r="F231" s="257"/>
      <c r="H231" s="239"/>
      <c r="I231" s="4"/>
      <c r="K231" s="239"/>
    </row>
    <row r="232" spans="1:12" x14ac:dyDescent="0.25">
      <c r="A232" s="255" t="s">
        <v>248</v>
      </c>
      <c r="B232" s="255" t="s">
        <v>192</v>
      </c>
      <c r="C232" s="256">
        <v>2011</v>
      </c>
      <c r="D232" s="256">
        <v>50</v>
      </c>
      <c r="E232">
        <v>0</v>
      </c>
      <c r="F232" s="257"/>
      <c r="G232">
        <f t="shared" ref="G232:G295" si="3">IF(OR(D232=50,D232=75),50,IF(OR(D232=100,D232=125),125,IF(D232&gt;=400,400,D232)))</f>
        <v>50</v>
      </c>
      <c r="H232" s="4">
        <f>IF(B232="RTG Crane",IF(D232&lt;600,800000,1200000),VLOOKUP(B232,'$$$ Replace &amp; Retrofit'!$B$10:$C$14,2)*'CHE Model poplulation'!D232)*E232</f>
        <v>0</v>
      </c>
      <c r="I232" s="197">
        <f>E232*VLOOKUP('CHE Model poplulation'!G232,'$$$ Replace &amp; Retrofit'!$I$10:$J$15,2)</f>
        <v>0</v>
      </c>
      <c r="K232" s="239">
        <f>SUM(I232:I237)</f>
        <v>0</v>
      </c>
      <c r="L232" s="239">
        <f>SUM(K232:K268)</f>
        <v>1693448.7142465767</v>
      </c>
    </row>
    <row r="233" spans="1:12" x14ac:dyDescent="0.25">
      <c r="A233" s="255" t="s">
        <v>248</v>
      </c>
      <c r="B233" s="255" t="s">
        <v>192</v>
      </c>
      <c r="C233" s="256">
        <v>2011</v>
      </c>
      <c r="D233" s="256">
        <v>75</v>
      </c>
      <c r="E233">
        <v>0</v>
      </c>
      <c r="F233" s="257"/>
      <c r="G233">
        <f t="shared" si="3"/>
        <v>50</v>
      </c>
      <c r="H233" s="4">
        <f>IF(B233="RTG Crane",IF(D233&lt;600,800000,1200000),VLOOKUP(B233,'$$$ Replace &amp; Retrofit'!$B$10:$C$14,2)*'CHE Model poplulation'!D233)*E233</f>
        <v>0</v>
      </c>
      <c r="I233" s="197">
        <f>E233*VLOOKUP('CHE Model poplulation'!G233,'$$$ Replace &amp; Retrofit'!$I$10:$J$15,2)</f>
        <v>0</v>
      </c>
      <c r="K233" s="239"/>
    </row>
    <row r="234" spans="1:12" x14ac:dyDescent="0.25">
      <c r="A234" s="255" t="s">
        <v>248</v>
      </c>
      <c r="B234" s="255" t="s">
        <v>192</v>
      </c>
      <c r="C234" s="256">
        <v>2011</v>
      </c>
      <c r="D234" s="256">
        <v>100</v>
      </c>
      <c r="E234">
        <v>0</v>
      </c>
      <c r="F234" s="257"/>
      <c r="G234">
        <f t="shared" si="3"/>
        <v>125</v>
      </c>
      <c r="H234" s="4">
        <f>IF(B234="RTG Crane",IF(D234&lt;600,800000,1200000),VLOOKUP(B234,'$$$ Replace &amp; Retrofit'!$B$10:$C$14,2)*'CHE Model poplulation'!D234)*E234</f>
        <v>0</v>
      </c>
      <c r="I234" s="197">
        <f>E234*VLOOKUP('CHE Model poplulation'!G234,'$$$ Replace &amp; Retrofit'!$I$10:$J$15,2)</f>
        <v>0</v>
      </c>
      <c r="K234" s="239"/>
    </row>
    <row r="235" spans="1:12" x14ac:dyDescent="0.25">
      <c r="A235" s="255" t="s">
        <v>248</v>
      </c>
      <c r="B235" s="255" t="s">
        <v>192</v>
      </c>
      <c r="C235" s="256">
        <v>2011</v>
      </c>
      <c r="D235" s="256">
        <v>175</v>
      </c>
      <c r="E235">
        <v>0</v>
      </c>
      <c r="F235" s="257"/>
      <c r="G235">
        <f t="shared" si="3"/>
        <v>175</v>
      </c>
      <c r="H235" s="4">
        <f>IF(B235="RTG Crane",IF(D235&lt;600,800000,1200000),VLOOKUP(B235,'$$$ Replace &amp; Retrofit'!$B$10:$C$14,2)*'CHE Model poplulation'!D235)*E235</f>
        <v>0</v>
      </c>
      <c r="I235" s="197">
        <f>E235*VLOOKUP('CHE Model poplulation'!G235,'$$$ Replace &amp; Retrofit'!$I$10:$J$15,2)</f>
        <v>0</v>
      </c>
      <c r="K235" s="239"/>
    </row>
    <row r="236" spans="1:12" x14ac:dyDescent="0.25">
      <c r="A236" s="255" t="s">
        <v>248</v>
      </c>
      <c r="B236" s="255" t="s">
        <v>192</v>
      </c>
      <c r="C236" s="256">
        <v>2011</v>
      </c>
      <c r="D236" s="256">
        <v>300</v>
      </c>
      <c r="E236">
        <v>0</v>
      </c>
      <c r="F236" s="257"/>
      <c r="G236">
        <f t="shared" si="3"/>
        <v>300</v>
      </c>
      <c r="H236" s="4">
        <f>IF(B236="RTG Crane",IF(D236&lt;600,800000,1200000),VLOOKUP(B236,'$$$ Replace &amp; Retrofit'!$B$10:$C$14,2)*'CHE Model poplulation'!D236)*E236</f>
        <v>0</v>
      </c>
      <c r="I236" s="197">
        <f>E236*VLOOKUP('CHE Model poplulation'!G236,'$$$ Replace &amp; Retrofit'!$I$10:$J$15,2)</f>
        <v>0</v>
      </c>
      <c r="K236" s="239"/>
    </row>
    <row r="237" spans="1:12" x14ac:dyDescent="0.25">
      <c r="A237" s="255" t="s">
        <v>248</v>
      </c>
      <c r="B237" s="255" t="s">
        <v>192</v>
      </c>
      <c r="C237" s="256">
        <v>2011</v>
      </c>
      <c r="D237" s="256">
        <v>600</v>
      </c>
      <c r="E237">
        <v>0</v>
      </c>
      <c r="F237" s="257"/>
      <c r="G237">
        <f t="shared" si="3"/>
        <v>400</v>
      </c>
      <c r="H237" s="4">
        <f>IF(B237="RTG Crane",IF(D237&lt;600,800000,1200000),VLOOKUP(B237,'$$$ Replace &amp; Retrofit'!$B$10:$C$14,2)*'CHE Model poplulation'!D237)*E237</f>
        <v>0</v>
      </c>
      <c r="I237" s="197">
        <f>E237*VLOOKUP('CHE Model poplulation'!G237,'$$$ Replace &amp; Retrofit'!$I$10:$J$15,2)</f>
        <v>0</v>
      </c>
      <c r="K237" s="239"/>
    </row>
    <row r="238" spans="1:12" x14ac:dyDescent="0.25">
      <c r="A238" s="255" t="s">
        <v>248</v>
      </c>
      <c r="B238" s="255" t="s">
        <v>192</v>
      </c>
      <c r="C238" s="256">
        <v>2012</v>
      </c>
      <c r="D238" s="256">
        <v>50</v>
      </c>
      <c r="E238">
        <v>0.81871852867061501</v>
      </c>
      <c r="F238" s="257"/>
      <c r="G238">
        <f t="shared" si="3"/>
        <v>50</v>
      </c>
      <c r="H238" s="4">
        <f>IF(B238="RTG Crane",IF(D238&lt;600,800000,1200000),VLOOKUP(B238,'$$$ Replace &amp; Retrofit'!$B$10:$C$14,2)*'CHE Model poplulation'!D238)*E238</f>
        <v>35818.935629339408</v>
      </c>
      <c r="I238" s="197">
        <f>E238*VLOOKUP('CHE Model poplulation'!G238,'$$$ Replace &amp; Retrofit'!$I$10:$J$15,2)</f>
        <v>14399.621482258777</v>
      </c>
      <c r="K238" s="239">
        <f>SUM(I238:I243)-K232</f>
        <v>91107.370790873407</v>
      </c>
    </row>
    <row r="239" spans="1:12" x14ac:dyDescent="0.25">
      <c r="A239" s="255" t="s">
        <v>248</v>
      </c>
      <c r="B239" s="255" t="s">
        <v>192</v>
      </c>
      <c r="C239" s="256">
        <v>2012</v>
      </c>
      <c r="D239" s="256">
        <v>75</v>
      </c>
      <c r="E239">
        <v>1.0277117798591</v>
      </c>
      <c r="F239" s="257"/>
      <c r="G239">
        <f t="shared" si="3"/>
        <v>50</v>
      </c>
      <c r="H239" s="4">
        <f>IF(B239="RTG Crane",IF(D239&lt;600,800000,1200000),VLOOKUP(B239,'$$$ Replace &amp; Retrofit'!$B$10:$C$14,2)*'CHE Model poplulation'!D239)*E239</f>
        <v>67443.585553253433</v>
      </c>
      <c r="I239" s="197">
        <f>E239*VLOOKUP('CHE Model poplulation'!G239,'$$$ Replace &amp; Retrofit'!$I$10:$J$15,2)</f>
        <v>18075.39478416185</v>
      </c>
      <c r="K239" s="239"/>
    </row>
    <row r="240" spans="1:12" x14ac:dyDescent="0.25">
      <c r="A240" s="255" t="s">
        <v>248</v>
      </c>
      <c r="B240" s="255" t="s">
        <v>192</v>
      </c>
      <c r="C240" s="256">
        <v>2012</v>
      </c>
      <c r="D240" s="256">
        <v>100</v>
      </c>
      <c r="E240">
        <v>5.38909812474813E-16</v>
      </c>
      <c r="F240" s="257"/>
      <c r="G240">
        <f t="shared" si="3"/>
        <v>125</v>
      </c>
      <c r="H240" s="4">
        <f>IF(B240="RTG Crane",IF(D240&lt;600,800000,1200000),VLOOKUP(B240,'$$$ Replace &amp; Retrofit'!$B$10:$C$14,2)*'CHE Model poplulation'!D240)*E240</f>
        <v>4.7154608591546135E-11</v>
      </c>
      <c r="I240" s="197">
        <f>E240*VLOOKUP('CHE Model poplulation'!G240,'$$$ Replace &amp; Retrofit'!$I$10:$J$15,2)</f>
        <v>1.0634307329565485E-11</v>
      </c>
      <c r="K240" s="239"/>
    </row>
    <row r="241" spans="1:11" x14ac:dyDescent="0.25">
      <c r="A241" s="255" t="s">
        <v>248</v>
      </c>
      <c r="B241" s="255" t="s">
        <v>192</v>
      </c>
      <c r="C241" s="256">
        <v>2012</v>
      </c>
      <c r="D241" s="256">
        <v>175</v>
      </c>
      <c r="E241">
        <v>1.3079583944291999E-15</v>
      </c>
      <c r="F241" s="257"/>
      <c r="G241">
        <f t="shared" si="3"/>
        <v>175</v>
      </c>
      <c r="H241" s="4">
        <f>IF(B241="RTG Crane",IF(D241&lt;600,800000,1200000),VLOOKUP(B241,'$$$ Replace &amp; Retrofit'!$B$10:$C$14,2)*'CHE Model poplulation'!D241)*E241</f>
        <v>2.0028112914697123E-10</v>
      </c>
      <c r="I241" s="197">
        <f>E241*VLOOKUP('CHE Model poplulation'!G241,'$$$ Replace &amp; Retrofit'!$I$10:$J$15,2)</f>
        <v>3.2432136348266441E-11</v>
      </c>
      <c r="K241" s="239"/>
    </row>
    <row r="242" spans="1:11" x14ac:dyDescent="0.25">
      <c r="A242" s="255" t="s">
        <v>248</v>
      </c>
      <c r="B242" s="255" t="s">
        <v>192</v>
      </c>
      <c r="C242" s="256">
        <v>2012</v>
      </c>
      <c r="D242" s="256">
        <v>300</v>
      </c>
      <c r="E242">
        <v>1.9372523153424599</v>
      </c>
      <c r="F242" s="257"/>
      <c r="G242">
        <f t="shared" si="3"/>
        <v>300</v>
      </c>
      <c r="H242" s="4">
        <f>IF(B242="RTG Crane",IF(D242&lt;600,800000,1200000),VLOOKUP(B242,'$$$ Replace &amp; Retrofit'!$B$10:$C$14,2)*'CHE Model poplulation'!D242)*E242</f>
        <v>508528.73277739575</v>
      </c>
      <c r="I242" s="197">
        <f>E242*VLOOKUP('CHE Model poplulation'!G242,'$$$ Replace &amp; Retrofit'!$I$10:$J$15,2)</f>
        <v>55721.188346195173</v>
      </c>
      <c r="K242" s="239"/>
    </row>
    <row r="243" spans="1:11" x14ac:dyDescent="0.25">
      <c r="A243" s="255" t="s">
        <v>248</v>
      </c>
      <c r="B243" s="255" t="s">
        <v>192</v>
      </c>
      <c r="C243" s="256">
        <v>2012</v>
      </c>
      <c r="D243" s="256">
        <v>600</v>
      </c>
      <c r="E243">
        <v>5.5627733519147897E-2</v>
      </c>
      <c r="F243" s="257"/>
      <c r="G243">
        <f t="shared" si="3"/>
        <v>400</v>
      </c>
      <c r="H243" s="4">
        <f>IF(B243="RTG Crane",IF(D243&lt;600,800000,1200000),VLOOKUP(B243,'$$$ Replace &amp; Retrofit'!$B$10:$C$14,2)*'CHE Model poplulation'!D243)*E243</f>
        <v>29204.560097552647</v>
      </c>
      <c r="I243" s="197">
        <f>E243*VLOOKUP('CHE Model poplulation'!G243,'$$$ Replace &amp; Retrofit'!$I$10:$J$15,2)</f>
        <v>2911.166178257567</v>
      </c>
      <c r="K243" s="239"/>
    </row>
    <row r="244" spans="1:11" x14ac:dyDescent="0.25">
      <c r="A244" s="255" t="s">
        <v>248</v>
      </c>
      <c r="B244" s="255" t="s">
        <v>192</v>
      </c>
      <c r="C244" s="256">
        <v>2013</v>
      </c>
      <c r="D244" s="256">
        <v>50</v>
      </c>
      <c r="E244">
        <v>1.1887600273702701</v>
      </c>
      <c r="F244" s="257"/>
      <c r="G244">
        <f t="shared" si="3"/>
        <v>50</v>
      </c>
      <c r="H244" s="4">
        <f>IF(B244="RTG Crane",IF(D244&lt;600,800000,1200000),VLOOKUP(B244,'$$$ Replace &amp; Retrofit'!$B$10:$C$14,2)*'CHE Model poplulation'!D244)*E244</f>
        <v>52008.251197449317</v>
      </c>
      <c r="I244" s="197">
        <f>E244*VLOOKUP('CHE Model poplulation'!G244,'$$$ Replace &amp; Retrofit'!$I$10:$J$15,2)</f>
        <v>20907.911361388309</v>
      </c>
      <c r="K244" s="239">
        <f>SUM(I244:I249)-K238-K232</f>
        <v>144364.71298842225</v>
      </c>
    </row>
    <row r="245" spans="1:11" x14ac:dyDescent="0.25">
      <c r="A245" s="255" t="s">
        <v>248</v>
      </c>
      <c r="B245" s="255" t="s">
        <v>192</v>
      </c>
      <c r="C245" s="256">
        <v>2013</v>
      </c>
      <c r="D245" s="256">
        <v>75</v>
      </c>
      <c r="E245">
        <v>1.3373090890788699</v>
      </c>
      <c r="F245" s="257"/>
      <c r="G245">
        <f t="shared" si="3"/>
        <v>50</v>
      </c>
      <c r="H245" s="4">
        <f>IF(B245="RTG Crane",IF(D245&lt;600,800000,1200000),VLOOKUP(B245,'$$$ Replace &amp; Retrofit'!$B$10:$C$14,2)*'CHE Model poplulation'!D245)*E245</f>
        <v>87760.90897080084</v>
      </c>
      <c r="I245" s="197">
        <f>E245*VLOOKUP('CHE Model poplulation'!G245,'$$$ Replace &amp; Retrofit'!$I$10:$J$15,2)</f>
        <v>23520.592258719164</v>
      </c>
      <c r="K245" s="239"/>
    </row>
    <row r="246" spans="1:11" x14ac:dyDescent="0.25">
      <c r="A246" s="255" t="s">
        <v>248</v>
      </c>
      <c r="B246" s="255" t="s">
        <v>192</v>
      </c>
      <c r="C246" s="256">
        <v>2013</v>
      </c>
      <c r="D246" s="256">
        <v>100</v>
      </c>
      <c r="E246">
        <v>1.7523681840829699</v>
      </c>
      <c r="F246" s="257"/>
      <c r="G246">
        <f t="shared" si="3"/>
        <v>125</v>
      </c>
      <c r="H246" s="4">
        <f>IF(B246="RTG Crane",IF(D246&lt;600,800000,1200000),VLOOKUP(B246,'$$$ Replace &amp; Retrofit'!$B$10:$C$14,2)*'CHE Model poplulation'!D246)*E246</f>
        <v>153332.21610725985</v>
      </c>
      <c r="I246" s="197">
        <f>E246*VLOOKUP('CHE Model poplulation'!G246,'$$$ Replace &amp; Retrofit'!$I$10:$J$15,2)</f>
        <v>34579.481376509248</v>
      </c>
      <c r="K246" s="239"/>
    </row>
    <row r="247" spans="1:11" x14ac:dyDescent="0.25">
      <c r="A247" s="255" t="s">
        <v>248</v>
      </c>
      <c r="B247" s="255" t="s">
        <v>192</v>
      </c>
      <c r="C247" s="256">
        <v>2013</v>
      </c>
      <c r="D247" s="256">
        <v>175</v>
      </c>
      <c r="E247">
        <v>2.2614382719273598</v>
      </c>
      <c r="F247" s="257"/>
      <c r="G247">
        <f t="shared" si="3"/>
        <v>175</v>
      </c>
      <c r="H247" s="4">
        <f>IF(B247="RTG Crane",IF(D247&lt;600,800000,1200000),VLOOKUP(B247,'$$$ Replace &amp; Retrofit'!$B$10:$C$14,2)*'CHE Model poplulation'!D247)*E247</f>
        <v>346282.73538887699</v>
      </c>
      <c r="I247" s="197">
        <f>E247*VLOOKUP('CHE Model poplulation'!G247,'$$$ Replace &amp; Retrofit'!$I$10:$J$15,2)</f>
        <v>56074.623390710811</v>
      </c>
      <c r="K247" s="239"/>
    </row>
    <row r="248" spans="1:11" x14ac:dyDescent="0.25">
      <c r="A248" s="255" t="s">
        <v>248</v>
      </c>
      <c r="B248" s="255" t="s">
        <v>192</v>
      </c>
      <c r="C248" s="256">
        <v>2013</v>
      </c>
      <c r="D248" s="256">
        <v>300</v>
      </c>
      <c r="E248">
        <v>3.2968799706429901</v>
      </c>
      <c r="F248" s="257"/>
      <c r="G248">
        <f t="shared" si="3"/>
        <v>300</v>
      </c>
      <c r="H248" s="4">
        <f>IF(B248="RTG Crane",IF(D248&lt;600,800000,1200000),VLOOKUP(B248,'$$$ Replace &amp; Retrofit'!$B$10:$C$14,2)*'CHE Model poplulation'!D248)*E248</f>
        <v>865430.99229378486</v>
      </c>
      <c r="I248" s="197">
        <f>E248*VLOOKUP('CHE Model poplulation'!G248,'$$$ Replace &amp; Retrofit'!$I$10:$J$15,2)</f>
        <v>94828.158595604327</v>
      </c>
      <c r="K248" s="239"/>
    </row>
    <row r="249" spans="1:11" x14ac:dyDescent="0.25">
      <c r="A249" s="255" t="s">
        <v>248</v>
      </c>
      <c r="B249" s="255" t="s">
        <v>192</v>
      </c>
      <c r="C249" s="256">
        <v>2013</v>
      </c>
      <c r="D249" s="256">
        <v>600</v>
      </c>
      <c r="E249">
        <v>0.106267876795976</v>
      </c>
      <c r="F249" s="257"/>
      <c r="G249">
        <f t="shared" si="3"/>
        <v>400</v>
      </c>
      <c r="H249" s="4">
        <f>IF(B249="RTG Crane",IF(D249&lt;600,800000,1200000),VLOOKUP(B249,'$$$ Replace &amp; Retrofit'!$B$10:$C$14,2)*'CHE Model poplulation'!D249)*E249</f>
        <v>55790.635317887405</v>
      </c>
      <c r="I249" s="197">
        <f>E249*VLOOKUP('CHE Model poplulation'!G249,'$$$ Replace &amp; Retrofit'!$I$10:$J$15,2)</f>
        <v>5561.3167963638125</v>
      </c>
      <c r="K249" s="239"/>
    </row>
    <row r="250" spans="1:11" x14ac:dyDescent="0.25">
      <c r="A250" s="255" t="s">
        <v>248</v>
      </c>
      <c r="B250" s="255" t="s">
        <v>192</v>
      </c>
      <c r="C250" s="256">
        <v>2014</v>
      </c>
      <c r="D250" s="256">
        <v>50</v>
      </c>
      <c r="E250">
        <v>2.2104016570648199</v>
      </c>
      <c r="F250" s="257"/>
      <c r="G250">
        <f t="shared" si="3"/>
        <v>50</v>
      </c>
      <c r="H250" s="4">
        <f>IF(B250="RTG Crane",IF(D250&lt;600,800000,1200000),VLOOKUP(B250,'$$$ Replace &amp; Retrofit'!$B$10:$C$14,2)*'CHE Model poplulation'!D250)*E250</f>
        <v>96705.072496585868</v>
      </c>
      <c r="I250" s="197">
        <f>E250*VLOOKUP('CHE Model poplulation'!G250,'$$$ Replace &amp; Retrofit'!$I$10:$J$15,2)</f>
        <v>38876.544344456051</v>
      </c>
      <c r="K250" s="239">
        <f>SUM(I250:I255)-K244-K238-K232</f>
        <v>433635.03809191089</v>
      </c>
    </row>
    <row r="251" spans="1:11" x14ac:dyDescent="0.25">
      <c r="A251" s="255" t="s">
        <v>248</v>
      </c>
      <c r="B251" s="255" t="s">
        <v>192</v>
      </c>
      <c r="C251" s="256">
        <v>2014</v>
      </c>
      <c r="D251" s="256">
        <v>75</v>
      </c>
      <c r="E251">
        <v>2.9250915796096901</v>
      </c>
      <c r="F251" s="257"/>
      <c r="G251">
        <f t="shared" si="3"/>
        <v>50</v>
      </c>
      <c r="H251" s="4">
        <f>IF(B251="RTG Crane",IF(D251&lt;600,800000,1200000),VLOOKUP(B251,'$$$ Replace &amp; Retrofit'!$B$10:$C$14,2)*'CHE Model poplulation'!D251)*E251</f>
        <v>191959.13491188592</v>
      </c>
      <c r="I251" s="197">
        <f>E251*VLOOKUP('CHE Model poplulation'!G251,'$$$ Replace &amp; Retrofit'!$I$10:$J$15,2)</f>
        <v>51446.510702175226</v>
      </c>
      <c r="K251" s="239"/>
    </row>
    <row r="252" spans="1:11" x14ac:dyDescent="0.25">
      <c r="A252" s="255" t="s">
        <v>248</v>
      </c>
      <c r="B252" s="255" t="s">
        <v>192</v>
      </c>
      <c r="C252" s="256">
        <v>2014</v>
      </c>
      <c r="D252" s="256">
        <v>100</v>
      </c>
      <c r="E252">
        <v>6.3052632382994904</v>
      </c>
      <c r="F252" s="257"/>
      <c r="G252">
        <f t="shared" si="3"/>
        <v>125</v>
      </c>
      <c r="H252" s="4">
        <f>IF(B252="RTG Crane",IF(D252&lt;600,800000,1200000),VLOOKUP(B252,'$$$ Replace &amp; Retrofit'!$B$10:$C$14,2)*'CHE Model poplulation'!D252)*E252</f>
        <v>551710.53335120541</v>
      </c>
      <c r="I252" s="197">
        <f>E252*VLOOKUP('CHE Model poplulation'!G252,'$$$ Replace &amp; Retrofit'!$I$10:$J$15,2)</f>
        <v>124421.75948136384</v>
      </c>
      <c r="K252" s="239"/>
    </row>
    <row r="253" spans="1:11" x14ac:dyDescent="0.25">
      <c r="A253" s="255" t="s">
        <v>248</v>
      </c>
      <c r="B253" s="255" t="s">
        <v>192</v>
      </c>
      <c r="C253" s="256">
        <v>2014</v>
      </c>
      <c r="D253" s="256">
        <v>175</v>
      </c>
      <c r="E253">
        <v>10.912222776127299</v>
      </c>
      <c r="F253" s="257"/>
      <c r="G253">
        <f t="shared" si="3"/>
        <v>175</v>
      </c>
      <c r="H253" s="4">
        <f>IF(B253="RTG Crane",IF(D253&lt;600,800000,1200000),VLOOKUP(B253,'$$$ Replace &amp; Retrofit'!$B$10:$C$14,2)*'CHE Model poplulation'!D253)*E253</f>
        <v>1670934.1125944927</v>
      </c>
      <c r="I253" s="197">
        <f>E253*VLOOKUP('CHE Model poplulation'!G253,'$$$ Replace &amp; Retrofit'!$I$10:$J$15,2)</f>
        <v>270579.47595685249</v>
      </c>
      <c r="K253" s="239"/>
    </row>
    <row r="254" spans="1:11" x14ac:dyDescent="0.25">
      <c r="A254" s="255" t="s">
        <v>248</v>
      </c>
      <c r="B254" s="255" t="s">
        <v>192</v>
      </c>
      <c r="C254" s="256">
        <v>2014</v>
      </c>
      <c r="D254" s="256">
        <v>300</v>
      </c>
      <c r="E254">
        <v>5.9088656995226199</v>
      </c>
      <c r="F254" s="257"/>
      <c r="G254">
        <f t="shared" si="3"/>
        <v>300</v>
      </c>
      <c r="H254" s="4">
        <f>IF(B254="RTG Crane",IF(D254&lt;600,800000,1200000),VLOOKUP(B254,'$$$ Replace &amp; Retrofit'!$B$10:$C$14,2)*'CHE Model poplulation'!D254)*E254</f>
        <v>1551077.2461246876</v>
      </c>
      <c r="I254" s="197">
        <f>E254*VLOOKUP('CHE Model poplulation'!G254,'$$$ Replace &amp; Retrofit'!$I$10:$J$15,2)</f>
        <v>169956.70411536912</v>
      </c>
      <c r="K254" s="239"/>
    </row>
    <row r="255" spans="1:11" x14ac:dyDescent="0.25">
      <c r="A255" s="255" t="s">
        <v>248</v>
      </c>
      <c r="B255" s="255" t="s">
        <v>192</v>
      </c>
      <c r="C255" s="256">
        <v>2014</v>
      </c>
      <c r="D255" s="256">
        <v>600</v>
      </c>
      <c r="E255">
        <v>0.26419519750424902</v>
      </c>
      <c r="F255" s="257"/>
      <c r="G255">
        <f t="shared" si="3"/>
        <v>400</v>
      </c>
      <c r="H255" s="4">
        <f>IF(B255="RTG Crane",IF(D255&lt;600,800000,1200000),VLOOKUP(B255,'$$$ Replace &amp; Retrofit'!$B$10:$C$14,2)*'CHE Model poplulation'!D255)*E255</f>
        <v>138702.47868973075</v>
      </c>
      <c r="I255" s="197">
        <f>E255*VLOOKUP('CHE Model poplulation'!G255,'$$$ Replace &amp; Retrofit'!$I$10:$J$15,2)</f>
        <v>13826.127270989864</v>
      </c>
      <c r="K255" s="239"/>
    </row>
    <row r="256" spans="1:11" x14ac:dyDescent="0.25">
      <c r="A256" s="255" t="s">
        <v>248</v>
      </c>
      <c r="B256" s="255" t="s">
        <v>192</v>
      </c>
      <c r="C256" s="256">
        <v>2015</v>
      </c>
      <c r="D256" s="256">
        <v>50</v>
      </c>
      <c r="E256">
        <v>3.24722710222653</v>
      </c>
      <c r="F256" s="257"/>
      <c r="G256">
        <f t="shared" si="3"/>
        <v>50</v>
      </c>
      <c r="H256" s="4">
        <f>IF(B256="RTG Crane",IF(D256&lt;600,800000,1200000),VLOOKUP(B256,'$$$ Replace &amp; Retrofit'!$B$10:$C$14,2)*'CHE Model poplulation'!D256)*E256</f>
        <v>142066.18572241068</v>
      </c>
      <c r="I256" s="197">
        <f>E256*VLOOKUP('CHE Model poplulation'!G256,'$$$ Replace &amp; Retrofit'!$I$10:$J$15,2)</f>
        <v>57112.230273960209</v>
      </c>
      <c r="K256" s="239">
        <f>SUM(I256:I261)-K250-K244-K238-K232</f>
        <v>477542.49472666474</v>
      </c>
    </row>
    <row r="257" spans="1:11" x14ac:dyDescent="0.25">
      <c r="A257" s="255" t="s">
        <v>248</v>
      </c>
      <c r="B257" s="255" t="s">
        <v>192</v>
      </c>
      <c r="C257" s="256">
        <v>2015</v>
      </c>
      <c r="D257" s="256">
        <v>75</v>
      </c>
      <c r="E257">
        <v>4.2887878741579897</v>
      </c>
      <c r="F257" s="257"/>
      <c r="G257">
        <f t="shared" si="3"/>
        <v>50</v>
      </c>
      <c r="H257" s="4">
        <f>IF(B257="RTG Crane",IF(D257&lt;600,800000,1200000),VLOOKUP(B257,'$$$ Replace &amp; Retrofit'!$B$10:$C$14,2)*'CHE Model poplulation'!D257)*E257</f>
        <v>281451.70424161805</v>
      </c>
      <c r="I257" s="197">
        <f>E257*VLOOKUP('CHE Model poplulation'!G257,'$$$ Replace &amp; Retrofit'!$I$10:$J$15,2)</f>
        <v>75431.201130690722</v>
      </c>
      <c r="K257" s="239"/>
    </row>
    <row r="258" spans="1:11" x14ac:dyDescent="0.25">
      <c r="A258" s="255" t="s">
        <v>248</v>
      </c>
      <c r="B258" s="255" t="s">
        <v>192</v>
      </c>
      <c r="C258" s="256">
        <v>2015</v>
      </c>
      <c r="D258" s="256">
        <v>100</v>
      </c>
      <c r="E258">
        <v>12.3001360227889</v>
      </c>
      <c r="F258" s="257"/>
      <c r="G258">
        <f t="shared" si="3"/>
        <v>125</v>
      </c>
      <c r="H258" s="4">
        <f>IF(B258="RTG Crane",IF(D258&lt;600,800000,1200000),VLOOKUP(B258,'$$$ Replace &amp; Retrofit'!$B$10:$C$14,2)*'CHE Model poplulation'!D258)*E258</f>
        <v>1076261.9019940288</v>
      </c>
      <c r="I258" s="197">
        <f>E258*VLOOKUP('CHE Model poplulation'!G258,'$$$ Replace &amp; Retrofit'!$I$10:$J$15,2)</f>
        <v>242718.58413769337</v>
      </c>
      <c r="K258" s="239"/>
    </row>
    <row r="259" spans="1:11" x14ac:dyDescent="0.25">
      <c r="A259" s="255" t="s">
        <v>248</v>
      </c>
      <c r="B259" s="255" t="s">
        <v>192</v>
      </c>
      <c r="C259" s="256">
        <v>2015</v>
      </c>
      <c r="D259" s="256">
        <v>175</v>
      </c>
      <c r="E259">
        <v>19.7497212217163</v>
      </c>
      <c r="F259" s="257"/>
      <c r="G259">
        <f t="shared" si="3"/>
        <v>175</v>
      </c>
      <c r="H259" s="4">
        <f>IF(B259="RTG Crane",IF(D259&lt;600,800000,1200000),VLOOKUP(B259,'$$$ Replace &amp; Retrofit'!$B$10:$C$14,2)*'CHE Model poplulation'!D259)*E259</f>
        <v>3024176.0620753085</v>
      </c>
      <c r="I259" s="197">
        <f>E259*VLOOKUP('CHE Model poplulation'!G259,'$$$ Replace &amp; Retrofit'!$I$10:$J$15,2)</f>
        <v>489714.08741367736</v>
      </c>
      <c r="K259" s="239"/>
    </row>
    <row r="260" spans="1:11" x14ac:dyDescent="0.25">
      <c r="A260" s="255" t="s">
        <v>248</v>
      </c>
      <c r="B260" s="255" t="s">
        <v>192</v>
      </c>
      <c r="C260" s="256">
        <v>2015</v>
      </c>
      <c r="D260" s="256">
        <v>300</v>
      </c>
      <c r="E260">
        <v>8.7596056345094393</v>
      </c>
      <c r="F260" s="257"/>
      <c r="G260">
        <f t="shared" si="3"/>
        <v>300</v>
      </c>
      <c r="H260" s="4">
        <f>IF(B260="RTG Crane",IF(D260&lt;600,800000,1200000),VLOOKUP(B260,'$$$ Replace &amp; Retrofit'!$B$10:$C$14,2)*'CHE Model poplulation'!D260)*E260</f>
        <v>2299396.4790587276</v>
      </c>
      <c r="I260" s="197">
        <f>E260*VLOOKUP('CHE Model poplulation'!G260,'$$$ Replace &amp; Retrofit'!$I$10:$J$15,2)</f>
        <v>251952.536865395</v>
      </c>
      <c r="K260" s="239"/>
    </row>
    <row r="261" spans="1:11" x14ac:dyDescent="0.25">
      <c r="A261" s="255" t="s">
        <v>248</v>
      </c>
      <c r="B261" s="255" t="s">
        <v>192</v>
      </c>
      <c r="C261" s="256">
        <v>2015</v>
      </c>
      <c r="D261" s="256">
        <v>600</v>
      </c>
      <c r="E261">
        <v>0.56792037101741899</v>
      </c>
      <c r="F261" s="257"/>
      <c r="G261">
        <f t="shared" si="3"/>
        <v>400</v>
      </c>
      <c r="H261" s="4">
        <f>IF(B261="RTG Crane",IF(D261&lt;600,800000,1200000),VLOOKUP(B261,'$$$ Replace &amp; Retrofit'!$B$10:$C$14,2)*'CHE Model poplulation'!D261)*E261</f>
        <v>298158.19478414499</v>
      </c>
      <c r="I261" s="197">
        <f>E261*VLOOKUP('CHE Model poplulation'!G261,'$$$ Replace &amp; Retrofit'!$I$10:$J$15,2)</f>
        <v>29720.976776454587</v>
      </c>
      <c r="K261" s="239"/>
    </row>
    <row r="262" spans="1:11" x14ac:dyDescent="0.25">
      <c r="A262" s="255" t="s">
        <v>248</v>
      </c>
      <c r="B262" s="255" t="s">
        <v>192</v>
      </c>
      <c r="C262" s="256">
        <v>2016</v>
      </c>
      <c r="D262" s="256">
        <v>50</v>
      </c>
      <c r="E262">
        <v>4.0194979452104302</v>
      </c>
      <c r="F262" s="257"/>
      <c r="G262">
        <f t="shared" si="3"/>
        <v>50</v>
      </c>
      <c r="H262" s="4">
        <f>IF(B262="RTG Crane",IF(D262&lt;600,800000,1200000),VLOOKUP(B262,'$$$ Replace &amp; Retrofit'!$B$10:$C$14,2)*'CHE Model poplulation'!D262)*E262</f>
        <v>175853.03510295632</v>
      </c>
      <c r="I262" s="197">
        <f>E262*VLOOKUP('CHE Model poplulation'!G262,'$$$ Replace &amp; Retrofit'!$I$10:$J$15,2)</f>
        <v>70694.929860361051</v>
      </c>
      <c r="K262" s="239">
        <f>SUM(I262:I267)-K256-K250-K244-K238-K232</f>
        <v>548203.45695969358</v>
      </c>
    </row>
    <row r="263" spans="1:11" x14ac:dyDescent="0.25">
      <c r="A263" s="255" t="s">
        <v>248</v>
      </c>
      <c r="B263" s="255" t="s">
        <v>192</v>
      </c>
      <c r="C263" s="256">
        <v>2016</v>
      </c>
      <c r="D263" s="256">
        <v>75</v>
      </c>
      <c r="E263">
        <v>5.9166027724269199</v>
      </c>
      <c r="F263" s="257"/>
      <c r="G263">
        <f t="shared" si="3"/>
        <v>50</v>
      </c>
      <c r="H263" s="4">
        <f>IF(B263="RTG Crane",IF(D263&lt;600,800000,1200000),VLOOKUP(B263,'$$$ Replace &amp; Retrofit'!$B$10:$C$14,2)*'CHE Model poplulation'!D263)*E263</f>
        <v>388277.05694051663</v>
      </c>
      <c r="I263" s="197">
        <f>E263*VLOOKUP('CHE Model poplulation'!G263,'$$$ Replace &amp; Retrofit'!$I$10:$J$15,2)</f>
        <v>104061.20956144467</v>
      </c>
      <c r="K263" s="239"/>
    </row>
    <row r="264" spans="1:11" x14ac:dyDescent="0.25">
      <c r="A264" s="255" t="s">
        <v>248</v>
      </c>
      <c r="B264" s="255" t="s">
        <v>192</v>
      </c>
      <c r="C264" s="256">
        <v>2016</v>
      </c>
      <c r="D264" s="256">
        <v>100</v>
      </c>
      <c r="E264">
        <v>19.130197466216799</v>
      </c>
      <c r="F264" s="257"/>
      <c r="G264">
        <f t="shared" si="3"/>
        <v>125</v>
      </c>
      <c r="H264" s="4">
        <f>IF(B264="RTG Crane",IF(D264&lt;600,800000,1200000),VLOOKUP(B264,'$$$ Replace &amp; Retrofit'!$B$10:$C$14,2)*'CHE Model poplulation'!D264)*E264</f>
        <v>1673892.27829397</v>
      </c>
      <c r="I264" s="197">
        <f>E264*VLOOKUP('CHE Model poplulation'!G264,'$$$ Replace &amp; Retrofit'!$I$10:$J$15,2)</f>
        <v>377496.18660085608</v>
      </c>
      <c r="K264" s="239"/>
    </row>
    <row r="265" spans="1:11" x14ac:dyDescent="0.25">
      <c r="A265" s="255" t="s">
        <v>248</v>
      </c>
      <c r="B265" s="255" t="s">
        <v>192</v>
      </c>
      <c r="C265" s="256">
        <v>2016</v>
      </c>
      <c r="D265" s="256">
        <v>175</v>
      </c>
      <c r="E265">
        <v>29.732602821813799</v>
      </c>
      <c r="F265" s="257"/>
      <c r="G265">
        <f t="shared" si="3"/>
        <v>175</v>
      </c>
      <c r="H265" s="4">
        <f>IF(B265="RTG Crane",IF(D265&lt;600,800000,1200000),VLOOKUP(B265,'$$$ Replace &amp; Retrofit'!$B$10:$C$14,2)*'CHE Model poplulation'!D265)*E265</f>
        <v>4552804.8070902377</v>
      </c>
      <c r="I265" s="197">
        <f>E265*VLOOKUP('CHE Model poplulation'!G265,'$$$ Replace &amp; Retrofit'!$I$10:$J$15,2)</f>
        <v>737249.61956969497</v>
      </c>
      <c r="K265" s="239"/>
    </row>
    <row r="266" spans="1:11" x14ac:dyDescent="0.25">
      <c r="A266" s="255" t="s">
        <v>248</v>
      </c>
      <c r="B266" s="255" t="s">
        <v>192</v>
      </c>
      <c r="C266" s="256">
        <v>2016</v>
      </c>
      <c r="D266" s="256">
        <v>300</v>
      </c>
      <c r="E266">
        <v>12.0351066031588</v>
      </c>
      <c r="F266" s="257"/>
      <c r="G266">
        <f t="shared" si="3"/>
        <v>300</v>
      </c>
      <c r="H266" s="4">
        <f>IF(B266="RTG Crane",IF(D266&lt;600,800000,1200000),VLOOKUP(B266,'$$$ Replace &amp; Retrofit'!$B$10:$C$14,2)*'CHE Model poplulation'!D266)*E266</f>
        <v>3159215.4833291848</v>
      </c>
      <c r="I266" s="197">
        <f>E266*VLOOKUP('CHE Model poplulation'!G266,'$$$ Replace &amp; Retrofit'!$I$10:$J$15,2)</f>
        <v>346165.77122665656</v>
      </c>
      <c r="K266" s="239"/>
    </row>
    <row r="267" spans="1:11" x14ac:dyDescent="0.25">
      <c r="A267" s="255" t="s">
        <v>248</v>
      </c>
      <c r="B267" s="255" t="s">
        <v>192</v>
      </c>
      <c r="C267" s="256">
        <v>2016</v>
      </c>
      <c r="D267" s="256">
        <v>600</v>
      </c>
      <c r="E267">
        <v>1.13093758696332</v>
      </c>
      <c r="F267" s="257"/>
      <c r="G267">
        <f t="shared" si="3"/>
        <v>400</v>
      </c>
      <c r="H267" s="4">
        <f>IF(B267="RTG Crane",IF(D267&lt;600,800000,1200000),VLOOKUP(B267,'$$$ Replace &amp; Retrofit'!$B$10:$C$14,2)*'CHE Model poplulation'!D267)*E267</f>
        <v>593742.23315574299</v>
      </c>
      <c r="I267" s="197">
        <f>E267*VLOOKUP('CHE Model poplulation'!G267,'$$$ Replace &amp; Retrofit'!$I$10:$J$15,2)</f>
        <v>59185.356738551425</v>
      </c>
      <c r="K267" s="239"/>
    </row>
    <row r="268" spans="1:11" x14ac:dyDescent="0.25">
      <c r="A268" s="255" t="s">
        <v>248</v>
      </c>
      <c r="B268" s="255" t="s">
        <v>192</v>
      </c>
      <c r="C268" s="256">
        <v>2017</v>
      </c>
      <c r="D268" s="256">
        <v>50</v>
      </c>
      <c r="E268">
        <v>4.0295999015308999</v>
      </c>
      <c r="F268" s="257"/>
      <c r="G268">
        <f t="shared" si="3"/>
        <v>50</v>
      </c>
      <c r="H268" s="4">
        <f>IF(B268="RTG Crane",IF(D268&lt;600,800000,1200000),VLOOKUP(B268,'$$$ Replace &amp; Retrofit'!$B$10:$C$14,2)*'CHE Model poplulation'!D268)*E268</f>
        <v>176294.99569197686</v>
      </c>
      <c r="I268" s="197">
        <f>E268*VLOOKUP('CHE Model poplulation'!G268,'$$$ Replace &amp; Retrofit'!$I$10:$J$15,2)</f>
        <v>70872.603068125463</v>
      </c>
      <c r="K268" s="239">
        <f>SUM(I268:I273)-K262-K256-K250-K244-K238-K232</f>
        <v>-1404.3593109883222</v>
      </c>
    </row>
    <row r="269" spans="1:11" x14ac:dyDescent="0.25">
      <c r="A269" s="255" t="s">
        <v>248</v>
      </c>
      <c r="B269" s="255" t="s">
        <v>192</v>
      </c>
      <c r="C269" s="256">
        <v>2017</v>
      </c>
      <c r="D269" s="256">
        <v>75</v>
      </c>
      <c r="E269">
        <v>5.94145025131645</v>
      </c>
      <c r="F269" s="257"/>
      <c r="G269">
        <f t="shared" si="3"/>
        <v>50</v>
      </c>
      <c r="H269" s="4">
        <f>IF(B269="RTG Crane",IF(D269&lt;600,800000,1200000),VLOOKUP(B269,'$$$ Replace &amp; Retrofit'!$B$10:$C$14,2)*'CHE Model poplulation'!D269)*E269</f>
        <v>389907.67274264205</v>
      </c>
      <c r="I269" s="197">
        <f>E269*VLOOKUP('CHE Model poplulation'!G269,'$$$ Replace &amp; Retrofit'!$I$10:$J$15,2)</f>
        <v>104498.22702015372</v>
      </c>
      <c r="K269" s="239"/>
    </row>
    <row r="270" spans="1:11" x14ac:dyDescent="0.25">
      <c r="A270" s="255" t="s">
        <v>248</v>
      </c>
      <c r="B270" s="255" t="s">
        <v>192</v>
      </c>
      <c r="C270" s="256">
        <v>2017</v>
      </c>
      <c r="D270" s="256">
        <v>100</v>
      </c>
      <c r="E270">
        <v>19.0424751747938</v>
      </c>
      <c r="F270" s="257"/>
      <c r="G270">
        <f t="shared" si="3"/>
        <v>125</v>
      </c>
      <c r="H270" s="4">
        <f>IF(B270="RTG Crane",IF(D270&lt;600,800000,1200000),VLOOKUP(B270,'$$$ Replace &amp; Retrofit'!$B$10:$C$14,2)*'CHE Model poplulation'!D270)*E270</f>
        <v>1666216.5777944576</v>
      </c>
      <c r="I270" s="197">
        <f>E270*VLOOKUP('CHE Model poplulation'!G270,'$$$ Replace &amp; Retrofit'!$I$10:$J$15,2)</f>
        <v>375765.16262420604</v>
      </c>
      <c r="K270" s="239"/>
    </row>
    <row r="271" spans="1:11" x14ac:dyDescent="0.25">
      <c r="A271" s="255" t="s">
        <v>248</v>
      </c>
      <c r="B271" s="255" t="s">
        <v>192</v>
      </c>
      <c r="C271" s="256">
        <v>2017</v>
      </c>
      <c r="D271" s="256">
        <v>175</v>
      </c>
      <c r="E271">
        <v>29.7727660927949</v>
      </c>
      <c r="F271" s="257"/>
      <c r="G271">
        <f t="shared" si="3"/>
        <v>175</v>
      </c>
      <c r="H271" s="4">
        <f>IF(B271="RTG Crane",IF(D271&lt;600,800000,1200000),VLOOKUP(B271,'$$$ Replace &amp; Retrofit'!$B$10:$C$14,2)*'CHE Model poplulation'!D271)*E271</f>
        <v>4558954.8079592194</v>
      </c>
      <c r="I271" s="197">
        <f>E271*VLOOKUP('CHE Model poplulation'!G271,'$$$ Replace &amp; Retrofit'!$I$10:$J$15,2)</f>
        <v>738245.50803694234</v>
      </c>
      <c r="K271" s="239"/>
    </row>
    <row r="272" spans="1:11" x14ac:dyDescent="0.25">
      <c r="A272" s="255" t="s">
        <v>248</v>
      </c>
      <c r="B272" s="255" t="s">
        <v>192</v>
      </c>
      <c r="C272" s="256">
        <v>2017</v>
      </c>
      <c r="D272" s="256">
        <v>300</v>
      </c>
      <c r="E272">
        <v>12.006593347490799</v>
      </c>
      <c r="F272" s="257"/>
      <c r="G272">
        <f t="shared" si="3"/>
        <v>300</v>
      </c>
      <c r="H272" s="4">
        <f>IF(B272="RTG Crane",IF(D272&lt;600,800000,1200000),VLOOKUP(B272,'$$$ Replace &amp; Retrofit'!$B$10:$C$14,2)*'CHE Model poplulation'!D272)*E272</f>
        <v>3151730.7537163347</v>
      </c>
      <c r="I272" s="197">
        <f>E272*VLOOKUP('CHE Model poplulation'!G272,'$$$ Replace &amp; Retrofit'!$I$10:$J$15,2)</f>
        <v>345345.64445387787</v>
      </c>
      <c r="K272" s="239"/>
    </row>
    <row r="273" spans="1:11" x14ac:dyDescent="0.25">
      <c r="A273" s="255" t="s">
        <v>248</v>
      </c>
      <c r="B273" s="255" t="s">
        <v>192</v>
      </c>
      <c r="C273" s="256">
        <v>2017</v>
      </c>
      <c r="D273" s="256">
        <v>600</v>
      </c>
      <c r="E273">
        <v>1.1220753452557899</v>
      </c>
      <c r="F273" s="257"/>
      <c r="G273">
        <f t="shared" si="3"/>
        <v>400</v>
      </c>
      <c r="H273" s="4">
        <f>IF(B273="RTG Crane",IF(D273&lt;600,800000,1200000),VLOOKUP(B273,'$$$ Replace &amp; Retrofit'!$B$10:$C$14,2)*'CHE Model poplulation'!D273)*E273</f>
        <v>589089.55625928973</v>
      </c>
      <c r="I273" s="197">
        <f>E273*VLOOKUP('CHE Model poplulation'!G273,'$$$ Replace &amp; Retrofit'!$I$10:$J$15,2)</f>
        <v>58721.569043271251</v>
      </c>
      <c r="K273" s="239"/>
    </row>
    <row r="274" spans="1:11" x14ac:dyDescent="0.25">
      <c r="A274" s="255" t="s">
        <v>248</v>
      </c>
      <c r="B274" s="255" t="s">
        <v>192</v>
      </c>
      <c r="C274" s="256">
        <v>2018</v>
      </c>
      <c r="D274" s="256">
        <v>50</v>
      </c>
      <c r="E274">
        <v>4.0027391634640104</v>
      </c>
      <c r="F274" s="257"/>
      <c r="G274">
        <f t="shared" si="3"/>
        <v>50</v>
      </c>
      <c r="H274" s="4">
        <f>IF(B274="RTG Crane",IF(D274&lt;600,800000,1200000),VLOOKUP(B274,'$$$ Replace &amp; Retrofit'!$B$10:$C$14,2)*'CHE Model poplulation'!D274)*E274</f>
        <v>175119.83840155046</v>
      </c>
      <c r="I274" s="197">
        <f>E274*VLOOKUP('CHE Model poplulation'!G274,'$$$ Replace &amp; Retrofit'!$I$10:$J$15,2)</f>
        <v>70400.176407005012</v>
      </c>
      <c r="K274" s="239"/>
    </row>
    <row r="275" spans="1:11" x14ac:dyDescent="0.25">
      <c r="A275" s="255" t="s">
        <v>248</v>
      </c>
      <c r="B275" s="255" t="s">
        <v>192</v>
      </c>
      <c r="C275" s="256">
        <v>2018</v>
      </c>
      <c r="D275" s="256">
        <v>75</v>
      </c>
      <c r="E275">
        <v>5.90000524239841</v>
      </c>
      <c r="F275" s="257"/>
      <c r="G275">
        <f t="shared" si="3"/>
        <v>50</v>
      </c>
      <c r="H275" s="4">
        <f>IF(B275="RTG Crane",IF(D275&lt;600,800000,1200000),VLOOKUP(B275,'$$$ Replace &amp; Retrofit'!$B$10:$C$14,2)*'CHE Model poplulation'!D275)*E275</f>
        <v>387187.84403239563</v>
      </c>
      <c r="I275" s="197">
        <f>E275*VLOOKUP('CHE Model poplulation'!G275,'$$$ Replace &amp; Retrofit'!$I$10:$J$15,2)</f>
        <v>103769.29220330324</v>
      </c>
      <c r="K275" s="239"/>
    </row>
    <row r="276" spans="1:11" x14ac:dyDescent="0.25">
      <c r="A276" s="255" t="s">
        <v>248</v>
      </c>
      <c r="B276" s="255" t="s">
        <v>192</v>
      </c>
      <c r="C276" s="256">
        <v>2018</v>
      </c>
      <c r="D276" s="256">
        <v>100</v>
      </c>
      <c r="E276">
        <v>18.807959671928799</v>
      </c>
      <c r="F276" s="257"/>
      <c r="G276">
        <f t="shared" si="3"/>
        <v>125</v>
      </c>
      <c r="H276" s="4">
        <f>IF(B276="RTG Crane",IF(D276&lt;600,800000,1200000),VLOOKUP(B276,'$$$ Replace &amp; Retrofit'!$B$10:$C$14,2)*'CHE Model poplulation'!D276)*E276</f>
        <v>1645696.47129377</v>
      </c>
      <c r="I276" s="197">
        <f>E276*VLOOKUP('CHE Model poplulation'!G276,'$$$ Replace &amp; Retrofit'!$I$10:$J$15,2)</f>
        <v>371137.468206171</v>
      </c>
      <c r="K276" s="239"/>
    </row>
    <row r="277" spans="1:11" x14ac:dyDescent="0.25">
      <c r="A277" s="255" t="s">
        <v>248</v>
      </c>
      <c r="B277" s="255" t="s">
        <v>192</v>
      </c>
      <c r="C277" s="256">
        <v>2018</v>
      </c>
      <c r="D277" s="256">
        <v>175</v>
      </c>
      <c r="E277">
        <v>29.509544546865001</v>
      </c>
      <c r="F277" s="257"/>
      <c r="G277">
        <f t="shared" si="3"/>
        <v>175</v>
      </c>
      <c r="H277" s="4">
        <f>IF(B277="RTG Crane",IF(D277&lt;600,800000,1200000),VLOOKUP(B277,'$$$ Replace &amp; Retrofit'!$B$10:$C$14,2)*'CHE Model poplulation'!D277)*E277</f>
        <v>4518649.0087387031</v>
      </c>
      <c r="I277" s="197">
        <f>E277*VLOOKUP('CHE Model poplulation'!G277,'$$$ Replace &amp; Retrofit'!$I$10:$J$15,2)</f>
        <v>731718.6665840646</v>
      </c>
      <c r="K277" s="239"/>
    </row>
    <row r="278" spans="1:11" x14ac:dyDescent="0.25">
      <c r="A278" s="255" t="s">
        <v>248</v>
      </c>
      <c r="B278" s="255" t="s">
        <v>192</v>
      </c>
      <c r="C278" s="256">
        <v>2018</v>
      </c>
      <c r="D278" s="256">
        <v>300</v>
      </c>
      <c r="E278">
        <v>11.892274496109801</v>
      </c>
      <c r="F278" s="257"/>
      <c r="G278">
        <f t="shared" si="3"/>
        <v>300</v>
      </c>
      <c r="H278" s="4">
        <f>IF(B278="RTG Crane",IF(D278&lt;600,800000,1200000),VLOOKUP(B278,'$$$ Replace &amp; Retrofit'!$B$10:$C$14,2)*'CHE Model poplulation'!D278)*E278</f>
        <v>3121722.0552288229</v>
      </c>
      <c r="I278" s="197">
        <f>E278*VLOOKUP('CHE Model poplulation'!G278,'$$$ Replace &amp; Retrofit'!$I$10:$J$15,2)</f>
        <v>342057.49133160617</v>
      </c>
      <c r="K278" s="239"/>
    </row>
    <row r="279" spans="1:11" x14ac:dyDescent="0.25">
      <c r="A279" s="255" t="s">
        <v>248</v>
      </c>
      <c r="B279" s="255" t="s">
        <v>192</v>
      </c>
      <c r="C279" s="256">
        <v>2018</v>
      </c>
      <c r="D279" s="256">
        <v>600</v>
      </c>
      <c r="E279">
        <v>1.1048088511259</v>
      </c>
      <c r="F279" s="257"/>
      <c r="G279">
        <f t="shared" si="3"/>
        <v>400</v>
      </c>
      <c r="H279" s="4">
        <f>IF(B279="RTG Crane",IF(D279&lt;600,800000,1200000),VLOOKUP(B279,'$$$ Replace &amp; Retrofit'!$B$10:$C$14,2)*'CHE Model poplulation'!D279)*E279</f>
        <v>580024.64684109751</v>
      </c>
      <c r="I279" s="197">
        <f>E279*VLOOKUP('CHE Model poplulation'!G279,'$$$ Replace &amp; Retrofit'!$I$10:$J$15,2)</f>
        <v>57817.961605971723</v>
      </c>
      <c r="K279" s="239"/>
    </row>
    <row r="280" spans="1:11" x14ac:dyDescent="0.25">
      <c r="A280" s="255" t="s">
        <v>248</v>
      </c>
      <c r="B280" s="255" t="s">
        <v>192</v>
      </c>
      <c r="C280" s="256">
        <v>2019</v>
      </c>
      <c r="D280" s="256">
        <v>50</v>
      </c>
      <c r="E280">
        <v>3.95652447526962</v>
      </c>
      <c r="F280" s="257"/>
      <c r="G280">
        <f t="shared" si="3"/>
        <v>50</v>
      </c>
      <c r="H280" s="4">
        <f>IF(B280="RTG Crane",IF(D280&lt;600,800000,1200000),VLOOKUP(B280,'$$$ Replace &amp; Retrofit'!$B$10:$C$14,2)*'CHE Model poplulation'!D280)*E280</f>
        <v>173097.94579304589</v>
      </c>
      <c r="I280" s="197">
        <f>E280*VLOOKUP('CHE Model poplulation'!G280,'$$$ Replace &amp; Retrofit'!$I$10:$J$15,2)</f>
        <v>69587.352471042075</v>
      </c>
      <c r="K280" s="239"/>
    </row>
    <row r="281" spans="1:11" x14ac:dyDescent="0.25">
      <c r="A281" s="255" t="s">
        <v>248</v>
      </c>
      <c r="B281" s="255" t="s">
        <v>192</v>
      </c>
      <c r="C281" s="256">
        <v>2019</v>
      </c>
      <c r="D281" s="256">
        <v>75</v>
      </c>
      <c r="E281">
        <v>5.8360396746262202</v>
      </c>
      <c r="F281" s="257"/>
      <c r="G281">
        <f t="shared" si="3"/>
        <v>50</v>
      </c>
      <c r="H281" s="4">
        <f>IF(B281="RTG Crane",IF(D281&lt;600,800000,1200000),VLOOKUP(B281,'$$$ Replace &amp; Retrofit'!$B$10:$C$14,2)*'CHE Model poplulation'!D281)*E281</f>
        <v>382990.10364734568</v>
      </c>
      <c r="I281" s="197">
        <f>E281*VLOOKUP('CHE Model poplulation'!G281,'$$$ Replace &amp; Retrofit'!$I$10:$J$15,2)</f>
        <v>102644.26579732596</v>
      </c>
      <c r="K281" s="239"/>
    </row>
    <row r="282" spans="1:11" x14ac:dyDescent="0.25">
      <c r="A282" s="255" t="s">
        <v>248</v>
      </c>
      <c r="B282" s="255" t="s">
        <v>192</v>
      </c>
      <c r="C282" s="256">
        <v>2019</v>
      </c>
      <c r="D282" s="256">
        <v>100</v>
      </c>
      <c r="E282">
        <v>18.550875017477999</v>
      </c>
      <c r="F282" s="257"/>
      <c r="G282">
        <f t="shared" si="3"/>
        <v>125</v>
      </c>
      <c r="H282" s="4">
        <f>IF(B282="RTG Crane",IF(D282&lt;600,800000,1200000),VLOOKUP(B282,'$$$ Replace &amp; Retrofit'!$B$10:$C$14,2)*'CHE Model poplulation'!D282)*E282</f>
        <v>1623201.564029325</v>
      </c>
      <c r="I282" s="197">
        <f>E282*VLOOKUP('CHE Model poplulation'!G282,'$$$ Replace &amp; Retrofit'!$I$10:$J$15,2)</f>
        <v>366064.41671989334</v>
      </c>
      <c r="K282" s="239"/>
    </row>
    <row r="283" spans="1:11" x14ac:dyDescent="0.25">
      <c r="A283" s="255" t="s">
        <v>248</v>
      </c>
      <c r="B283" s="255" t="s">
        <v>192</v>
      </c>
      <c r="C283" s="256">
        <v>2019</v>
      </c>
      <c r="D283" s="256">
        <v>175</v>
      </c>
      <c r="E283">
        <v>29.173131304955401</v>
      </c>
      <c r="F283" s="257"/>
      <c r="G283">
        <f t="shared" si="3"/>
        <v>175</v>
      </c>
      <c r="H283" s="4">
        <f>IF(B283="RTG Crane",IF(D283&lt;600,800000,1200000),VLOOKUP(B283,'$$$ Replace &amp; Retrofit'!$B$10:$C$14,2)*'CHE Model poplulation'!D283)*E283</f>
        <v>4467135.7310712961</v>
      </c>
      <c r="I283" s="197">
        <f>E283*VLOOKUP('CHE Model poplulation'!G283,'$$$ Replace &amp; Retrofit'!$I$10:$J$15,2)</f>
        <v>723376.96383767412</v>
      </c>
      <c r="K283" s="239"/>
    </row>
    <row r="284" spans="1:11" x14ac:dyDescent="0.25">
      <c r="A284" s="255" t="s">
        <v>248</v>
      </c>
      <c r="B284" s="255" t="s">
        <v>192</v>
      </c>
      <c r="C284" s="256">
        <v>2019</v>
      </c>
      <c r="D284" s="256">
        <v>300</v>
      </c>
      <c r="E284">
        <v>11.751950064450201</v>
      </c>
      <c r="F284" s="257"/>
      <c r="G284">
        <f t="shared" si="3"/>
        <v>300</v>
      </c>
      <c r="H284" s="4">
        <f>IF(B284="RTG Crane",IF(D284&lt;600,800000,1200000),VLOOKUP(B284,'$$$ Replace &amp; Retrofit'!$B$10:$C$14,2)*'CHE Model poplulation'!D284)*E284</f>
        <v>3084886.8919181777</v>
      </c>
      <c r="I284" s="197">
        <f>E284*VLOOKUP('CHE Model poplulation'!G284,'$$$ Replace &amp; Retrofit'!$I$10:$J$15,2)</f>
        <v>338021.33970378112</v>
      </c>
      <c r="K284" s="239"/>
    </row>
    <row r="285" spans="1:11" x14ac:dyDescent="0.25">
      <c r="A285" s="255" t="s">
        <v>248</v>
      </c>
      <c r="B285" s="255" t="s">
        <v>192</v>
      </c>
      <c r="C285" s="256">
        <v>2019</v>
      </c>
      <c r="D285" s="256">
        <v>600</v>
      </c>
      <c r="E285">
        <v>1.0885714971732501</v>
      </c>
      <c r="F285" s="257"/>
      <c r="G285">
        <f t="shared" si="3"/>
        <v>400</v>
      </c>
      <c r="H285" s="4">
        <f>IF(B285="RTG Crane",IF(D285&lt;600,800000,1200000),VLOOKUP(B285,'$$$ Replace &amp; Retrofit'!$B$10:$C$14,2)*'CHE Model poplulation'!D285)*E285</f>
        <v>571500.03601595631</v>
      </c>
      <c r="I285" s="197">
        <f>E285*VLOOKUP('CHE Model poplulation'!G285,'$$$ Replace &amp; Retrofit'!$I$10:$J$15,2)</f>
        <v>56968.212161567695</v>
      </c>
      <c r="K285" s="239"/>
    </row>
    <row r="286" spans="1:11" x14ac:dyDescent="0.25">
      <c r="A286" s="255" t="s">
        <v>248</v>
      </c>
      <c r="B286" s="255" t="s">
        <v>192</v>
      </c>
      <c r="C286" s="256">
        <v>2020</v>
      </c>
      <c r="D286" s="256">
        <v>50</v>
      </c>
      <c r="E286">
        <v>3.90045950959541</v>
      </c>
      <c r="F286" s="257"/>
      <c r="G286">
        <f t="shared" si="3"/>
        <v>50</v>
      </c>
      <c r="H286" s="4">
        <f>IF(B286="RTG Crane",IF(D286&lt;600,800000,1200000),VLOOKUP(B286,'$$$ Replace &amp; Retrofit'!$B$10:$C$14,2)*'CHE Model poplulation'!D286)*E286</f>
        <v>170645.10354479917</v>
      </c>
      <c r="I286" s="197">
        <f>E286*VLOOKUP('CHE Model poplulation'!G286,'$$$ Replace &amp; Retrofit'!$I$10:$J$15,2)</f>
        <v>68601.281854764078</v>
      </c>
      <c r="K286" s="239"/>
    </row>
    <row r="287" spans="1:11" x14ac:dyDescent="0.25">
      <c r="A287" s="255" t="s">
        <v>248</v>
      </c>
      <c r="B287" s="255" t="s">
        <v>192</v>
      </c>
      <c r="C287" s="256">
        <v>2020</v>
      </c>
      <c r="D287" s="256">
        <v>75</v>
      </c>
      <c r="E287">
        <v>5.7596144076628599</v>
      </c>
      <c r="F287" s="257"/>
      <c r="G287">
        <f t="shared" si="3"/>
        <v>50</v>
      </c>
      <c r="H287" s="4">
        <f>IF(B287="RTG Crane",IF(D287&lt;600,800000,1200000),VLOOKUP(B287,'$$$ Replace &amp; Retrofit'!$B$10:$C$14,2)*'CHE Model poplulation'!D287)*E287</f>
        <v>377974.6955028752</v>
      </c>
      <c r="I287" s="197">
        <f>E287*VLOOKUP('CHE Model poplulation'!G287,'$$$ Replace &amp; Retrofit'!$I$10:$J$15,2)</f>
        <v>101300.09820197438</v>
      </c>
      <c r="K287" s="239"/>
    </row>
    <row r="288" spans="1:11" x14ac:dyDescent="0.25">
      <c r="A288" s="255" t="s">
        <v>248</v>
      </c>
      <c r="B288" s="255" t="s">
        <v>192</v>
      </c>
      <c r="C288" s="256">
        <v>2020</v>
      </c>
      <c r="D288" s="256">
        <v>100</v>
      </c>
      <c r="E288">
        <v>18.341141906440299</v>
      </c>
      <c r="F288" s="257"/>
      <c r="G288">
        <f t="shared" si="3"/>
        <v>125</v>
      </c>
      <c r="H288" s="4">
        <f>IF(B288="RTG Crane",IF(D288&lt;600,800000,1200000),VLOOKUP(B288,'$$$ Replace &amp; Retrofit'!$B$10:$C$14,2)*'CHE Model poplulation'!D288)*E288</f>
        <v>1604849.9168135261</v>
      </c>
      <c r="I288" s="197">
        <f>E288*VLOOKUP('CHE Model poplulation'!G288,'$$$ Replace &amp; Retrofit'!$I$10:$J$15,2)</f>
        <v>361925.75323978643</v>
      </c>
      <c r="K288" s="239"/>
    </row>
    <row r="289" spans="1:11" x14ac:dyDescent="0.25">
      <c r="A289" s="255" t="s">
        <v>248</v>
      </c>
      <c r="B289" s="255" t="s">
        <v>192</v>
      </c>
      <c r="C289" s="256">
        <v>2020</v>
      </c>
      <c r="D289" s="256">
        <v>175</v>
      </c>
      <c r="E289">
        <v>28.828879371068702</v>
      </c>
      <c r="F289" s="257"/>
      <c r="G289">
        <f t="shared" si="3"/>
        <v>175</v>
      </c>
      <c r="H289" s="4">
        <f>IF(B289="RTG Crane",IF(D289&lt;600,800000,1200000),VLOOKUP(B289,'$$$ Replace &amp; Retrofit'!$B$10:$C$14,2)*'CHE Model poplulation'!D289)*E289</f>
        <v>4414422.1536948951</v>
      </c>
      <c r="I289" s="197">
        <f>E289*VLOOKUP('CHE Model poplulation'!G289,'$$$ Replace &amp; Retrofit'!$I$10:$J$15,2)</f>
        <v>714840.89288501954</v>
      </c>
      <c r="K289" s="239"/>
    </row>
    <row r="290" spans="1:11" x14ac:dyDescent="0.25">
      <c r="A290" s="255" t="s">
        <v>248</v>
      </c>
      <c r="B290" s="255" t="s">
        <v>192</v>
      </c>
      <c r="C290" s="256">
        <v>2020</v>
      </c>
      <c r="D290" s="256">
        <v>300</v>
      </c>
      <c r="E290">
        <v>11.614809646199401</v>
      </c>
      <c r="F290" s="257"/>
      <c r="G290">
        <f t="shared" si="3"/>
        <v>300</v>
      </c>
      <c r="H290" s="4">
        <f>IF(B290="RTG Crane",IF(D290&lt;600,800000,1200000),VLOOKUP(B290,'$$$ Replace &amp; Retrofit'!$B$10:$C$14,2)*'CHE Model poplulation'!D290)*E290</f>
        <v>3048887.5321273427</v>
      </c>
      <c r="I290" s="197">
        <f>E290*VLOOKUP('CHE Model poplulation'!G290,'$$$ Replace &amp; Retrofit'!$I$10:$J$15,2)</f>
        <v>334076.76985363336</v>
      </c>
      <c r="K290" s="239"/>
    </row>
    <row r="291" spans="1:11" x14ac:dyDescent="0.25">
      <c r="A291" s="255" t="s">
        <v>248</v>
      </c>
      <c r="B291" s="255" t="s">
        <v>192</v>
      </c>
      <c r="C291" s="256">
        <v>2020</v>
      </c>
      <c r="D291" s="256">
        <v>600</v>
      </c>
      <c r="E291">
        <v>1.0783850228718499</v>
      </c>
      <c r="F291" s="257"/>
      <c r="G291">
        <f t="shared" si="3"/>
        <v>400</v>
      </c>
      <c r="H291" s="4">
        <f>IF(B291="RTG Crane",IF(D291&lt;600,800000,1200000),VLOOKUP(B291,'$$$ Replace &amp; Retrofit'!$B$10:$C$14,2)*'CHE Model poplulation'!D291)*E291</f>
        <v>566152.13700772123</v>
      </c>
      <c r="I291" s="197">
        <f>E291*VLOOKUP('CHE Model poplulation'!G291,'$$$ Replace &amp; Retrofit'!$I$10:$J$15,2)</f>
        <v>56435.123401952522</v>
      </c>
      <c r="K291" s="239"/>
    </row>
    <row r="292" spans="1:11" x14ac:dyDescent="0.25">
      <c r="A292" s="255" t="s">
        <v>248</v>
      </c>
      <c r="B292" s="255" t="s">
        <v>192</v>
      </c>
      <c r="C292" s="256">
        <v>2021</v>
      </c>
      <c r="D292" s="256">
        <v>50</v>
      </c>
      <c r="E292">
        <v>3.83698335176173</v>
      </c>
      <c r="F292" s="257"/>
      <c r="G292">
        <f t="shared" si="3"/>
        <v>50</v>
      </c>
      <c r="H292" s="4">
        <f>IF(B292="RTG Crane",IF(D292&lt;600,800000,1200000),VLOOKUP(B292,'$$$ Replace &amp; Retrofit'!$B$10:$C$14,2)*'CHE Model poplulation'!D292)*E292</f>
        <v>167868.02163957569</v>
      </c>
      <c r="I292" s="197">
        <f>E292*VLOOKUP('CHE Model poplulation'!G292,'$$$ Replace &amp; Retrofit'!$I$10:$J$15,2)</f>
        <v>67484.863190785312</v>
      </c>
      <c r="K292" s="239"/>
    </row>
    <row r="293" spans="1:11" x14ac:dyDescent="0.25">
      <c r="A293" s="255" t="s">
        <v>248</v>
      </c>
      <c r="B293" s="255" t="s">
        <v>192</v>
      </c>
      <c r="C293" s="256">
        <v>2021</v>
      </c>
      <c r="D293" s="256">
        <v>75</v>
      </c>
      <c r="E293">
        <v>5.6763991996231802</v>
      </c>
      <c r="F293" s="257"/>
      <c r="G293">
        <f t="shared" si="3"/>
        <v>50</v>
      </c>
      <c r="H293" s="4">
        <f>IF(B293="RTG Crane",IF(D293&lt;600,800000,1200000),VLOOKUP(B293,'$$$ Replace &amp; Retrofit'!$B$10:$C$14,2)*'CHE Model poplulation'!D293)*E293</f>
        <v>372513.69747527118</v>
      </c>
      <c r="I293" s="197">
        <f>E293*VLOOKUP('CHE Model poplulation'!G293,'$$$ Replace &amp; Retrofit'!$I$10:$J$15,2)</f>
        <v>99836.509122972493</v>
      </c>
      <c r="K293" s="239"/>
    </row>
    <row r="294" spans="1:11" x14ac:dyDescent="0.25">
      <c r="A294" s="255" t="s">
        <v>248</v>
      </c>
      <c r="B294" s="255" t="s">
        <v>192</v>
      </c>
      <c r="C294" s="256">
        <v>2021</v>
      </c>
      <c r="D294" s="256">
        <v>100</v>
      </c>
      <c r="E294">
        <v>18.129340727244799</v>
      </c>
      <c r="F294" s="257"/>
      <c r="G294">
        <f t="shared" si="3"/>
        <v>125</v>
      </c>
      <c r="H294" s="4">
        <f>IF(B294="RTG Crane",IF(D294&lt;600,800000,1200000),VLOOKUP(B294,'$$$ Replace &amp; Retrofit'!$B$10:$C$14,2)*'CHE Model poplulation'!D294)*E294</f>
        <v>1586317.3136339199</v>
      </c>
      <c r="I294" s="197">
        <f>E294*VLOOKUP('CHE Model poplulation'!G294,'$$$ Replace &amp; Retrofit'!$I$10:$J$15,2)</f>
        <v>357746.2805707216</v>
      </c>
      <c r="K294" s="239"/>
    </row>
    <row r="295" spans="1:11" x14ac:dyDescent="0.25">
      <c r="A295" s="255" t="s">
        <v>248</v>
      </c>
      <c r="B295" s="255" t="s">
        <v>192</v>
      </c>
      <c r="C295" s="256">
        <v>2021</v>
      </c>
      <c r="D295" s="256">
        <v>175</v>
      </c>
      <c r="E295">
        <v>28.475818115454</v>
      </c>
      <c r="F295" s="257"/>
      <c r="G295">
        <f t="shared" si="3"/>
        <v>175</v>
      </c>
      <c r="H295" s="4">
        <f>IF(B295="RTG Crane",IF(D295&lt;600,800000,1200000),VLOOKUP(B295,'$$$ Replace &amp; Retrofit'!$B$10:$C$14,2)*'CHE Model poplulation'!D295)*E295</f>
        <v>4360359.6489288937</v>
      </c>
      <c r="I295" s="197">
        <f>E295*VLOOKUP('CHE Model poplulation'!G295,'$$$ Replace &amp; Retrofit'!$I$10:$J$15,2)</f>
        <v>706086.38599079743</v>
      </c>
      <c r="K295" s="239"/>
    </row>
    <row r="296" spans="1:11" x14ac:dyDescent="0.25">
      <c r="A296" s="255" t="s">
        <v>248</v>
      </c>
      <c r="B296" s="255" t="s">
        <v>192</v>
      </c>
      <c r="C296" s="256">
        <v>2021</v>
      </c>
      <c r="D296" s="256">
        <v>300</v>
      </c>
      <c r="E296">
        <v>11.458302412064899</v>
      </c>
      <c r="F296" s="257"/>
      <c r="G296">
        <f t="shared" ref="G296:G321" si="4">IF(OR(D296=50,D296=75),50,IF(OR(D296=100,D296=125),125,IF(D296&gt;=400,400,D296)))</f>
        <v>300</v>
      </c>
      <c r="H296" s="4">
        <f>IF(B296="RTG Crane",IF(D296&lt;600,800000,1200000),VLOOKUP(B296,'$$$ Replace &amp; Retrofit'!$B$10:$C$14,2)*'CHE Model poplulation'!D296)*E296</f>
        <v>3007804.3831670359</v>
      </c>
      <c r="I296" s="197">
        <f>E296*VLOOKUP('CHE Model poplulation'!G296,'$$$ Replace &amp; Retrofit'!$I$10:$J$15,2)</f>
        <v>329575.15227822273</v>
      </c>
      <c r="K296" s="239"/>
    </row>
    <row r="297" spans="1:11" x14ac:dyDescent="0.25">
      <c r="A297" s="255" t="s">
        <v>248</v>
      </c>
      <c r="B297" s="255" t="s">
        <v>192</v>
      </c>
      <c r="C297" s="256">
        <v>2021</v>
      </c>
      <c r="D297" s="256">
        <v>600</v>
      </c>
      <c r="E297">
        <v>1.0676536522179101</v>
      </c>
      <c r="F297" s="257"/>
      <c r="G297">
        <f t="shared" si="4"/>
        <v>400</v>
      </c>
      <c r="H297" s="4">
        <f>IF(B297="RTG Crane",IF(D297&lt;600,800000,1200000),VLOOKUP(B297,'$$$ Replace &amp; Retrofit'!$B$10:$C$14,2)*'CHE Model poplulation'!D297)*E297</f>
        <v>560518.16741440282</v>
      </c>
      <c r="I297" s="197">
        <f>E297*VLOOKUP('CHE Model poplulation'!G297,'$$$ Replace &amp; Retrofit'!$I$10:$J$15,2)</f>
        <v>55873.518581519886</v>
      </c>
      <c r="K297" s="239"/>
    </row>
    <row r="298" spans="1:11" x14ac:dyDescent="0.25">
      <c r="A298" s="255" t="s">
        <v>248</v>
      </c>
      <c r="B298" s="255" t="s">
        <v>192</v>
      </c>
      <c r="C298" s="256">
        <v>2022</v>
      </c>
      <c r="D298" s="256">
        <v>50</v>
      </c>
      <c r="E298">
        <v>3.7635856526385298</v>
      </c>
      <c r="F298" s="257"/>
      <c r="G298">
        <f t="shared" si="4"/>
        <v>50</v>
      </c>
      <c r="H298" s="4">
        <f>IF(B298="RTG Crane",IF(D298&lt;600,800000,1200000),VLOOKUP(B298,'$$$ Replace &amp; Retrofit'!$B$10:$C$14,2)*'CHE Model poplulation'!D298)*E298</f>
        <v>164656.87230293569</v>
      </c>
      <c r="I298" s="197">
        <f>E298*VLOOKUP('CHE Model poplulation'!G298,'$$$ Replace &amp; Retrofit'!$I$10:$J$15,2)</f>
        <v>66193.944458606464</v>
      </c>
      <c r="K298" s="239"/>
    </row>
    <row r="299" spans="1:11" x14ac:dyDescent="0.25">
      <c r="A299" s="255" t="s">
        <v>248</v>
      </c>
      <c r="B299" s="255" t="s">
        <v>192</v>
      </c>
      <c r="C299" s="256">
        <v>2022</v>
      </c>
      <c r="D299" s="256">
        <v>75</v>
      </c>
      <c r="E299">
        <v>5.5877276494299704</v>
      </c>
      <c r="F299" s="257"/>
      <c r="G299">
        <f t="shared" si="4"/>
        <v>50</v>
      </c>
      <c r="H299" s="4">
        <f>IF(B299="RTG Crane",IF(D299&lt;600,800000,1200000),VLOOKUP(B299,'$$$ Replace &amp; Retrofit'!$B$10:$C$14,2)*'CHE Model poplulation'!D299)*E299</f>
        <v>366694.62699384178</v>
      </c>
      <c r="I299" s="197">
        <f>E299*VLOOKUP('CHE Model poplulation'!G299,'$$$ Replace &amp; Retrofit'!$I$10:$J$15,2)</f>
        <v>98276.953898174324</v>
      </c>
      <c r="K299" s="239"/>
    </row>
    <row r="300" spans="1:11" x14ac:dyDescent="0.25">
      <c r="A300" s="255" t="s">
        <v>248</v>
      </c>
      <c r="B300" s="255" t="s">
        <v>192</v>
      </c>
      <c r="C300" s="256">
        <v>2022</v>
      </c>
      <c r="D300" s="256">
        <v>100</v>
      </c>
      <c r="E300">
        <v>17.825339793228</v>
      </c>
      <c r="F300" s="257"/>
      <c r="G300">
        <f t="shared" si="4"/>
        <v>125</v>
      </c>
      <c r="H300" s="4">
        <f>IF(B300="RTG Crane",IF(D300&lt;600,800000,1200000),VLOOKUP(B300,'$$$ Replace &amp; Retrofit'!$B$10:$C$14,2)*'CHE Model poplulation'!D300)*E300</f>
        <v>1559717.2319074501</v>
      </c>
      <c r="I300" s="197">
        <f>E300*VLOOKUP('CHE Model poplulation'!G300,'$$$ Replace &amp; Retrofit'!$I$10:$J$15,2)</f>
        <v>351747.43013976811</v>
      </c>
      <c r="K300" s="239"/>
    </row>
    <row r="301" spans="1:11" x14ac:dyDescent="0.25">
      <c r="A301" s="255" t="s">
        <v>248</v>
      </c>
      <c r="B301" s="255" t="s">
        <v>192</v>
      </c>
      <c r="C301" s="256">
        <v>2022</v>
      </c>
      <c r="D301" s="256">
        <v>175</v>
      </c>
      <c r="E301">
        <v>28.031243916608702</v>
      </c>
      <c r="F301" s="257"/>
      <c r="G301">
        <f t="shared" si="4"/>
        <v>175</v>
      </c>
      <c r="H301" s="4">
        <f>IF(B301="RTG Crane",IF(D301&lt;600,800000,1200000),VLOOKUP(B301,'$$$ Replace &amp; Retrofit'!$B$10:$C$14,2)*'CHE Model poplulation'!D301)*E301</f>
        <v>4292284.2247307077</v>
      </c>
      <c r="I301" s="197">
        <f>E301*VLOOKUP('CHE Model poplulation'!G301,'$$$ Replace &amp; Retrofit'!$I$10:$J$15,2)</f>
        <v>695062.72415622941</v>
      </c>
      <c r="K301" s="239"/>
    </row>
    <row r="302" spans="1:11" x14ac:dyDescent="0.25">
      <c r="A302" s="255" t="s">
        <v>248</v>
      </c>
      <c r="B302" s="255" t="s">
        <v>192</v>
      </c>
      <c r="C302" s="256">
        <v>2022</v>
      </c>
      <c r="D302" s="256">
        <v>300</v>
      </c>
      <c r="E302">
        <v>11.267314326777701</v>
      </c>
      <c r="F302" s="257"/>
      <c r="G302">
        <f t="shared" si="4"/>
        <v>300</v>
      </c>
      <c r="H302" s="4">
        <f>IF(B302="RTG Crane",IF(D302&lt;600,800000,1200000),VLOOKUP(B302,'$$$ Replace &amp; Retrofit'!$B$10:$C$14,2)*'CHE Model poplulation'!D302)*E302</f>
        <v>2957670.0107791466</v>
      </c>
      <c r="I302" s="197">
        <f>E302*VLOOKUP('CHE Model poplulation'!G302,'$$$ Replace &amp; Retrofit'!$I$10:$J$15,2)</f>
        <v>324081.761981107</v>
      </c>
      <c r="K302" s="239"/>
    </row>
    <row r="303" spans="1:11" x14ac:dyDescent="0.25">
      <c r="A303" s="255" t="s">
        <v>248</v>
      </c>
      <c r="B303" s="255" t="s">
        <v>192</v>
      </c>
      <c r="C303" s="256">
        <v>2022</v>
      </c>
      <c r="D303" s="256">
        <v>600</v>
      </c>
      <c r="E303">
        <v>1.05326566956423</v>
      </c>
      <c r="F303" s="257"/>
      <c r="G303">
        <f t="shared" si="4"/>
        <v>400</v>
      </c>
      <c r="H303" s="4">
        <f>IF(B303="RTG Crane",IF(D303&lt;600,800000,1200000),VLOOKUP(B303,'$$$ Replace &amp; Retrofit'!$B$10:$C$14,2)*'CHE Model poplulation'!D303)*E303</f>
        <v>552964.47652122076</v>
      </c>
      <c r="I303" s="197">
        <f>E303*VLOOKUP('CHE Model poplulation'!G303,'$$$ Replace &amp; Retrofit'!$I$10:$J$15,2)</f>
        <v>55120.552285304846</v>
      </c>
      <c r="K303" s="239"/>
    </row>
    <row r="304" spans="1:11" x14ac:dyDescent="0.25">
      <c r="A304" s="255" t="s">
        <v>248</v>
      </c>
      <c r="B304" s="255" t="s">
        <v>192</v>
      </c>
      <c r="C304" s="256">
        <v>2023</v>
      </c>
      <c r="D304" s="256">
        <v>50</v>
      </c>
      <c r="E304">
        <v>3.6380017518529599</v>
      </c>
      <c r="F304" s="257"/>
      <c r="G304">
        <f t="shared" si="4"/>
        <v>50</v>
      </c>
      <c r="H304" s="4">
        <f>IF(B304="RTG Crane",IF(D304&lt;600,800000,1200000),VLOOKUP(B304,'$$$ Replace &amp; Retrofit'!$B$10:$C$14,2)*'CHE Model poplulation'!D304)*E304</f>
        <v>159162.57664356701</v>
      </c>
      <c r="I304" s="197">
        <f>E304*VLOOKUP('CHE Model poplulation'!G304,'$$$ Replace &amp; Retrofit'!$I$10:$J$15,2)</f>
        <v>63985.174811589859</v>
      </c>
      <c r="K304" s="239"/>
    </row>
    <row r="305" spans="1:11" x14ac:dyDescent="0.25">
      <c r="A305" s="255" t="s">
        <v>248</v>
      </c>
      <c r="B305" s="255" t="s">
        <v>192</v>
      </c>
      <c r="C305" s="256">
        <v>2023</v>
      </c>
      <c r="D305" s="256">
        <v>75</v>
      </c>
      <c r="E305">
        <v>5.45753453392871</v>
      </c>
      <c r="F305" s="257"/>
      <c r="G305">
        <f t="shared" si="4"/>
        <v>50</v>
      </c>
      <c r="H305" s="4">
        <f>IF(B305="RTG Crane",IF(D305&lt;600,800000,1200000),VLOOKUP(B305,'$$$ Replace &amp; Retrofit'!$B$10:$C$14,2)*'CHE Model poplulation'!D305)*E305</f>
        <v>358150.70378907159</v>
      </c>
      <c r="I305" s="197">
        <f>E305*VLOOKUP('CHE Model poplulation'!G305,'$$$ Replace &amp; Retrofit'!$I$10:$J$15,2)</f>
        <v>95987.117382738157</v>
      </c>
      <c r="K305" s="239"/>
    </row>
    <row r="306" spans="1:11" x14ac:dyDescent="0.25">
      <c r="A306" s="255" t="s">
        <v>248</v>
      </c>
      <c r="B306" s="255" t="s">
        <v>192</v>
      </c>
      <c r="C306" s="256">
        <v>2023</v>
      </c>
      <c r="D306" s="256">
        <v>100</v>
      </c>
      <c r="E306">
        <v>17.212748245128999</v>
      </c>
      <c r="F306" s="257"/>
      <c r="G306">
        <f t="shared" si="4"/>
        <v>125</v>
      </c>
      <c r="H306" s="4">
        <f>IF(B306="RTG Crane",IF(D306&lt;600,800000,1200000),VLOOKUP(B306,'$$$ Replace &amp; Retrofit'!$B$10:$C$14,2)*'CHE Model poplulation'!D306)*E306</f>
        <v>1506115.4714487875</v>
      </c>
      <c r="I306" s="197">
        <f>E306*VLOOKUP('CHE Model poplulation'!G306,'$$$ Replace &amp; Retrofit'!$I$10:$J$15,2)</f>
        <v>339659.16112113051</v>
      </c>
      <c r="K306" s="239"/>
    </row>
    <row r="307" spans="1:11" x14ac:dyDescent="0.25">
      <c r="A307" s="255" t="s">
        <v>248</v>
      </c>
      <c r="B307" s="255" t="s">
        <v>192</v>
      </c>
      <c r="C307" s="256">
        <v>2023</v>
      </c>
      <c r="D307" s="256">
        <v>175</v>
      </c>
      <c r="E307">
        <v>27.185978121388899</v>
      </c>
      <c r="F307" s="257"/>
      <c r="G307">
        <f t="shared" si="4"/>
        <v>175</v>
      </c>
      <c r="H307" s="4">
        <f>IF(B307="RTG Crane",IF(D307&lt;600,800000,1200000),VLOOKUP(B307,'$$$ Replace &amp; Retrofit'!$B$10:$C$14,2)*'CHE Model poplulation'!D307)*E307</f>
        <v>4162852.899837675</v>
      </c>
      <c r="I307" s="197">
        <f>E307*VLOOKUP('CHE Model poplulation'!G307,'$$$ Replace &amp; Retrofit'!$I$10:$J$15,2)</f>
        <v>674103.51349795912</v>
      </c>
      <c r="K307" s="239"/>
    </row>
    <row r="308" spans="1:11" x14ac:dyDescent="0.25">
      <c r="A308" s="255" t="s">
        <v>248</v>
      </c>
      <c r="B308" s="255" t="s">
        <v>192</v>
      </c>
      <c r="C308" s="256">
        <v>2023</v>
      </c>
      <c r="D308" s="256">
        <v>300</v>
      </c>
      <c r="E308">
        <v>10.9400379827355</v>
      </c>
      <c r="F308" s="257"/>
      <c r="G308">
        <f t="shared" si="4"/>
        <v>300</v>
      </c>
      <c r="H308" s="4">
        <f>IF(B308="RTG Crane",IF(D308&lt;600,800000,1200000),VLOOKUP(B308,'$$$ Replace &amp; Retrofit'!$B$10:$C$14,2)*'CHE Model poplulation'!D308)*E308</f>
        <v>2871759.970468069</v>
      </c>
      <c r="I308" s="197">
        <f>E308*VLOOKUP('CHE Model poplulation'!G308,'$$$ Replace &amp; Retrofit'!$I$10:$J$15,2)</f>
        <v>314668.31249742117</v>
      </c>
      <c r="K308" s="239"/>
    </row>
    <row r="309" spans="1:11" x14ac:dyDescent="0.25">
      <c r="A309" s="255" t="s">
        <v>248</v>
      </c>
      <c r="B309" s="255" t="s">
        <v>192</v>
      </c>
      <c r="C309" s="256">
        <v>2023</v>
      </c>
      <c r="D309" s="256">
        <v>600</v>
      </c>
      <c r="E309">
        <v>1.02072892653076</v>
      </c>
      <c r="F309" s="257"/>
      <c r="G309">
        <f t="shared" si="4"/>
        <v>400</v>
      </c>
      <c r="H309" s="4">
        <f>IF(B309="RTG Crane",IF(D309&lt;600,800000,1200000),VLOOKUP(B309,'$$$ Replace &amp; Retrofit'!$B$10:$C$14,2)*'CHE Model poplulation'!D309)*E309</f>
        <v>535882.686428649</v>
      </c>
      <c r="I309" s="197">
        <f>E309*VLOOKUP('CHE Model poplulation'!G309,'$$$ Replace &amp; Retrofit'!$I$10:$J$15,2)</f>
        <v>53417.806912134263</v>
      </c>
      <c r="K309" s="239"/>
    </row>
    <row r="310" spans="1:11" x14ac:dyDescent="0.25">
      <c r="A310" s="255" t="s">
        <v>248</v>
      </c>
      <c r="B310" s="255" t="s">
        <v>192</v>
      </c>
      <c r="C310" s="256">
        <v>2024</v>
      </c>
      <c r="D310" s="256">
        <v>50</v>
      </c>
      <c r="E310">
        <v>3.5422482184965198</v>
      </c>
      <c r="F310" s="257"/>
      <c r="G310">
        <f t="shared" si="4"/>
        <v>50</v>
      </c>
      <c r="H310" s="4">
        <f>IF(B310="RTG Crane",IF(D310&lt;600,800000,1200000),VLOOKUP(B310,'$$$ Replace &amp; Retrofit'!$B$10:$C$14,2)*'CHE Model poplulation'!D310)*E310</f>
        <v>154973.35955922274</v>
      </c>
      <c r="I310" s="197">
        <f>E310*VLOOKUP('CHE Model poplulation'!G310,'$$$ Replace &amp; Retrofit'!$I$10:$J$15,2)</f>
        <v>62301.061666916794</v>
      </c>
      <c r="K310" s="239"/>
    </row>
    <row r="311" spans="1:11" x14ac:dyDescent="0.25">
      <c r="A311" s="255" t="s">
        <v>248</v>
      </c>
      <c r="B311" s="255" t="s">
        <v>192</v>
      </c>
      <c r="C311" s="256">
        <v>2024</v>
      </c>
      <c r="D311" s="256">
        <v>75</v>
      </c>
      <c r="E311">
        <v>5.3756436252230504</v>
      </c>
      <c r="F311" s="257"/>
      <c r="G311">
        <f t="shared" si="4"/>
        <v>50</v>
      </c>
      <c r="H311" s="4">
        <f>IF(B311="RTG Crane",IF(D311&lt;600,800000,1200000),VLOOKUP(B311,'$$$ Replace &amp; Retrofit'!$B$10:$C$14,2)*'CHE Model poplulation'!D311)*E311</f>
        <v>352776.61290526268</v>
      </c>
      <c r="I311" s="197">
        <f>E311*VLOOKUP('CHE Model poplulation'!G311,'$$$ Replace &amp; Retrofit'!$I$10:$J$15,2)</f>
        <v>94546.820080423015</v>
      </c>
      <c r="K311" s="239"/>
    </row>
    <row r="312" spans="1:11" x14ac:dyDescent="0.25">
      <c r="A312" s="255" t="s">
        <v>248</v>
      </c>
      <c r="B312" s="255" t="s">
        <v>192</v>
      </c>
      <c r="C312" s="256">
        <v>2024</v>
      </c>
      <c r="D312" s="256">
        <v>100</v>
      </c>
      <c r="E312">
        <v>16.670444421920202</v>
      </c>
      <c r="F312" s="257"/>
      <c r="G312">
        <f t="shared" si="4"/>
        <v>125</v>
      </c>
      <c r="H312" s="4">
        <f>IF(B312="RTG Crane",IF(D312&lt;600,800000,1200000),VLOOKUP(B312,'$$$ Replace &amp; Retrofit'!$B$10:$C$14,2)*'CHE Model poplulation'!D312)*E312</f>
        <v>1458663.8869180176</v>
      </c>
      <c r="I312" s="197">
        <f>E312*VLOOKUP('CHE Model poplulation'!G312,'$$$ Replace &amp; Retrofit'!$I$10:$J$15,2)</f>
        <v>328957.87977775134</v>
      </c>
      <c r="K312" s="239"/>
    </row>
    <row r="313" spans="1:11" x14ac:dyDescent="0.25">
      <c r="A313" s="255" t="s">
        <v>248</v>
      </c>
      <c r="B313" s="255" t="s">
        <v>192</v>
      </c>
      <c r="C313" s="256">
        <v>2024</v>
      </c>
      <c r="D313" s="256">
        <v>175</v>
      </c>
      <c r="E313">
        <v>26.5059936379477</v>
      </c>
      <c r="F313" s="257"/>
      <c r="G313">
        <f t="shared" si="4"/>
        <v>175</v>
      </c>
      <c r="H313" s="4">
        <f>IF(B313="RTG Crane",IF(D313&lt;600,800000,1200000),VLOOKUP(B313,'$$$ Replace &amp; Retrofit'!$B$10:$C$14,2)*'CHE Model poplulation'!D313)*E313</f>
        <v>4058730.2758107414</v>
      </c>
      <c r="I313" s="197">
        <f>E313*VLOOKUP('CHE Model poplulation'!G313,'$$$ Replace &amp; Retrofit'!$I$10:$J$15,2)</f>
        <v>657242.61824655114</v>
      </c>
      <c r="K313" s="239"/>
    </row>
    <row r="314" spans="1:11" x14ac:dyDescent="0.25">
      <c r="A314" s="255" t="s">
        <v>248</v>
      </c>
      <c r="B314" s="255" t="s">
        <v>192</v>
      </c>
      <c r="C314" s="256">
        <v>2024</v>
      </c>
      <c r="D314" s="256">
        <v>300</v>
      </c>
      <c r="E314">
        <v>10.7261803644359</v>
      </c>
      <c r="F314" s="257"/>
      <c r="G314">
        <f t="shared" si="4"/>
        <v>300</v>
      </c>
      <c r="H314" s="4">
        <f>IF(B314="RTG Crane",IF(D314&lt;600,800000,1200000),VLOOKUP(B314,'$$$ Replace &amp; Retrofit'!$B$10:$C$14,2)*'CHE Model poplulation'!D314)*E314</f>
        <v>2815622.3456644234</v>
      </c>
      <c r="I314" s="197">
        <f>E314*VLOOKUP('CHE Model poplulation'!G314,'$$$ Replace &amp; Retrofit'!$I$10:$J$15,2)</f>
        <v>308517.12582226977</v>
      </c>
      <c r="K314" s="239"/>
    </row>
    <row r="315" spans="1:11" x14ac:dyDescent="0.25">
      <c r="A315" s="255" t="s">
        <v>248</v>
      </c>
      <c r="B315" s="255" t="s">
        <v>192</v>
      </c>
      <c r="C315" s="256">
        <v>2024</v>
      </c>
      <c r="D315" s="256">
        <v>600</v>
      </c>
      <c r="E315">
        <v>0.99345594393025305</v>
      </c>
      <c r="F315" s="257"/>
      <c r="G315">
        <f t="shared" si="4"/>
        <v>400</v>
      </c>
      <c r="H315" s="4">
        <f>IF(B315="RTG Crane",IF(D315&lt;600,800000,1200000),VLOOKUP(B315,'$$$ Replace &amp; Retrofit'!$B$10:$C$14,2)*'CHE Model poplulation'!D315)*E315</f>
        <v>521564.37056338286</v>
      </c>
      <c r="I315" s="197">
        <f>E315*VLOOKUP('CHE Model poplulation'!G315,'$$$ Replace &amp; Retrofit'!$I$10:$J$15,2)</f>
        <v>51990.529913701932</v>
      </c>
      <c r="K315" s="239"/>
    </row>
    <row r="316" spans="1:11" x14ac:dyDescent="0.25">
      <c r="A316" s="255" t="s">
        <v>248</v>
      </c>
      <c r="B316" s="255" t="s">
        <v>192</v>
      </c>
      <c r="C316" s="256">
        <v>2025</v>
      </c>
      <c r="D316" s="256">
        <v>50</v>
      </c>
      <c r="E316">
        <v>3.44604968651175</v>
      </c>
      <c r="F316" s="257"/>
      <c r="G316">
        <f t="shared" si="4"/>
        <v>50</v>
      </c>
      <c r="H316" s="4">
        <f>IF(B316="RTG Crane",IF(D316&lt;600,800000,1200000),VLOOKUP(B316,'$$$ Replace &amp; Retrofit'!$B$10:$C$14,2)*'CHE Model poplulation'!D316)*E316</f>
        <v>150764.67378488908</v>
      </c>
      <c r="I316" s="197">
        <f>E316*VLOOKUP('CHE Model poplulation'!G316,'$$$ Replace &amp; Retrofit'!$I$10:$J$15,2)</f>
        <v>60609.121886368659</v>
      </c>
      <c r="K316" s="239"/>
    </row>
    <row r="317" spans="1:11" x14ac:dyDescent="0.25">
      <c r="A317" s="255" t="s">
        <v>248</v>
      </c>
      <c r="B317" s="255" t="s">
        <v>192</v>
      </c>
      <c r="C317" s="256">
        <v>2025</v>
      </c>
      <c r="D317" s="256">
        <v>75</v>
      </c>
      <c r="E317">
        <v>5.30086177143607</v>
      </c>
      <c r="F317" s="257"/>
      <c r="G317">
        <f t="shared" si="4"/>
        <v>50</v>
      </c>
      <c r="H317" s="4">
        <f>IF(B317="RTG Crane",IF(D317&lt;600,800000,1200000),VLOOKUP(B317,'$$$ Replace &amp; Retrofit'!$B$10:$C$14,2)*'CHE Model poplulation'!D317)*E317</f>
        <v>347869.05375049211</v>
      </c>
      <c r="I317" s="197">
        <f>E317*VLOOKUP('CHE Model poplulation'!G317,'$$$ Replace &amp; Retrofit'!$I$10:$J$15,2)</f>
        <v>93231.556836017597</v>
      </c>
      <c r="K317" s="239"/>
    </row>
    <row r="318" spans="1:11" x14ac:dyDescent="0.25">
      <c r="A318" s="255" t="s">
        <v>248</v>
      </c>
      <c r="B318" s="255" t="s">
        <v>192</v>
      </c>
      <c r="C318" s="256">
        <v>2025</v>
      </c>
      <c r="D318" s="256">
        <v>100</v>
      </c>
      <c r="E318">
        <v>15.9986194442151</v>
      </c>
      <c r="F318" s="257"/>
      <c r="G318">
        <f t="shared" si="4"/>
        <v>125</v>
      </c>
      <c r="H318" s="4">
        <f>IF(B318="RTG Crane",IF(D318&lt;600,800000,1200000),VLOOKUP(B318,'$$$ Replace &amp; Retrofit'!$B$10:$C$14,2)*'CHE Model poplulation'!D318)*E318</f>
        <v>1399879.2013688213</v>
      </c>
      <c r="I318" s="197">
        <f>E318*VLOOKUP('CHE Model poplulation'!G318,'$$$ Replace &amp; Retrofit'!$I$10:$J$15,2)</f>
        <v>315700.75749269658</v>
      </c>
      <c r="K318" s="239"/>
    </row>
    <row r="319" spans="1:11" x14ac:dyDescent="0.25">
      <c r="A319" s="255" t="s">
        <v>248</v>
      </c>
      <c r="B319" s="255" t="s">
        <v>192</v>
      </c>
      <c r="C319" s="256">
        <v>2025</v>
      </c>
      <c r="D319" s="256">
        <v>175</v>
      </c>
      <c r="E319">
        <v>25.7404087167745</v>
      </c>
      <c r="F319" s="257"/>
      <c r="G319">
        <f t="shared" si="4"/>
        <v>175</v>
      </c>
      <c r="H319" s="4">
        <f>IF(B319="RTG Crane",IF(D319&lt;600,800000,1200000),VLOOKUP(B319,'$$$ Replace &amp; Retrofit'!$B$10:$C$14,2)*'CHE Model poplulation'!D319)*E319</f>
        <v>3941500.0847560954</v>
      </c>
      <c r="I319" s="197">
        <f>E319*VLOOKUP('CHE Model poplulation'!G319,'$$$ Replace &amp; Retrofit'!$I$10:$J$15,2)</f>
        <v>638259.17454114044</v>
      </c>
      <c r="K319" s="239"/>
    </row>
    <row r="320" spans="1:11" x14ac:dyDescent="0.25">
      <c r="A320" s="255" t="s">
        <v>248</v>
      </c>
      <c r="B320" s="255" t="s">
        <v>192</v>
      </c>
      <c r="C320" s="256">
        <v>2025</v>
      </c>
      <c r="D320" s="256">
        <v>300</v>
      </c>
      <c r="E320">
        <v>10.5033964150561</v>
      </c>
      <c r="F320" s="257"/>
      <c r="G320">
        <f t="shared" si="4"/>
        <v>300</v>
      </c>
      <c r="H320" s="4">
        <f>IF(B320="RTG Crane",IF(D320&lt;600,800000,1200000),VLOOKUP(B320,'$$$ Replace &amp; Retrofit'!$B$10:$C$14,2)*'CHE Model poplulation'!D320)*E320</f>
        <v>2757141.5589522263</v>
      </c>
      <c r="I320" s="197">
        <f>E320*VLOOKUP('CHE Model poplulation'!G320,'$$$ Replace &amp; Retrofit'!$I$10:$J$15,2)</f>
        <v>302109.19108625862</v>
      </c>
      <c r="K320" s="239"/>
    </row>
    <row r="321" spans="1:11" x14ac:dyDescent="0.25">
      <c r="A321" s="255" t="s">
        <v>248</v>
      </c>
      <c r="B321" s="255" t="s">
        <v>192</v>
      </c>
      <c r="C321" s="256">
        <v>2025</v>
      </c>
      <c r="D321" s="256">
        <v>600</v>
      </c>
      <c r="E321">
        <v>0.96476223945341499</v>
      </c>
      <c r="F321" s="257"/>
      <c r="G321">
        <f t="shared" si="4"/>
        <v>400</v>
      </c>
      <c r="H321" s="4">
        <f>IF(B321="RTG Crane",IF(D321&lt;600,800000,1200000),VLOOKUP(B321,'$$$ Replace &amp; Retrofit'!$B$10:$C$14,2)*'CHE Model poplulation'!D321)*E321</f>
        <v>506500.17571304285</v>
      </c>
      <c r="I321" s="197">
        <f>E321*VLOOKUP('CHE Model poplulation'!G321,'$$$ Replace &amp; Retrofit'!$I$10:$J$15,2)</f>
        <v>50488.902277315567</v>
      </c>
      <c r="K321" s="239"/>
    </row>
    <row r="322" spans="1:11" ht="30" x14ac:dyDescent="0.25">
      <c r="A322" s="255" t="s">
        <v>248</v>
      </c>
      <c r="B322" s="255" t="s">
        <v>211</v>
      </c>
      <c r="C322" s="256">
        <v>2006</v>
      </c>
      <c r="D322" s="256">
        <v>50</v>
      </c>
      <c r="E322">
        <v>0</v>
      </c>
      <c r="F322" s="257"/>
      <c r="H322" s="239"/>
      <c r="I322" s="4"/>
      <c r="K322" s="239"/>
    </row>
    <row r="323" spans="1:11" ht="30" x14ac:dyDescent="0.25">
      <c r="A323" s="255" t="s">
        <v>248</v>
      </c>
      <c r="B323" s="255" t="s">
        <v>211</v>
      </c>
      <c r="C323" s="256">
        <v>2006</v>
      </c>
      <c r="D323" s="256">
        <v>75</v>
      </c>
      <c r="E323">
        <v>0</v>
      </c>
      <c r="F323" s="257"/>
      <c r="H323" s="239"/>
      <c r="I323" s="4"/>
      <c r="K323" s="239"/>
    </row>
    <row r="324" spans="1:11" ht="30" x14ac:dyDescent="0.25">
      <c r="A324" s="255" t="s">
        <v>248</v>
      </c>
      <c r="B324" s="255" t="s">
        <v>211</v>
      </c>
      <c r="C324" s="256">
        <v>2006</v>
      </c>
      <c r="D324" s="256">
        <v>100</v>
      </c>
      <c r="E324">
        <v>0</v>
      </c>
      <c r="F324" s="257"/>
      <c r="H324" s="239"/>
      <c r="I324" s="4"/>
      <c r="K324" s="239"/>
    </row>
    <row r="325" spans="1:11" ht="30" x14ac:dyDescent="0.25">
      <c r="A325" s="255" t="s">
        <v>248</v>
      </c>
      <c r="B325" s="255" t="s">
        <v>211</v>
      </c>
      <c r="C325" s="256">
        <v>2006</v>
      </c>
      <c r="D325" s="256">
        <v>175</v>
      </c>
      <c r="E325">
        <v>0</v>
      </c>
      <c r="F325" s="257"/>
      <c r="H325" s="239"/>
      <c r="I325" s="4"/>
      <c r="K325" s="239"/>
    </row>
    <row r="326" spans="1:11" ht="30" x14ac:dyDescent="0.25">
      <c r="A326" s="255" t="s">
        <v>248</v>
      </c>
      <c r="B326" s="255" t="s">
        <v>211</v>
      </c>
      <c r="C326" s="256">
        <v>2006</v>
      </c>
      <c r="D326" s="256">
        <v>300</v>
      </c>
      <c r="E326">
        <v>0</v>
      </c>
      <c r="F326" s="257"/>
      <c r="H326" s="239"/>
      <c r="I326" s="4"/>
      <c r="K326" s="239"/>
    </row>
    <row r="327" spans="1:11" ht="30" x14ac:dyDescent="0.25">
      <c r="A327" s="255" t="s">
        <v>248</v>
      </c>
      <c r="B327" s="255" t="s">
        <v>211</v>
      </c>
      <c r="C327" s="256">
        <v>2006</v>
      </c>
      <c r="D327" s="256">
        <v>600</v>
      </c>
      <c r="E327">
        <v>0</v>
      </c>
      <c r="F327" s="257"/>
      <c r="H327" s="239"/>
      <c r="I327" s="4"/>
      <c r="K327" s="239"/>
    </row>
    <row r="328" spans="1:11" ht="30" x14ac:dyDescent="0.25">
      <c r="A328" s="255" t="s">
        <v>248</v>
      </c>
      <c r="B328" s="255" t="s">
        <v>211</v>
      </c>
      <c r="C328" s="256">
        <v>2007</v>
      </c>
      <c r="D328" s="256">
        <v>50</v>
      </c>
      <c r="E328">
        <v>0</v>
      </c>
      <c r="F328" s="257"/>
      <c r="H328" s="239"/>
      <c r="I328" s="4"/>
      <c r="K328" s="239"/>
    </row>
    <row r="329" spans="1:11" ht="30" x14ac:dyDescent="0.25">
      <c r="A329" s="255" t="s">
        <v>248</v>
      </c>
      <c r="B329" s="255" t="s">
        <v>211</v>
      </c>
      <c r="C329" s="256">
        <v>2007</v>
      </c>
      <c r="D329" s="256">
        <v>75</v>
      </c>
      <c r="E329">
        <v>0</v>
      </c>
      <c r="F329" s="257"/>
      <c r="H329" s="239"/>
      <c r="I329" s="4"/>
      <c r="K329" s="239"/>
    </row>
    <row r="330" spans="1:11" ht="30" x14ac:dyDescent="0.25">
      <c r="A330" s="255" t="s">
        <v>248</v>
      </c>
      <c r="B330" s="255" t="s">
        <v>211</v>
      </c>
      <c r="C330" s="256">
        <v>2007</v>
      </c>
      <c r="D330" s="256">
        <v>100</v>
      </c>
      <c r="E330">
        <v>0</v>
      </c>
      <c r="F330" s="257"/>
      <c r="H330" s="239"/>
      <c r="I330" s="4"/>
      <c r="K330" s="239"/>
    </row>
    <row r="331" spans="1:11" ht="30" x14ac:dyDescent="0.25">
      <c r="A331" s="255" t="s">
        <v>248</v>
      </c>
      <c r="B331" s="255" t="s">
        <v>211</v>
      </c>
      <c r="C331" s="256">
        <v>2007</v>
      </c>
      <c r="D331" s="256">
        <v>175</v>
      </c>
      <c r="E331">
        <v>0</v>
      </c>
      <c r="F331" s="257"/>
      <c r="H331" s="239"/>
      <c r="I331" s="4"/>
      <c r="K331" s="239"/>
    </row>
    <row r="332" spans="1:11" ht="30" x14ac:dyDescent="0.25">
      <c r="A332" s="255" t="s">
        <v>248</v>
      </c>
      <c r="B332" s="255" t="s">
        <v>211</v>
      </c>
      <c r="C332" s="256">
        <v>2007</v>
      </c>
      <c r="D332" s="256">
        <v>300</v>
      </c>
      <c r="E332">
        <v>0</v>
      </c>
      <c r="F332" s="257"/>
      <c r="H332" s="239"/>
      <c r="I332" s="4"/>
      <c r="K332" s="239"/>
    </row>
    <row r="333" spans="1:11" ht="30" x14ac:dyDescent="0.25">
      <c r="A333" s="255" t="s">
        <v>248</v>
      </c>
      <c r="B333" s="255" t="s">
        <v>211</v>
      </c>
      <c r="C333" s="256">
        <v>2007</v>
      </c>
      <c r="D333" s="256">
        <v>600</v>
      </c>
      <c r="E333">
        <v>0</v>
      </c>
      <c r="F333" s="257"/>
      <c r="H333" s="239"/>
      <c r="I333" s="4"/>
      <c r="K333" s="239"/>
    </row>
    <row r="334" spans="1:11" ht="30" x14ac:dyDescent="0.25">
      <c r="A334" s="255" t="s">
        <v>248</v>
      </c>
      <c r="B334" s="255" t="s">
        <v>211</v>
      </c>
      <c r="C334" s="256">
        <v>2008</v>
      </c>
      <c r="D334" s="256">
        <v>50</v>
      </c>
      <c r="E334">
        <v>0</v>
      </c>
      <c r="F334" s="257"/>
      <c r="H334" s="239"/>
      <c r="I334" s="4"/>
      <c r="K334" s="239"/>
    </row>
    <row r="335" spans="1:11" ht="30" x14ac:dyDescent="0.25">
      <c r="A335" s="255" t="s">
        <v>248</v>
      </c>
      <c r="B335" s="255" t="s">
        <v>211</v>
      </c>
      <c r="C335" s="256">
        <v>2008</v>
      </c>
      <c r="D335" s="256">
        <v>75</v>
      </c>
      <c r="E335">
        <v>0</v>
      </c>
      <c r="F335" s="257"/>
      <c r="H335" s="239"/>
      <c r="I335" s="4"/>
      <c r="K335" s="239"/>
    </row>
    <row r="336" spans="1:11" ht="30" x14ac:dyDescent="0.25">
      <c r="A336" s="255" t="s">
        <v>248</v>
      </c>
      <c r="B336" s="255" t="s">
        <v>211</v>
      </c>
      <c r="C336" s="256">
        <v>2008</v>
      </c>
      <c r="D336" s="256">
        <v>100</v>
      </c>
      <c r="E336">
        <v>0</v>
      </c>
      <c r="F336" s="257"/>
      <c r="H336" s="239"/>
      <c r="I336" s="4"/>
      <c r="K336" s="239"/>
    </row>
    <row r="337" spans="1:12" ht="30" x14ac:dyDescent="0.25">
      <c r="A337" s="255" t="s">
        <v>248</v>
      </c>
      <c r="B337" s="255" t="s">
        <v>211</v>
      </c>
      <c r="C337" s="256">
        <v>2008</v>
      </c>
      <c r="D337" s="256">
        <v>175</v>
      </c>
      <c r="E337">
        <v>0</v>
      </c>
      <c r="F337" s="257"/>
      <c r="H337" s="239"/>
      <c r="I337" s="4"/>
      <c r="K337" s="239"/>
    </row>
    <row r="338" spans="1:12" ht="30" x14ac:dyDescent="0.25">
      <c r="A338" s="255" t="s">
        <v>248</v>
      </c>
      <c r="B338" s="255" t="s">
        <v>211</v>
      </c>
      <c r="C338" s="256">
        <v>2008</v>
      </c>
      <c r="D338" s="256">
        <v>300</v>
      </c>
      <c r="E338">
        <v>0</v>
      </c>
      <c r="F338" s="257"/>
      <c r="H338" s="239"/>
      <c r="I338" s="4"/>
      <c r="K338" s="239"/>
    </row>
    <row r="339" spans="1:12" ht="30" x14ac:dyDescent="0.25">
      <c r="A339" s="255" t="s">
        <v>248</v>
      </c>
      <c r="B339" s="255" t="s">
        <v>211</v>
      </c>
      <c r="C339" s="256">
        <v>2008</v>
      </c>
      <c r="D339" s="256">
        <v>600</v>
      </c>
      <c r="E339">
        <v>0</v>
      </c>
      <c r="F339" s="257"/>
      <c r="H339" s="239"/>
      <c r="I339" s="4"/>
      <c r="K339" s="239"/>
    </row>
    <row r="340" spans="1:12" ht="30" x14ac:dyDescent="0.25">
      <c r="A340" s="255" t="s">
        <v>248</v>
      </c>
      <c r="B340" s="255" t="s">
        <v>211</v>
      </c>
      <c r="C340" s="256">
        <v>2009</v>
      </c>
      <c r="D340" s="256">
        <v>50</v>
      </c>
      <c r="E340">
        <v>0</v>
      </c>
      <c r="F340" s="257"/>
      <c r="H340" s="239"/>
      <c r="I340" s="4"/>
      <c r="K340" s="239"/>
    </row>
    <row r="341" spans="1:12" ht="30" x14ac:dyDescent="0.25">
      <c r="A341" s="255" t="s">
        <v>248</v>
      </c>
      <c r="B341" s="255" t="s">
        <v>211</v>
      </c>
      <c r="C341" s="256">
        <v>2009</v>
      </c>
      <c r="D341" s="256">
        <v>75</v>
      </c>
      <c r="E341">
        <v>0</v>
      </c>
      <c r="F341" s="257"/>
      <c r="H341" s="239"/>
      <c r="I341" s="4"/>
      <c r="K341" s="239"/>
    </row>
    <row r="342" spans="1:12" ht="30" x14ac:dyDescent="0.25">
      <c r="A342" s="255" t="s">
        <v>248</v>
      </c>
      <c r="B342" s="255" t="s">
        <v>211</v>
      </c>
      <c r="C342" s="256">
        <v>2009</v>
      </c>
      <c r="D342" s="256">
        <v>100</v>
      </c>
      <c r="E342">
        <v>0</v>
      </c>
      <c r="F342" s="257"/>
      <c r="H342" s="239"/>
      <c r="I342" s="4"/>
      <c r="K342" s="239"/>
    </row>
    <row r="343" spans="1:12" ht="30" x14ac:dyDescent="0.25">
      <c r="A343" s="255" t="s">
        <v>248</v>
      </c>
      <c r="B343" s="255" t="s">
        <v>211</v>
      </c>
      <c r="C343" s="256">
        <v>2009</v>
      </c>
      <c r="D343" s="256">
        <v>175</v>
      </c>
      <c r="E343">
        <v>0</v>
      </c>
      <c r="F343" s="257"/>
      <c r="H343" s="239"/>
      <c r="I343" s="4"/>
      <c r="K343" s="239"/>
    </row>
    <row r="344" spans="1:12" ht="30" x14ac:dyDescent="0.25">
      <c r="A344" s="255" t="s">
        <v>248</v>
      </c>
      <c r="B344" s="255" t="s">
        <v>211</v>
      </c>
      <c r="C344" s="256">
        <v>2009</v>
      </c>
      <c r="D344" s="256">
        <v>300</v>
      </c>
      <c r="E344">
        <v>0</v>
      </c>
      <c r="F344" s="257"/>
      <c r="H344" s="239"/>
      <c r="I344" s="4"/>
      <c r="K344" s="239"/>
    </row>
    <row r="345" spans="1:12" ht="30" x14ac:dyDescent="0.25">
      <c r="A345" s="255" t="s">
        <v>248</v>
      </c>
      <c r="B345" s="255" t="s">
        <v>211</v>
      </c>
      <c r="C345" s="256">
        <v>2009</v>
      </c>
      <c r="D345" s="256">
        <v>600</v>
      </c>
      <c r="E345">
        <v>0</v>
      </c>
      <c r="F345" s="257"/>
      <c r="H345" s="239"/>
      <c r="I345" s="4"/>
      <c r="K345" s="239"/>
    </row>
    <row r="346" spans="1:12" ht="30" x14ac:dyDescent="0.25">
      <c r="A346" s="255" t="s">
        <v>248</v>
      </c>
      <c r="B346" s="255" t="s">
        <v>211</v>
      </c>
      <c r="C346" s="256">
        <v>2010</v>
      </c>
      <c r="D346" s="256">
        <v>50</v>
      </c>
      <c r="E346">
        <v>0</v>
      </c>
      <c r="F346" s="257"/>
      <c r="H346" s="239"/>
      <c r="I346" s="4"/>
      <c r="K346" s="239"/>
    </row>
    <row r="347" spans="1:12" ht="30" x14ac:dyDescent="0.25">
      <c r="A347" s="255" t="s">
        <v>248</v>
      </c>
      <c r="B347" s="255" t="s">
        <v>211</v>
      </c>
      <c r="C347" s="256">
        <v>2010</v>
      </c>
      <c r="D347" s="256">
        <v>75</v>
      </c>
      <c r="E347">
        <v>0</v>
      </c>
      <c r="F347" s="257"/>
      <c r="H347" s="239"/>
      <c r="I347" s="4"/>
      <c r="K347" s="239"/>
    </row>
    <row r="348" spans="1:12" ht="30" x14ac:dyDescent="0.25">
      <c r="A348" s="255" t="s">
        <v>248</v>
      </c>
      <c r="B348" s="255" t="s">
        <v>211</v>
      </c>
      <c r="C348" s="256">
        <v>2010</v>
      </c>
      <c r="D348" s="256">
        <v>100</v>
      </c>
      <c r="E348">
        <v>0</v>
      </c>
      <c r="F348" s="257"/>
      <c r="H348" s="239"/>
      <c r="I348" s="4"/>
      <c r="K348" s="239"/>
    </row>
    <row r="349" spans="1:12" ht="30" x14ac:dyDescent="0.25">
      <c r="A349" s="255" t="s">
        <v>248</v>
      </c>
      <c r="B349" s="255" t="s">
        <v>211</v>
      </c>
      <c r="C349" s="256">
        <v>2010</v>
      </c>
      <c r="D349" s="256">
        <v>175</v>
      </c>
      <c r="E349">
        <v>0</v>
      </c>
      <c r="F349" s="257"/>
      <c r="H349" s="239"/>
      <c r="I349" s="4"/>
      <c r="K349" s="239"/>
    </row>
    <row r="350" spans="1:12" ht="30" x14ac:dyDescent="0.25">
      <c r="A350" s="255" t="s">
        <v>248</v>
      </c>
      <c r="B350" s="255" t="s">
        <v>211</v>
      </c>
      <c r="C350" s="256">
        <v>2010</v>
      </c>
      <c r="D350" s="256">
        <v>300</v>
      </c>
      <c r="E350">
        <v>0</v>
      </c>
      <c r="F350" s="257"/>
      <c r="H350" s="239"/>
      <c r="I350" s="4"/>
      <c r="K350" s="239"/>
    </row>
    <row r="351" spans="1:12" ht="30" x14ac:dyDescent="0.25">
      <c r="A351" s="255" t="s">
        <v>248</v>
      </c>
      <c r="B351" s="255" t="s">
        <v>211</v>
      </c>
      <c r="C351" s="256">
        <v>2010</v>
      </c>
      <c r="D351" s="256">
        <v>600</v>
      </c>
      <c r="E351">
        <v>0</v>
      </c>
      <c r="F351" s="257"/>
      <c r="H351" s="239"/>
      <c r="I351" s="4"/>
      <c r="K351" s="239"/>
    </row>
    <row r="352" spans="1:12" ht="30" x14ac:dyDescent="0.25">
      <c r="A352" s="255" t="s">
        <v>248</v>
      </c>
      <c r="B352" s="255" t="s">
        <v>211</v>
      </c>
      <c r="C352" s="256">
        <v>2011</v>
      </c>
      <c r="D352" s="256">
        <v>50</v>
      </c>
      <c r="E352">
        <v>0</v>
      </c>
      <c r="F352" s="257"/>
      <c r="G352">
        <f t="shared" ref="G352:G415" si="5">IF(OR(D352=50,D352=75),50,IF(OR(D352=100,D352=125),125,IF(D352&gt;=400,400,D352)))</f>
        <v>50</v>
      </c>
      <c r="H352" s="4">
        <f>IF(B352="RTG Crane",IF(D352&lt;600,800000,1200000),VLOOKUP(B352,'$$$ Replace &amp; Retrofit'!$B$10:$C$14,2)*'CHE Model poplulation'!D352)*E352</f>
        <v>0</v>
      </c>
      <c r="I352" s="197">
        <f>E352*VLOOKUP('CHE Model poplulation'!G352,'$$$ Replace &amp; Retrofit'!$I$10:$J$15,2)</f>
        <v>0</v>
      </c>
      <c r="K352" s="239">
        <f>SUM(I352:I357)</f>
        <v>0</v>
      </c>
      <c r="L352" s="239">
        <f>SUM(K352:K388)</f>
        <v>403315.04132962262</v>
      </c>
    </row>
    <row r="353" spans="1:11" ht="30" x14ac:dyDescent="0.25">
      <c r="A353" s="255" t="s">
        <v>248</v>
      </c>
      <c r="B353" s="255" t="s">
        <v>211</v>
      </c>
      <c r="C353" s="256">
        <v>2011</v>
      </c>
      <c r="D353" s="256">
        <v>75</v>
      </c>
      <c r="E353">
        <v>0</v>
      </c>
      <c r="F353" s="257"/>
      <c r="G353">
        <f t="shared" si="5"/>
        <v>50</v>
      </c>
      <c r="H353" s="4">
        <f>IF(B353="RTG Crane",IF(D353&lt;600,800000,1200000),VLOOKUP(B353,'$$$ Replace &amp; Retrofit'!$B$10:$C$14,2)*'CHE Model poplulation'!D353)*E353</f>
        <v>0</v>
      </c>
      <c r="I353" s="197">
        <f>E353*VLOOKUP('CHE Model poplulation'!G353,'$$$ Replace &amp; Retrofit'!$I$10:$J$15,2)</f>
        <v>0</v>
      </c>
      <c r="K353" s="239"/>
    </row>
    <row r="354" spans="1:11" ht="30" x14ac:dyDescent="0.25">
      <c r="A354" s="255" t="s">
        <v>248</v>
      </c>
      <c r="B354" s="255" t="s">
        <v>211</v>
      </c>
      <c r="C354" s="256">
        <v>2011</v>
      </c>
      <c r="D354" s="256">
        <v>100</v>
      </c>
      <c r="E354">
        <v>0</v>
      </c>
      <c r="F354" s="257"/>
      <c r="G354">
        <f t="shared" si="5"/>
        <v>125</v>
      </c>
      <c r="H354" s="4">
        <f>IF(B354="RTG Crane",IF(D354&lt;600,800000,1200000),VLOOKUP(B354,'$$$ Replace &amp; Retrofit'!$B$10:$C$14,2)*'CHE Model poplulation'!D354)*E354</f>
        <v>0</v>
      </c>
      <c r="I354" s="197">
        <f>E354*VLOOKUP('CHE Model poplulation'!G354,'$$$ Replace &amp; Retrofit'!$I$10:$J$15,2)</f>
        <v>0</v>
      </c>
      <c r="K354" s="239"/>
    </row>
    <row r="355" spans="1:11" ht="30" x14ac:dyDescent="0.25">
      <c r="A355" s="255" t="s">
        <v>248</v>
      </c>
      <c r="B355" s="255" t="s">
        <v>211</v>
      </c>
      <c r="C355" s="256">
        <v>2011</v>
      </c>
      <c r="D355" s="256">
        <v>175</v>
      </c>
      <c r="E355">
        <v>0</v>
      </c>
      <c r="F355" s="257"/>
      <c r="G355">
        <f t="shared" si="5"/>
        <v>175</v>
      </c>
      <c r="H355" s="4">
        <f>IF(B355="RTG Crane",IF(D355&lt;600,800000,1200000),VLOOKUP(B355,'$$$ Replace &amp; Retrofit'!$B$10:$C$14,2)*'CHE Model poplulation'!D355)*E355</f>
        <v>0</v>
      </c>
      <c r="I355" s="197">
        <f>E355*VLOOKUP('CHE Model poplulation'!G355,'$$$ Replace &amp; Retrofit'!$I$10:$J$15,2)</f>
        <v>0</v>
      </c>
      <c r="K355" s="239"/>
    </row>
    <row r="356" spans="1:11" ht="30" x14ac:dyDescent="0.25">
      <c r="A356" s="255" t="s">
        <v>248</v>
      </c>
      <c r="B356" s="255" t="s">
        <v>211</v>
      </c>
      <c r="C356" s="256">
        <v>2011</v>
      </c>
      <c r="D356" s="256">
        <v>300</v>
      </c>
      <c r="E356">
        <v>0</v>
      </c>
      <c r="F356" s="257"/>
      <c r="G356">
        <f t="shared" si="5"/>
        <v>300</v>
      </c>
      <c r="H356" s="4">
        <f>IF(B356="RTG Crane",IF(D356&lt;600,800000,1200000),VLOOKUP(B356,'$$$ Replace &amp; Retrofit'!$B$10:$C$14,2)*'CHE Model poplulation'!D356)*E356</f>
        <v>0</v>
      </c>
      <c r="I356" s="197">
        <f>E356*VLOOKUP('CHE Model poplulation'!G356,'$$$ Replace &amp; Retrofit'!$I$10:$J$15,2)</f>
        <v>0</v>
      </c>
      <c r="K356" s="239"/>
    </row>
    <row r="357" spans="1:11" ht="30" x14ac:dyDescent="0.25">
      <c r="A357" s="255" t="s">
        <v>248</v>
      </c>
      <c r="B357" s="255" t="s">
        <v>211</v>
      </c>
      <c r="C357" s="256">
        <v>2011</v>
      </c>
      <c r="D357" s="256">
        <v>600</v>
      </c>
      <c r="E357">
        <v>0</v>
      </c>
      <c r="F357" s="257"/>
      <c r="G357">
        <f t="shared" si="5"/>
        <v>400</v>
      </c>
      <c r="H357" s="4">
        <f>IF(B357="RTG Crane",IF(D357&lt;600,800000,1200000),VLOOKUP(B357,'$$$ Replace &amp; Retrofit'!$B$10:$C$14,2)*'CHE Model poplulation'!D357)*E357</f>
        <v>0</v>
      </c>
      <c r="I357" s="197">
        <f>E357*VLOOKUP('CHE Model poplulation'!G357,'$$$ Replace &amp; Retrofit'!$I$10:$J$15,2)</f>
        <v>0</v>
      </c>
      <c r="K357" s="239"/>
    </row>
    <row r="358" spans="1:11" ht="30" x14ac:dyDescent="0.25">
      <c r="A358" s="255" t="s">
        <v>248</v>
      </c>
      <c r="B358" s="255" t="s">
        <v>211</v>
      </c>
      <c r="C358" s="256">
        <v>2012</v>
      </c>
      <c r="D358" s="256">
        <v>50</v>
      </c>
      <c r="E358">
        <v>0.57135280660489796</v>
      </c>
      <c r="F358" s="257"/>
      <c r="G358">
        <f t="shared" si="5"/>
        <v>50</v>
      </c>
      <c r="H358" s="4">
        <f>IF(B358="RTG Crane",IF(D358&lt;600,800000,1200000),VLOOKUP(B358,'$$$ Replace &amp; Retrofit'!$B$10:$C$14,2)*'CHE Model poplulation'!D358)*E358</f>
        <v>28567.640330244896</v>
      </c>
      <c r="I358" s="197">
        <f>E358*VLOOKUP('CHE Model poplulation'!G358,'$$$ Replace &amp; Retrofit'!$I$10:$J$15,2)</f>
        <v>10048.953162566946</v>
      </c>
      <c r="K358" s="239">
        <f>SUM(I358:I363)-K352</f>
        <v>68664.749353148247</v>
      </c>
    </row>
    <row r="359" spans="1:11" ht="30" x14ac:dyDescent="0.25">
      <c r="A359" s="255" t="s">
        <v>248</v>
      </c>
      <c r="B359" s="255" t="s">
        <v>211</v>
      </c>
      <c r="C359" s="256">
        <v>2012</v>
      </c>
      <c r="D359" s="256">
        <v>75</v>
      </c>
      <c r="E359">
        <v>0.24903118727243101</v>
      </c>
      <c r="F359" s="257"/>
      <c r="G359">
        <f t="shared" si="5"/>
        <v>50</v>
      </c>
      <c r="H359" s="4">
        <f>IF(B359="RTG Crane",IF(D359&lt;600,800000,1200000),VLOOKUP(B359,'$$$ Replace &amp; Retrofit'!$B$10:$C$14,2)*'CHE Model poplulation'!D359)*E359</f>
        <v>18677.339045432327</v>
      </c>
      <c r="I359" s="197">
        <f>E359*VLOOKUP('CHE Model poplulation'!G359,'$$$ Replace &amp; Retrofit'!$I$10:$J$15,2)</f>
        <v>4379.9605217475164</v>
      </c>
      <c r="K359" s="239"/>
    </row>
    <row r="360" spans="1:11" ht="30" x14ac:dyDescent="0.25">
      <c r="A360" s="255" t="s">
        <v>248</v>
      </c>
      <c r="B360" s="255" t="s">
        <v>211</v>
      </c>
      <c r="C360" s="256">
        <v>2012</v>
      </c>
      <c r="D360" s="256">
        <v>100</v>
      </c>
      <c r="E360">
        <v>3.8585891695256701E-17</v>
      </c>
      <c r="F360" s="257"/>
      <c r="G360">
        <f t="shared" si="5"/>
        <v>125</v>
      </c>
      <c r="H360" s="4">
        <f>IF(B360="RTG Crane",IF(D360&lt;600,800000,1200000),VLOOKUP(B360,'$$$ Replace &amp; Retrofit'!$B$10:$C$14,2)*'CHE Model poplulation'!D360)*E360</f>
        <v>3.8585891695256702E-12</v>
      </c>
      <c r="I360" s="197">
        <f>E360*VLOOKUP('CHE Model poplulation'!G360,'$$$ Replace &amp; Retrofit'!$I$10:$J$15,2)</f>
        <v>7.6141540082250053E-13</v>
      </c>
      <c r="K360" s="239"/>
    </row>
    <row r="361" spans="1:11" ht="30" x14ac:dyDescent="0.25">
      <c r="A361" s="255" t="s">
        <v>248</v>
      </c>
      <c r="B361" s="255" t="s">
        <v>211</v>
      </c>
      <c r="C361" s="256">
        <v>2012</v>
      </c>
      <c r="D361" s="256">
        <v>175</v>
      </c>
      <c r="E361">
        <v>1.9475136310514199E-16</v>
      </c>
      <c r="F361" s="257"/>
      <c r="G361">
        <f t="shared" si="5"/>
        <v>175</v>
      </c>
      <c r="H361" s="4">
        <f>IF(B361="RTG Crane",IF(D361&lt;600,800000,1200000),VLOOKUP(B361,'$$$ Replace &amp; Retrofit'!$B$10:$C$14,2)*'CHE Model poplulation'!D361)*E361</f>
        <v>3.408148854339985E-11</v>
      </c>
      <c r="I361" s="197">
        <f>E361*VLOOKUP('CHE Model poplulation'!G361,'$$$ Replace &amp; Retrofit'!$I$10:$J$15,2)</f>
        <v>4.8290547995551011E-12</v>
      </c>
      <c r="K361" s="239"/>
    </row>
    <row r="362" spans="1:11" ht="30" x14ac:dyDescent="0.25">
      <c r="A362" s="255" t="s">
        <v>248</v>
      </c>
      <c r="B362" s="255" t="s">
        <v>211</v>
      </c>
      <c r="C362" s="256">
        <v>2012</v>
      </c>
      <c r="D362" s="256">
        <v>300</v>
      </c>
      <c r="E362">
        <v>0.51125847623090204</v>
      </c>
      <c r="F362" s="257"/>
      <c r="G362">
        <f t="shared" si="5"/>
        <v>300</v>
      </c>
      <c r="H362" s="4">
        <f>IF(B362="RTG Crane",IF(D362&lt;600,800000,1200000),VLOOKUP(B362,'$$$ Replace &amp; Retrofit'!$B$10:$C$14,2)*'CHE Model poplulation'!D362)*E362</f>
        <v>153377.5428692706</v>
      </c>
      <c r="I362" s="197">
        <f>E362*VLOOKUP('CHE Model poplulation'!G362,'$$$ Replace &amp; Retrofit'!$I$10:$J$15,2)</f>
        <v>14705.327551829436</v>
      </c>
      <c r="K362" s="239"/>
    </row>
    <row r="363" spans="1:11" ht="30" x14ac:dyDescent="0.25">
      <c r="A363" s="255" t="s">
        <v>248</v>
      </c>
      <c r="B363" s="255" t="s">
        <v>211</v>
      </c>
      <c r="C363" s="256">
        <v>2012</v>
      </c>
      <c r="D363" s="256">
        <v>600</v>
      </c>
      <c r="E363">
        <v>0.75536483895447104</v>
      </c>
      <c r="F363" s="257"/>
      <c r="G363">
        <f t="shared" si="5"/>
        <v>400</v>
      </c>
      <c r="H363" s="4">
        <f>IF(B363="RTG Crane",IF(D363&lt;600,800000,1200000),VLOOKUP(B363,'$$$ Replace &amp; Retrofit'!$B$10:$C$14,2)*'CHE Model poplulation'!D363)*E363</f>
        <v>453218.90337268263</v>
      </c>
      <c r="I363" s="197">
        <f>E363*VLOOKUP('CHE Model poplulation'!G363,'$$$ Replace &amp; Retrofit'!$I$10:$J$15,2)</f>
        <v>39530.508117004334</v>
      </c>
      <c r="K363" s="239"/>
    </row>
    <row r="364" spans="1:11" ht="30" x14ac:dyDescent="0.25">
      <c r="A364" s="255" t="s">
        <v>248</v>
      </c>
      <c r="B364" s="255" t="s">
        <v>211</v>
      </c>
      <c r="C364" s="256">
        <v>2013</v>
      </c>
      <c r="D364" s="256">
        <v>50</v>
      </c>
      <c r="E364">
        <v>1.0495641277602501</v>
      </c>
      <c r="F364" s="257"/>
      <c r="G364">
        <f t="shared" si="5"/>
        <v>50</v>
      </c>
      <c r="H364" s="4">
        <f>IF(B364="RTG Crane",IF(D364&lt;600,800000,1200000),VLOOKUP(B364,'$$$ Replace &amp; Retrofit'!$B$10:$C$14,2)*'CHE Model poplulation'!D364)*E364</f>
        <v>52478.206388012506</v>
      </c>
      <c r="I364" s="197">
        <f>E364*VLOOKUP('CHE Model poplulation'!G364,'$$$ Replace &amp; Retrofit'!$I$10:$J$15,2)</f>
        <v>18459.733879047279</v>
      </c>
      <c r="K364" s="239">
        <f>SUM(I364:I369)-K358-K352</f>
        <v>58741.598055234368</v>
      </c>
    </row>
    <row r="365" spans="1:11" ht="30" x14ac:dyDescent="0.25">
      <c r="A365" s="255" t="s">
        <v>248</v>
      </c>
      <c r="B365" s="255" t="s">
        <v>211</v>
      </c>
      <c r="C365" s="256">
        <v>2013</v>
      </c>
      <c r="D365" s="256">
        <v>75</v>
      </c>
      <c r="E365">
        <v>0.449355405055474</v>
      </c>
      <c r="F365" s="257"/>
      <c r="G365">
        <f t="shared" si="5"/>
        <v>50</v>
      </c>
      <c r="H365" s="4">
        <f>IF(B365="RTG Crane",IF(D365&lt;600,800000,1200000),VLOOKUP(B365,'$$$ Replace &amp; Retrofit'!$B$10:$C$14,2)*'CHE Model poplulation'!D365)*E365</f>
        <v>33701.655379160547</v>
      </c>
      <c r="I365" s="197">
        <f>E365*VLOOKUP('CHE Model poplulation'!G365,'$$$ Replace &amp; Retrofit'!$I$10:$J$15,2)</f>
        <v>7903.2628641156771</v>
      </c>
      <c r="K365" s="239"/>
    </row>
    <row r="366" spans="1:11" ht="30" x14ac:dyDescent="0.25">
      <c r="A366" s="255" t="s">
        <v>248</v>
      </c>
      <c r="B366" s="255" t="s">
        <v>211</v>
      </c>
      <c r="C366" s="256">
        <v>2013</v>
      </c>
      <c r="D366" s="256">
        <v>100</v>
      </c>
      <c r="E366">
        <v>0.28920763390127702</v>
      </c>
      <c r="F366" s="257"/>
      <c r="G366">
        <f t="shared" si="5"/>
        <v>125</v>
      </c>
      <c r="H366" s="4">
        <f>IF(B366="RTG Crane",IF(D366&lt;600,800000,1200000),VLOOKUP(B366,'$$$ Replace &amp; Retrofit'!$B$10:$C$14,2)*'CHE Model poplulation'!D366)*E366</f>
        <v>28920.7633901277</v>
      </c>
      <c r="I366" s="197">
        <f>E366*VLOOKUP('CHE Model poplulation'!G366,'$$$ Replace &amp; Retrofit'!$I$10:$J$15,2)</f>
        <v>5706.9342397738992</v>
      </c>
      <c r="K366" s="239"/>
    </row>
    <row r="367" spans="1:11" ht="30" x14ac:dyDescent="0.25">
      <c r="A367" s="255" t="s">
        <v>248</v>
      </c>
      <c r="B367" s="255" t="s">
        <v>211</v>
      </c>
      <c r="C367" s="256">
        <v>2013</v>
      </c>
      <c r="D367" s="256">
        <v>175</v>
      </c>
      <c r="E367">
        <v>0.51758851712693599</v>
      </c>
      <c r="F367" s="257"/>
      <c r="G367">
        <f t="shared" si="5"/>
        <v>175</v>
      </c>
      <c r="H367" s="4">
        <f>IF(B367="RTG Crane",IF(D367&lt;600,800000,1200000),VLOOKUP(B367,'$$$ Replace &amp; Retrofit'!$B$10:$C$14,2)*'CHE Model poplulation'!D367)*E367</f>
        <v>90577.990497213803</v>
      </c>
      <c r="I367" s="197">
        <f>E367*VLOOKUP('CHE Model poplulation'!G367,'$$$ Replace &amp; Retrofit'!$I$10:$J$15,2)</f>
        <v>12834.124870679505</v>
      </c>
      <c r="K367" s="239"/>
    </row>
    <row r="368" spans="1:11" ht="30" x14ac:dyDescent="0.25">
      <c r="A368" s="255" t="s">
        <v>248</v>
      </c>
      <c r="B368" s="255" t="s">
        <v>211</v>
      </c>
      <c r="C368" s="256">
        <v>2013</v>
      </c>
      <c r="D368" s="256">
        <v>300</v>
      </c>
      <c r="E368">
        <v>0.92660274156651501</v>
      </c>
      <c r="F368" s="257"/>
      <c r="G368">
        <f t="shared" si="5"/>
        <v>300</v>
      </c>
      <c r="H368" s="4">
        <f>IF(B368="RTG Crane",IF(D368&lt;600,800000,1200000),VLOOKUP(B368,'$$$ Replace &amp; Retrofit'!$B$10:$C$14,2)*'CHE Model poplulation'!D368)*E368</f>
        <v>277980.8224699545</v>
      </c>
      <c r="I368" s="197">
        <f>E368*VLOOKUP('CHE Model poplulation'!G368,'$$$ Replace &amp; Retrofit'!$I$10:$J$15,2)</f>
        <v>26651.874655677671</v>
      </c>
      <c r="K368" s="239"/>
    </row>
    <row r="369" spans="1:11" ht="30" x14ac:dyDescent="0.25">
      <c r="A369" s="255" t="s">
        <v>248</v>
      </c>
      <c r="B369" s="255" t="s">
        <v>211</v>
      </c>
      <c r="C369" s="256">
        <v>2013</v>
      </c>
      <c r="D369" s="256">
        <v>600</v>
      </c>
      <c r="E369">
        <v>1.0672122159839601</v>
      </c>
      <c r="F369" s="257"/>
      <c r="G369">
        <f t="shared" si="5"/>
        <v>400</v>
      </c>
      <c r="H369" s="4">
        <f>IF(B369="RTG Crane",IF(D369&lt;600,800000,1200000),VLOOKUP(B369,'$$$ Replace &amp; Retrofit'!$B$10:$C$14,2)*'CHE Model poplulation'!D369)*E369</f>
        <v>640327.32959037612</v>
      </c>
      <c r="I369" s="197">
        <f>E369*VLOOKUP('CHE Model poplulation'!G369,'$$$ Replace &amp; Retrofit'!$I$10:$J$15,2)</f>
        <v>55850.416899088581</v>
      </c>
      <c r="K369" s="239"/>
    </row>
    <row r="370" spans="1:11" ht="30" x14ac:dyDescent="0.25">
      <c r="A370" s="255" t="s">
        <v>248</v>
      </c>
      <c r="B370" s="255" t="s">
        <v>211</v>
      </c>
      <c r="C370" s="256">
        <v>2014</v>
      </c>
      <c r="D370" s="256">
        <v>50</v>
      </c>
      <c r="E370">
        <v>1.7563182916717299</v>
      </c>
      <c r="F370" s="257"/>
      <c r="G370">
        <f t="shared" si="5"/>
        <v>50</v>
      </c>
      <c r="H370" s="4">
        <f>IF(B370="RTG Crane",IF(D370&lt;600,800000,1200000),VLOOKUP(B370,'$$$ Replace &amp; Retrofit'!$B$10:$C$14,2)*'CHE Model poplulation'!D370)*E370</f>
        <v>87815.914583586491</v>
      </c>
      <c r="I370" s="197">
        <f>E370*VLOOKUP('CHE Model poplulation'!G370,'$$$ Replace &amp; Retrofit'!$I$10:$J$15,2)</f>
        <v>30890.126113922386</v>
      </c>
      <c r="K370" s="239">
        <f>SUM(I370:I375)-K364-K358-K352</f>
        <v>90092.82140201758</v>
      </c>
    </row>
    <row r="371" spans="1:11" ht="30" x14ac:dyDescent="0.25">
      <c r="A371" s="255" t="s">
        <v>248</v>
      </c>
      <c r="B371" s="255" t="s">
        <v>211</v>
      </c>
      <c r="C371" s="256">
        <v>2014</v>
      </c>
      <c r="D371" s="256">
        <v>75</v>
      </c>
      <c r="E371">
        <v>0.77335597219621599</v>
      </c>
      <c r="F371" s="257"/>
      <c r="G371">
        <f t="shared" si="5"/>
        <v>50</v>
      </c>
      <c r="H371" s="4">
        <f>IF(B371="RTG Crane",IF(D371&lt;600,800000,1200000),VLOOKUP(B371,'$$$ Replace &amp; Retrofit'!$B$10:$C$14,2)*'CHE Model poplulation'!D371)*E371</f>
        <v>58001.697914716198</v>
      </c>
      <c r="I371" s="197">
        <f>E371*VLOOKUP('CHE Model poplulation'!G371,'$$$ Replace &amp; Retrofit'!$I$10:$J$15,2)</f>
        <v>13601.784838987047</v>
      </c>
      <c r="K371" s="239"/>
    </row>
    <row r="372" spans="1:11" ht="30" x14ac:dyDescent="0.25">
      <c r="A372" s="255" t="s">
        <v>248</v>
      </c>
      <c r="B372" s="255" t="s">
        <v>211</v>
      </c>
      <c r="C372" s="256">
        <v>2014</v>
      </c>
      <c r="D372" s="256">
        <v>100</v>
      </c>
      <c r="E372">
        <v>0.81038531426639804</v>
      </c>
      <c r="F372" s="257"/>
      <c r="G372">
        <f t="shared" si="5"/>
        <v>125</v>
      </c>
      <c r="H372" s="4">
        <f>IF(B372="RTG Crane",IF(D372&lt;600,800000,1200000),VLOOKUP(B372,'$$$ Replace &amp; Retrofit'!$B$10:$C$14,2)*'CHE Model poplulation'!D372)*E372</f>
        <v>81038.531426639805</v>
      </c>
      <c r="I372" s="197">
        <f>E372*VLOOKUP('CHE Model poplulation'!G372,'$$$ Replace &amp; Retrofit'!$I$10:$J$15,2)</f>
        <v>15991.333406418833</v>
      </c>
      <c r="K372" s="239"/>
    </row>
    <row r="373" spans="1:11" ht="30" x14ac:dyDescent="0.25">
      <c r="A373" s="255" t="s">
        <v>248</v>
      </c>
      <c r="B373" s="255" t="s">
        <v>211</v>
      </c>
      <c r="C373" s="256">
        <v>2014</v>
      </c>
      <c r="D373" s="256">
        <v>175</v>
      </c>
      <c r="E373">
        <v>1.37682861900288</v>
      </c>
      <c r="F373" s="257"/>
      <c r="G373">
        <f t="shared" si="5"/>
        <v>175</v>
      </c>
      <c r="H373" s="4">
        <f>IF(B373="RTG Crane",IF(D373&lt;600,800000,1200000),VLOOKUP(B373,'$$$ Replace &amp; Retrofit'!$B$10:$C$14,2)*'CHE Model poplulation'!D373)*E373</f>
        <v>240945.00832550399</v>
      </c>
      <c r="I373" s="197">
        <f>E373*VLOOKUP('CHE Model poplulation'!G373,'$$$ Replace &amp; Retrofit'!$I$10:$J$15,2)</f>
        <v>34139.842436795414</v>
      </c>
      <c r="K373" s="239"/>
    </row>
    <row r="374" spans="1:11" ht="30" x14ac:dyDescent="0.25">
      <c r="A374" s="255" t="s">
        <v>248</v>
      </c>
      <c r="B374" s="255" t="s">
        <v>211</v>
      </c>
      <c r="C374" s="256">
        <v>2014</v>
      </c>
      <c r="D374" s="256">
        <v>300</v>
      </c>
      <c r="E374">
        <v>1.46772036013687</v>
      </c>
      <c r="F374" s="257"/>
      <c r="G374">
        <f t="shared" si="5"/>
        <v>300</v>
      </c>
      <c r="H374" s="4">
        <f>IF(B374="RTG Crane",IF(D374&lt;600,800000,1200000),VLOOKUP(B374,'$$$ Replace &amp; Retrofit'!$B$10:$C$14,2)*'CHE Model poplulation'!D374)*E374</f>
        <v>440316.10804106103</v>
      </c>
      <c r="I374" s="197">
        <f>E374*VLOOKUP('CHE Model poplulation'!G374,'$$$ Replace &amp; Retrofit'!$I$10:$J$15,2)</f>
        <v>42216.040718616794</v>
      </c>
      <c r="K374" s="239"/>
    </row>
    <row r="375" spans="1:11" ht="30" x14ac:dyDescent="0.25">
      <c r="A375" s="255" t="s">
        <v>248</v>
      </c>
      <c r="B375" s="255" t="s">
        <v>211</v>
      </c>
      <c r="C375" s="256">
        <v>2014</v>
      </c>
      <c r="D375" s="256">
        <v>600</v>
      </c>
      <c r="E375">
        <v>1.5412844915380299</v>
      </c>
      <c r="F375" s="257"/>
      <c r="G375">
        <f t="shared" si="5"/>
        <v>400</v>
      </c>
      <c r="H375" s="4">
        <f>IF(B375="RTG Crane",IF(D375&lt;600,800000,1200000),VLOOKUP(B375,'$$$ Replace &amp; Retrofit'!$B$10:$C$14,2)*'CHE Model poplulation'!D375)*E375</f>
        <v>924770.69492281799</v>
      </c>
      <c r="I375" s="197">
        <f>E375*VLOOKUP('CHE Model poplulation'!G375,'$$$ Replace &amp; Retrofit'!$I$10:$J$15,2)</f>
        <v>80660.041295659714</v>
      </c>
      <c r="K375" s="239"/>
    </row>
    <row r="376" spans="1:11" ht="30" x14ac:dyDescent="0.25">
      <c r="A376" s="255" t="s">
        <v>248</v>
      </c>
      <c r="B376" s="255" t="s">
        <v>211</v>
      </c>
      <c r="C376" s="256">
        <v>2015</v>
      </c>
      <c r="D376" s="256">
        <v>50</v>
      </c>
      <c r="E376">
        <v>2.5295025422864001</v>
      </c>
      <c r="F376" s="257"/>
      <c r="G376">
        <f t="shared" si="5"/>
        <v>50</v>
      </c>
      <c r="H376" s="4">
        <f>IF(B376="RTG Crane",IF(D376&lt;600,800000,1200000),VLOOKUP(B376,'$$$ Replace &amp; Retrofit'!$B$10:$C$14,2)*'CHE Model poplulation'!D376)*E376</f>
        <v>126475.12711432001</v>
      </c>
      <c r="I376" s="197">
        <f>E376*VLOOKUP('CHE Model poplulation'!G376,'$$$ Replace &amp; Retrofit'!$I$10:$J$15,2)</f>
        <v>44488.890713733206</v>
      </c>
      <c r="K376" s="239">
        <f>SUM(I376:I381)-K370-K364-K358-K352</f>
        <v>95683.48327104593</v>
      </c>
    </row>
    <row r="377" spans="1:11" ht="30" x14ac:dyDescent="0.25">
      <c r="A377" s="255" t="s">
        <v>248</v>
      </c>
      <c r="B377" s="255" t="s">
        <v>211</v>
      </c>
      <c r="C377" s="256">
        <v>2015</v>
      </c>
      <c r="D377" s="256">
        <v>75</v>
      </c>
      <c r="E377">
        <v>1.1078328954439001</v>
      </c>
      <c r="F377" s="257"/>
      <c r="G377">
        <f t="shared" si="5"/>
        <v>50</v>
      </c>
      <c r="H377" s="4">
        <f>IF(B377="RTG Crane",IF(D377&lt;600,800000,1200000),VLOOKUP(B377,'$$$ Replace &amp; Retrofit'!$B$10:$C$14,2)*'CHE Model poplulation'!D377)*E377</f>
        <v>83087.467158292508</v>
      </c>
      <c r="I377" s="197">
        <f>E377*VLOOKUP('CHE Model poplulation'!G377,'$$$ Replace &amp; Retrofit'!$I$10:$J$15,2)</f>
        <v>19484.564965067315</v>
      </c>
      <c r="K377" s="239"/>
    </row>
    <row r="378" spans="1:11" ht="30" x14ac:dyDescent="0.25">
      <c r="A378" s="255" t="s">
        <v>248</v>
      </c>
      <c r="B378" s="255" t="s">
        <v>211</v>
      </c>
      <c r="C378" s="256">
        <v>2015</v>
      </c>
      <c r="D378" s="256">
        <v>100</v>
      </c>
      <c r="E378">
        <v>1.3635653316369101</v>
      </c>
      <c r="F378" s="257"/>
      <c r="G378">
        <f t="shared" si="5"/>
        <v>125</v>
      </c>
      <c r="H378" s="4">
        <f>IF(B378="RTG Crane",IF(D378&lt;600,800000,1200000),VLOOKUP(B378,'$$$ Replace &amp; Retrofit'!$B$10:$C$14,2)*'CHE Model poplulation'!D378)*E378</f>
        <v>136356.533163691</v>
      </c>
      <c r="I378" s="197">
        <f>E378*VLOOKUP('CHE Model poplulation'!G378,'$$$ Replace &amp; Retrofit'!$I$10:$J$15,2)</f>
        <v>26907.234689191147</v>
      </c>
      <c r="K378" s="239"/>
    </row>
    <row r="379" spans="1:11" ht="30" x14ac:dyDescent="0.25">
      <c r="A379" s="255" t="s">
        <v>248</v>
      </c>
      <c r="B379" s="255" t="s">
        <v>211</v>
      </c>
      <c r="C379" s="256">
        <v>2015</v>
      </c>
      <c r="D379" s="256">
        <v>175</v>
      </c>
      <c r="E379">
        <v>2.3221160480144598</v>
      </c>
      <c r="F379" s="257"/>
      <c r="G379">
        <f t="shared" si="5"/>
        <v>175</v>
      </c>
      <c r="H379" s="4">
        <f>IF(B379="RTG Crane",IF(D379&lt;600,800000,1200000),VLOOKUP(B379,'$$$ Replace &amp; Retrofit'!$B$10:$C$14,2)*'CHE Model poplulation'!D379)*E379</f>
        <v>406370.30840253044</v>
      </c>
      <c r="I379" s="197">
        <f>E379*VLOOKUP('CHE Model poplulation'!G379,'$$$ Replace &amp; Retrofit'!$I$10:$J$15,2)</f>
        <v>57579.189526566544</v>
      </c>
      <c r="K379" s="239"/>
    </row>
    <row r="380" spans="1:11" ht="30" x14ac:dyDescent="0.25">
      <c r="A380" s="255" t="s">
        <v>248</v>
      </c>
      <c r="B380" s="255" t="s">
        <v>211</v>
      </c>
      <c r="C380" s="256">
        <v>2015</v>
      </c>
      <c r="D380" s="256">
        <v>300</v>
      </c>
      <c r="E380">
        <v>2.0832860622398099</v>
      </c>
      <c r="F380" s="257"/>
      <c r="G380">
        <f t="shared" si="5"/>
        <v>300</v>
      </c>
      <c r="H380" s="4">
        <f>IF(B380="RTG Crane",IF(D380&lt;600,800000,1200000),VLOOKUP(B380,'$$$ Replace &amp; Retrofit'!$B$10:$C$14,2)*'CHE Model poplulation'!D380)*E380</f>
        <v>624985.81867194304</v>
      </c>
      <c r="I380" s="197">
        <f>E380*VLOOKUP('CHE Model poplulation'!G380,'$$$ Replace &amp; Retrofit'!$I$10:$J$15,2)</f>
        <v>59921.55700820365</v>
      </c>
      <c r="K380" s="239"/>
    </row>
    <row r="381" spans="1:11" ht="30" x14ac:dyDescent="0.25">
      <c r="A381" s="255" t="s">
        <v>248</v>
      </c>
      <c r="B381" s="255" t="s">
        <v>211</v>
      </c>
      <c r="C381" s="256">
        <v>2015</v>
      </c>
      <c r="D381" s="256">
        <v>600</v>
      </c>
      <c r="E381">
        <v>2.0025837459859801</v>
      </c>
      <c r="F381" s="257"/>
      <c r="G381">
        <f t="shared" si="5"/>
        <v>400</v>
      </c>
      <c r="H381" s="4">
        <f>IF(B381="RTG Crane",IF(D381&lt;600,800000,1200000),VLOOKUP(B381,'$$$ Replace &amp; Retrofit'!$B$10:$C$14,2)*'CHE Model poplulation'!D381)*E381</f>
        <v>1201550.2475915879</v>
      </c>
      <c r="I381" s="197">
        <f>E381*VLOOKUP('CHE Model poplulation'!G381,'$$$ Replace &amp; Retrofit'!$I$10:$J$15,2)</f>
        <v>104801.2151786843</v>
      </c>
      <c r="K381" s="239"/>
    </row>
    <row r="382" spans="1:11" ht="30" x14ac:dyDescent="0.25">
      <c r="A382" s="255" t="s">
        <v>248</v>
      </c>
      <c r="B382" s="255" t="s">
        <v>211</v>
      </c>
      <c r="C382" s="256">
        <v>2016</v>
      </c>
      <c r="D382" s="256">
        <v>50</v>
      </c>
      <c r="E382">
        <v>3.3044430985609101</v>
      </c>
      <c r="F382" s="257"/>
      <c r="G382">
        <f t="shared" si="5"/>
        <v>50</v>
      </c>
      <c r="H382" s="4">
        <f>IF(B382="RTG Crane",IF(D382&lt;600,800000,1200000),VLOOKUP(B382,'$$$ Replace &amp; Retrofit'!$B$10:$C$14,2)*'CHE Model poplulation'!D382)*E382</f>
        <v>165222.15492804549</v>
      </c>
      <c r="I382" s="197">
        <f>E382*VLOOKUP('CHE Model poplulation'!G382,'$$$ Replace &amp; Retrofit'!$I$10:$J$15,2)</f>
        <v>58118.545217489285</v>
      </c>
      <c r="K382" s="239">
        <f>SUM(I382:I387)-K376-K370-K364-K358-K352</f>
        <v>89322.548473434959</v>
      </c>
    </row>
    <row r="383" spans="1:11" ht="30" x14ac:dyDescent="0.25">
      <c r="A383" s="255" t="s">
        <v>248</v>
      </c>
      <c r="B383" s="255" t="s">
        <v>211</v>
      </c>
      <c r="C383" s="256">
        <v>2016</v>
      </c>
      <c r="D383" s="256">
        <v>75</v>
      </c>
      <c r="E383">
        <v>1.43898501608046</v>
      </c>
      <c r="F383" s="257"/>
      <c r="G383">
        <f t="shared" si="5"/>
        <v>50</v>
      </c>
      <c r="H383" s="4">
        <f>IF(B383="RTG Crane",IF(D383&lt;600,800000,1200000),VLOOKUP(B383,'$$$ Replace &amp; Retrofit'!$B$10:$C$14,2)*'CHE Model poplulation'!D383)*E383</f>
        <v>107923.8762060345</v>
      </c>
      <c r="I383" s="197">
        <f>E383*VLOOKUP('CHE Model poplulation'!G383,'$$$ Replace &amp; Retrofit'!$I$10:$J$15,2)</f>
        <v>25308.868462823131</v>
      </c>
      <c r="K383" s="239"/>
    </row>
    <row r="384" spans="1:11" ht="30" x14ac:dyDescent="0.25">
      <c r="A384" s="255" t="s">
        <v>248</v>
      </c>
      <c r="B384" s="255" t="s">
        <v>211</v>
      </c>
      <c r="C384" s="256">
        <v>2016</v>
      </c>
      <c r="D384" s="256">
        <v>100</v>
      </c>
      <c r="E384">
        <v>1.8906100085603801</v>
      </c>
      <c r="F384" s="257"/>
      <c r="G384">
        <f t="shared" si="5"/>
        <v>125</v>
      </c>
      <c r="H384" s="4">
        <f>IF(B384="RTG Crane",IF(D384&lt;600,800000,1200000),VLOOKUP(B384,'$$$ Replace &amp; Retrofit'!$B$10:$C$14,2)*'CHE Model poplulation'!D384)*E384</f>
        <v>189061.00085603801</v>
      </c>
      <c r="I384" s="197">
        <f>E384*VLOOKUP('CHE Model poplulation'!G384,'$$$ Replace &amp; Retrofit'!$I$10:$J$15,2)</f>
        <v>37307.407298921979</v>
      </c>
      <c r="K384" s="239"/>
    </row>
    <row r="385" spans="1:11" ht="30" x14ac:dyDescent="0.25">
      <c r="A385" s="255" t="s">
        <v>248</v>
      </c>
      <c r="B385" s="255" t="s">
        <v>211</v>
      </c>
      <c r="C385" s="256">
        <v>2016</v>
      </c>
      <c r="D385" s="256">
        <v>175</v>
      </c>
      <c r="E385">
        <v>3.1874964814901201</v>
      </c>
      <c r="F385" s="257"/>
      <c r="G385">
        <f t="shared" si="5"/>
        <v>175</v>
      </c>
      <c r="H385" s="4">
        <f>IF(B385="RTG Crane",IF(D385&lt;600,800000,1200000),VLOOKUP(B385,'$$$ Replace &amp; Retrofit'!$B$10:$C$14,2)*'CHE Model poplulation'!D385)*E385</f>
        <v>557811.88426077098</v>
      </c>
      <c r="I385" s="197">
        <f>E385*VLOOKUP('CHE Model poplulation'!G385,'$$$ Replace &amp; Retrofit'!$I$10:$J$15,2)</f>
        <v>79037.162755029014</v>
      </c>
      <c r="K385" s="239"/>
    </row>
    <row r="386" spans="1:11" ht="30" x14ac:dyDescent="0.25">
      <c r="A386" s="255" t="s">
        <v>248</v>
      </c>
      <c r="B386" s="255" t="s">
        <v>211</v>
      </c>
      <c r="C386" s="256">
        <v>2016</v>
      </c>
      <c r="D386" s="256">
        <v>300</v>
      </c>
      <c r="E386">
        <v>2.6502730584979299</v>
      </c>
      <c r="F386" s="257"/>
      <c r="G386">
        <f t="shared" si="5"/>
        <v>300</v>
      </c>
      <c r="H386" s="4">
        <f>IF(B386="RTG Crane",IF(D386&lt;600,800000,1200000),VLOOKUP(B386,'$$$ Replace &amp; Retrofit'!$B$10:$C$14,2)*'CHE Model poplulation'!D386)*E386</f>
        <v>795081.91754937894</v>
      </c>
      <c r="I386" s="197">
        <f>E386*VLOOKUP('CHE Model poplulation'!G386,'$$$ Replace &amp; Retrofit'!$I$10:$J$15,2)</f>
        <v>76229.803981575955</v>
      </c>
      <c r="K386" s="239"/>
    </row>
    <row r="387" spans="1:11" ht="30" x14ac:dyDescent="0.25">
      <c r="A387" s="255" t="s">
        <v>248</v>
      </c>
      <c r="B387" s="255" t="s">
        <v>211</v>
      </c>
      <c r="C387" s="256">
        <v>2016</v>
      </c>
      <c r="D387" s="256">
        <v>600</v>
      </c>
      <c r="E387">
        <v>2.4172780623897299</v>
      </c>
      <c r="F387" s="257"/>
      <c r="G387">
        <f t="shared" si="5"/>
        <v>400</v>
      </c>
      <c r="H387" s="4">
        <f>IF(B387="RTG Crane",IF(D387&lt;600,800000,1200000),VLOOKUP(B387,'$$$ Replace &amp; Retrofit'!$B$10:$C$14,2)*'CHE Model poplulation'!D387)*E387</f>
        <v>1450366.8374338378</v>
      </c>
      <c r="I387" s="197">
        <f>E387*VLOOKUP('CHE Model poplulation'!G387,'$$$ Replace &amp; Retrofit'!$I$10:$J$15,2)</f>
        <v>126503.41283904173</v>
      </c>
      <c r="K387" s="239"/>
    </row>
    <row r="388" spans="1:11" ht="30" x14ac:dyDescent="0.25">
      <c r="A388" s="255" t="s">
        <v>248</v>
      </c>
      <c r="B388" s="255" t="s">
        <v>211</v>
      </c>
      <c r="C388" s="256">
        <v>2017</v>
      </c>
      <c r="D388" s="256">
        <v>50</v>
      </c>
      <c r="E388">
        <v>3.2932047143826901</v>
      </c>
      <c r="F388" s="257"/>
      <c r="G388">
        <f t="shared" si="5"/>
        <v>50</v>
      </c>
      <c r="H388" s="4">
        <f>IF(B388="RTG Crane",IF(D388&lt;600,800000,1200000),VLOOKUP(B388,'$$$ Replace &amp; Retrofit'!$B$10:$C$14,2)*'CHE Model poplulation'!D388)*E388</f>
        <v>164660.23571913451</v>
      </c>
      <c r="I388" s="197">
        <f>E388*VLOOKUP('CHE Model poplulation'!G388,'$$$ Replace &amp; Retrofit'!$I$10:$J$15,2)</f>
        <v>57920.884516562757</v>
      </c>
      <c r="K388" s="239">
        <f>SUM(I388:I393)-K382-K376-K370-K364-K358-K352</f>
        <v>809.84077474150399</v>
      </c>
    </row>
    <row r="389" spans="1:11" ht="30" x14ac:dyDescent="0.25">
      <c r="A389" s="255" t="s">
        <v>248</v>
      </c>
      <c r="B389" s="255" t="s">
        <v>211</v>
      </c>
      <c r="C389" s="256">
        <v>2017</v>
      </c>
      <c r="D389" s="256">
        <v>75</v>
      </c>
      <c r="E389">
        <v>1.4312033731715299</v>
      </c>
      <c r="F389" s="257"/>
      <c r="G389">
        <f t="shared" si="5"/>
        <v>50</v>
      </c>
      <c r="H389" s="4">
        <f>IF(B389="RTG Crane",IF(D389&lt;600,800000,1200000),VLOOKUP(B389,'$$$ Replace &amp; Retrofit'!$B$10:$C$14,2)*'CHE Model poplulation'!D389)*E389</f>
        <v>107340.25298786475</v>
      </c>
      <c r="I389" s="197">
        <f>E389*VLOOKUP('CHE Model poplulation'!G389,'$$$ Replace &amp; Retrofit'!$I$10:$J$15,2)</f>
        <v>25172.004927340869</v>
      </c>
      <c r="K389" s="239"/>
    </row>
    <row r="390" spans="1:11" ht="30" x14ac:dyDescent="0.25">
      <c r="A390" s="255" t="s">
        <v>248</v>
      </c>
      <c r="B390" s="255" t="s">
        <v>211</v>
      </c>
      <c r="C390" s="256">
        <v>2017</v>
      </c>
      <c r="D390" s="256">
        <v>100</v>
      </c>
      <c r="E390">
        <v>1.8824612908365601</v>
      </c>
      <c r="F390" s="257"/>
      <c r="G390">
        <f t="shared" si="5"/>
        <v>125</v>
      </c>
      <c r="H390" s="4">
        <f>IF(B390="RTG Crane",IF(D390&lt;600,800000,1200000),VLOOKUP(B390,'$$$ Replace &amp; Retrofit'!$B$10:$C$14,2)*'CHE Model poplulation'!D390)*E390</f>
        <v>188246.12908365601</v>
      </c>
      <c r="I390" s="197">
        <f>E390*VLOOKUP('CHE Model poplulation'!G390,'$$$ Replace &amp; Retrofit'!$I$10:$J$15,2)</f>
        <v>37146.608652077841</v>
      </c>
      <c r="K390" s="239"/>
    </row>
    <row r="391" spans="1:11" ht="30" x14ac:dyDescent="0.25">
      <c r="A391" s="255" t="s">
        <v>248</v>
      </c>
      <c r="B391" s="255" t="s">
        <v>211</v>
      </c>
      <c r="C391" s="256">
        <v>2017</v>
      </c>
      <c r="D391" s="256">
        <v>175</v>
      </c>
      <c r="E391">
        <v>3.1924598059813198</v>
      </c>
      <c r="F391" s="257"/>
      <c r="G391">
        <f t="shared" si="5"/>
        <v>175</v>
      </c>
      <c r="H391" s="4">
        <f>IF(B391="RTG Crane",IF(D391&lt;600,800000,1200000),VLOOKUP(B391,'$$$ Replace &amp; Retrofit'!$B$10:$C$14,2)*'CHE Model poplulation'!D391)*E391</f>
        <v>558680.46604673099</v>
      </c>
      <c r="I391" s="197">
        <f>E391*VLOOKUP('CHE Model poplulation'!G391,'$$$ Replace &amp; Retrofit'!$I$10:$J$15,2)</f>
        <v>79160.233349112808</v>
      </c>
      <c r="K391" s="239"/>
    </row>
    <row r="392" spans="1:11" ht="30" x14ac:dyDescent="0.25">
      <c r="A392" s="255" t="s">
        <v>248</v>
      </c>
      <c r="B392" s="255" t="s">
        <v>211</v>
      </c>
      <c r="C392" s="256">
        <v>2017</v>
      </c>
      <c r="D392" s="256">
        <v>300</v>
      </c>
      <c r="E392">
        <v>2.6477238074880201</v>
      </c>
      <c r="F392" s="257"/>
      <c r="G392">
        <f t="shared" si="5"/>
        <v>300</v>
      </c>
      <c r="H392" s="4">
        <f>IF(B392="RTG Crane",IF(D392&lt;600,800000,1200000),VLOOKUP(B392,'$$$ Replace &amp; Retrofit'!$B$10:$C$14,2)*'CHE Model poplulation'!D392)*E392</f>
        <v>794317.14224640606</v>
      </c>
      <c r="I392" s="197">
        <f>E392*VLOOKUP('CHE Model poplulation'!G392,'$$$ Replace &amp; Retrofit'!$I$10:$J$15,2)</f>
        <v>76156.479874777928</v>
      </c>
      <c r="K392" s="239"/>
    </row>
    <row r="393" spans="1:11" ht="30" x14ac:dyDescent="0.25">
      <c r="A393" s="255" t="s">
        <v>248</v>
      </c>
      <c r="B393" s="255" t="s">
        <v>211</v>
      </c>
      <c r="C393" s="256">
        <v>2017</v>
      </c>
      <c r="D393" s="256">
        <v>600</v>
      </c>
      <c r="E393">
        <v>2.4412670783205699</v>
      </c>
      <c r="F393" s="257"/>
      <c r="G393">
        <f t="shared" si="5"/>
        <v>400</v>
      </c>
      <c r="H393" s="4">
        <f>IF(B393="RTG Crane",IF(D393&lt;600,800000,1200000),VLOOKUP(B393,'$$$ Replace &amp; Retrofit'!$B$10:$C$14,2)*'CHE Model poplulation'!D393)*E393</f>
        <v>1464760.2469923419</v>
      </c>
      <c r="I393" s="197">
        <f>E393*VLOOKUP('CHE Model poplulation'!G393,'$$$ Replace &amp; Retrofit'!$I$10:$J$15,2)</f>
        <v>127758.83000975038</v>
      </c>
      <c r="K393" s="239"/>
    </row>
    <row r="394" spans="1:11" ht="30" x14ac:dyDescent="0.25">
      <c r="A394" s="255" t="s">
        <v>248</v>
      </c>
      <c r="B394" s="255" t="s">
        <v>211</v>
      </c>
      <c r="C394" s="256">
        <v>2018</v>
      </c>
      <c r="D394" s="256">
        <v>50</v>
      </c>
      <c r="E394">
        <v>3.26824801480792</v>
      </c>
      <c r="F394" s="257"/>
      <c r="G394">
        <f t="shared" si="5"/>
        <v>50</v>
      </c>
      <c r="H394" s="4">
        <f>IF(B394="RTG Crane",IF(D394&lt;600,800000,1200000),VLOOKUP(B394,'$$$ Replace &amp; Retrofit'!$B$10:$C$14,2)*'CHE Model poplulation'!D394)*E394</f>
        <v>163412.400740396</v>
      </c>
      <c r="I394" s="197">
        <f>E394*VLOOKUP('CHE Model poplulation'!G394,'$$$ Replace &amp; Retrofit'!$I$10:$J$15,2)</f>
        <v>57481.946084441697</v>
      </c>
      <c r="K394" s="239">
        <f>SUM(I394:I399)-K388-K382-K376-K370-K364-K358-K352</f>
        <v>-1617.1687502094865</v>
      </c>
    </row>
    <row r="395" spans="1:11" ht="30" x14ac:dyDescent="0.25">
      <c r="A395" s="255" t="s">
        <v>248</v>
      </c>
      <c r="B395" s="255" t="s">
        <v>211</v>
      </c>
      <c r="C395" s="256">
        <v>2018</v>
      </c>
      <c r="D395" s="256">
        <v>75</v>
      </c>
      <c r="E395">
        <v>1.4179556114680001</v>
      </c>
      <c r="F395" s="257"/>
      <c r="G395">
        <f t="shared" si="5"/>
        <v>50</v>
      </c>
      <c r="H395" s="4">
        <f>IF(B395="RTG Crane",IF(D395&lt;600,800000,1200000),VLOOKUP(B395,'$$$ Replace &amp; Retrofit'!$B$10:$C$14,2)*'CHE Model poplulation'!D395)*E395</f>
        <v>106346.67086010001</v>
      </c>
      <c r="I395" s="197">
        <f>E395*VLOOKUP('CHE Model poplulation'!G395,'$$$ Replace &amp; Retrofit'!$I$10:$J$15,2)</f>
        <v>24939.003294499187</v>
      </c>
      <c r="K395" s="239"/>
    </row>
    <row r="396" spans="1:11" ht="30" x14ac:dyDescent="0.25">
      <c r="A396" s="255" t="s">
        <v>248</v>
      </c>
      <c r="B396" s="255" t="s">
        <v>211</v>
      </c>
      <c r="C396" s="256">
        <v>2018</v>
      </c>
      <c r="D396" s="256">
        <v>100</v>
      </c>
      <c r="E396">
        <v>1.8660325698801099</v>
      </c>
      <c r="F396" s="257"/>
      <c r="G396">
        <f t="shared" si="5"/>
        <v>125</v>
      </c>
      <c r="H396" s="4">
        <f>IF(B396="RTG Crane",IF(D396&lt;600,800000,1200000),VLOOKUP(B396,'$$$ Replace &amp; Retrofit'!$B$10:$C$14,2)*'CHE Model poplulation'!D396)*E396</f>
        <v>186603.25698801098</v>
      </c>
      <c r="I396" s="197">
        <f>E396*VLOOKUP('CHE Model poplulation'!G396,'$$$ Replace &amp; Retrofit'!$I$10:$J$15,2)</f>
        <v>36822.420701444207</v>
      </c>
      <c r="K396" s="239"/>
    </row>
    <row r="397" spans="1:11" ht="30" x14ac:dyDescent="0.25">
      <c r="A397" s="255" t="s">
        <v>248</v>
      </c>
      <c r="B397" s="255" t="s">
        <v>211</v>
      </c>
      <c r="C397" s="256">
        <v>2018</v>
      </c>
      <c r="D397" s="256">
        <v>175</v>
      </c>
      <c r="E397">
        <v>3.1722684191132799</v>
      </c>
      <c r="F397" s="257"/>
      <c r="G397">
        <f t="shared" si="5"/>
        <v>175</v>
      </c>
      <c r="H397" s="4">
        <f>IF(B397="RTG Crane",IF(D397&lt;600,800000,1200000),VLOOKUP(B397,'$$$ Replace &amp; Retrofit'!$B$10:$C$14,2)*'CHE Model poplulation'!D397)*E397</f>
        <v>555146.97334482404</v>
      </c>
      <c r="I397" s="197">
        <f>E397*VLOOKUP('CHE Model poplulation'!G397,'$$$ Replace &amp; Retrofit'!$I$10:$J$15,2)</f>
        <v>78659.567720332896</v>
      </c>
      <c r="K397" s="239"/>
    </row>
    <row r="398" spans="1:11" ht="30" x14ac:dyDescent="0.25">
      <c r="A398" s="255" t="s">
        <v>248</v>
      </c>
      <c r="B398" s="255" t="s">
        <v>211</v>
      </c>
      <c r="C398" s="256">
        <v>2018</v>
      </c>
      <c r="D398" s="256">
        <v>300</v>
      </c>
      <c r="E398">
        <v>2.6325126469778302</v>
      </c>
      <c r="F398" s="257"/>
      <c r="G398">
        <f t="shared" si="5"/>
        <v>300</v>
      </c>
      <c r="H398" s="4">
        <f>IF(B398="RTG Crane",IF(D398&lt;600,800000,1200000),VLOOKUP(B398,'$$$ Replace &amp; Retrofit'!$B$10:$C$14,2)*'CHE Model poplulation'!D398)*E398</f>
        <v>789753.79409334902</v>
      </c>
      <c r="I398" s="197">
        <f>E398*VLOOKUP('CHE Model poplulation'!G398,'$$$ Replace &amp; Retrofit'!$I$10:$J$15,2)</f>
        <v>75718.961265023332</v>
      </c>
      <c r="K398" s="239"/>
    </row>
    <row r="399" spans="1:11" ht="30" x14ac:dyDescent="0.25">
      <c r="A399" s="255" t="s">
        <v>248</v>
      </c>
      <c r="B399" s="255" t="s">
        <v>211</v>
      </c>
      <c r="C399" s="256">
        <v>2018</v>
      </c>
      <c r="D399" s="256">
        <v>600</v>
      </c>
      <c r="E399">
        <v>2.4473271838738802</v>
      </c>
      <c r="F399" s="257"/>
      <c r="G399">
        <f t="shared" si="5"/>
        <v>400</v>
      </c>
      <c r="H399" s="4">
        <f>IF(B399="RTG Crane",IF(D399&lt;600,800000,1200000),VLOOKUP(B399,'$$$ Replace &amp; Retrofit'!$B$10:$C$14,2)*'CHE Model poplulation'!D399)*E399</f>
        <v>1468396.310324328</v>
      </c>
      <c r="I399" s="197">
        <f>E399*VLOOKUP('CHE Model poplulation'!G399,'$$$ Replace &amp; Retrofit'!$I$10:$J$15,2)</f>
        <v>128075.97351367176</v>
      </c>
      <c r="K399" s="239"/>
    </row>
    <row r="400" spans="1:11" ht="30" x14ac:dyDescent="0.25">
      <c r="A400" s="255" t="s">
        <v>248</v>
      </c>
      <c r="B400" s="255" t="s">
        <v>211</v>
      </c>
      <c r="C400" s="256">
        <v>2019</v>
      </c>
      <c r="D400" s="256">
        <v>50</v>
      </c>
      <c r="E400">
        <v>3.2466090787617601</v>
      </c>
      <c r="F400" s="257"/>
      <c r="G400">
        <f t="shared" si="5"/>
        <v>50</v>
      </c>
      <c r="H400" s="4">
        <f>IF(B400="RTG Crane",IF(D400&lt;600,800000,1200000),VLOOKUP(B400,'$$$ Replace &amp; Retrofit'!$B$10:$C$14,2)*'CHE Model poplulation'!D400)*E400</f>
        <v>162330.453938088</v>
      </c>
      <c r="I400" s="197">
        <f>E400*VLOOKUP('CHE Model poplulation'!G400,'$$$ Replace &amp; Retrofit'!$I$10:$J$15,2)</f>
        <v>57101.360477261835</v>
      </c>
      <c r="K400" s="239"/>
    </row>
    <row r="401" spans="1:11" ht="30" x14ac:dyDescent="0.25">
      <c r="A401" s="255" t="s">
        <v>248</v>
      </c>
      <c r="B401" s="255" t="s">
        <v>211</v>
      </c>
      <c r="C401" s="256">
        <v>2019</v>
      </c>
      <c r="D401" s="256">
        <v>75</v>
      </c>
      <c r="E401">
        <v>1.40524994268033</v>
      </c>
      <c r="F401" s="257"/>
      <c r="G401">
        <f t="shared" si="5"/>
        <v>50</v>
      </c>
      <c r="H401" s="4">
        <f>IF(B401="RTG Crane",IF(D401&lt;600,800000,1200000),VLOOKUP(B401,'$$$ Replace &amp; Retrofit'!$B$10:$C$14,2)*'CHE Model poplulation'!D401)*E401</f>
        <v>105393.74570102475</v>
      </c>
      <c r="I401" s="197">
        <f>E401*VLOOKUP('CHE Model poplulation'!G401,'$$$ Replace &amp; Retrofit'!$I$10:$J$15,2)</f>
        <v>24715.535991861645</v>
      </c>
      <c r="K401" s="239"/>
    </row>
    <row r="402" spans="1:11" ht="30" x14ac:dyDescent="0.25">
      <c r="A402" s="255" t="s">
        <v>248</v>
      </c>
      <c r="B402" s="255" t="s">
        <v>211</v>
      </c>
      <c r="C402" s="256">
        <v>2019</v>
      </c>
      <c r="D402" s="256">
        <v>100</v>
      </c>
      <c r="E402">
        <v>1.8522714853356299</v>
      </c>
      <c r="F402" s="257"/>
      <c r="G402">
        <f t="shared" si="5"/>
        <v>125</v>
      </c>
      <c r="H402" s="4">
        <f>IF(B402="RTG Crane",IF(D402&lt;600,800000,1200000),VLOOKUP(B402,'$$$ Replace &amp; Retrofit'!$B$10:$C$14,2)*'CHE Model poplulation'!D402)*E402</f>
        <v>185227.14853356298</v>
      </c>
      <c r="I402" s="197">
        <f>E402*VLOOKUP('CHE Model poplulation'!G402,'$$$ Replace &amp; Retrofit'!$I$10:$J$15,2)</f>
        <v>36550.873220127985</v>
      </c>
      <c r="K402" s="239"/>
    </row>
    <row r="403" spans="1:11" ht="30" x14ac:dyDescent="0.25">
      <c r="A403" s="255" t="s">
        <v>248</v>
      </c>
      <c r="B403" s="255" t="s">
        <v>211</v>
      </c>
      <c r="C403" s="256">
        <v>2019</v>
      </c>
      <c r="D403" s="256">
        <v>175</v>
      </c>
      <c r="E403">
        <v>3.1520288397371199</v>
      </c>
      <c r="F403" s="257"/>
      <c r="G403">
        <f t="shared" si="5"/>
        <v>175</v>
      </c>
      <c r="H403" s="4">
        <f>IF(B403="RTG Crane",IF(D403&lt;600,800000,1200000),VLOOKUP(B403,'$$$ Replace &amp; Retrofit'!$B$10:$C$14,2)*'CHE Model poplulation'!D403)*E403</f>
        <v>551605.04695399594</v>
      </c>
      <c r="I403" s="197">
        <f>E403*VLOOKUP('CHE Model poplulation'!G403,'$$$ Replace &amp; Retrofit'!$I$10:$J$15,2)</f>
        <v>78157.707110121628</v>
      </c>
      <c r="K403" s="239"/>
    </row>
    <row r="404" spans="1:11" ht="30" x14ac:dyDescent="0.25">
      <c r="A404" s="255" t="s">
        <v>248</v>
      </c>
      <c r="B404" s="255" t="s">
        <v>211</v>
      </c>
      <c r="C404" s="256">
        <v>2019</v>
      </c>
      <c r="D404" s="256">
        <v>300</v>
      </c>
      <c r="E404">
        <v>2.61910643836949</v>
      </c>
      <c r="F404" s="257"/>
      <c r="G404">
        <f t="shared" si="5"/>
        <v>300</v>
      </c>
      <c r="H404" s="4">
        <f>IF(B404="RTG Crane",IF(D404&lt;600,800000,1200000),VLOOKUP(B404,'$$$ Replace &amp; Retrofit'!$B$10:$C$14,2)*'CHE Model poplulation'!D404)*E404</f>
        <v>785731.93151084695</v>
      </c>
      <c r="I404" s="197">
        <f>E404*VLOOKUP('CHE Model poplulation'!G404,'$$$ Replace &amp; Retrofit'!$I$10:$J$15,2)</f>
        <v>75333.358486821642</v>
      </c>
      <c r="K404" s="239"/>
    </row>
    <row r="405" spans="1:11" ht="30" x14ac:dyDescent="0.25">
      <c r="A405" s="255" t="s">
        <v>248</v>
      </c>
      <c r="B405" s="255" t="s">
        <v>211</v>
      </c>
      <c r="C405" s="256">
        <v>2019</v>
      </c>
      <c r="D405" s="256">
        <v>600</v>
      </c>
      <c r="E405">
        <v>2.4503096572611098</v>
      </c>
      <c r="F405" s="257"/>
      <c r="G405">
        <f t="shared" si="5"/>
        <v>400</v>
      </c>
      <c r="H405" s="4">
        <f>IF(B405="RTG Crane",IF(D405&lt;600,800000,1200000),VLOOKUP(B405,'$$$ Replace &amp; Retrofit'!$B$10:$C$14,2)*'CHE Model poplulation'!D405)*E405</f>
        <v>1470185.7943566658</v>
      </c>
      <c r="I405" s="197">
        <f>E405*VLOOKUP('CHE Model poplulation'!G405,'$$$ Replace &amp; Retrofit'!$I$10:$J$15,2)</f>
        <v>128232.05529344566</v>
      </c>
      <c r="K405" s="239"/>
    </row>
    <row r="406" spans="1:11" ht="30" x14ac:dyDescent="0.25">
      <c r="A406" s="255" t="s">
        <v>248</v>
      </c>
      <c r="B406" s="255" t="s">
        <v>211</v>
      </c>
      <c r="C406" s="256">
        <v>2020</v>
      </c>
      <c r="D406" s="256">
        <v>50</v>
      </c>
      <c r="E406">
        <v>3.2197053753208702</v>
      </c>
      <c r="F406" s="257"/>
      <c r="G406">
        <f t="shared" si="5"/>
        <v>50</v>
      </c>
      <c r="H406" s="4">
        <f>IF(B406="RTG Crane",IF(D406&lt;600,800000,1200000),VLOOKUP(B406,'$$$ Replace &amp; Retrofit'!$B$10:$C$14,2)*'CHE Model poplulation'!D406)*E406</f>
        <v>160985.2687660435</v>
      </c>
      <c r="I406" s="197">
        <f>E406*VLOOKUP('CHE Model poplulation'!G406,'$$$ Replace &amp; Retrofit'!$I$10:$J$15,2)</f>
        <v>56628.178141143464</v>
      </c>
      <c r="K406" s="239"/>
    </row>
    <row r="407" spans="1:11" ht="30" x14ac:dyDescent="0.25">
      <c r="A407" s="255" t="s">
        <v>248</v>
      </c>
      <c r="B407" s="255" t="s">
        <v>211</v>
      </c>
      <c r="C407" s="256">
        <v>2020</v>
      </c>
      <c r="D407" s="256">
        <v>75</v>
      </c>
      <c r="E407">
        <v>1.3937637261559499</v>
      </c>
      <c r="F407" s="257"/>
      <c r="G407">
        <f t="shared" si="5"/>
        <v>50</v>
      </c>
      <c r="H407" s="4">
        <f>IF(B407="RTG Crane",IF(D407&lt;600,800000,1200000),VLOOKUP(B407,'$$$ Replace &amp; Retrofit'!$B$10:$C$14,2)*'CHE Model poplulation'!D407)*E407</f>
        <v>104532.27946169625</v>
      </c>
      <c r="I407" s="197">
        <f>E407*VLOOKUP('CHE Model poplulation'!G407,'$$$ Replace &amp; Retrofit'!$I$10:$J$15,2)</f>
        <v>24513.516415630846</v>
      </c>
      <c r="K407" s="239"/>
    </row>
    <row r="408" spans="1:11" ht="30" x14ac:dyDescent="0.25">
      <c r="A408" s="255" t="s">
        <v>248</v>
      </c>
      <c r="B408" s="255" t="s">
        <v>211</v>
      </c>
      <c r="C408" s="256">
        <v>2020</v>
      </c>
      <c r="D408" s="256">
        <v>100</v>
      </c>
      <c r="E408">
        <v>1.8388329315338601</v>
      </c>
      <c r="F408" s="257"/>
      <c r="G408">
        <f t="shared" si="5"/>
        <v>125</v>
      </c>
      <c r="H408" s="4">
        <f>IF(B408="RTG Crane",IF(D408&lt;600,800000,1200000),VLOOKUP(B408,'$$$ Replace &amp; Retrofit'!$B$10:$C$14,2)*'CHE Model poplulation'!D408)*E408</f>
        <v>183883.29315338601</v>
      </c>
      <c r="I408" s="197">
        <f>E408*VLOOKUP('CHE Model poplulation'!G408,'$$$ Replace &amp; Retrofit'!$I$10:$J$15,2)</f>
        <v>36285.690237957664</v>
      </c>
      <c r="K408" s="239"/>
    </row>
    <row r="409" spans="1:11" ht="30" x14ac:dyDescent="0.25">
      <c r="A409" s="255" t="s">
        <v>248</v>
      </c>
      <c r="B409" s="255" t="s">
        <v>211</v>
      </c>
      <c r="C409" s="256">
        <v>2020</v>
      </c>
      <c r="D409" s="256">
        <v>175</v>
      </c>
      <c r="E409">
        <v>3.1319907559403299</v>
      </c>
      <c r="F409" s="257"/>
      <c r="G409">
        <f t="shared" si="5"/>
        <v>175</v>
      </c>
      <c r="H409" s="4">
        <f>IF(B409="RTG Crane",IF(D409&lt;600,800000,1200000),VLOOKUP(B409,'$$$ Replace &amp; Retrofit'!$B$10:$C$14,2)*'CHE Model poplulation'!D409)*E409</f>
        <v>548098.38228955772</v>
      </c>
      <c r="I409" s="197">
        <f>E409*VLOOKUP('CHE Model poplulation'!G409,'$$$ Replace &amp; Retrofit'!$I$10:$J$15,2)</f>
        <v>77660.842784296416</v>
      </c>
      <c r="K409" s="239"/>
    </row>
    <row r="410" spans="1:11" ht="30" x14ac:dyDescent="0.25">
      <c r="A410" s="255" t="s">
        <v>248</v>
      </c>
      <c r="B410" s="255" t="s">
        <v>211</v>
      </c>
      <c r="C410" s="256">
        <v>2020</v>
      </c>
      <c r="D410" s="256">
        <v>300</v>
      </c>
      <c r="E410">
        <v>2.5991172418082602</v>
      </c>
      <c r="F410" s="257"/>
      <c r="G410">
        <f t="shared" si="5"/>
        <v>300</v>
      </c>
      <c r="H410" s="4">
        <f>IF(B410="RTG Crane",IF(D410&lt;600,800000,1200000),VLOOKUP(B410,'$$$ Replace &amp; Retrofit'!$B$10:$C$14,2)*'CHE Model poplulation'!D410)*E410</f>
        <v>779735.17254247807</v>
      </c>
      <c r="I410" s="197">
        <f>E410*VLOOKUP('CHE Model poplulation'!G410,'$$$ Replace &amp; Retrofit'!$I$10:$J$15,2)</f>
        <v>74758.409226130985</v>
      </c>
      <c r="K410" s="239"/>
    </row>
    <row r="411" spans="1:11" ht="30" x14ac:dyDescent="0.25">
      <c r="A411" s="255" t="s">
        <v>248</v>
      </c>
      <c r="B411" s="255" t="s">
        <v>211</v>
      </c>
      <c r="C411" s="256">
        <v>2020</v>
      </c>
      <c r="D411" s="256">
        <v>600</v>
      </c>
      <c r="E411">
        <v>2.4460287709177799</v>
      </c>
      <c r="F411" s="257"/>
      <c r="G411">
        <f t="shared" si="5"/>
        <v>400</v>
      </c>
      <c r="H411" s="4">
        <f>IF(B411="RTG Crane",IF(D411&lt;600,800000,1200000),VLOOKUP(B411,'$$$ Replace &amp; Retrofit'!$B$10:$C$14,2)*'CHE Model poplulation'!D411)*E411</f>
        <v>1467617.2625506679</v>
      </c>
      <c r="I411" s="197">
        <f>E411*VLOOKUP('CHE Model poplulation'!G411,'$$$ Replace &amp; Retrofit'!$I$10:$J$15,2)</f>
        <v>128008.02366844018</v>
      </c>
      <c r="K411" s="239"/>
    </row>
    <row r="412" spans="1:11" ht="30" x14ac:dyDescent="0.25">
      <c r="A412" s="255" t="s">
        <v>248</v>
      </c>
      <c r="B412" s="255" t="s">
        <v>211</v>
      </c>
      <c r="C412" s="256">
        <v>2021</v>
      </c>
      <c r="D412" s="256">
        <v>50</v>
      </c>
      <c r="E412">
        <v>3.1962188749171601</v>
      </c>
      <c r="F412" s="257"/>
      <c r="G412">
        <f t="shared" si="5"/>
        <v>50</v>
      </c>
      <c r="H412" s="4">
        <f>IF(B412="RTG Crane",IF(D412&lt;600,800000,1200000),VLOOKUP(B412,'$$$ Replace &amp; Retrofit'!$B$10:$C$14,2)*'CHE Model poplulation'!D412)*E412</f>
        <v>159810.94374585801</v>
      </c>
      <c r="I412" s="197">
        <f>E412*VLOOKUP('CHE Model poplulation'!G412,'$$$ Replace &amp; Retrofit'!$I$10:$J$15,2)</f>
        <v>56215.097572043014</v>
      </c>
      <c r="K412" s="239"/>
    </row>
    <row r="413" spans="1:11" ht="30" x14ac:dyDescent="0.25">
      <c r="A413" s="255" t="s">
        <v>248</v>
      </c>
      <c r="B413" s="255" t="s">
        <v>211</v>
      </c>
      <c r="C413" s="256">
        <v>2021</v>
      </c>
      <c r="D413" s="256">
        <v>75</v>
      </c>
      <c r="E413">
        <v>1.38428715313058</v>
      </c>
      <c r="F413" s="257"/>
      <c r="G413">
        <f t="shared" si="5"/>
        <v>50</v>
      </c>
      <c r="H413" s="4">
        <f>IF(B413="RTG Crane",IF(D413&lt;600,800000,1200000),VLOOKUP(B413,'$$$ Replace &amp; Retrofit'!$B$10:$C$14,2)*'CHE Model poplulation'!D413)*E413</f>
        <v>103821.5364847935</v>
      </c>
      <c r="I413" s="197">
        <f>E413*VLOOKUP('CHE Model poplulation'!G413,'$$$ Replace &amp; Retrofit'!$I$10:$J$15,2)</f>
        <v>24346.842449260643</v>
      </c>
      <c r="K413" s="239"/>
    </row>
    <row r="414" spans="1:11" ht="30" x14ac:dyDescent="0.25">
      <c r="A414" s="255" t="s">
        <v>248</v>
      </c>
      <c r="B414" s="255" t="s">
        <v>211</v>
      </c>
      <c r="C414" s="256">
        <v>2021</v>
      </c>
      <c r="D414" s="256">
        <v>100</v>
      </c>
      <c r="E414">
        <v>1.8278805549266199</v>
      </c>
      <c r="F414" s="257"/>
      <c r="G414">
        <f t="shared" si="5"/>
        <v>125</v>
      </c>
      <c r="H414" s="4">
        <f>IF(B414="RTG Crane",IF(D414&lt;600,800000,1200000),VLOOKUP(B414,'$$$ Replace &amp; Retrofit'!$B$10:$C$14,2)*'CHE Model poplulation'!D414)*E414</f>
        <v>182788.05549266198</v>
      </c>
      <c r="I414" s="197">
        <f>E414*VLOOKUP('CHE Model poplulation'!G414,'$$$ Replace &amp; Retrofit'!$I$10:$J$15,2)</f>
        <v>36069.566990366991</v>
      </c>
      <c r="K414" s="239"/>
    </row>
    <row r="415" spans="1:11" ht="30" x14ac:dyDescent="0.25">
      <c r="A415" s="255" t="s">
        <v>248</v>
      </c>
      <c r="B415" s="255" t="s">
        <v>211</v>
      </c>
      <c r="C415" s="256">
        <v>2021</v>
      </c>
      <c r="D415" s="256">
        <v>175</v>
      </c>
      <c r="E415">
        <v>3.1203141084892101</v>
      </c>
      <c r="F415" s="257"/>
      <c r="G415">
        <f t="shared" si="5"/>
        <v>175</v>
      </c>
      <c r="H415" s="4">
        <f>IF(B415="RTG Crane",IF(D415&lt;600,800000,1200000),VLOOKUP(B415,'$$$ Replace &amp; Retrofit'!$B$10:$C$14,2)*'CHE Model poplulation'!D415)*E415</f>
        <v>546054.96898561181</v>
      </c>
      <c r="I415" s="197">
        <f>E415*VLOOKUP('CHE Model poplulation'!G415,'$$$ Replace &amp; Retrofit'!$I$10:$J$15,2)</f>
        <v>77371.308634098459</v>
      </c>
      <c r="K415" s="239"/>
    </row>
    <row r="416" spans="1:11" ht="30" x14ac:dyDescent="0.25">
      <c r="A416" s="255" t="s">
        <v>248</v>
      </c>
      <c r="B416" s="255" t="s">
        <v>211</v>
      </c>
      <c r="C416" s="256">
        <v>2021</v>
      </c>
      <c r="D416" s="256">
        <v>300</v>
      </c>
      <c r="E416">
        <v>2.58177046796665</v>
      </c>
      <c r="F416" s="257"/>
      <c r="G416">
        <f t="shared" ref="G416:G441" si="6">IF(OR(D416=50,D416=75),50,IF(OR(D416=100,D416=125),125,IF(D416&gt;=400,400,D416)))</f>
        <v>300</v>
      </c>
      <c r="H416" s="4">
        <f>IF(B416="RTG Crane",IF(D416&lt;600,800000,1200000),VLOOKUP(B416,'$$$ Replace &amp; Retrofit'!$B$10:$C$14,2)*'CHE Model poplulation'!D416)*E416</f>
        <v>774531.14038999495</v>
      </c>
      <c r="I416" s="197">
        <f>E416*VLOOKUP('CHE Model poplulation'!G416,'$$$ Replace &amp; Retrofit'!$I$10:$J$15,2)</f>
        <v>74259.463970124751</v>
      </c>
      <c r="K416" s="239"/>
    </row>
    <row r="417" spans="1:11" ht="30" x14ac:dyDescent="0.25">
      <c r="A417" s="255" t="s">
        <v>248</v>
      </c>
      <c r="B417" s="255" t="s">
        <v>211</v>
      </c>
      <c r="C417" s="256">
        <v>2021</v>
      </c>
      <c r="D417" s="256">
        <v>600</v>
      </c>
      <c r="E417">
        <v>2.4420053197790499</v>
      </c>
      <c r="F417" s="257"/>
      <c r="G417">
        <f t="shared" si="6"/>
        <v>400</v>
      </c>
      <c r="H417" s="4">
        <f>IF(B417="RTG Crane",IF(D417&lt;600,800000,1200000),VLOOKUP(B417,'$$$ Replace &amp; Retrofit'!$B$10:$C$14,2)*'CHE Model poplulation'!D417)*E417</f>
        <v>1465203.19186743</v>
      </c>
      <c r="I417" s="197">
        <f>E417*VLOOKUP('CHE Model poplulation'!G417,'$$$ Replace &amp; Retrofit'!$I$10:$J$15,2)</f>
        <v>127797.46439999701</v>
      </c>
      <c r="K417" s="239"/>
    </row>
    <row r="418" spans="1:11" ht="30" x14ac:dyDescent="0.25">
      <c r="A418" s="255" t="s">
        <v>248</v>
      </c>
      <c r="B418" s="255" t="s">
        <v>211</v>
      </c>
      <c r="C418" s="256">
        <v>2022</v>
      </c>
      <c r="D418" s="256">
        <v>50</v>
      </c>
      <c r="E418">
        <v>3.1652212092186298</v>
      </c>
      <c r="F418" s="257"/>
      <c r="G418">
        <f t="shared" si="6"/>
        <v>50</v>
      </c>
      <c r="H418" s="4">
        <f>IF(B418="RTG Crane",IF(D418&lt;600,800000,1200000),VLOOKUP(B418,'$$$ Replace &amp; Retrofit'!$B$10:$C$14,2)*'CHE Model poplulation'!D418)*E418</f>
        <v>158261.06046093151</v>
      </c>
      <c r="I418" s="197">
        <f>E418*VLOOKUP('CHE Model poplulation'!G418,'$$$ Replace &amp; Retrofit'!$I$10:$J$15,2)</f>
        <v>55669.910627737263</v>
      </c>
      <c r="K418" s="239"/>
    </row>
    <row r="419" spans="1:11" ht="30" x14ac:dyDescent="0.25">
      <c r="A419" s="255" t="s">
        <v>248</v>
      </c>
      <c r="B419" s="255" t="s">
        <v>211</v>
      </c>
      <c r="C419" s="256">
        <v>2022</v>
      </c>
      <c r="D419" s="256">
        <v>75</v>
      </c>
      <c r="E419">
        <v>1.37368066763408</v>
      </c>
      <c r="F419" s="257"/>
      <c r="G419">
        <f t="shared" si="6"/>
        <v>50</v>
      </c>
      <c r="H419" s="4">
        <f>IF(B419="RTG Crane",IF(D419&lt;600,800000,1200000),VLOOKUP(B419,'$$$ Replace &amp; Retrofit'!$B$10:$C$14,2)*'CHE Model poplulation'!D419)*E419</f>
        <v>103026.050072556</v>
      </c>
      <c r="I419" s="197">
        <f>E419*VLOOKUP('CHE Model poplulation'!G419,'$$$ Replace &amp; Retrofit'!$I$10:$J$15,2)</f>
        <v>24160.295582348201</v>
      </c>
      <c r="K419" s="239"/>
    </row>
    <row r="420" spans="1:11" ht="30" x14ac:dyDescent="0.25">
      <c r="A420" s="255" t="s">
        <v>248</v>
      </c>
      <c r="B420" s="255" t="s">
        <v>211</v>
      </c>
      <c r="C420" s="256">
        <v>2022</v>
      </c>
      <c r="D420" s="256">
        <v>100</v>
      </c>
      <c r="E420">
        <v>1.81309619215776</v>
      </c>
      <c r="F420" s="257"/>
      <c r="G420">
        <f t="shared" si="6"/>
        <v>125</v>
      </c>
      <c r="H420" s="4">
        <f>IF(B420="RTG Crane",IF(D420&lt;600,800000,1200000),VLOOKUP(B420,'$$$ Replace &amp; Retrofit'!$B$10:$C$14,2)*'CHE Model poplulation'!D420)*E420</f>
        <v>181309.61921577601</v>
      </c>
      <c r="I420" s="197">
        <f>E420*VLOOKUP('CHE Model poplulation'!G420,'$$$ Replace &amp; Retrofit'!$I$10:$J$15,2)</f>
        <v>35777.827159849076</v>
      </c>
      <c r="K420" s="239"/>
    </row>
    <row r="421" spans="1:11" ht="30" x14ac:dyDescent="0.25">
      <c r="A421" s="255" t="s">
        <v>248</v>
      </c>
      <c r="B421" s="255" t="s">
        <v>211</v>
      </c>
      <c r="C421" s="256">
        <v>2022</v>
      </c>
      <c r="D421" s="256">
        <v>175</v>
      </c>
      <c r="E421">
        <v>3.1106221621590699</v>
      </c>
      <c r="F421" s="257"/>
      <c r="G421">
        <f t="shared" si="6"/>
        <v>175</v>
      </c>
      <c r="H421" s="4">
        <f>IF(B421="RTG Crane",IF(D421&lt;600,800000,1200000),VLOOKUP(B421,'$$$ Replace &amp; Retrofit'!$B$10:$C$14,2)*'CHE Model poplulation'!D421)*E421</f>
        <v>544358.87837783725</v>
      </c>
      <c r="I421" s="197">
        <f>E421*VLOOKUP('CHE Model poplulation'!G421,'$$$ Replace &amp; Retrofit'!$I$10:$J$15,2)</f>
        <v>77130.987132896305</v>
      </c>
      <c r="K421" s="239"/>
    </row>
    <row r="422" spans="1:11" ht="30" x14ac:dyDescent="0.25">
      <c r="A422" s="255" t="s">
        <v>248</v>
      </c>
      <c r="B422" s="255" t="s">
        <v>211</v>
      </c>
      <c r="C422" s="256">
        <v>2022</v>
      </c>
      <c r="D422" s="256">
        <v>300</v>
      </c>
      <c r="E422">
        <v>2.55854668354494</v>
      </c>
      <c r="F422" s="257"/>
      <c r="G422">
        <f t="shared" si="6"/>
        <v>300</v>
      </c>
      <c r="H422" s="4">
        <f>IF(B422="RTG Crane",IF(D422&lt;600,800000,1200000),VLOOKUP(B422,'$$$ Replace &amp; Retrofit'!$B$10:$C$14,2)*'CHE Model poplulation'!D422)*E422</f>
        <v>767564.00506348198</v>
      </c>
      <c r="I422" s="197">
        <f>E422*VLOOKUP('CHE Model poplulation'!G422,'$$$ Replace &amp; Retrofit'!$I$10:$J$15,2)</f>
        <v>73591.478258803108</v>
      </c>
      <c r="K422" s="239"/>
    </row>
    <row r="423" spans="1:11" ht="30" x14ac:dyDescent="0.25">
      <c r="A423" s="255" t="s">
        <v>248</v>
      </c>
      <c r="B423" s="255" t="s">
        <v>211</v>
      </c>
      <c r="C423" s="256">
        <v>2022</v>
      </c>
      <c r="D423" s="256">
        <v>600</v>
      </c>
      <c r="E423">
        <v>2.4328642660324999</v>
      </c>
      <c r="F423" s="257"/>
      <c r="G423">
        <f t="shared" si="6"/>
        <v>400</v>
      </c>
      <c r="H423" s="4">
        <f>IF(B423="RTG Crane",IF(D423&lt;600,800000,1200000),VLOOKUP(B423,'$$$ Replace &amp; Retrofit'!$B$10:$C$14,2)*'CHE Model poplulation'!D423)*E423</f>
        <v>1459718.5596195001</v>
      </c>
      <c r="I423" s="197">
        <f>E423*VLOOKUP('CHE Model poplulation'!G423,'$$$ Replace &amp; Retrofit'!$I$10:$J$15,2)</f>
        <v>127319.08563427882</v>
      </c>
      <c r="K423" s="239"/>
    </row>
    <row r="424" spans="1:11" ht="30" x14ac:dyDescent="0.25">
      <c r="A424" s="255" t="s">
        <v>248</v>
      </c>
      <c r="B424" s="255" t="s">
        <v>211</v>
      </c>
      <c r="C424" s="256">
        <v>2023</v>
      </c>
      <c r="D424" s="256">
        <v>50</v>
      </c>
      <c r="E424">
        <v>3.1193313214649199</v>
      </c>
      <c r="F424" s="257"/>
      <c r="G424">
        <f t="shared" si="6"/>
        <v>50</v>
      </c>
      <c r="H424" s="4">
        <f>IF(B424="RTG Crane",IF(D424&lt;600,800000,1200000),VLOOKUP(B424,'$$$ Replace &amp; Retrofit'!$B$10:$C$14,2)*'CHE Model poplulation'!D424)*E424</f>
        <v>155966.56607324598</v>
      </c>
      <c r="I424" s="197">
        <f>E424*VLOOKUP('CHE Model poplulation'!G424,'$$$ Replace &amp; Retrofit'!$I$10:$J$15,2)</f>
        <v>54862.799281925014</v>
      </c>
      <c r="K424" s="239"/>
    </row>
    <row r="425" spans="1:11" ht="30" x14ac:dyDescent="0.25">
      <c r="A425" s="255" t="s">
        <v>248</v>
      </c>
      <c r="B425" s="255" t="s">
        <v>211</v>
      </c>
      <c r="C425" s="256">
        <v>2023</v>
      </c>
      <c r="D425" s="256">
        <v>75</v>
      </c>
      <c r="E425">
        <v>1.35685501620989</v>
      </c>
      <c r="F425" s="257"/>
      <c r="G425">
        <f t="shared" si="6"/>
        <v>50</v>
      </c>
      <c r="H425" s="4">
        <f>IF(B425="RTG Crane",IF(D425&lt;600,800000,1200000),VLOOKUP(B425,'$$$ Replace &amp; Retrofit'!$B$10:$C$14,2)*'CHE Model poplulation'!D425)*E425</f>
        <v>101764.12621574175</v>
      </c>
      <c r="I425" s="197">
        <f>E425*VLOOKUP('CHE Model poplulation'!G425,'$$$ Replace &amp; Retrofit'!$I$10:$J$15,2)</f>
        <v>23864.366025099545</v>
      </c>
      <c r="K425" s="239"/>
    </row>
    <row r="426" spans="1:11" ht="30" x14ac:dyDescent="0.25">
      <c r="A426" s="255" t="s">
        <v>248</v>
      </c>
      <c r="B426" s="255" t="s">
        <v>211</v>
      </c>
      <c r="C426" s="256">
        <v>2023</v>
      </c>
      <c r="D426" s="256">
        <v>100</v>
      </c>
      <c r="E426">
        <v>1.7895764710988999</v>
      </c>
      <c r="F426" s="257"/>
      <c r="G426">
        <f t="shared" si="6"/>
        <v>125</v>
      </c>
      <c r="H426" s="4">
        <f>IF(B426="RTG Crane",IF(D426&lt;600,800000,1200000),VLOOKUP(B426,'$$$ Replace &amp; Retrofit'!$B$10:$C$14,2)*'CHE Model poplulation'!D426)*E426</f>
        <v>178957.64710989001</v>
      </c>
      <c r="I426" s="197">
        <f>E426*VLOOKUP('CHE Model poplulation'!G426,'$$$ Replace &amp; Retrofit'!$I$10:$J$15,2)</f>
        <v>35313.712504194591</v>
      </c>
      <c r="K426" s="239"/>
    </row>
    <row r="427" spans="1:11" ht="30" x14ac:dyDescent="0.25">
      <c r="A427" s="255" t="s">
        <v>248</v>
      </c>
      <c r="B427" s="255" t="s">
        <v>211</v>
      </c>
      <c r="C427" s="256">
        <v>2023</v>
      </c>
      <c r="D427" s="256">
        <v>175</v>
      </c>
      <c r="E427">
        <v>3.0963611982845798</v>
      </c>
      <c r="F427" s="257"/>
      <c r="G427">
        <f t="shared" si="6"/>
        <v>175</v>
      </c>
      <c r="H427" s="4">
        <f>IF(B427="RTG Crane",IF(D427&lt;600,800000,1200000),VLOOKUP(B427,'$$$ Replace &amp; Retrofit'!$B$10:$C$14,2)*'CHE Model poplulation'!D427)*E427</f>
        <v>541863.20969980152</v>
      </c>
      <c r="I427" s="197">
        <f>E427*VLOOKUP('CHE Model poplulation'!G427,'$$$ Replace &amp; Retrofit'!$I$10:$J$15,2)</f>
        <v>76777.372272664434</v>
      </c>
      <c r="K427" s="239"/>
    </row>
    <row r="428" spans="1:11" ht="30" x14ac:dyDescent="0.25">
      <c r="A428" s="255" t="s">
        <v>248</v>
      </c>
      <c r="B428" s="255" t="s">
        <v>211</v>
      </c>
      <c r="C428" s="256">
        <v>2023</v>
      </c>
      <c r="D428" s="256">
        <v>300</v>
      </c>
      <c r="E428">
        <v>2.5241730099136501</v>
      </c>
      <c r="F428" s="257"/>
      <c r="G428">
        <f t="shared" si="6"/>
        <v>300</v>
      </c>
      <c r="H428" s="4">
        <f>IF(B428="RTG Crane",IF(D428&lt;600,800000,1200000),VLOOKUP(B428,'$$$ Replace &amp; Retrofit'!$B$10:$C$14,2)*'CHE Model poplulation'!D428)*E428</f>
        <v>757251.90297409508</v>
      </c>
      <c r="I428" s="197">
        <f>E428*VLOOKUP('CHE Model poplulation'!G428,'$$$ Replace &amp; Retrofit'!$I$10:$J$15,2)</f>
        <v>72602.788284146314</v>
      </c>
      <c r="K428" s="239"/>
    </row>
    <row r="429" spans="1:11" ht="30" x14ac:dyDescent="0.25">
      <c r="A429" s="255" t="s">
        <v>248</v>
      </c>
      <c r="B429" s="255" t="s">
        <v>211</v>
      </c>
      <c r="C429" s="256">
        <v>2023</v>
      </c>
      <c r="D429" s="256">
        <v>600</v>
      </c>
      <c r="E429">
        <v>2.4077615847352698</v>
      </c>
      <c r="F429" s="257"/>
      <c r="G429">
        <f t="shared" si="6"/>
        <v>400</v>
      </c>
      <c r="H429" s="4">
        <f>IF(B429="RTG Crane",IF(D429&lt;600,800000,1200000),VLOOKUP(B429,'$$$ Replace &amp; Retrofit'!$B$10:$C$14,2)*'CHE Model poplulation'!D429)*E429</f>
        <v>1444656.9508411619</v>
      </c>
      <c r="I429" s="197">
        <f>E429*VLOOKUP('CHE Model poplulation'!G429,'$$$ Replace &amp; Retrofit'!$I$10:$J$15,2)</f>
        <v>126005.38701395088</v>
      </c>
      <c r="K429" s="239"/>
    </row>
    <row r="430" spans="1:11" ht="30" x14ac:dyDescent="0.25">
      <c r="A430" s="255" t="s">
        <v>248</v>
      </c>
      <c r="B430" s="255" t="s">
        <v>211</v>
      </c>
      <c r="C430" s="256">
        <v>2024</v>
      </c>
      <c r="D430" s="256">
        <v>50</v>
      </c>
      <c r="E430">
        <v>3.0416390480501398</v>
      </c>
      <c r="F430" s="257"/>
      <c r="G430">
        <f t="shared" si="6"/>
        <v>50</v>
      </c>
      <c r="H430" s="4">
        <f>IF(B430="RTG Crane",IF(D430&lt;600,800000,1200000),VLOOKUP(B430,'$$$ Replace &amp; Retrofit'!$B$10:$C$14,2)*'CHE Model poplulation'!D430)*E430</f>
        <v>152081.95240250698</v>
      </c>
      <c r="I430" s="197">
        <f>E430*VLOOKUP('CHE Model poplulation'!G430,'$$$ Replace &amp; Retrofit'!$I$10:$J$15,2)</f>
        <v>53496.347577105858</v>
      </c>
      <c r="K430" s="239"/>
    </row>
    <row r="431" spans="1:11" ht="30" x14ac:dyDescent="0.25">
      <c r="A431" s="255" t="s">
        <v>248</v>
      </c>
      <c r="B431" s="255" t="s">
        <v>211</v>
      </c>
      <c r="C431" s="256">
        <v>2024</v>
      </c>
      <c r="D431" s="256">
        <v>75</v>
      </c>
      <c r="E431">
        <v>1.33467815678548</v>
      </c>
      <c r="F431" s="257"/>
      <c r="G431">
        <f t="shared" si="6"/>
        <v>50</v>
      </c>
      <c r="H431" s="4">
        <f>IF(B431="RTG Crane",IF(D431&lt;600,800000,1200000),VLOOKUP(B431,'$$$ Replace &amp; Retrofit'!$B$10:$C$14,2)*'CHE Model poplulation'!D431)*E431</f>
        <v>100100.86175891099</v>
      </c>
      <c r="I431" s="197">
        <f>E431*VLOOKUP('CHE Model poplulation'!G431,'$$$ Replace &amp; Retrofit'!$I$10:$J$15,2)</f>
        <v>23474.319421543023</v>
      </c>
      <c r="K431" s="239"/>
    </row>
    <row r="432" spans="1:11" ht="30" x14ac:dyDescent="0.25">
      <c r="A432" s="255" t="s">
        <v>248</v>
      </c>
      <c r="B432" s="255" t="s">
        <v>211</v>
      </c>
      <c r="C432" s="256">
        <v>2024</v>
      </c>
      <c r="D432" s="256">
        <v>100</v>
      </c>
      <c r="E432">
        <v>1.74701364406542</v>
      </c>
      <c r="F432" s="257"/>
      <c r="G432">
        <f t="shared" si="6"/>
        <v>125</v>
      </c>
      <c r="H432" s="4">
        <f>IF(B432="RTG Crane",IF(D432&lt;600,800000,1200000),VLOOKUP(B432,'$$$ Replace &amp; Retrofit'!$B$10:$C$14,2)*'CHE Model poplulation'!D432)*E432</f>
        <v>174701.36440654201</v>
      </c>
      <c r="I432" s="197">
        <f>E432*VLOOKUP('CHE Model poplulation'!G432,'$$$ Replace &amp; Retrofit'!$I$10:$J$15,2)</f>
        <v>34473.820238342931</v>
      </c>
      <c r="K432" s="239"/>
    </row>
    <row r="433" spans="1:11" ht="30" x14ac:dyDescent="0.25">
      <c r="A433" s="255" t="s">
        <v>248</v>
      </c>
      <c r="B433" s="255" t="s">
        <v>211</v>
      </c>
      <c r="C433" s="256">
        <v>2024</v>
      </c>
      <c r="D433" s="256">
        <v>175</v>
      </c>
      <c r="E433">
        <v>3.0752523453518901</v>
      </c>
      <c r="F433" s="257"/>
      <c r="G433">
        <f t="shared" si="6"/>
        <v>175</v>
      </c>
      <c r="H433" s="4">
        <f>IF(B433="RTG Crane",IF(D433&lt;600,800000,1200000),VLOOKUP(B433,'$$$ Replace &amp; Retrofit'!$B$10:$C$14,2)*'CHE Model poplulation'!D433)*E433</f>
        <v>538169.16043658077</v>
      </c>
      <c r="I433" s="197">
        <f>E433*VLOOKUP('CHE Model poplulation'!G433,'$$$ Replace &amp; Retrofit'!$I$10:$J$15,2)</f>
        <v>76253.957155345473</v>
      </c>
      <c r="K433" s="239"/>
    </row>
    <row r="434" spans="1:11" ht="30" x14ac:dyDescent="0.25">
      <c r="A434" s="255" t="s">
        <v>248</v>
      </c>
      <c r="B434" s="255" t="s">
        <v>211</v>
      </c>
      <c r="C434" s="256">
        <v>2024</v>
      </c>
      <c r="D434" s="256">
        <v>300</v>
      </c>
      <c r="E434">
        <v>2.4660864145286698</v>
      </c>
      <c r="F434" s="257"/>
      <c r="G434">
        <f t="shared" si="6"/>
        <v>300</v>
      </c>
      <c r="H434" s="4">
        <f>IF(B434="RTG Crane",IF(D434&lt;600,800000,1200000),VLOOKUP(B434,'$$$ Replace &amp; Retrofit'!$B$10:$C$14,2)*'CHE Model poplulation'!D434)*E434</f>
        <v>739825.92435860098</v>
      </c>
      <c r="I434" s="197">
        <f>E434*VLOOKUP('CHE Model poplulation'!G434,'$$$ Replace &amp; Retrofit'!$I$10:$J$15,2)</f>
        <v>70932.043541088133</v>
      </c>
      <c r="K434" s="239"/>
    </row>
    <row r="435" spans="1:11" ht="30" x14ac:dyDescent="0.25">
      <c r="A435" s="255" t="s">
        <v>248</v>
      </c>
      <c r="B435" s="255" t="s">
        <v>211</v>
      </c>
      <c r="C435" s="256">
        <v>2024</v>
      </c>
      <c r="D435" s="256">
        <v>600</v>
      </c>
      <c r="E435">
        <v>2.3769687056833</v>
      </c>
      <c r="F435" s="257"/>
      <c r="G435">
        <f t="shared" si="6"/>
        <v>400</v>
      </c>
      <c r="H435" s="4">
        <f>IF(B435="RTG Crane",IF(D435&lt;600,800000,1200000),VLOOKUP(B435,'$$$ Replace &amp; Retrofit'!$B$10:$C$14,2)*'CHE Model poplulation'!D435)*E435</f>
        <v>1426181.2234099801</v>
      </c>
      <c r="I435" s="197">
        <f>E435*VLOOKUP('CHE Model poplulation'!G435,'$$$ Replace &amp; Retrofit'!$I$10:$J$15,2)</f>
        <v>124393.90327452414</v>
      </c>
      <c r="K435" s="239"/>
    </row>
    <row r="436" spans="1:11" ht="30" x14ac:dyDescent="0.25">
      <c r="A436" s="255" t="s">
        <v>248</v>
      </c>
      <c r="B436" s="255" t="s">
        <v>211</v>
      </c>
      <c r="C436" s="256">
        <v>2025</v>
      </c>
      <c r="D436" s="256">
        <v>50</v>
      </c>
      <c r="E436">
        <v>2.9772553860597002</v>
      </c>
      <c r="F436" s="257"/>
      <c r="G436">
        <f t="shared" si="6"/>
        <v>50</v>
      </c>
      <c r="H436" s="4">
        <f>IF(B436="RTG Crane",IF(D436&lt;600,800000,1200000),VLOOKUP(B436,'$$$ Replace &amp; Retrofit'!$B$10:$C$14,2)*'CHE Model poplulation'!D436)*E436</f>
        <v>148862.76930298502</v>
      </c>
      <c r="I436" s="197">
        <f>E436*VLOOKUP('CHE Model poplulation'!G436,'$$$ Replace &amp; Retrofit'!$I$10:$J$15,2)</f>
        <v>52363.967730018005</v>
      </c>
      <c r="K436" s="239"/>
    </row>
    <row r="437" spans="1:11" ht="30" x14ac:dyDescent="0.25">
      <c r="A437" s="255" t="s">
        <v>248</v>
      </c>
      <c r="B437" s="255" t="s">
        <v>211</v>
      </c>
      <c r="C437" s="256">
        <v>2025</v>
      </c>
      <c r="D437" s="256">
        <v>75</v>
      </c>
      <c r="E437">
        <v>1.3099090115566401</v>
      </c>
      <c r="F437" s="257"/>
      <c r="G437">
        <f t="shared" si="6"/>
        <v>50</v>
      </c>
      <c r="H437" s="4">
        <f>IF(B437="RTG Crane",IF(D437&lt;600,800000,1200000),VLOOKUP(B437,'$$$ Replace &amp; Retrofit'!$B$10:$C$14,2)*'CHE Model poplulation'!D437)*E437</f>
        <v>98243.175866748003</v>
      </c>
      <c r="I437" s="197">
        <f>E437*VLOOKUP('CHE Model poplulation'!G437,'$$$ Replace &amp; Retrofit'!$I$10:$J$15,2)</f>
        <v>23038.679695258186</v>
      </c>
      <c r="K437" s="239"/>
    </row>
    <row r="438" spans="1:11" ht="30" x14ac:dyDescent="0.25">
      <c r="A438" s="255" t="s">
        <v>248</v>
      </c>
      <c r="B438" s="255" t="s">
        <v>211</v>
      </c>
      <c r="C438" s="256">
        <v>2025</v>
      </c>
      <c r="D438" s="256">
        <v>100</v>
      </c>
      <c r="E438">
        <v>1.7079247226344101</v>
      </c>
      <c r="F438" s="257"/>
      <c r="G438">
        <f t="shared" si="6"/>
        <v>125</v>
      </c>
      <c r="H438" s="4">
        <f>IF(B438="RTG Crane",IF(D438&lt;600,800000,1200000),VLOOKUP(B438,'$$$ Replace &amp; Retrofit'!$B$10:$C$14,2)*'CHE Model poplulation'!D438)*E438</f>
        <v>170792.47226344101</v>
      </c>
      <c r="I438" s="197">
        <f>E438*VLOOKUP('CHE Model poplulation'!G438,'$$$ Replace &amp; Retrofit'!$I$10:$J$15,2)</f>
        <v>33702.478551744811</v>
      </c>
      <c r="K438" s="239"/>
    </row>
    <row r="439" spans="1:11" ht="30" x14ac:dyDescent="0.25">
      <c r="A439" s="255" t="s">
        <v>248</v>
      </c>
      <c r="B439" s="255" t="s">
        <v>211</v>
      </c>
      <c r="C439" s="256">
        <v>2025</v>
      </c>
      <c r="D439" s="256">
        <v>175</v>
      </c>
      <c r="E439">
        <v>3.0652387395630201</v>
      </c>
      <c r="F439" s="257"/>
      <c r="G439">
        <f t="shared" si="6"/>
        <v>175</v>
      </c>
      <c r="H439" s="4">
        <f>IF(B439="RTG Crane",IF(D439&lt;600,800000,1200000),VLOOKUP(B439,'$$$ Replace &amp; Retrofit'!$B$10:$C$14,2)*'CHE Model poplulation'!D439)*E439</f>
        <v>536416.77942352847</v>
      </c>
      <c r="I439" s="197">
        <f>E439*VLOOKUP('CHE Model poplulation'!G439,'$$$ Replace &amp; Retrofit'!$I$10:$J$15,2)</f>
        <v>76005.659786204647</v>
      </c>
      <c r="K439" s="239"/>
    </row>
    <row r="440" spans="1:11" ht="30" x14ac:dyDescent="0.25">
      <c r="A440" s="255" t="s">
        <v>248</v>
      </c>
      <c r="B440" s="255" t="s">
        <v>211</v>
      </c>
      <c r="C440" s="256">
        <v>2025</v>
      </c>
      <c r="D440" s="256">
        <v>300</v>
      </c>
      <c r="E440">
        <v>2.4216015238944202</v>
      </c>
      <c r="F440" s="257"/>
      <c r="G440">
        <f t="shared" si="6"/>
        <v>300</v>
      </c>
      <c r="H440" s="4">
        <f>IF(B440="RTG Crane",IF(D440&lt;600,800000,1200000),VLOOKUP(B440,'$$$ Replace &amp; Retrofit'!$B$10:$C$14,2)*'CHE Model poplulation'!D440)*E440</f>
        <v>726480.45716832601</v>
      </c>
      <c r="I440" s="197">
        <f>E440*VLOOKUP('CHE Model poplulation'!G440,'$$$ Replace &amp; Retrofit'!$I$10:$J$15,2)</f>
        <v>69652.524631775203</v>
      </c>
      <c r="K440" s="239"/>
    </row>
    <row r="441" spans="1:11" ht="30" x14ac:dyDescent="0.25">
      <c r="A441" s="255" t="s">
        <v>248</v>
      </c>
      <c r="B441" s="255" t="s">
        <v>211</v>
      </c>
      <c r="C441" s="256">
        <v>2025</v>
      </c>
      <c r="D441" s="256">
        <v>600</v>
      </c>
      <c r="E441">
        <v>2.3370887368806601</v>
      </c>
      <c r="F441" s="257"/>
      <c r="G441">
        <f t="shared" si="6"/>
        <v>400</v>
      </c>
      <c r="H441" s="4">
        <f>IF(B441="RTG Crane",IF(D441&lt;600,800000,1200000),VLOOKUP(B441,'$$$ Replace &amp; Retrofit'!$B$10:$C$14,2)*'CHE Model poplulation'!D441)*E441</f>
        <v>1402253.2421283962</v>
      </c>
      <c r="I441" s="197">
        <f>E441*VLOOKUP('CHE Model poplulation'!G441,'$$$ Replace &amp; Retrofit'!$I$10:$J$15,2)</f>
        <v>122306.86486717558</v>
      </c>
      <c r="K441" s="239"/>
    </row>
    <row r="442" spans="1:11" x14ac:dyDescent="0.25">
      <c r="A442" s="255" t="s">
        <v>248</v>
      </c>
      <c r="B442" s="255" t="s">
        <v>212</v>
      </c>
      <c r="C442" s="256">
        <v>2006</v>
      </c>
      <c r="D442" s="256">
        <v>100</v>
      </c>
      <c r="E442">
        <v>0</v>
      </c>
      <c r="F442" s="257"/>
      <c r="H442" s="239"/>
      <c r="I442" s="4"/>
      <c r="K442" s="239"/>
    </row>
    <row r="443" spans="1:11" x14ac:dyDescent="0.25">
      <c r="A443" s="255" t="s">
        <v>248</v>
      </c>
      <c r="B443" s="255" t="s">
        <v>212</v>
      </c>
      <c r="C443" s="256">
        <v>2006</v>
      </c>
      <c r="D443" s="256">
        <v>300</v>
      </c>
      <c r="E443">
        <v>0</v>
      </c>
      <c r="F443" s="257"/>
      <c r="H443" s="239"/>
      <c r="I443" s="4"/>
      <c r="K443" s="239"/>
    </row>
    <row r="444" spans="1:11" x14ac:dyDescent="0.25">
      <c r="A444" s="255" t="s">
        <v>248</v>
      </c>
      <c r="B444" s="255" t="s">
        <v>212</v>
      </c>
      <c r="C444" s="256">
        <v>2006</v>
      </c>
      <c r="D444" s="256">
        <v>600</v>
      </c>
      <c r="E444">
        <v>0</v>
      </c>
      <c r="F444" s="257"/>
      <c r="H444" s="239"/>
      <c r="I444" s="4"/>
      <c r="K444" s="239"/>
    </row>
    <row r="445" spans="1:11" x14ac:dyDescent="0.25">
      <c r="A445" s="255" t="s">
        <v>248</v>
      </c>
      <c r="B445" s="255" t="s">
        <v>212</v>
      </c>
      <c r="C445" s="256">
        <v>2006</v>
      </c>
      <c r="D445" s="256">
        <v>750</v>
      </c>
      <c r="E445">
        <v>0</v>
      </c>
      <c r="F445" s="257"/>
      <c r="H445" s="239"/>
      <c r="I445" s="4"/>
      <c r="K445" s="239"/>
    </row>
    <row r="446" spans="1:11" x14ac:dyDescent="0.25">
      <c r="A446" s="255" t="s">
        <v>248</v>
      </c>
      <c r="B446" s="255" t="s">
        <v>212</v>
      </c>
      <c r="C446" s="256">
        <v>2006</v>
      </c>
      <c r="D446" s="256">
        <v>9999</v>
      </c>
      <c r="E446">
        <v>0</v>
      </c>
      <c r="F446" s="257"/>
      <c r="H446" s="239"/>
      <c r="I446" s="4"/>
      <c r="K446" s="239"/>
    </row>
    <row r="447" spans="1:11" x14ac:dyDescent="0.25">
      <c r="A447" s="255" t="s">
        <v>248</v>
      </c>
      <c r="B447" s="255" t="s">
        <v>212</v>
      </c>
      <c r="C447" s="256">
        <v>2007</v>
      </c>
      <c r="D447" s="256">
        <v>100</v>
      </c>
      <c r="E447">
        <v>0</v>
      </c>
      <c r="F447" s="257"/>
      <c r="H447" s="239"/>
      <c r="I447" s="4"/>
      <c r="K447" s="239"/>
    </row>
    <row r="448" spans="1:11" x14ac:dyDescent="0.25">
      <c r="A448" s="255" t="s">
        <v>248</v>
      </c>
      <c r="B448" s="255" t="s">
        <v>212</v>
      </c>
      <c r="C448" s="256">
        <v>2007</v>
      </c>
      <c r="D448" s="256">
        <v>300</v>
      </c>
      <c r="E448">
        <v>0</v>
      </c>
      <c r="F448" s="257"/>
      <c r="H448" s="239"/>
      <c r="I448" s="4"/>
      <c r="K448" s="239"/>
    </row>
    <row r="449" spans="1:11" x14ac:dyDescent="0.25">
      <c r="A449" s="255" t="s">
        <v>248</v>
      </c>
      <c r="B449" s="255" t="s">
        <v>212</v>
      </c>
      <c r="C449" s="256">
        <v>2007</v>
      </c>
      <c r="D449" s="256">
        <v>600</v>
      </c>
      <c r="E449">
        <v>0</v>
      </c>
      <c r="F449" s="257"/>
      <c r="H449" s="239"/>
      <c r="I449" s="4"/>
      <c r="K449" s="239"/>
    </row>
    <row r="450" spans="1:11" x14ac:dyDescent="0.25">
      <c r="A450" s="255" t="s">
        <v>248</v>
      </c>
      <c r="B450" s="255" t="s">
        <v>212</v>
      </c>
      <c r="C450" s="256">
        <v>2007</v>
      </c>
      <c r="D450" s="256">
        <v>750</v>
      </c>
      <c r="E450">
        <v>0</v>
      </c>
      <c r="F450" s="257"/>
      <c r="H450" s="239"/>
      <c r="I450" s="4"/>
      <c r="K450" s="239"/>
    </row>
    <row r="451" spans="1:11" x14ac:dyDescent="0.25">
      <c r="A451" s="255" t="s">
        <v>248</v>
      </c>
      <c r="B451" s="255" t="s">
        <v>212</v>
      </c>
      <c r="C451" s="256">
        <v>2007</v>
      </c>
      <c r="D451" s="256">
        <v>9999</v>
      </c>
      <c r="E451">
        <v>0</v>
      </c>
      <c r="F451" s="257"/>
      <c r="H451" s="239"/>
      <c r="I451" s="4"/>
      <c r="K451" s="239"/>
    </row>
    <row r="452" spans="1:11" x14ac:dyDescent="0.25">
      <c r="A452" s="255" t="s">
        <v>248</v>
      </c>
      <c r="B452" s="255" t="s">
        <v>212</v>
      </c>
      <c r="C452" s="256">
        <v>2008</v>
      </c>
      <c r="D452" s="256">
        <v>100</v>
      </c>
      <c r="E452">
        <v>0</v>
      </c>
      <c r="F452" s="257"/>
      <c r="H452" s="239"/>
      <c r="I452" s="4"/>
      <c r="K452" s="239"/>
    </row>
    <row r="453" spans="1:11" x14ac:dyDescent="0.25">
      <c r="A453" s="255" t="s">
        <v>248</v>
      </c>
      <c r="B453" s="255" t="s">
        <v>212</v>
      </c>
      <c r="C453" s="256">
        <v>2008</v>
      </c>
      <c r="D453" s="256">
        <v>300</v>
      </c>
      <c r="E453">
        <v>0</v>
      </c>
      <c r="F453" s="257"/>
      <c r="H453" s="239"/>
      <c r="I453" s="4"/>
      <c r="K453" s="239"/>
    </row>
    <row r="454" spans="1:11" x14ac:dyDescent="0.25">
      <c r="A454" s="255" t="s">
        <v>248</v>
      </c>
      <c r="B454" s="255" t="s">
        <v>212</v>
      </c>
      <c r="C454" s="256">
        <v>2008</v>
      </c>
      <c r="D454" s="256">
        <v>600</v>
      </c>
      <c r="E454">
        <v>0</v>
      </c>
      <c r="F454" s="257"/>
      <c r="H454" s="239"/>
      <c r="I454" s="4"/>
      <c r="K454" s="239"/>
    </row>
    <row r="455" spans="1:11" x14ac:dyDescent="0.25">
      <c r="A455" s="255" t="s">
        <v>248</v>
      </c>
      <c r="B455" s="255" t="s">
        <v>212</v>
      </c>
      <c r="C455" s="256">
        <v>2008</v>
      </c>
      <c r="D455" s="256">
        <v>750</v>
      </c>
      <c r="E455">
        <v>0</v>
      </c>
      <c r="F455" s="257"/>
      <c r="H455" s="239"/>
      <c r="I455" s="4"/>
      <c r="K455" s="239"/>
    </row>
    <row r="456" spans="1:11" x14ac:dyDescent="0.25">
      <c r="A456" s="255" t="s">
        <v>248</v>
      </c>
      <c r="B456" s="255" t="s">
        <v>212</v>
      </c>
      <c r="C456" s="256">
        <v>2008</v>
      </c>
      <c r="D456" s="256">
        <v>9999</v>
      </c>
      <c r="E456">
        <v>0</v>
      </c>
      <c r="F456" s="257"/>
      <c r="H456" s="239"/>
      <c r="I456" s="4"/>
      <c r="K456" s="239"/>
    </row>
    <row r="457" spans="1:11" x14ac:dyDescent="0.25">
      <c r="A457" s="255" t="s">
        <v>248</v>
      </c>
      <c r="B457" s="255" t="s">
        <v>212</v>
      </c>
      <c r="C457" s="256">
        <v>2009</v>
      </c>
      <c r="D457" s="256">
        <v>100</v>
      </c>
      <c r="E457">
        <v>0</v>
      </c>
      <c r="F457" s="257"/>
      <c r="H457" s="239"/>
      <c r="I457" s="4"/>
      <c r="K457" s="239"/>
    </row>
    <row r="458" spans="1:11" x14ac:dyDescent="0.25">
      <c r="A458" s="255" t="s">
        <v>248</v>
      </c>
      <c r="B458" s="255" t="s">
        <v>212</v>
      </c>
      <c r="C458" s="256">
        <v>2009</v>
      </c>
      <c r="D458" s="256">
        <v>300</v>
      </c>
      <c r="E458">
        <v>0</v>
      </c>
      <c r="F458" s="257"/>
      <c r="H458" s="239"/>
      <c r="I458" s="4"/>
      <c r="K458" s="239"/>
    </row>
    <row r="459" spans="1:11" x14ac:dyDescent="0.25">
      <c r="A459" s="255" t="s">
        <v>248</v>
      </c>
      <c r="B459" s="255" t="s">
        <v>212</v>
      </c>
      <c r="C459" s="256">
        <v>2009</v>
      </c>
      <c r="D459" s="256">
        <v>600</v>
      </c>
      <c r="E459">
        <v>0</v>
      </c>
      <c r="F459" s="257"/>
      <c r="H459" s="239"/>
      <c r="I459" s="4"/>
      <c r="K459" s="239"/>
    </row>
    <row r="460" spans="1:11" x14ac:dyDescent="0.25">
      <c r="A460" s="255" t="s">
        <v>248</v>
      </c>
      <c r="B460" s="255" t="s">
        <v>212</v>
      </c>
      <c r="C460" s="256">
        <v>2009</v>
      </c>
      <c r="D460" s="256">
        <v>750</v>
      </c>
      <c r="E460">
        <v>0</v>
      </c>
      <c r="F460" s="257"/>
      <c r="H460" s="239"/>
      <c r="I460" s="4"/>
      <c r="K460" s="239"/>
    </row>
    <row r="461" spans="1:11" x14ac:dyDescent="0.25">
      <c r="A461" s="255" t="s">
        <v>248</v>
      </c>
      <c r="B461" s="255" t="s">
        <v>212</v>
      </c>
      <c r="C461" s="256">
        <v>2009</v>
      </c>
      <c r="D461" s="256">
        <v>9999</v>
      </c>
      <c r="E461">
        <v>0</v>
      </c>
      <c r="F461" s="257"/>
      <c r="H461" s="239"/>
      <c r="I461" s="4"/>
      <c r="K461" s="239"/>
    </row>
    <row r="462" spans="1:11" x14ac:dyDescent="0.25">
      <c r="A462" s="255" t="s">
        <v>248</v>
      </c>
      <c r="B462" s="255" t="s">
        <v>212</v>
      </c>
      <c r="C462" s="256">
        <v>2010</v>
      </c>
      <c r="D462" s="256">
        <v>100</v>
      </c>
      <c r="E462">
        <v>0</v>
      </c>
      <c r="F462" s="257"/>
      <c r="H462" s="239"/>
      <c r="I462" s="4"/>
      <c r="K462" s="239"/>
    </row>
    <row r="463" spans="1:11" x14ac:dyDescent="0.25">
      <c r="A463" s="255" t="s">
        <v>248</v>
      </c>
      <c r="B463" s="255" t="s">
        <v>212</v>
      </c>
      <c r="C463" s="256">
        <v>2010</v>
      </c>
      <c r="D463" s="256">
        <v>300</v>
      </c>
      <c r="E463">
        <v>0</v>
      </c>
      <c r="F463" s="257"/>
      <c r="H463" s="239"/>
      <c r="I463" s="4"/>
      <c r="K463" s="239"/>
    </row>
    <row r="464" spans="1:11" x14ac:dyDescent="0.25">
      <c r="A464" s="255" t="s">
        <v>248</v>
      </c>
      <c r="B464" s="255" t="s">
        <v>212</v>
      </c>
      <c r="C464" s="256">
        <v>2010</v>
      </c>
      <c r="D464" s="256">
        <v>600</v>
      </c>
      <c r="E464">
        <v>0</v>
      </c>
      <c r="F464" s="257"/>
      <c r="H464" s="239"/>
      <c r="I464" s="4"/>
      <c r="K464" s="239"/>
    </row>
    <row r="465" spans="1:12" x14ac:dyDescent="0.25">
      <c r="A465" s="255" t="s">
        <v>248</v>
      </c>
      <c r="B465" s="255" t="s">
        <v>212</v>
      </c>
      <c r="C465" s="256">
        <v>2010</v>
      </c>
      <c r="D465" s="256">
        <v>750</v>
      </c>
      <c r="E465">
        <v>0</v>
      </c>
      <c r="F465" s="257"/>
      <c r="H465" s="239"/>
      <c r="I465" s="4"/>
      <c r="K465" s="239"/>
    </row>
    <row r="466" spans="1:12" x14ac:dyDescent="0.25">
      <c r="A466" s="255" t="s">
        <v>248</v>
      </c>
      <c r="B466" s="255" t="s">
        <v>212</v>
      </c>
      <c r="C466" s="256">
        <v>2010</v>
      </c>
      <c r="D466" s="256">
        <v>9999</v>
      </c>
      <c r="E466">
        <v>0</v>
      </c>
      <c r="F466" s="257"/>
      <c r="H466" s="239"/>
      <c r="I466" s="4"/>
      <c r="K466" s="239"/>
    </row>
    <row r="467" spans="1:12" x14ac:dyDescent="0.25">
      <c r="A467" s="255" t="s">
        <v>248</v>
      </c>
      <c r="B467" s="255" t="s">
        <v>212</v>
      </c>
      <c r="C467" s="256">
        <v>2011</v>
      </c>
      <c r="D467" s="256">
        <v>100</v>
      </c>
      <c r="E467">
        <v>0</v>
      </c>
      <c r="F467" s="257"/>
      <c r="G467">
        <f t="shared" ref="G467:G530" si="7">IF(OR(D467=50,D467=75),50,IF(OR(D467=100,D467=125),125,IF(D467&gt;=400,400,D467)))</f>
        <v>125</v>
      </c>
      <c r="H467" s="4">
        <f>IF(B467="RTG Crane",IF(D467&lt;600,800000,1200000),VLOOKUP(B467,'$$$ Replace &amp; Retrofit'!$B$10:$C$14,2)*'CHE Model poplulation'!D467)*E467</f>
        <v>0</v>
      </c>
      <c r="I467" s="197">
        <f>E467*VLOOKUP('CHE Model poplulation'!G467,'$$$ Replace &amp; Retrofit'!$I$10:$J$15,2)</f>
        <v>0</v>
      </c>
      <c r="K467" s="239">
        <f>SUM(I467:I471)</f>
        <v>0</v>
      </c>
      <c r="L467" s="239">
        <f>SUM(K467:K487)</f>
        <v>1905639.2440607627</v>
      </c>
    </row>
    <row r="468" spans="1:12" x14ac:dyDescent="0.25">
      <c r="A468" s="255" t="s">
        <v>248</v>
      </c>
      <c r="B468" s="255" t="s">
        <v>212</v>
      </c>
      <c r="C468" s="256">
        <v>2011</v>
      </c>
      <c r="D468" s="256">
        <v>300</v>
      </c>
      <c r="E468">
        <v>0</v>
      </c>
      <c r="F468" s="257"/>
      <c r="G468">
        <f t="shared" si="7"/>
        <v>300</v>
      </c>
      <c r="H468" s="4">
        <f>IF(B468="RTG Crane",IF(D468&lt;600,800000,1200000),VLOOKUP(B468,'$$$ Replace &amp; Retrofit'!$B$10:$C$14,2)*'CHE Model poplulation'!D468)*E468</f>
        <v>0</v>
      </c>
      <c r="I468" s="197">
        <f>E468*VLOOKUP('CHE Model poplulation'!G468,'$$$ Replace &amp; Retrofit'!$I$10:$J$15,2)</f>
        <v>0</v>
      </c>
      <c r="K468" s="239"/>
    </row>
    <row r="469" spans="1:12" x14ac:dyDescent="0.25">
      <c r="A469" s="255" t="s">
        <v>248</v>
      </c>
      <c r="B469" s="255" t="s">
        <v>212</v>
      </c>
      <c r="C469" s="256">
        <v>2011</v>
      </c>
      <c r="D469" s="256">
        <v>600</v>
      </c>
      <c r="E469">
        <v>0</v>
      </c>
      <c r="F469" s="257"/>
      <c r="G469">
        <f t="shared" si="7"/>
        <v>400</v>
      </c>
      <c r="H469" s="4">
        <f>IF(B469="RTG Crane",IF(D469&lt;600,800000,1200000),VLOOKUP(B469,'$$$ Replace &amp; Retrofit'!$B$10:$C$14,2)*'CHE Model poplulation'!D469)*E469</f>
        <v>0</v>
      </c>
      <c r="I469" s="197">
        <f>E469*VLOOKUP('CHE Model poplulation'!G469,'$$$ Replace &amp; Retrofit'!$I$10:$J$15,2)</f>
        <v>0</v>
      </c>
      <c r="K469" s="239"/>
    </row>
    <row r="470" spans="1:12" x14ac:dyDescent="0.25">
      <c r="A470" s="255" t="s">
        <v>248</v>
      </c>
      <c r="B470" s="255" t="s">
        <v>212</v>
      </c>
      <c r="C470" s="256">
        <v>2011</v>
      </c>
      <c r="D470" s="256">
        <v>750</v>
      </c>
      <c r="E470">
        <v>0</v>
      </c>
      <c r="F470" s="257"/>
      <c r="G470">
        <f t="shared" si="7"/>
        <v>400</v>
      </c>
      <c r="H470" s="4">
        <f>IF(B470="RTG Crane",IF(D470&lt;600,800000,1200000),VLOOKUP(B470,'$$$ Replace &amp; Retrofit'!$B$10:$C$14,2)*'CHE Model poplulation'!D470)*E470</f>
        <v>0</v>
      </c>
      <c r="I470" s="197">
        <f>E470*VLOOKUP('CHE Model poplulation'!G470,'$$$ Replace &amp; Retrofit'!$I$10:$J$15,2)</f>
        <v>0</v>
      </c>
      <c r="K470" s="239"/>
    </row>
    <row r="471" spans="1:12" x14ac:dyDescent="0.25">
      <c r="A471" s="255" t="s">
        <v>248</v>
      </c>
      <c r="B471" s="255" t="s">
        <v>212</v>
      </c>
      <c r="C471" s="256">
        <v>2011</v>
      </c>
      <c r="D471" s="256">
        <v>9999</v>
      </c>
      <c r="E471">
        <v>0</v>
      </c>
      <c r="F471" s="257"/>
      <c r="G471">
        <f t="shared" si="7"/>
        <v>400</v>
      </c>
      <c r="H471" s="4">
        <f>IF(B471="RTG Crane",IF(D471&lt;600,800000,1200000),VLOOKUP(B471,'$$$ Replace &amp; Retrofit'!$B$10:$C$14,2)*'CHE Model poplulation'!D471)*E471</f>
        <v>0</v>
      </c>
      <c r="I471" s="197">
        <f>E471*VLOOKUP('CHE Model poplulation'!G471,'$$$ Replace &amp; Retrofit'!$I$10:$J$15,2)</f>
        <v>0</v>
      </c>
      <c r="K471" s="239"/>
    </row>
    <row r="472" spans="1:12" x14ac:dyDescent="0.25">
      <c r="A472" s="255" t="s">
        <v>248</v>
      </c>
      <c r="B472" s="255" t="s">
        <v>212</v>
      </c>
      <c r="C472" s="256">
        <v>2012</v>
      </c>
      <c r="D472" s="256">
        <v>100</v>
      </c>
      <c r="E472">
        <v>0</v>
      </c>
      <c r="F472" s="257"/>
      <c r="G472">
        <f t="shared" si="7"/>
        <v>125</v>
      </c>
      <c r="H472" s="4">
        <f>IF(B472="RTG Crane",IF(D472&lt;600,800000,1200000),VLOOKUP(B472,'$$$ Replace &amp; Retrofit'!$B$10:$C$14,2)*'CHE Model poplulation'!D472)*E472</f>
        <v>0</v>
      </c>
      <c r="I472" s="197">
        <f>E472*VLOOKUP('CHE Model poplulation'!G472,'$$$ Replace &amp; Retrofit'!$I$10:$J$15,2)</f>
        <v>0</v>
      </c>
      <c r="K472" s="239">
        <f>SUM(I472:I476)-K467</f>
        <v>403965.42344248848</v>
      </c>
    </row>
    <row r="473" spans="1:12" x14ac:dyDescent="0.25">
      <c r="A473" s="255" t="s">
        <v>248</v>
      </c>
      <c r="B473" s="255" t="s">
        <v>212</v>
      </c>
      <c r="C473" s="256">
        <v>2012</v>
      </c>
      <c r="D473" s="256">
        <v>300</v>
      </c>
      <c r="E473">
        <v>1.9989162330499</v>
      </c>
      <c r="F473" s="257"/>
      <c r="G473">
        <f t="shared" si="7"/>
        <v>300</v>
      </c>
      <c r="H473" s="4">
        <f>IF(B473="RTG Crane",IF(D473&lt;600,800000,1200000),VLOOKUP(B473,'$$$ Replace &amp; Retrofit'!$B$10:$C$14,2)*'CHE Model poplulation'!D473)*E473</f>
        <v>1599132.98643992</v>
      </c>
      <c r="I473" s="197">
        <f>E473*VLOOKUP('CHE Model poplulation'!G473,'$$$ Replace &amp; Retrofit'!$I$10:$J$15,2)</f>
        <v>57494.82761121427</v>
      </c>
    </row>
    <row r="474" spans="1:12" x14ac:dyDescent="0.25">
      <c r="A474" s="255" t="s">
        <v>248</v>
      </c>
      <c r="B474" s="255" t="s">
        <v>212</v>
      </c>
      <c r="C474" s="256">
        <v>2012</v>
      </c>
      <c r="D474" s="256">
        <v>600</v>
      </c>
      <c r="E474">
        <v>3.7500298862782899</v>
      </c>
      <c r="F474" s="257"/>
      <c r="G474">
        <f t="shared" si="7"/>
        <v>400</v>
      </c>
      <c r="H474" s="4">
        <f>IF(B474="RTG Crane",IF(D474&lt;600,800000,1200000),VLOOKUP(B474,'$$$ Replace &amp; Retrofit'!$B$10:$C$14,2)*'CHE Model poplulation'!D474)*E474</f>
        <v>4500035.8635339476</v>
      </c>
      <c r="I474" s="197">
        <f>E474*VLOOKUP('CHE Model poplulation'!G474,'$$$ Replace &amp; Retrofit'!$I$10:$J$15,2)</f>
        <v>196250.31403860173</v>
      </c>
      <c r="K474" s="239"/>
    </row>
    <row r="475" spans="1:12" x14ac:dyDescent="0.25">
      <c r="A475" s="255" t="s">
        <v>248</v>
      </c>
      <c r="B475" s="255" t="s">
        <v>212</v>
      </c>
      <c r="C475" s="256">
        <v>2012</v>
      </c>
      <c r="D475" s="256">
        <v>750</v>
      </c>
      <c r="E475">
        <v>2.0347659374129901</v>
      </c>
      <c r="F475" s="257"/>
      <c r="G475">
        <f t="shared" si="7"/>
        <v>400</v>
      </c>
      <c r="H475" s="4">
        <f>IF(B475="RTG Crane",IF(D475&lt;600,800000,1200000),VLOOKUP(B475,'$$$ Replace &amp; Retrofit'!$B$10:$C$14,2)*'CHE Model poplulation'!D475)*E475</f>
        <v>2441719.124895588</v>
      </c>
      <c r="I475" s="197">
        <f>E475*VLOOKUP('CHE Model poplulation'!G475,'$$$ Replace &amp; Retrofit'!$I$10:$J$15,2)</f>
        <v>106485.40580263401</v>
      </c>
      <c r="K475" s="239"/>
    </row>
    <row r="476" spans="1:12" x14ac:dyDescent="0.25">
      <c r="A476" s="255" t="s">
        <v>248</v>
      </c>
      <c r="B476" s="255" t="s">
        <v>212</v>
      </c>
      <c r="C476" s="256">
        <v>2012</v>
      </c>
      <c r="D476" s="256">
        <v>9999</v>
      </c>
      <c r="E476">
        <v>0.83570359027838004</v>
      </c>
      <c r="F476" s="257"/>
      <c r="G476">
        <f t="shared" si="7"/>
        <v>400</v>
      </c>
      <c r="H476" s="4">
        <f>IF(B476="RTG Crane",IF(D476&lt;600,800000,1200000),VLOOKUP(B476,'$$$ Replace &amp; Retrofit'!$B$10:$C$14,2)*'CHE Model poplulation'!D476)*E476</f>
        <v>1002844.3083340561</v>
      </c>
      <c r="I476" s="197">
        <f>E476*VLOOKUP('CHE Model poplulation'!G476,'$$$ Replace &amp; Retrofit'!$I$10:$J$15,2)</f>
        <v>43734.875990038461</v>
      </c>
      <c r="K476" s="239"/>
    </row>
    <row r="477" spans="1:12" x14ac:dyDescent="0.25">
      <c r="A477" s="255" t="s">
        <v>248</v>
      </c>
      <c r="B477" s="255" t="s">
        <v>212</v>
      </c>
      <c r="C477" s="256">
        <v>2013</v>
      </c>
      <c r="D477" s="256">
        <v>100</v>
      </c>
      <c r="E477">
        <v>2.2852425848036002E-2</v>
      </c>
      <c r="F477" s="257"/>
      <c r="G477">
        <f t="shared" si="7"/>
        <v>125</v>
      </c>
      <c r="H477" s="4">
        <f>IF(B477="RTG Crane",IF(D477&lt;600,800000,1200000),VLOOKUP(B477,'$$$ Replace &amp; Retrofit'!$B$10:$C$14,2)*'CHE Model poplulation'!D477)*E477</f>
        <v>18281.9406784288</v>
      </c>
      <c r="I477" s="197">
        <f>E477*VLOOKUP('CHE Model poplulation'!G477,'$$$ Replace &amp; Retrofit'!$I$10:$J$15,2)</f>
        <v>450.94691925929442</v>
      </c>
      <c r="K477" s="239">
        <f>SUM(I477:I481)-K472-K467</f>
        <v>396048.26537059521</v>
      </c>
    </row>
    <row r="478" spans="1:12" x14ac:dyDescent="0.25">
      <c r="A478" s="255" t="s">
        <v>248</v>
      </c>
      <c r="B478" s="255" t="s">
        <v>212</v>
      </c>
      <c r="C478" s="256">
        <v>2013</v>
      </c>
      <c r="D478" s="256">
        <v>300</v>
      </c>
      <c r="E478">
        <v>3.77093565331363</v>
      </c>
      <c r="F478" s="257"/>
      <c r="G478">
        <f t="shared" si="7"/>
        <v>300</v>
      </c>
      <c r="H478" s="4">
        <f>IF(B478="RTG Crane",IF(D478&lt;600,800000,1200000),VLOOKUP(B478,'$$$ Replace &amp; Retrofit'!$B$10:$C$14,2)*'CHE Model poplulation'!D478)*E478</f>
        <v>3016748.522650904</v>
      </c>
      <c r="I478" s="197">
        <f>E478*VLOOKUP('CHE Model poplulation'!G478,'$$$ Replace &amp; Retrofit'!$I$10:$J$15,2)</f>
        <v>108463.42219625994</v>
      </c>
      <c r="K478" s="239"/>
    </row>
    <row r="479" spans="1:12" x14ac:dyDescent="0.25">
      <c r="A479" s="255" t="s">
        <v>248</v>
      </c>
      <c r="B479" s="255" t="s">
        <v>212</v>
      </c>
      <c r="C479" s="256">
        <v>2013</v>
      </c>
      <c r="D479" s="256">
        <v>600</v>
      </c>
      <c r="E479">
        <v>7.45162664161455</v>
      </c>
      <c r="F479" s="257"/>
      <c r="G479">
        <f t="shared" si="7"/>
        <v>400</v>
      </c>
      <c r="H479" s="4">
        <f>IF(B479="RTG Crane",IF(D479&lt;600,800000,1200000),VLOOKUP(B479,'$$$ Replace &amp; Retrofit'!$B$10:$C$14,2)*'CHE Model poplulation'!D479)*E479</f>
        <v>8941951.9699374605</v>
      </c>
      <c r="I479" s="197">
        <f>E479*VLOOKUP('CHE Model poplulation'!G479,'$$$ Replace &amp; Retrofit'!$I$10:$J$15,2)</f>
        <v>389965.97703561425</v>
      </c>
    </row>
    <row r="480" spans="1:12" x14ac:dyDescent="0.25">
      <c r="A480" s="255" t="s">
        <v>248</v>
      </c>
      <c r="B480" s="255" t="s">
        <v>212</v>
      </c>
      <c r="C480" s="256">
        <v>2013</v>
      </c>
      <c r="D480" s="256">
        <v>750</v>
      </c>
      <c r="E480">
        <v>4.06764243970804</v>
      </c>
      <c r="F480" s="257"/>
      <c r="G480">
        <f t="shared" si="7"/>
        <v>400</v>
      </c>
      <c r="H480" s="4">
        <f>IF(B480="RTG Crane",IF(D480&lt;600,800000,1200000),VLOOKUP(B480,'$$$ Replace &amp; Retrofit'!$B$10:$C$14,2)*'CHE Model poplulation'!D480)*E480</f>
        <v>4881170.9276496479</v>
      </c>
      <c r="I480" s="197">
        <f>E480*VLOOKUP('CHE Model poplulation'!G480,'$$$ Replace &amp; Retrofit'!$I$10:$J$15,2)</f>
        <v>212871.93179724086</v>
      </c>
      <c r="K480" s="239"/>
    </row>
    <row r="481" spans="1:11" x14ac:dyDescent="0.25">
      <c r="A481" s="255" t="s">
        <v>248</v>
      </c>
      <c r="B481" s="255" t="s">
        <v>212</v>
      </c>
      <c r="C481" s="256">
        <v>2013</v>
      </c>
      <c r="D481" s="256">
        <v>9999</v>
      </c>
      <c r="E481">
        <v>1.68653451674296</v>
      </c>
      <c r="F481" s="257"/>
      <c r="G481">
        <f t="shared" si="7"/>
        <v>400</v>
      </c>
      <c r="H481" s="4">
        <f>IF(B481="RTG Crane",IF(D481&lt;600,800000,1200000),VLOOKUP(B481,'$$$ Replace &amp; Retrofit'!$B$10:$C$14,2)*'CHE Model poplulation'!D481)*E481</f>
        <v>2023841.420091552</v>
      </c>
      <c r="I481" s="197">
        <f>E481*VLOOKUP('CHE Model poplulation'!G481,'$$$ Replace &amp; Retrofit'!$I$10:$J$15,2)</f>
        <v>88261.410864709324</v>
      </c>
      <c r="K481" s="239"/>
    </row>
    <row r="482" spans="1:11" x14ac:dyDescent="0.25">
      <c r="A482" s="255" t="s">
        <v>248</v>
      </c>
      <c r="B482" s="255" t="s">
        <v>212</v>
      </c>
      <c r="C482" s="256">
        <v>2014</v>
      </c>
      <c r="D482" s="256">
        <v>100</v>
      </c>
      <c r="E482">
        <v>4.2153949378419597E-2</v>
      </c>
      <c r="F482" s="257"/>
      <c r="G482">
        <f t="shared" si="7"/>
        <v>125</v>
      </c>
      <c r="H482" s="4">
        <f>IF(B482="RTG Crane",IF(D482&lt;600,800000,1200000),VLOOKUP(B482,'$$$ Replace &amp; Retrofit'!$B$10:$C$14,2)*'CHE Model poplulation'!D482)*E482</f>
        <v>33723.159502735674</v>
      </c>
      <c r="I482" s="197">
        <f>E482*VLOOKUP('CHE Model poplulation'!G482,'$$$ Replace &amp; Retrofit'!$I$10:$J$15,2)</f>
        <v>831.82388308435395</v>
      </c>
      <c r="K482" s="239">
        <f>SUM(I482:I486)-K477-K472-K467</f>
        <v>589319.22603253182</v>
      </c>
    </row>
    <row r="483" spans="1:11" x14ac:dyDescent="0.25">
      <c r="A483" s="255" t="s">
        <v>248</v>
      </c>
      <c r="B483" s="255" t="s">
        <v>212</v>
      </c>
      <c r="C483" s="256">
        <v>2014</v>
      </c>
      <c r="D483" s="256">
        <v>300</v>
      </c>
      <c r="E483">
        <v>6.4023904907842697</v>
      </c>
      <c r="F483" s="257"/>
      <c r="G483">
        <f t="shared" si="7"/>
        <v>300</v>
      </c>
      <c r="H483" s="4">
        <f>IF(B483="RTG Crane",IF(D483&lt;600,800000,1200000),VLOOKUP(B483,'$$$ Replace &amp; Retrofit'!$B$10:$C$14,2)*'CHE Model poplulation'!D483)*E483</f>
        <v>5121912.3926274162</v>
      </c>
      <c r="I483" s="197">
        <f>E483*VLOOKUP('CHE Model poplulation'!G483,'$$$ Replace &amp; Retrofit'!$I$10:$J$15,2)</f>
        <v>184151.95768642795</v>
      </c>
      <c r="K483" s="239"/>
    </row>
    <row r="484" spans="1:11" x14ac:dyDescent="0.25">
      <c r="A484" s="255" t="s">
        <v>248</v>
      </c>
      <c r="B484" s="255" t="s">
        <v>212</v>
      </c>
      <c r="C484" s="256">
        <v>2014</v>
      </c>
      <c r="D484" s="256">
        <v>600</v>
      </c>
      <c r="E484">
        <v>12.4447801860293</v>
      </c>
      <c r="F484" s="257"/>
      <c r="G484">
        <f t="shared" si="7"/>
        <v>400</v>
      </c>
      <c r="H484" s="4">
        <f>IF(B484="RTG Crane",IF(D484&lt;600,800000,1200000),VLOOKUP(B484,'$$$ Replace &amp; Retrofit'!$B$10:$C$14,2)*'CHE Model poplulation'!D484)*E484</f>
        <v>14933736.22323516</v>
      </c>
      <c r="I484" s="197">
        <f>E484*VLOOKUP('CHE Model poplulation'!G484,'$$$ Replace &amp; Retrofit'!$I$10:$J$15,2)</f>
        <v>651272.68147547136</v>
      </c>
      <c r="K484" s="239"/>
    </row>
    <row r="485" spans="1:11" x14ac:dyDescent="0.25">
      <c r="A485" s="255" t="s">
        <v>248</v>
      </c>
      <c r="B485" s="255" t="s">
        <v>212</v>
      </c>
      <c r="C485" s="256">
        <v>2014</v>
      </c>
      <c r="D485" s="256">
        <v>750</v>
      </c>
      <c r="E485">
        <v>7.2989842889224699</v>
      </c>
      <c r="F485" s="257"/>
      <c r="G485">
        <f t="shared" si="7"/>
        <v>400</v>
      </c>
      <c r="H485" s="4">
        <f>IF(B485="RTG Crane",IF(D485&lt;600,800000,1200000),VLOOKUP(B485,'$$$ Replace &amp; Retrofit'!$B$10:$C$14,2)*'CHE Model poplulation'!D485)*E485</f>
        <v>8758781.146706963</v>
      </c>
      <c r="I485" s="197">
        <f>E485*VLOOKUP('CHE Model poplulation'!G485,'$$$ Replace &amp; Retrofit'!$I$10:$J$15,2)</f>
        <v>381977.74479217961</v>
      </c>
    </row>
    <row r="486" spans="1:11" x14ac:dyDescent="0.25">
      <c r="A486" s="255" t="s">
        <v>248</v>
      </c>
      <c r="B486" s="255" t="s">
        <v>212</v>
      </c>
      <c r="C486" s="256">
        <v>2014</v>
      </c>
      <c r="D486" s="256">
        <v>9999</v>
      </c>
      <c r="E486">
        <v>3.2694228690969802</v>
      </c>
      <c r="F486" s="257"/>
      <c r="G486">
        <f t="shared" si="7"/>
        <v>400</v>
      </c>
      <c r="H486" s="4">
        <f>IF(B486="RTG Crane",IF(D486&lt;600,800000,1200000),VLOOKUP(B486,'$$$ Replace &amp; Retrofit'!$B$10:$C$14,2)*'CHE Model poplulation'!D486)*E486</f>
        <v>3923307.4429163761</v>
      </c>
      <c r="I486" s="197">
        <f>E486*VLOOKUP('CHE Model poplulation'!G486,'$$$ Replace &amp; Retrofit'!$I$10:$J$15,2)</f>
        <v>171098.70700845227</v>
      </c>
      <c r="K486" s="239"/>
    </row>
    <row r="487" spans="1:11" x14ac:dyDescent="0.25">
      <c r="A487" s="255" t="s">
        <v>248</v>
      </c>
      <c r="B487" s="255" t="s">
        <v>212</v>
      </c>
      <c r="C487" s="256">
        <v>2015</v>
      </c>
      <c r="D487" s="256">
        <v>100</v>
      </c>
      <c r="E487">
        <v>5.2150041250467898E-2</v>
      </c>
      <c r="F487" s="257"/>
      <c r="G487">
        <f t="shared" si="7"/>
        <v>125</v>
      </c>
      <c r="H487" s="4">
        <f>IF(B487="RTG Crane",IF(D487&lt;600,800000,1200000),VLOOKUP(B487,'$$$ Replace &amp; Retrofit'!$B$10:$C$14,2)*'CHE Model poplulation'!D487)*E487</f>
        <v>41720.033000374315</v>
      </c>
      <c r="I487" s="197">
        <f>E487*VLOOKUP('CHE Model poplulation'!G487,'$$$ Replace &amp; Retrofit'!$I$10:$J$15,2)</f>
        <v>1029.0767639954831</v>
      </c>
      <c r="K487" s="239">
        <f>SUM(I487:I491)-K482-K477-K472-K467</f>
        <v>516306.32921514713</v>
      </c>
    </row>
    <row r="488" spans="1:11" x14ac:dyDescent="0.25">
      <c r="A488" s="255" t="s">
        <v>248</v>
      </c>
      <c r="B488" s="255" t="s">
        <v>212</v>
      </c>
      <c r="C488" s="256">
        <v>2015</v>
      </c>
      <c r="D488" s="256">
        <v>300</v>
      </c>
      <c r="E488">
        <v>8.5715399346518808</v>
      </c>
      <c r="F488" s="257"/>
      <c r="G488">
        <f t="shared" si="7"/>
        <v>300</v>
      </c>
      <c r="H488" s="4">
        <f>IF(B488="RTG Crane",IF(D488&lt;600,800000,1200000),VLOOKUP(B488,'$$$ Replace &amp; Retrofit'!$B$10:$C$14,2)*'CHE Model poplulation'!D488)*E488</f>
        <v>6857231.9477215046</v>
      </c>
      <c r="I488" s="197">
        <f>E488*VLOOKUP('CHE Model poplulation'!G488,'$$$ Replace &amp; Retrofit'!$I$10:$J$15,2)</f>
        <v>246543.20314039206</v>
      </c>
      <c r="K488" s="239"/>
    </row>
    <row r="489" spans="1:11" x14ac:dyDescent="0.25">
      <c r="A489" s="255" t="s">
        <v>248</v>
      </c>
      <c r="B489" s="255" t="s">
        <v>212</v>
      </c>
      <c r="C489" s="256">
        <v>2015</v>
      </c>
      <c r="D489" s="256">
        <v>600</v>
      </c>
      <c r="E489">
        <v>16.650161648827499</v>
      </c>
      <c r="F489" s="257"/>
      <c r="G489">
        <f t="shared" si="7"/>
        <v>400</v>
      </c>
      <c r="H489" s="4">
        <f>IF(B489="RTG Crane",IF(D489&lt;600,800000,1200000),VLOOKUP(B489,'$$$ Replace &amp; Retrofit'!$B$10:$C$14,2)*'CHE Model poplulation'!D489)*E489</f>
        <v>19980193.978592999</v>
      </c>
      <c r="I489" s="197">
        <f>E489*VLOOKUP('CHE Model poplulation'!G489,'$$$ Replace &amp; Retrofit'!$I$10:$J$15,2)</f>
        <v>871352.90956808953</v>
      </c>
      <c r="K489" s="239"/>
    </row>
    <row r="490" spans="1:11" x14ac:dyDescent="0.25">
      <c r="A490" s="255" t="s">
        <v>248</v>
      </c>
      <c r="B490" s="255" t="s">
        <v>212</v>
      </c>
      <c r="C490" s="256">
        <v>2015</v>
      </c>
      <c r="D490" s="256">
        <v>750</v>
      </c>
      <c r="E490">
        <v>10.373889256313699</v>
      </c>
      <c r="F490" s="257"/>
      <c r="G490">
        <f t="shared" si="7"/>
        <v>400</v>
      </c>
      <c r="H490" s="4">
        <f>IF(B490="RTG Crane",IF(D490&lt;600,800000,1200000),VLOOKUP(B490,'$$$ Replace &amp; Retrofit'!$B$10:$C$14,2)*'CHE Model poplulation'!D490)*E490</f>
        <v>12448667.107576439</v>
      </c>
      <c r="I490" s="197">
        <f>E490*VLOOKUP('CHE Model poplulation'!G490,'$$$ Replace &amp; Retrofit'!$I$10:$J$15,2)</f>
        <v>542896.74645066482</v>
      </c>
      <c r="K490" s="239"/>
    </row>
    <row r="491" spans="1:11" x14ac:dyDescent="0.25">
      <c r="A491" s="255" t="s">
        <v>248</v>
      </c>
      <c r="B491" s="255" t="s">
        <v>212</v>
      </c>
      <c r="C491" s="256">
        <v>2015</v>
      </c>
      <c r="D491" s="256">
        <v>9999</v>
      </c>
      <c r="E491">
        <v>4.6589591297579096</v>
      </c>
      <c r="F491" s="257"/>
      <c r="G491">
        <f t="shared" si="7"/>
        <v>400</v>
      </c>
      <c r="H491" s="4">
        <f>IF(B491="RTG Crane",IF(D491&lt;600,800000,1200000),VLOOKUP(B491,'$$$ Replace &amp; Retrofit'!$B$10:$C$14,2)*'CHE Model poplulation'!D491)*E491</f>
        <v>5590750.9557094919</v>
      </c>
      <c r="I491" s="197">
        <f>E491*VLOOKUP('CHE Model poplulation'!G491,'$$$ Replace &amp; Retrofit'!$I$10:$J$15,2)</f>
        <v>243817.30813762068</v>
      </c>
    </row>
    <row r="492" spans="1:11" x14ac:dyDescent="0.25">
      <c r="A492" s="255" t="s">
        <v>248</v>
      </c>
      <c r="B492" s="255" t="s">
        <v>212</v>
      </c>
      <c r="C492" s="256">
        <v>2016</v>
      </c>
      <c r="D492" s="256">
        <v>100</v>
      </c>
      <c r="E492">
        <v>5.8889092787658401E-2</v>
      </c>
      <c r="F492" s="257"/>
      <c r="G492">
        <f t="shared" si="7"/>
        <v>125</v>
      </c>
      <c r="H492" s="4">
        <f>IF(B492="RTG Crane",IF(D492&lt;600,800000,1200000),VLOOKUP(B492,'$$$ Replace &amp; Retrofit'!$B$10:$C$14,2)*'CHE Model poplulation'!D492)*E492</f>
        <v>47111.274230126721</v>
      </c>
      <c r="I492" s="197">
        <f>E492*VLOOKUP('CHE Model poplulation'!G492,'$$$ Replace &amp; Retrofit'!$I$10:$J$15,2)</f>
        <v>1162.0584679788633</v>
      </c>
      <c r="K492" s="239">
        <f>SUM(I492:I496)-K487-K482-K477-K472-K467</f>
        <v>346847.56400478823</v>
      </c>
    </row>
    <row r="493" spans="1:11" x14ac:dyDescent="0.25">
      <c r="A493" s="255" t="s">
        <v>248</v>
      </c>
      <c r="B493" s="255" t="s">
        <v>212</v>
      </c>
      <c r="C493" s="256">
        <v>2016</v>
      </c>
      <c r="D493" s="256">
        <v>300</v>
      </c>
      <c r="E493">
        <v>10.2138674443085</v>
      </c>
      <c r="F493" s="257"/>
      <c r="G493">
        <f t="shared" si="7"/>
        <v>300</v>
      </c>
      <c r="H493" s="4">
        <f>IF(B493="RTG Crane",IF(D493&lt;600,800000,1200000),VLOOKUP(B493,'$$$ Replace &amp; Retrofit'!$B$10:$C$14,2)*'CHE Model poplulation'!D493)*E493</f>
        <v>8171093.9554468002</v>
      </c>
      <c r="I493" s="197">
        <f>E493*VLOOKUP('CHE Model poplulation'!G493,'$$$ Replace &amp; Retrofit'!$I$10:$J$15,2)</f>
        <v>293781.4693006454</v>
      </c>
      <c r="K493" s="239"/>
    </row>
    <row r="494" spans="1:11" x14ac:dyDescent="0.25">
      <c r="A494" s="255" t="s">
        <v>248</v>
      </c>
      <c r="B494" s="255" t="s">
        <v>212</v>
      </c>
      <c r="C494" s="256">
        <v>2016</v>
      </c>
      <c r="D494" s="256">
        <v>600</v>
      </c>
      <c r="E494">
        <v>19.619403153842999</v>
      </c>
      <c r="F494" s="257"/>
      <c r="G494">
        <f t="shared" si="7"/>
        <v>400</v>
      </c>
      <c r="H494" s="4">
        <f>IF(B494="RTG Crane",IF(D494&lt;600,800000,1200000),VLOOKUP(B494,'$$$ Replace &amp; Retrofit'!$B$10:$C$14,2)*'CHE Model poplulation'!D494)*E494</f>
        <v>23543283.784611598</v>
      </c>
      <c r="I494" s="197">
        <f>E494*VLOOKUP('CHE Model poplulation'!G494,'$$$ Replace &amp; Retrofit'!$I$10:$J$15,2)</f>
        <v>1026742.2252500657</v>
      </c>
      <c r="K494" s="239"/>
    </row>
    <row r="495" spans="1:11" x14ac:dyDescent="0.25">
      <c r="A495" s="255" t="s">
        <v>248</v>
      </c>
      <c r="B495" s="255" t="s">
        <v>212</v>
      </c>
      <c r="C495" s="256">
        <v>2016</v>
      </c>
      <c r="D495" s="256">
        <v>750</v>
      </c>
      <c r="E495">
        <v>12.2967525735762</v>
      </c>
      <c r="F495" s="257"/>
      <c r="G495">
        <f t="shared" si="7"/>
        <v>400</v>
      </c>
      <c r="H495" s="4">
        <f>IF(B495="RTG Crane",IF(D495&lt;600,800000,1200000),VLOOKUP(B495,'$$$ Replace &amp; Retrofit'!$B$10:$C$14,2)*'CHE Model poplulation'!D495)*E495</f>
        <v>14756103.08829144</v>
      </c>
      <c r="I495" s="197">
        <f>E495*VLOOKUP('CHE Model poplulation'!G495,'$$$ Replace &amp; Retrofit'!$I$10:$J$15,2)</f>
        <v>643525.9524329633</v>
      </c>
      <c r="K495" s="239"/>
    </row>
    <row r="496" spans="1:11" x14ac:dyDescent="0.25">
      <c r="A496" s="255" t="s">
        <v>248</v>
      </c>
      <c r="B496" s="255" t="s">
        <v>212</v>
      </c>
      <c r="C496" s="256">
        <v>2016</v>
      </c>
      <c r="D496" s="256">
        <v>9999</v>
      </c>
      <c r="E496">
        <v>5.4893681350944501</v>
      </c>
      <c r="F496" s="257"/>
      <c r="G496">
        <f t="shared" si="7"/>
        <v>400</v>
      </c>
      <c r="H496" s="4">
        <f>IF(B496="RTG Crane",IF(D496&lt;600,800000,1200000),VLOOKUP(B496,'$$$ Replace &amp; Retrofit'!$B$10:$C$14,2)*'CHE Model poplulation'!D496)*E496</f>
        <v>6587241.7621133402</v>
      </c>
      <c r="I496" s="197">
        <f>E496*VLOOKUP('CHE Model poplulation'!G496,'$$$ Replace &amp; Retrofit'!$I$10:$J$15,2)</f>
        <v>287275.10261389788</v>
      </c>
      <c r="K496" s="239"/>
    </row>
    <row r="497" spans="1:11" x14ac:dyDescent="0.25">
      <c r="A497" s="255" t="s">
        <v>248</v>
      </c>
      <c r="B497" s="255" t="s">
        <v>212</v>
      </c>
      <c r="C497" s="256">
        <v>2017</v>
      </c>
      <c r="D497" s="256">
        <v>100</v>
      </c>
      <c r="E497">
        <v>5.8204276991362103E-2</v>
      </c>
      <c r="F497" s="257"/>
      <c r="G497">
        <f t="shared" si="7"/>
        <v>125</v>
      </c>
      <c r="H497" s="4">
        <f>IF(B497="RTG Crane",IF(D497&lt;600,800000,1200000),VLOOKUP(B497,'$$$ Replace &amp; Retrofit'!$B$10:$C$14,2)*'CHE Model poplulation'!D497)*E497</f>
        <v>46563.421593089683</v>
      </c>
      <c r="I497" s="197">
        <f>E497*VLOOKUP('CHE Model poplulation'!G497,'$$$ Replace &amp; Retrofit'!$I$10:$J$15,2)</f>
        <v>1148.5449978705483</v>
      </c>
      <c r="K497" s="239">
        <f>SUM(I497:I501)-K492-K487-K482-K477-K472-K467</f>
        <v>-26720.809729720349</v>
      </c>
    </row>
    <row r="498" spans="1:11" x14ac:dyDescent="0.25">
      <c r="A498" s="255" t="s">
        <v>248</v>
      </c>
      <c r="B498" s="255" t="s">
        <v>212</v>
      </c>
      <c r="C498" s="256">
        <v>2017</v>
      </c>
      <c r="D498" s="256">
        <v>300</v>
      </c>
      <c r="E498">
        <v>10.150649087872599</v>
      </c>
      <c r="F498" s="257"/>
      <c r="G498">
        <f t="shared" si="7"/>
        <v>300</v>
      </c>
      <c r="H498" s="4">
        <f>IF(B498="RTG Crane",IF(D498&lt;600,800000,1200000),VLOOKUP(B498,'$$$ Replace &amp; Retrofit'!$B$10:$C$14,2)*'CHE Model poplulation'!D498)*E498</f>
        <v>8120519.2702980796</v>
      </c>
      <c r="I498" s="197">
        <f>E498*VLOOKUP('CHE Model poplulation'!G498,'$$$ Replace &amp; Retrofit'!$I$10:$J$15,2)</f>
        <v>291963.1197144796</v>
      </c>
      <c r="K498" s="239"/>
    </row>
    <row r="499" spans="1:11" x14ac:dyDescent="0.25">
      <c r="A499" s="255" t="s">
        <v>248</v>
      </c>
      <c r="B499" s="255" t="s">
        <v>212</v>
      </c>
      <c r="C499" s="256">
        <v>2017</v>
      </c>
      <c r="D499" s="256">
        <v>600</v>
      </c>
      <c r="E499">
        <v>19.3874203949314</v>
      </c>
      <c r="F499" s="257"/>
      <c r="G499">
        <f t="shared" si="7"/>
        <v>400</v>
      </c>
      <c r="H499" s="4">
        <f>IF(B499="RTG Crane",IF(D499&lt;600,800000,1200000),VLOOKUP(B499,'$$$ Replace &amp; Retrofit'!$B$10:$C$14,2)*'CHE Model poplulation'!D499)*E499</f>
        <v>23264904.473917682</v>
      </c>
      <c r="I499" s="197">
        <f>E499*VLOOKUP('CHE Model poplulation'!G499,'$$$ Replace &amp; Retrofit'!$I$10:$J$15,2)</f>
        <v>1014601.8715279449</v>
      </c>
      <c r="K499" s="239"/>
    </row>
    <row r="500" spans="1:11" x14ac:dyDescent="0.25">
      <c r="A500" s="255" t="s">
        <v>248</v>
      </c>
      <c r="B500" s="255" t="s">
        <v>212</v>
      </c>
      <c r="C500" s="256">
        <v>2017</v>
      </c>
      <c r="D500" s="256">
        <v>750</v>
      </c>
      <c r="E500">
        <v>12.1252416891212</v>
      </c>
      <c r="F500" s="257"/>
      <c r="G500">
        <f t="shared" si="7"/>
        <v>400</v>
      </c>
      <c r="H500" s="4">
        <f>IF(B500="RTG Crane",IF(D500&lt;600,800000,1200000),VLOOKUP(B500,'$$$ Replace &amp; Retrofit'!$B$10:$C$14,2)*'CHE Model poplulation'!D500)*E500</f>
        <v>14550290.02694544</v>
      </c>
      <c r="I500" s="197">
        <f>E500*VLOOKUP('CHE Model poplulation'!G500,'$$$ Replace &amp; Retrofit'!$I$10:$J$15,2)</f>
        <v>634550.27331677976</v>
      </c>
      <c r="K500" s="239"/>
    </row>
    <row r="501" spans="1:11" x14ac:dyDescent="0.25">
      <c r="A501" s="255" t="s">
        <v>248</v>
      </c>
      <c r="B501" s="255" t="s">
        <v>212</v>
      </c>
      <c r="C501" s="256">
        <v>2017</v>
      </c>
      <c r="D501" s="256">
        <v>9999</v>
      </c>
      <c r="E501">
        <v>5.4172737809557203</v>
      </c>
      <c r="F501" s="257"/>
      <c r="G501">
        <f t="shared" si="7"/>
        <v>400</v>
      </c>
      <c r="H501" s="4">
        <f>IF(B501="RTG Crane",IF(D501&lt;600,800000,1200000),VLOOKUP(B501,'$$$ Replace &amp; Retrofit'!$B$10:$C$14,2)*'CHE Model poplulation'!D501)*E501</f>
        <v>6500728.5371468645</v>
      </c>
      <c r="I501" s="197">
        <f>E501*VLOOKUP('CHE Model poplulation'!G501,'$$$ Replace &amp; Retrofit'!$I$10:$J$15,2)</f>
        <v>283502.18877875572</v>
      </c>
      <c r="K501" s="239"/>
    </row>
    <row r="502" spans="1:11" x14ac:dyDescent="0.25">
      <c r="A502" s="255" t="s">
        <v>248</v>
      </c>
      <c r="B502" s="255" t="s">
        <v>212</v>
      </c>
      <c r="C502" s="256">
        <v>2018</v>
      </c>
      <c r="D502" s="256">
        <v>100</v>
      </c>
      <c r="E502">
        <v>5.7583316928742703E-2</v>
      </c>
      <c r="F502" s="257"/>
      <c r="G502">
        <f t="shared" si="7"/>
        <v>125</v>
      </c>
      <c r="H502" s="4">
        <f>IF(B502="RTG Crane",IF(D502&lt;600,800000,1200000),VLOOKUP(B502,'$$$ Replace &amp; Retrofit'!$B$10:$C$14,2)*'CHE Model poplulation'!D502)*E502</f>
        <v>46066.653542994165</v>
      </c>
      <c r="I502" s="197">
        <f>E502*VLOOKUP('CHE Model poplulation'!G502,'$$$ Replace &amp; Retrofit'!$I$10:$J$15,2)</f>
        <v>1136.2915929548797</v>
      </c>
      <c r="K502" s="239"/>
    </row>
    <row r="503" spans="1:11" x14ac:dyDescent="0.25">
      <c r="A503" s="255" t="s">
        <v>248</v>
      </c>
      <c r="B503" s="255" t="s">
        <v>212</v>
      </c>
      <c r="C503" s="256">
        <v>2018</v>
      </c>
      <c r="D503" s="256">
        <v>300</v>
      </c>
      <c r="E503">
        <v>9.97600529745392</v>
      </c>
      <c r="F503" s="257"/>
      <c r="G503">
        <f t="shared" si="7"/>
        <v>300</v>
      </c>
      <c r="H503" s="4">
        <f>IF(B503="RTG Crane",IF(D503&lt;600,800000,1200000),VLOOKUP(B503,'$$$ Replace &amp; Retrofit'!$B$10:$C$14,2)*'CHE Model poplulation'!D503)*E503</f>
        <v>7980804.2379631363</v>
      </c>
      <c r="I503" s="197">
        <f>E503*VLOOKUP('CHE Model poplulation'!G503,'$$$ Replace &amp; Retrofit'!$I$10:$J$15,2)</f>
        <v>286939.84037066711</v>
      </c>
    </row>
    <row r="504" spans="1:11" x14ac:dyDescent="0.25">
      <c r="A504" s="255" t="s">
        <v>248</v>
      </c>
      <c r="B504" s="255" t="s">
        <v>212</v>
      </c>
      <c r="C504" s="256">
        <v>2018</v>
      </c>
      <c r="D504" s="256">
        <v>600</v>
      </c>
      <c r="E504">
        <v>18.990669727291099</v>
      </c>
      <c r="F504" s="257"/>
      <c r="G504">
        <f t="shared" si="7"/>
        <v>400</v>
      </c>
      <c r="H504" s="4">
        <f>IF(B504="RTG Crane",IF(D504&lt;600,800000,1200000),VLOOKUP(B504,'$$$ Replace &amp; Retrofit'!$B$10:$C$14,2)*'CHE Model poplulation'!D504)*E504</f>
        <v>22788803.672749318</v>
      </c>
      <c r="I504" s="197">
        <f>E504*VLOOKUP('CHE Model poplulation'!G504,'$$$ Replace &amp; Retrofit'!$I$10:$J$15,2)</f>
        <v>993838.71883832512</v>
      </c>
      <c r="K504" s="239"/>
    </row>
    <row r="505" spans="1:11" x14ac:dyDescent="0.25">
      <c r="A505" s="255" t="s">
        <v>248</v>
      </c>
      <c r="B505" s="255" t="s">
        <v>212</v>
      </c>
      <c r="C505" s="256">
        <v>2018</v>
      </c>
      <c r="D505" s="256">
        <v>750</v>
      </c>
      <c r="E505">
        <v>11.868612219154601</v>
      </c>
      <c r="F505" s="257"/>
      <c r="G505">
        <f t="shared" si="7"/>
        <v>400</v>
      </c>
      <c r="H505" s="4">
        <f>IF(B505="RTG Crane",IF(D505&lt;600,800000,1200000),VLOOKUP(B505,'$$$ Replace &amp; Retrofit'!$B$10:$C$14,2)*'CHE Model poplulation'!D505)*E505</f>
        <v>14242334.66298552</v>
      </c>
      <c r="I505" s="197">
        <f>E505*VLOOKUP('CHE Model poplulation'!G505,'$$$ Replace &amp; Retrofit'!$I$10:$J$15,2)</f>
        <v>621120.08326501772</v>
      </c>
      <c r="K505" s="239"/>
    </row>
    <row r="506" spans="1:11" x14ac:dyDescent="0.25">
      <c r="A506" s="255" t="s">
        <v>248</v>
      </c>
      <c r="B506" s="255" t="s">
        <v>212</v>
      </c>
      <c r="C506" s="256">
        <v>2018</v>
      </c>
      <c r="D506" s="256">
        <v>9999</v>
      </c>
      <c r="E506">
        <v>5.3159729494835899</v>
      </c>
      <c r="F506" s="257"/>
      <c r="G506">
        <f t="shared" si="7"/>
        <v>400</v>
      </c>
      <c r="H506" s="4">
        <f>IF(B506="RTG Crane",IF(D506&lt;600,800000,1200000),VLOOKUP(B506,'$$$ Replace &amp; Retrofit'!$B$10:$C$14,2)*'CHE Model poplulation'!D506)*E506</f>
        <v>6379167.5393803082</v>
      </c>
      <c r="I506" s="197">
        <f>E506*VLOOKUP('CHE Model poplulation'!G506,'$$$ Replace &amp; Retrofit'!$I$10:$J$15,2)</f>
        <v>278200.8123653247</v>
      </c>
      <c r="K506" s="239"/>
    </row>
    <row r="507" spans="1:11" x14ac:dyDescent="0.25">
      <c r="A507" s="255" t="s">
        <v>248</v>
      </c>
      <c r="B507" s="255" t="s">
        <v>212</v>
      </c>
      <c r="C507" s="256">
        <v>2019</v>
      </c>
      <c r="D507" s="256">
        <v>100</v>
      </c>
      <c r="E507">
        <v>5.7060056290939201E-2</v>
      </c>
      <c r="F507" s="257"/>
      <c r="G507">
        <f t="shared" si="7"/>
        <v>125</v>
      </c>
      <c r="H507" s="4">
        <f>IF(B507="RTG Crane",IF(D507&lt;600,800000,1200000),VLOOKUP(B507,'$$$ Replace &amp; Retrofit'!$B$10:$C$14,2)*'CHE Model poplulation'!D507)*E507</f>
        <v>45648.045032751361</v>
      </c>
      <c r="I507" s="197">
        <f>E507*VLOOKUP('CHE Model poplulation'!G507,'$$$ Replace &amp; Retrofit'!$I$10:$J$15,2)</f>
        <v>1125.9660907891032</v>
      </c>
      <c r="K507" s="239"/>
    </row>
    <row r="508" spans="1:11" x14ac:dyDescent="0.25">
      <c r="A508" s="255" t="s">
        <v>248</v>
      </c>
      <c r="B508" s="255" t="s">
        <v>212</v>
      </c>
      <c r="C508" s="256">
        <v>2019</v>
      </c>
      <c r="D508" s="256">
        <v>300</v>
      </c>
      <c r="E508">
        <v>9.7602178219642095</v>
      </c>
      <c r="F508" s="257"/>
      <c r="G508">
        <f t="shared" si="7"/>
        <v>300</v>
      </c>
      <c r="H508" s="4">
        <f>IF(B508="RTG Crane",IF(D508&lt;600,800000,1200000),VLOOKUP(B508,'$$$ Replace &amp; Retrofit'!$B$10:$C$14,2)*'CHE Model poplulation'!D508)*E508</f>
        <v>7808174.2575713675</v>
      </c>
      <c r="I508" s="197">
        <f>E508*VLOOKUP('CHE Model poplulation'!G508,'$$$ Replace &amp; Retrofit'!$I$10:$J$15,2)</f>
        <v>280733.14521315653</v>
      </c>
      <c r="K508" s="239"/>
    </row>
    <row r="509" spans="1:11" x14ac:dyDescent="0.25">
      <c r="A509" s="255" t="s">
        <v>248</v>
      </c>
      <c r="B509" s="255" t="s">
        <v>212</v>
      </c>
      <c r="C509" s="256">
        <v>2019</v>
      </c>
      <c r="D509" s="256">
        <v>600</v>
      </c>
      <c r="E509">
        <v>18.510361125153601</v>
      </c>
      <c r="F509" s="257"/>
      <c r="G509">
        <f t="shared" si="7"/>
        <v>400</v>
      </c>
      <c r="H509" s="4">
        <f>IF(B509="RTG Crane",IF(D509&lt;600,800000,1200000),VLOOKUP(B509,'$$$ Replace &amp; Retrofit'!$B$10:$C$14,2)*'CHE Model poplulation'!D509)*E509</f>
        <v>22212433.350184321</v>
      </c>
      <c r="I509" s="197">
        <f>E509*VLOOKUP('CHE Model poplulation'!G509,'$$$ Replace &amp; Retrofit'!$I$10:$J$15,2)</f>
        <v>968702.72876266344</v>
      </c>
      <c r="K509" s="239">
        <f>SUM(I509:I514)-K497-K492-K487-K482-K477-K472-K467</f>
        <v>831941.79595856695</v>
      </c>
    </row>
    <row r="510" spans="1:11" x14ac:dyDescent="0.25">
      <c r="A510" s="255" t="s">
        <v>248</v>
      </c>
      <c r="B510" s="255" t="s">
        <v>212</v>
      </c>
      <c r="C510" s="256">
        <v>2019</v>
      </c>
      <c r="D510" s="256">
        <v>750</v>
      </c>
      <c r="E510">
        <v>11.5573496808213</v>
      </c>
      <c r="F510" s="257"/>
      <c r="G510">
        <f t="shared" si="7"/>
        <v>400</v>
      </c>
      <c r="H510" s="4">
        <f>IF(B510="RTG Crane",IF(D510&lt;600,800000,1200000),VLOOKUP(B510,'$$$ Replace &amp; Retrofit'!$B$10:$C$14,2)*'CHE Model poplulation'!D510)*E510</f>
        <v>13868819.616985559</v>
      </c>
      <c r="I510" s="197">
        <f>E510*VLOOKUP('CHE Model poplulation'!G510,'$$$ Replace &amp; Retrofit'!$I$10:$J$15,2)</f>
        <v>604830.78084642114</v>
      </c>
      <c r="K510" s="239"/>
    </row>
    <row r="511" spans="1:11" x14ac:dyDescent="0.25">
      <c r="A511" s="255" t="s">
        <v>248</v>
      </c>
      <c r="B511" s="255" t="s">
        <v>212</v>
      </c>
      <c r="C511" s="256">
        <v>2019</v>
      </c>
      <c r="D511" s="256">
        <v>9999</v>
      </c>
      <c r="E511">
        <v>5.1946917937915504</v>
      </c>
      <c r="F511" s="257"/>
      <c r="G511">
        <f t="shared" si="7"/>
        <v>400</v>
      </c>
      <c r="H511" s="4">
        <f>IF(B511="RTG Crane",IF(D511&lt;600,800000,1200000),VLOOKUP(B511,'$$$ Replace &amp; Retrofit'!$B$10:$C$14,2)*'CHE Model poplulation'!D511)*E511</f>
        <v>6233630.1525498601</v>
      </c>
      <c r="I511" s="197">
        <f>E511*VLOOKUP('CHE Model poplulation'!G511,'$$$ Replace &amp; Retrofit'!$I$10:$J$15,2)</f>
        <v>271853.8056444932</v>
      </c>
      <c r="K511" s="239"/>
    </row>
    <row r="512" spans="1:11" x14ac:dyDescent="0.25">
      <c r="A512" s="255" t="s">
        <v>248</v>
      </c>
      <c r="B512" s="255" t="s">
        <v>212</v>
      </c>
      <c r="C512" s="256">
        <v>2020</v>
      </c>
      <c r="D512" s="256">
        <v>100</v>
      </c>
      <c r="E512">
        <v>5.6458331721559799E-2</v>
      </c>
      <c r="F512" s="257"/>
      <c r="G512">
        <f t="shared" si="7"/>
        <v>125</v>
      </c>
      <c r="H512" s="4">
        <f>IF(B512="RTG Crane",IF(D512&lt;600,800000,1200000),VLOOKUP(B512,'$$$ Replace &amp; Retrofit'!$B$10:$C$14,2)*'CHE Model poplulation'!D512)*E512</f>
        <v>45166.665377247838</v>
      </c>
      <c r="I512" s="197">
        <f>E512*VLOOKUP('CHE Model poplulation'!G512,'$$$ Replace &amp; Retrofit'!$I$10:$J$15,2)</f>
        <v>1114.0922598615396</v>
      </c>
      <c r="K512" s="239"/>
    </row>
    <row r="513" spans="1:11" x14ac:dyDescent="0.25">
      <c r="A513" s="255" t="s">
        <v>248</v>
      </c>
      <c r="B513" s="255" t="s">
        <v>212</v>
      </c>
      <c r="C513" s="256">
        <v>2020</v>
      </c>
      <c r="D513" s="256">
        <v>300</v>
      </c>
      <c r="E513">
        <v>9.4842628628173795</v>
      </c>
      <c r="F513" s="257"/>
      <c r="G513">
        <f t="shared" si="7"/>
        <v>300</v>
      </c>
      <c r="H513" s="4">
        <f>IF(B513="RTG Crane",IF(D513&lt;600,800000,1200000),VLOOKUP(B513,'$$$ Replace &amp; Retrofit'!$B$10:$C$14,2)*'CHE Model poplulation'!D513)*E513</f>
        <v>7587410.2902539037</v>
      </c>
      <c r="I513" s="197">
        <f>E513*VLOOKUP('CHE Model poplulation'!G513,'$$$ Replace &amp; Retrofit'!$I$10:$J$15,2)</f>
        <v>272795.85272321629</v>
      </c>
      <c r="K513" s="239"/>
    </row>
    <row r="514" spans="1:11" x14ac:dyDescent="0.25">
      <c r="A514" s="255" t="s">
        <v>248</v>
      </c>
      <c r="B514" s="255" t="s">
        <v>212</v>
      </c>
      <c r="C514" s="256">
        <v>2020</v>
      </c>
      <c r="D514" s="256">
        <v>600</v>
      </c>
      <c r="E514">
        <v>17.931525692349801</v>
      </c>
      <c r="F514" s="257"/>
      <c r="G514">
        <f t="shared" si="7"/>
        <v>400</v>
      </c>
      <c r="H514" s="4">
        <f>IF(B514="RTG Crane",IF(D514&lt;600,800000,1200000),VLOOKUP(B514,'$$$ Replace &amp; Retrofit'!$B$10:$C$14,2)*'CHE Model poplulation'!D514)*E514</f>
        <v>21517830.830819763</v>
      </c>
      <c r="I514" s="197">
        <f>E514*VLOOKUP('CHE Model poplulation'!G514,'$$$ Replace &amp; Retrofit'!$I$10:$J$15,2)</f>
        <v>938410.5340577421</v>
      </c>
      <c r="K514" s="239"/>
    </row>
    <row r="515" spans="1:11" x14ac:dyDescent="0.25">
      <c r="A515" s="255" t="s">
        <v>248</v>
      </c>
      <c r="B515" s="255" t="s">
        <v>212</v>
      </c>
      <c r="C515" s="256">
        <v>2020</v>
      </c>
      <c r="D515" s="256">
        <v>750</v>
      </c>
      <c r="E515">
        <v>11.180580516137899</v>
      </c>
      <c r="F515" s="257"/>
      <c r="G515">
        <f t="shared" si="7"/>
        <v>400</v>
      </c>
      <c r="H515" s="4">
        <f>IF(B515="RTG Crane",IF(D515&lt;600,800000,1200000),VLOOKUP(B515,'$$$ Replace &amp; Retrofit'!$B$10:$C$14,2)*'CHE Model poplulation'!D515)*E515</f>
        <v>13416696.61936548</v>
      </c>
      <c r="I515" s="197">
        <f>E515*VLOOKUP('CHE Model poplulation'!G515,'$$$ Replace &amp; Retrofit'!$I$10:$J$15,2)</f>
        <v>585113.32015104464</v>
      </c>
      <c r="K515" s="239"/>
    </row>
    <row r="516" spans="1:11" x14ac:dyDescent="0.25">
      <c r="A516" s="255" t="s">
        <v>248</v>
      </c>
      <c r="B516" s="255" t="s">
        <v>212</v>
      </c>
      <c r="C516" s="256">
        <v>2020</v>
      </c>
      <c r="D516" s="256">
        <v>9999</v>
      </c>
      <c r="E516">
        <v>5.04506374500997</v>
      </c>
      <c r="F516" s="257"/>
      <c r="G516">
        <f t="shared" si="7"/>
        <v>400</v>
      </c>
      <c r="H516" s="4">
        <f>IF(B516="RTG Crane",IF(D516&lt;600,800000,1200000),VLOOKUP(B516,'$$$ Replace &amp; Retrofit'!$B$10:$C$14,2)*'CHE Model poplulation'!D516)*E516</f>
        <v>6054076.4940119637</v>
      </c>
      <c r="I516" s="197">
        <f>E516*VLOOKUP('CHE Model poplulation'!G516,'$$$ Replace &amp; Retrofit'!$I$10:$J$15,2)</f>
        <v>264023.32096760673</v>
      </c>
      <c r="K516" s="239"/>
    </row>
    <row r="517" spans="1:11" x14ac:dyDescent="0.25">
      <c r="A517" s="255" t="s">
        <v>248</v>
      </c>
      <c r="B517" s="255" t="s">
        <v>212</v>
      </c>
      <c r="C517" s="256">
        <v>2021</v>
      </c>
      <c r="D517" s="256">
        <v>100</v>
      </c>
      <c r="E517">
        <v>5.50956170342723E-2</v>
      </c>
      <c r="F517" s="257"/>
      <c r="G517">
        <f t="shared" si="7"/>
        <v>125</v>
      </c>
      <c r="H517" s="4">
        <f>IF(B517="RTG Crane",IF(D517&lt;600,800000,1200000),VLOOKUP(B517,'$$$ Replace &amp; Retrofit'!$B$10:$C$14,2)*'CHE Model poplulation'!D517)*E517</f>
        <v>44076.49362741784</v>
      </c>
      <c r="I517" s="197">
        <f>E517*VLOOKUP('CHE Model poplulation'!G517,'$$$ Replace &amp; Retrofit'!$I$10:$J$15,2)</f>
        <v>1087.2018109372952</v>
      </c>
      <c r="K517" s="239"/>
    </row>
    <row r="518" spans="1:11" x14ac:dyDescent="0.25">
      <c r="A518" s="255" t="s">
        <v>248</v>
      </c>
      <c r="B518" s="255" t="s">
        <v>212</v>
      </c>
      <c r="C518" s="256">
        <v>2021</v>
      </c>
      <c r="D518" s="256">
        <v>300</v>
      </c>
      <c r="E518">
        <v>9.1261441092715891</v>
      </c>
      <c r="F518" s="257"/>
      <c r="G518">
        <f t="shared" si="7"/>
        <v>300</v>
      </c>
      <c r="H518" s="4">
        <f>IF(B518="RTG Crane",IF(D518&lt;600,800000,1200000),VLOOKUP(B518,'$$$ Replace &amp; Retrofit'!$B$10:$C$14,2)*'CHE Model poplulation'!D518)*E518</f>
        <v>7300915.2874172712</v>
      </c>
      <c r="I518" s="197">
        <f>E518*VLOOKUP('CHE Model poplulation'!G518,'$$$ Replace &amp; Retrofit'!$I$10:$J$15,2)</f>
        <v>262495.28301497869</v>
      </c>
      <c r="K518" s="239"/>
    </row>
    <row r="519" spans="1:11" x14ac:dyDescent="0.25">
      <c r="A519" s="255" t="s">
        <v>248</v>
      </c>
      <c r="B519" s="255" t="s">
        <v>212</v>
      </c>
      <c r="C519" s="256">
        <v>2021</v>
      </c>
      <c r="D519" s="256">
        <v>600</v>
      </c>
      <c r="E519">
        <v>17.2055168517591</v>
      </c>
      <c r="F519" s="257"/>
      <c r="G519">
        <f t="shared" si="7"/>
        <v>400</v>
      </c>
      <c r="H519" s="4">
        <f>IF(B519="RTG Crane",IF(D519&lt;600,800000,1200000),VLOOKUP(B519,'$$$ Replace &amp; Retrofit'!$B$10:$C$14,2)*'CHE Model poplulation'!D519)*E519</f>
        <v>20646620.22211092</v>
      </c>
      <c r="I519" s="197">
        <f>E519*VLOOKUP('CHE Model poplulation'!G519,'$$$ Replace &amp; Retrofit'!$I$10:$J$15,2)</f>
        <v>900416.31340310897</v>
      </c>
      <c r="K519" s="239"/>
    </row>
    <row r="520" spans="1:11" x14ac:dyDescent="0.25">
      <c r="A520" s="255" t="s">
        <v>248</v>
      </c>
      <c r="B520" s="255" t="s">
        <v>212</v>
      </c>
      <c r="C520" s="256">
        <v>2021</v>
      </c>
      <c r="D520" s="256">
        <v>750</v>
      </c>
      <c r="E520">
        <v>10.7168910873312</v>
      </c>
      <c r="F520" s="257"/>
      <c r="G520">
        <f t="shared" si="7"/>
        <v>400</v>
      </c>
      <c r="H520" s="4">
        <f>IF(B520="RTG Crane",IF(D520&lt;600,800000,1200000),VLOOKUP(B520,'$$$ Replace &amp; Retrofit'!$B$10:$C$14,2)*'CHE Model poplulation'!D520)*E520</f>
        <v>12860269.304797441</v>
      </c>
      <c r="I520" s="197">
        <f>E520*VLOOKUP('CHE Model poplulation'!G520,'$$$ Replace &amp; Retrofit'!$I$10:$J$15,2)</f>
        <v>560847.0612733037</v>
      </c>
      <c r="K520" s="239"/>
    </row>
    <row r="521" spans="1:11" x14ac:dyDescent="0.25">
      <c r="A521" s="255" t="s">
        <v>248</v>
      </c>
      <c r="B521" s="255" t="s">
        <v>212</v>
      </c>
      <c r="C521" s="256">
        <v>2021</v>
      </c>
      <c r="D521" s="256">
        <v>9999</v>
      </c>
      <c r="E521">
        <v>4.8522023597784596</v>
      </c>
      <c r="F521" s="257"/>
      <c r="G521">
        <f t="shared" si="7"/>
        <v>400</v>
      </c>
      <c r="H521" s="4">
        <f>IF(B521="RTG Crane",IF(D521&lt;600,800000,1200000),VLOOKUP(B521,'$$$ Replace &amp; Retrofit'!$B$10:$C$14,2)*'CHE Model poplulation'!D521)*E521</f>
        <v>5822642.8317341516</v>
      </c>
      <c r="I521" s="197">
        <f>E521*VLOOKUP('CHE Model poplulation'!G521,'$$$ Replace &amp; Retrofit'!$I$10:$J$15,2)</f>
        <v>253930.30609428612</v>
      </c>
      <c r="K521" s="239"/>
    </row>
    <row r="522" spans="1:11" x14ac:dyDescent="0.25">
      <c r="A522" s="255" t="s">
        <v>248</v>
      </c>
      <c r="B522" s="255" t="s">
        <v>212</v>
      </c>
      <c r="C522" s="256">
        <v>2022</v>
      </c>
      <c r="D522" s="256">
        <v>100</v>
      </c>
      <c r="E522">
        <v>5.37935750356879E-2</v>
      </c>
      <c r="F522" s="257"/>
      <c r="G522">
        <f t="shared" si="7"/>
        <v>125</v>
      </c>
      <c r="H522" s="4">
        <f>IF(B522="RTG Crane",IF(D522&lt;600,800000,1200000),VLOOKUP(B522,'$$$ Replace &amp; Retrofit'!$B$10:$C$14,2)*'CHE Model poplulation'!D522)*E522</f>
        <v>43034.86002855032</v>
      </c>
      <c r="I522" s="197">
        <f>E522*VLOOKUP('CHE Model poplulation'!G522,'$$$ Replace &amp; Retrofit'!$I$10:$J$15,2)</f>
        <v>1061.5086161792294</v>
      </c>
      <c r="K522" s="239"/>
    </row>
    <row r="523" spans="1:11" x14ac:dyDescent="0.25">
      <c r="A523" s="255" t="s">
        <v>248</v>
      </c>
      <c r="B523" s="255" t="s">
        <v>212</v>
      </c>
      <c r="C523" s="256">
        <v>2022</v>
      </c>
      <c r="D523" s="256">
        <v>300</v>
      </c>
      <c r="E523">
        <v>8.4315471359575902</v>
      </c>
      <c r="F523" s="257"/>
      <c r="G523">
        <f t="shared" si="7"/>
        <v>300</v>
      </c>
      <c r="H523" s="4">
        <f>IF(B523="RTG Crane",IF(D523&lt;600,800000,1200000),VLOOKUP(B523,'$$$ Replace &amp; Retrofit'!$B$10:$C$14,2)*'CHE Model poplulation'!D523)*E523</f>
        <v>6745237.7087660721</v>
      </c>
      <c r="I523" s="197">
        <f>E523*VLOOKUP('CHE Model poplulation'!G523,'$$$ Replace &amp; Retrofit'!$I$10:$J$15,2)</f>
        <v>242516.59027154816</v>
      </c>
      <c r="K523" s="239"/>
    </row>
    <row r="524" spans="1:11" x14ac:dyDescent="0.25">
      <c r="A524" s="255" t="s">
        <v>248</v>
      </c>
      <c r="B524" s="255" t="s">
        <v>212</v>
      </c>
      <c r="C524" s="256">
        <v>2022</v>
      </c>
      <c r="D524" s="256">
        <v>600</v>
      </c>
      <c r="E524">
        <v>15.778633702948801</v>
      </c>
      <c r="F524" s="257"/>
      <c r="G524">
        <f t="shared" si="7"/>
        <v>400</v>
      </c>
      <c r="H524" s="4">
        <f>IF(B524="RTG Crane",IF(D524&lt;600,800000,1200000),VLOOKUP(B524,'$$$ Replace &amp; Retrofit'!$B$10:$C$14,2)*'CHE Model poplulation'!D524)*E524</f>
        <v>18934360.443538561</v>
      </c>
      <c r="I524" s="197">
        <f>E524*VLOOKUP('CHE Model poplulation'!G524,'$$$ Replace &amp; Retrofit'!$I$10:$J$15,2)</f>
        <v>825743.2375764196</v>
      </c>
      <c r="K524" s="239"/>
    </row>
    <row r="525" spans="1:11" x14ac:dyDescent="0.25">
      <c r="A525" s="255" t="s">
        <v>248</v>
      </c>
      <c r="B525" s="255" t="s">
        <v>212</v>
      </c>
      <c r="C525" s="256">
        <v>2022</v>
      </c>
      <c r="D525" s="256">
        <v>750</v>
      </c>
      <c r="E525">
        <v>9.8430645112429698</v>
      </c>
      <c r="F525" s="257"/>
      <c r="G525">
        <f t="shared" si="7"/>
        <v>400</v>
      </c>
      <c r="H525" s="4">
        <f>IF(B525="RTG Crane",IF(D525&lt;600,800000,1200000),VLOOKUP(B525,'$$$ Replace &amp; Retrofit'!$B$10:$C$14,2)*'CHE Model poplulation'!D525)*E525</f>
        <v>11811677.413491564</v>
      </c>
      <c r="I525" s="197">
        <f>E525*VLOOKUP('CHE Model poplulation'!G525,'$$$ Replace &amp; Retrofit'!$I$10:$J$15,2)</f>
        <v>515117.09506687836</v>
      </c>
      <c r="K525" s="239"/>
    </row>
    <row r="526" spans="1:11" x14ac:dyDescent="0.25">
      <c r="A526" s="255" t="s">
        <v>248</v>
      </c>
      <c r="B526" s="255" t="s">
        <v>212</v>
      </c>
      <c r="C526" s="256">
        <v>2022</v>
      </c>
      <c r="D526" s="256">
        <v>9999</v>
      </c>
      <c r="E526">
        <v>4.5274224066517696</v>
      </c>
      <c r="F526" s="257"/>
      <c r="G526">
        <f t="shared" si="7"/>
        <v>400</v>
      </c>
      <c r="H526" s="4">
        <f>IF(B526="RTG Crane",IF(D526&lt;600,800000,1200000),VLOOKUP(B526,'$$$ Replace &amp; Retrofit'!$B$10:$C$14,2)*'CHE Model poplulation'!D526)*E526</f>
        <v>5432906.8879821235</v>
      </c>
      <c r="I526" s="197">
        <f>E526*VLOOKUP('CHE Model poplulation'!G526,'$$$ Replace &amp; Retrofit'!$I$10:$J$15,2)</f>
        <v>236933.59680730707</v>
      </c>
      <c r="K526" s="239"/>
    </row>
    <row r="527" spans="1:11" x14ac:dyDescent="0.25">
      <c r="A527" s="255" t="s">
        <v>248</v>
      </c>
      <c r="B527" s="255" t="s">
        <v>212</v>
      </c>
      <c r="C527" s="256">
        <v>2023</v>
      </c>
      <c r="D527" s="256">
        <v>100</v>
      </c>
      <c r="E527">
        <v>5.2335574065860903E-2</v>
      </c>
      <c r="F527" s="257"/>
      <c r="G527">
        <f t="shared" si="7"/>
        <v>125</v>
      </c>
      <c r="H527" s="4">
        <f>IF(B527="RTG Crane",IF(D527&lt;600,800000,1200000),VLOOKUP(B527,'$$$ Replace &amp; Retrofit'!$B$10:$C$14,2)*'CHE Model poplulation'!D527)*E527</f>
        <v>41868.459252688721</v>
      </c>
      <c r="I527" s="197">
        <f>E527*VLOOKUP('CHE Model poplulation'!G527,'$$$ Replace &amp; Retrofit'!$I$10:$J$15,2)</f>
        <v>1032.7378830416333</v>
      </c>
      <c r="K527" s="239"/>
    </row>
    <row r="528" spans="1:11" x14ac:dyDescent="0.25">
      <c r="A528" s="255" t="s">
        <v>248</v>
      </c>
      <c r="B528" s="255" t="s">
        <v>212</v>
      </c>
      <c r="C528" s="256">
        <v>2023</v>
      </c>
      <c r="D528" s="256">
        <v>300</v>
      </c>
      <c r="E528">
        <v>6.5639323944634196</v>
      </c>
      <c r="F528" s="257"/>
      <c r="G528">
        <f t="shared" si="7"/>
        <v>300</v>
      </c>
      <c r="H528" s="4">
        <f>IF(B528="RTG Crane",IF(D528&lt;600,800000,1200000),VLOOKUP(B528,'$$$ Replace &amp; Retrofit'!$B$10:$C$14,2)*'CHE Model poplulation'!D528)*E528</f>
        <v>5251145.9155707359</v>
      </c>
      <c r="I528" s="197">
        <f>E528*VLOOKUP('CHE Model poplulation'!G528,'$$$ Replace &amp; Retrofit'!$I$10:$J$15,2)</f>
        <v>188798.38746195135</v>
      </c>
      <c r="K528" s="239"/>
    </row>
    <row r="529" spans="1:11" x14ac:dyDescent="0.25">
      <c r="A529" s="255" t="s">
        <v>248</v>
      </c>
      <c r="B529" s="255" t="s">
        <v>212</v>
      </c>
      <c r="C529" s="256">
        <v>2023</v>
      </c>
      <c r="D529" s="256">
        <v>600</v>
      </c>
      <c r="E529">
        <v>11.653707684448699</v>
      </c>
      <c r="F529" s="257"/>
      <c r="G529">
        <f t="shared" si="7"/>
        <v>400</v>
      </c>
      <c r="H529" s="4">
        <f>IF(B529="RTG Crane",IF(D529&lt;600,800000,1200000),VLOOKUP(B529,'$$$ Replace &amp; Retrofit'!$B$10:$C$14,2)*'CHE Model poplulation'!D529)*E529</f>
        <v>13984449.22133844</v>
      </c>
      <c r="I529" s="197">
        <f>E529*VLOOKUP('CHE Model poplulation'!G529,'$$$ Replace &amp; Retrofit'!$I$10:$J$15,2)</f>
        <v>609873.48425025376</v>
      </c>
      <c r="K529" s="239"/>
    </row>
    <row r="530" spans="1:11" x14ac:dyDescent="0.25">
      <c r="A530" s="255" t="s">
        <v>248</v>
      </c>
      <c r="B530" s="255" t="s">
        <v>212</v>
      </c>
      <c r="C530" s="256">
        <v>2023</v>
      </c>
      <c r="D530" s="256">
        <v>750</v>
      </c>
      <c r="E530">
        <v>7.21394027180345</v>
      </c>
      <c r="F530" s="257"/>
      <c r="G530">
        <f t="shared" si="7"/>
        <v>400</v>
      </c>
      <c r="H530" s="4">
        <f>IF(B530="RTG Crane",IF(D530&lt;600,800000,1200000),VLOOKUP(B530,'$$$ Replace &amp; Retrofit'!$B$10:$C$14,2)*'CHE Model poplulation'!D530)*E530</f>
        <v>8656728.3261641394</v>
      </c>
      <c r="I530" s="197">
        <f>E530*VLOOKUP('CHE Model poplulation'!G530,'$$$ Replace &amp; Retrofit'!$I$10:$J$15,2)</f>
        <v>377527.13624428993</v>
      </c>
      <c r="K530" s="239"/>
    </row>
    <row r="531" spans="1:11" x14ac:dyDescent="0.25">
      <c r="A531" s="255" t="s">
        <v>248</v>
      </c>
      <c r="B531" s="255" t="s">
        <v>212</v>
      </c>
      <c r="C531" s="256">
        <v>2023</v>
      </c>
      <c r="D531" s="256">
        <v>9999</v>
      </c>
      <c r="E531">
        <v>3.5587953818419198</v>
      </c>
      <c r="F531" s="257"/>
      <c r="G531">
        <f t="shared" ref="G531:G594" si="8">IF(OR(D531=50,D531=75),50,IF(OR(D531=100,D531=125),125,IF(D531&gt;=400,400,D531)))</f>
        <v>400</v>
      </c>
      <c r="H531" s="4">
        <f>IF(B531="RTG Crane",IF(D531&lt;600,800000,1200000),VLOOKUP(B531,'$$$ Replace &amp; Retrofit'!$B$10:$C$14,2)*'CHE Model poplulation'!D531)*E531</f>
        <v>4270554.4582103034</v>
      </c>
      <c r="I531" s="197">
        <f>E531*VLOOKUP('CHE Model poplulation'!G531,'$$$ Replace &amp; Retrofit'!$I$10:$J$15,2)</f>
        <v>186242.4387179332</v>
      </c>
      <c r="K531" s="239"/>
    </row>
    <row r="532" spans="1:11" x14ac:dyDescent="0.25">
      <c r="A532" s="255" t="s">
        <v>248</v>
      </c>
      <c r="B532" s="255" t="s">
        <v>212</v>
      </c>
      <c r="C532" s="256">
        <v>2024</v>
      </c>
      <c r="D532" s="256">
        <v>100</v>
      </c>
      <c r="E532">
        <v>5.08994198731322E-2</v>
      </c>
      <c r="F532" s="257"/>
      <c r="G532">
        <f t="shared" si="8"/>
        <v>125</v>
      </c>
      <c r="H532" s="4">
        <f>IF(B532="RTG Crane",IF(D532&lt;600,800000,1200000),VLOOKUP(B532,'$$$ Replace &amp; Retrofit'!$B$10:$C$14,2)*'CHE Model poplulation'!D532)*E532</f>
        <v>40719.535898505761</v>
      </c>
      <c r="I532" s="197">
        <f>E532*VLOOKUP('CHE Model poplulation'!G532,'$$$ Replace &amp; Retrofit'!$I$10:$J$15,2)</f>
        <v>1004.3982523565177</v>
      </c>
      <c r="K532" s="239"/>
    </row>
    <row r="533" spans="1:11" x14ac:dyDescent="0.25">
      <c r="A533" s="255" t="s">
        <v>248</v>
      </c>
      <c r="B533" s="255" t="s">
        <v>212</v>
      </c>
      <c r="C533" s="256">
        <v>2024</v>
      </c>
      <c r="D533" s="256">
        <v>300</v>
      </c>
      <c r="E533">
        <v>5.4647717481060001</v>
      </c>
      <c r="F533" s="257"/>
      <c r="G533">
        <f t="shared" si="8"/>
        <v>300</v>
      </c>
      <c r="H533" s="4">
        <f>IF(B533="RTG Crane",IF(D533&lt;600,800000,1200000),VLOOKUP(B533,'$$$ Replace &amp; Retrofit'!$B$10:$C$14,2)*'CHE Model poplulation'!D533)*E533</f>
        <v>4371817.3984848</v>
      </c>
      <c r="I533" s="197">
        <f>E533*VLOOKUP('CHE Model poplulation'!G533,'$$$ Replace &amp; Retrofit'!$I$10:$J$15,2)</f>
        <v>157183.22979077289</v>
      </c>
      <c r="K533" s="239"/>
    </row>
    <row r="534" spans="1:11" x14ac:dyDescent="0.25">
      <c r="A534" s="255" t="s">
        <v>248</v>
      </c>
      <c r="B534" s="255" t="s">
        <v>212</v>
      </c>
      <c r="C534" s="256">
        <v>2024</v>
      </c>
      <c r="D534" s="256">
        <v>600</v>
      </c>
      <c r="E534">
        <v>9.2536996535962395</v>
      </c>
      <c r="F534" s="257"/>
      <c r="G534">
        <f t="shared" si="8"/>
        <v>400</v>
      </c>
      <c r="H534" s="4">
        <f>IF(B534="RTG Crane",IF(D534&lt;600,800000,1200000),VLOOKUP(B534,'$$$ Replace &amp; Retrofit'!$B$10:$C$14,2)*'CHE Model poplulation'!D534)*E534</f>
        <v>11104439.584315488</v>
      </c>
      <c r="I534" s="197">
        <f>E534*VLOOKUP('CHE Model poplulation'!G534,'$$$ Replace &amp; Retrofit'!$I$10:$J$15,2)</f>
        <v>484273.863971652</v>
      </c>
      <c r="K534" s="239"/>
    </row>
    <row r="535" spans="1:11" x14ac:dyDescent="0.25">
      <c r="A535" s="255" t="s">
        <v>248</v>
      </c>
      <c r="B535" s="255" t="s">
        <v>212</v>
      </c>
      <c r="C535" s="256">
        <v>2024</v>
      </c>
      <c r="D535" s="256">
        <v>750</v>
      </c>
      <c r="E535">
        <v>5.5322718173360901</v>
      </c>
      <c r="F535" s="257"/>
      <c r="G535">
        <f t="shared" si="8"/>
        <v>400</v>
      </c>
      <c r="H535" s="4">
        <f>IF(B535="RTG Crane",IF(D535&lt;600,800000,1200000),VLOOKUP(B535,'$$$ Replace &amp; Retrofit'!$B$10:$C$14,2)*'CHE Model poplulation'!D535)*E535</f>
        <v>6638726.1808033083</v>
      </c>
      <c r="I535" s="197">
        <f>E535*VLOOKUP('CHE Model poplulation'!G535,'$$$ Replace &amp; Retrofit'!$I$10:$J$15,2)</f>
        <v>289520.3810166496</v>
      </c>
      <c r="K535" s="239"/>
    </row>
    <row r="536" spans="1:11" x14ac:dyDescent="0.25">
      <c r="A536" s="255" t="s">
        <v>248</v>
      </c>
      <c r="B536" s="255" t="s">
        <v>212</v>
      </c>
      <c r="C536" s="256">
        <v>2024</v>
      </c>
      <c r="D536" s="256">
        <v>9999</v>
      </c>
      <c r="E536">
        <v>2.8830591531910001</v>
      </c>
      <c r="F536" s="257"/>
      <c r="G536">
        <f t="shared" si="8"/>
        <v>400</v>
      </c>
      <c r="H536" s="4">
        <f>IF(B536="RTG Crane",IF(D536&lt;600,800000,1200000),VLOOKUP(B536,'$$$ Replace &amp; Retrofit'!$B$10:$C$14,2)*'CHE Model poplulation'!D536)*E536</f>
        <v>3459670.9838292003</v>
      </c>
      <c r="I536" s="197">
        <f>E536*VLOOKUP('CHE Model poplulation'!G536,'$$$ Replace &amp; Retrofit'!$I$10:$J$15,2)</f>
        <v>150879.1346639446</v>
      </c>
      <c r="K536" s="239"/>
    </row>
    <row r="537" spans="1:11" x14ac:dyDescent="0.25">
      <c r="A537" s="255" t="s">
        <v>248</v>
      </c>
      <c r="B537" s="255" t="s">
        <v>212</v>
      </c>
      <c r="C537" s="256">
        <v>2025</v>
      </c>
      <c r="D537" s="256">
        <v>100</v>
      </c>
      <c r="E537">
        <v>4.8480876745483403E-2</v>
      </c>
      <c r="F537" s="257"/>
      <c r="G537">
        <f t="shared" si="8"/>
        <v>125</v>
      </c>
      <c r="H537" s="4">
        <f>IF(B537="RTG Crane",IF(D537&lt;600,800000,1200000),VLOOKUP(B537,'$$$ Replace &amp; Retrofit'!$B$10:$C$14,2)*'CHE Model poplulation'!D537)*E537</f>
        <v>38784.701396386721</v>
      </c>
      <c r="I537" s="197">
        <f>E537*VLOOKUP('CHE Model poplulation'!G537,'$$$ Replace &amp; Retrofit'!$I$10:$J$15,2)</f>
        <v>956.67314081862401</v>
      </c>
      <c r="K537" s="239"/>
    </row>
    <row r="538" spans="1:11" x14ac:dyDescent="0.25">
      <c r="A538" s="255" t="s">
        <v>248</v>
      </c>
      <c r="B538" s="255" t="s">
        <v>212</v>
      </c>
      <c r="C538" s="256">
        <v>2025</v>
      </c>
      <c r="D538" s="256">
        <v>300</v>
      </c>
      <c r="E538">
        <v>4.49171164920834</v>
      </c>
      <c r="F538" s="257"/>
      <c r="G538">
        <f t="shared" si="8"/>
        <v>300</v>
      </c>
      <c r="H538" s="4">
        <f>IF(B538="RTG Crane",IF(D538&lt;600,800000,1200000),VLOOKUP(B538,'$$$ Replace &amp; Retrofit'!$B$10:$C$14,2)*'CHE Model poplulation'!D538)*E538</f>
        <v>3593369.3193666721</v>
      </c>
      <c r="I538" s="197">
        <f>E538*VLOOKUP('CHE Model poplulation'!G538,'$$$ Replace &amp; Retrofit'!$I$10:$J$15,2)</f>
        <v>129195.10216617948</v>
      </c>
      <c r="K538" s="239"/>
    </row>
    <row r="539" spans="1:11" x14ac:dyDescent="0.25">
      <c r="A539" s="255" t="s">
        <v>248</v>
      </c>
      <c r="B539" s="255" t="s">
        <v>212</v>
      </c>
      <c r="C539" s="256">
        <v>2025</v>
      </c>
      <c r="D539" s="256">
        <v>600</v>
      </c>
      <c r="E539">
        <v>7.2160338331222196</v>
      </c>
      <c r="F539" s="257"/>
      <c r="G539">
        <f t="shared" si="8"/>
        <v>400</v>
      </c>
      <c r="H539" s="4">
        <f>IF(B539="RTG Crane",IF(D539&lt;600,800000,1200000),VLOOKUP(B539,'$$$ Replace &amp; Retrofit'!$B$10:$C$14,2)*'CHE Model poplulation'!D539)*E539</f>
        <v>8659240.5997466631</v>
      </c>
      <c r="I539" s="197">
        <f>E539*VLOOKUP('CHE Model poplulation'!G539,'$$$ Replace &amp; Retrofit'!$I$10:$J$15,2)</f>
        <v>377636.69858878513</v>
      </c>
      <c r="K539" s="239"/>
    </row>
    <row r="540" spans="1:11" x14ac:dyDescent="0.25">
      <c r="A540" s="255" t="s">
        <v>248</v>
      </c>
      <c r="B540" s="255" t="s">
        <v>212</v>
      </c>
      <c r="C540" s="256">
        <v>2025</v>
      </c>
      <c r="D540" s="256">
        <v>750</v>
      </c>
      <c r="E540">
        <v>4.1270019673573399</v>
      </c>
      <c r="F540" s="257"/>
      <c r="G540">
        <f t="shared" si="8"/>
        <v>400</v>
      </c>
      <c r="H540" s="4">
        <f>IF(B540="RTG Crane",IF(D540&lt;600,800000,1200000),VLOOKUP(B540,'$$$ Replace &amp; Retrofit'!$B$10:$C$14,2)*'CHE Model poplulation'!D540)*E540</f>
        <v>4952402.3608288076</v>
      </c>
      <c r="I540" s="197">
        <f>E540*VLOOKUP('CHE Model poplulation'!G540,'$$$ Replace &amp; Retrofit'!$I$10:$J$15,2)</f>
        <v>215978.39395771167</v>
      </c>
      <c r="K540" s="239"/>
    </row>
    <row r="541" spans="1:11" x14ac:dyDescent="0.25">
      <c r="A541" s="255" t="s">
        <v>248</v>
      </c>
      <c r="B541" s="255" t="s">
        <v>212</v>
      </c>
      <c r="C541" s="256">
        <v>2025</v>
      </c>
      <c r="D541" s="256">
        <v>9999</v>
      </c>
      <c r="E541">
        <v>2.29707636903089</v>
      </c>
      <c r="F541" s="257"/>
      <c r="G541">
        <f t="shared" si="8"/>
        <v>400</v>
      </c>
      <c r="H541" s="4">
        <f>IF(B541="RTG Crane",IF(D541&lt;600,800000,1200000),VLOOKUP(B541,'$$$ Replace &amp; Retrofit'!$B$10:$C$14,2)*'CHE Model poplulation'!D541)*E541</f>
        <v>2756491.6428370681</v>
      </c>
      <c r="I541" s="197">
        <f>E541*VLOOKUP('CHE Model poplulation'!G541,'$$$ Replace &amp; Retrofit'!$I$10:$J$15,2)</f>
        <v>120212.89762049356</v>
      </c>
      <c r="K541" s="239"/>
    </row>
    <row r="542" spans="1:11" x14ac:dyDescent="0.25">
      <c r="A542" s="255" t="s">
        <v>20</v>
      </c>
      <c r="B542" s="255" t="s">
        <v>206</v>
      </c>
      <c r="C542" s="256">
        <v>2006</v>
      </c>
      <c r="D542" s="256">
        <v>50</v>
      </c>
      <c r="E542">
        <v>0</v>
      </c>
      <c r="F542" s="257"/>
      <c r="H542" s="239"/>
      <c r="I542" s="4"/>
      <c r="K542" s="239"/>
    </row>
    <row r="543" spans="1:11" x14ac:dyDescent="0.25">
      <c r="A543" s="255" t="s">
        <v>20</v>
      </c>
      <c r="B543" s="255" t="s">
        <v>206</v>
      </c>
      <c r="C543" s="256">
        <v>2006</v>
      </c>
      <c r="D543" s="256">
        <v>75</v>
      </c>
      <c r="E543">
        <v>0</v>
      </c>
      <c r="F543" s="257"/>
      <c r="H543" s="239"/>
      <c r="I543" s="4"/>
      <c r="K543" s="239"/>
    </row>
    <row r="544" spans="1:11" x14ac:dyDescent="0.25">
      <c r="A544" s="255" t="s">
        <v>20</v>
      </c>
      <c r="B544" s="255" t="s">
        <v>206</v>
      </c>
      <c r="C544" s="256">
        <v>2006</v>
      </c>
      <c r="D544" s="256">
        <v>100</v>
      </c>
      <c r="E544">
        <v>0</v>
      </c>
      <c r="F544" s="257"/>
      <c r="H544" s="239"/>
      <c r="I544" s="4"/>
      <c r="K544" s="239"/>
    </row>
    <row r="545" spans="1:11" x14ac:dyDescent="0.25">
      <c r="A545" s="255" t="s">
        <v>20</v>
      </c>
      <c r="B545" s="255" t="s">
        <v>206</v>
      </c>
      <c r="C545" s="256">
        <v>2006</v>
      </c>
      <c r="D545" s="256">
        <v>175</v>
      </c>
      <c r="E545">
        <v>0</v>
      </c>
      <c r="F545" s="257"/>
      <c r="H545" s="239"/>
      <c r="I545" s="4"/>
      <c r="K545" s="239"/>
    </row>
    <row r="546" spans="1:11" x14ac:dyDescent="0.25">
      <c r="A546" s="255" t="s">
        <v>20</v>
      </c>
      <c r="B546" s="255" t="s">
        <v>206</v>
      </c>
      <c r="C546" s="256">
        <v>2006</v>
      </c>
      <c r="D546" s="256">
        <v>300</v>
      </c>
      <c r="E546">
        <v>0</v>
      </c>
      <c r="F546" s="257"/>
      <c r="H546" s="239"/>
      <c r="I546" s="4"/>
      <c r="K546" s="239"/>
    </row>
    <row r="547" spans="1:11" x14ac:dyDescent="0.25">
      <c r="A547" s="255" t="s">
        <v>20</v>
      </c>
      <c r="B547" s="255" t="s">
        <v>206</v>
      </c>
      <c r="C547" s="256">
        <v>2006</v>
      </c>
      <c r="D547" s="256">
        <v>600</v>
      </c>
      <c r="E547">
        <v>0</v>
      </c>
      <c r="F547" s="257"/>
      <c r="H547" s="239"/>
      <c r="I547" s="4"/>
      <c r="K547" s="239"/>
    </row>
    <row r="548" spans="1:11" x14ac:dyDescent="0.25">
      <c r="A548" s="255" t="s">
        <v>20</v>
      </c>
      <c r="B548" s="255" t="s">
        <v>206</v>
      </c>
      <c r="C548" s="256">
        <v>2007</v>
      </c>
      <c r="D548" s="256">
        <v>50</v>
      </c>
      <c r="E548">
        <v>0</v>
      </c>
      <c r="F548" s="257"/>
      <c r="H548" s="239"/>
      <c r="I548" s="4"/>
      <c r="K548" s="239"/>
    </row>
    <row r="549" spans="1:11" x14ac:dyDescent="0.25">
      <c r="A549" s="255" t="s">
        <v>20</v>
      </c>
      <c r="B549" s="255" t="s">
        <v>206</v>
      </c>
      <c r="C549" s="256">
        <v>2007</v>
      </c>
      <c r="D549" s="256">
        <v>75</v>
      </c>
      <c r="E549">
        <v>0</v>
      </c>
      <c r="F549" s="257"/>
      <c r="H549" s="239"/>
      <c r="I549" s="4"/>
      <c r="K549" s="239"/>
    </row>
    <row r="550" spans="1:11" x14ac:dyDescent="0.25">
      <c r="A550" s="255" t="s">
        <v>20</v>
      </c>
      <c r="B550" s="255" t="s">
        <v>206</v>
      </c>
      <c r="C550" s="256">
        <v>2007</v>
      </c>
      <c r="D550" s="256">
        <v>100</v>
      </c>
      <c r="E550">
        <v>0</v>
      </c>
      <c r="F550" s="257"/>
      <c r="H550" s="239"/>
      <c r="I550" s="4"/>
      <c r="K550" s="239"/>
    </row>
    <row r="551" spans="1:11" x14ac:dyDescent="0.25">
      <c r="A551" s="255" t="s">
        <v>20</v>
      </c>
      <c r="B551" s="255" t="s">
        <v>206</v>
      </c>
      <c r="C551" s="256">
        <v>2007</v>
      </c>
      <c r="D551" s="256">
        <v>175</v>
      </c>
      <c r="E551">
        <v>0</v>
      </c>
      <c r="F551" s="257"/>
      <c r="H551" s="239"/>
      <c r="I551" s="4"/>
      <c r="K551" s="239"/>
    </row>
    <row r="552" spans="1:11" x14ac:dyDescent="0.25">
      <c r="A552" s="255" t="s">
        <v>20</v>
      </c>
      <c r="B552" s="255" t="s">
        <v>206</v>
      </c>
      <c r="C552" s="256">
        <v>2007</v>
      </c>
      <c r="D552" s="256">
        <v>300</v>
      </c>
      <c r="E552">
        <v>0</v>
      </c>
      <c r="F552" s="257"/>
      <c r="H552" s="239"/>
      <c r="I552" s="4"/>
      <c r="K552" s="239"/>
    </row>
    <row r="553" spans="1:11" x14ac:dyDescent="0.25">
      <c r="A553" s="255" t="s">
        <v>20</v>
      </c>
      <c r="B553" s="255" t="s">
        <v>206</v>
      </c>
      <c r="C553" s="256">
        <v>2007</v>
      </c>
      <c r="D553" s="256">
        <v>600</v>
      </c>
      <c r="E553">
        <v>0</v>
      </c>
      <c r="F553" s="257"/>
      <c r="H553" s="239"/>
      <c r="I553" s="4"/>
      <c r="K553" s="239"/>
    </row>
    <row r="554" spans="1:11" x14ac:dyDescent="0.25">
      <c r="A554" s="255" t="s">
        <v>20</v>
      </c>
      <c r="B554" s="255" t="s">
        <v>206</v>
      </c>
      <c r="C554" s="256">
        <v>2008</v>
      </c>
      <c r="D554" s="256">
        <v>50</v>
      </c>
      <c r="E554">
        <v>0</v>
      </c>
      <c r="F554" s="257"/>
      <c r="H554" s="239"/>
      <c r="I554" s="4"/>
      <c r="K554" s="239"/>
    </row>
    <row r="555" spans="1:11" x14ac:dyDescent="0.25">
      <c r="A555" s="255" t="s">
        <v>20</v>
      </c>
      <c r="B555" s="255" t="s">
        <v>206</v>
      </c>
      <c r="C555" s="256">
        <v>2008</v>
      </c>
      <c r="D555" s="256">
        <v>75</v>
      </c>
      <c r="E555">
        <v>0</v>
      </c>
      <c r="F555" s="257"/>
      <c r="H555" s="239"/>
      <c r="I555" s="4"/>
      <c r="K555" s="239"/>
    </row>
    <row r="556" spans="1:11" x14ac:dyDescent="0.25">
      <c r="A556" s="255" t="s">
        <v>20</v>
      </c>
      <c r="B556" s="255" t="s">
        <v>206</v>
      </c>
      <c r="C556" s="256">
        <v>2008</v>
      </c>
      <c r="D556" s="256">
        <v>100</v>
      </c>
      <c r="E556">
        <v>0</v>
      </c>
      <c r="F556" s="257"/>
      <c r="H556" s="239"/>
      <c r="I556" s="4"/>
      <c r="K556" s="239"/>
    </row>
    <row r="557" spans="1:11" x14ac:dyDescent="0.25">
      <c r="A557" s="255" t="s">
        <v>20</v>
      </c>
      <c r="B557" s="255" t="s">
        <v>206</v>
      </c>
      <c r="C557" s="256">
        <v>2008</v>
      </c>
      <c r="D557" s="256">
        <v>175</v>
      </c>
      <c r="E557">
        <v>0</v>
      </c>
      <c r="F557" s="257"/>
      <c r="H557" s="239"/>
      <c r="I557" s="4"/>
      <c r="K557" s="239"/>
    </row>
    <row r="558" spans="1:11" x14ac:dyDescent="0.25">
      <c r="A558" s="255" t="s">
        <v>20</v>
      </c>
      <c r="B558" s="255" t="s">
        <v>206</v>
      </c>
      <c r="C558" s="256">
        <v>2008</v>
      </c>
      <c r="D558" s="256">
        <v>300</v>
      </c>
      <c r="E558">
        <v>0</v>
      </c>
      <c r="F558" s="257"/>
      <c r="H558" s="239"/>
      <c r="I558" s="4"/>
      <c r="K558" s="239"/>
    </row>
    <row r="559" spans="1:11" x14ac:dyDescent="0.25">
      <c r="A559" s="255" t="s">
        <v>20</v>
      </c>
      <c r="B559" s="255" t="s">
        <v>206</v>
      </c>
      <c r="C559" s="256">
        <v>2008</v>
      </c>
      <c r="D559" s="256">
        <v>600</v>
      </c>
      <c r="E559">
        <v>0</v>
      </c>
      <c r="F559" s="257"/>
      <c r="H559" s="239"/>
      <c r="I559" s="4"/>
      <c r="K559" s="239"/>
    </row>
    <row r="560" spans="1:11" x14ac:dyDescent="0.25">
      <c r="A560" s="255" t="s">
        <v>20</v>
      </c>
      <c r="B560" s="255" t="s">
        <v>206</v>
      </c>
      <c r="C560" s="256">
        <v>2009</v>
      </c>
      <c r="D560" s="256">
        <v>50</v>
      </c>
      <c r="E560">
        <v>0</v>
      </c>
      <c r="F560" s="257"/>
      <c r="H560" s="239"/>
      <c r="I560" s="4"/>
      <c r="K560" s="239"/>
    </row>
    <row r="561" spans="1:11" x14ac:dyDescent="0.25">
      <c r="A561" s="255" t="s">
        <v>20</v>
      </c>
      <c r="B561" s="255" t="s">
        <v>206</v>
      </c>
      <c r="C561" s="256">
        <v>2009</v>
      </c>
      <c r="D561" s="256">
        <v>75</v>
      </c>
      <c r="E561">
        <v>0</v>
      </c>
      <c r="F561" s="257"/>
      <c r="H561" s="239"/>
      <c r="I561" s="4"/>
      <c r="K561" s="239"/>
    </row>
    <row r="562" spans="1:11" x14ac:dyDescent="0.25">
      <c r="A562" s="255" t="s">
        <v>20</v>
      </c>
      <c r="B562" s="255" t="s">
        <v>206</v>
      </c>
      <c r="C562" s="256">
        <v>2009</v>
      </c>
      <c r="D562" s="256">
        <v>100</v>
      </c>
      <c r="E562">
        <v>0</v>
      </c>
      <c r="F562" s="257"/>
      <c r="H562" s="239"/>
      <c r="I562" s="4"/>
      <c r="K562" s="239"/>
    </row>
    <row r="563" spans="1:11" x14ac:dyDescent="0.25">
      <c r="A563" s="255" t="s">
        <v>20</v>
      </c>
      <c r="B563" s="255" t="s">
        <v>206</v>
      </c>
      <c r="C563" s="256">
        <v>2009</v>
      </c>
      <c r="D563" s="256">
        <v>175</v>
      </c>
      <c r="E563">
        <v>0</v>
      </c>
      <c r="F563" s="257"/>
      <c r="H563" s="239"/>
      <c r="I563" s="4"/>
      <c r="K563" s="239"/>
    </row>
    <row r="564" spans="1:11" x14ac:dyDescent="0.25">
      <c r="A564" s="255" t="s">
        <v>20</v>
      </c>
      <c r="B564" s="255" t="s">
        <v>206</v>
      </c>
      <c r="C564" s="256">
        <v>2009</v>
      </c>
      <c r="D564" s="256">
        <v>300</v>
      </c>
      <c r="E564">
        <v>0</v>
      </c>
      <c r="F564" s="257"/>
      <c r="H564" s="239"/>
      <c r="I564" s="4"/>
      <c r="K564" s="239"/>
    </row>
    <row r="565" spans="1:11" x14ac:dyDescent="0.25">
      <c r="A565" s="255" t="s">
        <v>20</v>
      </c>
      <c r="B565" s="255" t="s">
        <v>206</v>
      </c>
      <c r="C565" s="256">
        <v>2009</v>
      </c>
      <c r="D565" s="256">
        <v>600</v>
      </c>
      <c r="E565">
        <v>0</v>
      </c>
      <c r="F565" s="257"/>
      <c r="H565" s="239"/>
      <c r="I565" s="4"/>
      <c r="K565" s="239"/>
    </row>
    <row r="566" spans="1:11" x14ac:dyDescent="0.25">
      <c r="A566" s="255" t="s">
        <v>20</v>
      </c>
      <c r="B566" s="255" t="s">
        <v>206</v>
      </c>
      <c r="C566" s="256">
        <v>2010</v>
      </c>
      <c r="D566" s="256">
        <v>50</v>
      </c>
      <c r="E566">
        <v>0.96387435366812402</v>
      </c>
      <c r="F566" s="258">
        <f>SUM(E566:E571)</f>
        <v>21.999999999999964</v>
      </c>
      <c r="G566">
        <f t="shared" si="8"/>
        <v>50</v>
      </c>
      <c r="H566" s="4">
        <f>IF(B566="RTG Crane",IF(D566&lt;600,800000,1200000),VLOOKUP(B566,'$$$ Replace &amp; Retrofit'!$B$10:$C$14,2)*'CHE Model poplulation'!D566)*E566</f>
        <v>48193.717683406197</v>
      </c>
      <c r="I566" s="4">
        <f>E566*VLOOKUP('CHE Model poplulation'!G566,'$$$ Replace &amp; Retrofit'!$I$10:$J$15,2)</f>
        <v>16952.622132314966</v>
      </c>
      <c r="J566" s="4">
        <f>IF(D566=50,VLOOKUP(0,'$$$ Replace &amp; Retrofit'!$E$10:$F$13,2),IF(D566&lt;175,VLOOKUP(50,'$$$ Replace &amp; Retrofit'!$E$10:$F$13,2),IF(D566&lt;400,VLOOKUP(175,'$$$ Replace &amp; Retrofit'!$E$10:$F$13,2),IF(D566&gt;=400,VLOOKUP(400,'$$$ Replace &amp; Retrofit'!$E$10:$F$13,2),NA))))*E566</f>
        <v>7710.9948293449925</v>
      </c>
      <c r="K566" s="51"/>
    </row>
    <row r="567" spans="1:11" x14ac:dyDescent="0.25">
      <c r="A567" s="255" t="s">
        <v>20</v>
      </c>
      <c r="B567" s="255" t="s">
        <v>206</v>
      </c>
      <c r="C567" s="256">
        <v>2010</v>
      </c>
      <c r="D567" s="256">
        <v>75</v>
      </c>
      <c r="E567">
        <v>2.06645888193919</v>
      </c>
      <c r="F567" s="257"/>
      <c r="G567">
        <f t="shared" si="8"/>
        <v>50</v>
      </c>
      <c r="H567" s="4">
        <f>IF(B567="RTG Crane",IF(D567&lt;600,800000,1200000),VLOOKUP(B567,'$$$ Replace &amp; Retrofit'!$B$10:$C$14,2)*'CHE Model poplulation'!D567)*E567</f>
        <v>154984.41614543926</v>
      </c>
      <c r="I567" s="4">
        <f>E567*VLOOKUP('CHE Model poplulation'!G567,'$$$ Replace &amp; Retrofit'!$I$10:$J$15,2)</f>
        <v>36344.878815546472</v>
      </c>
      <c r="J567" s="4">
        <f>IF(D567=50,VLOOKUP(0,'$$$ Replace &amp; Retrofit'!$E$10:$F$13,2),IF(D567&lt;175,VLOOKUP(50,'$$$ Replace &amp; Retrofit'!$E$10:$F$13,2),IF(D567&lt;400,VLOOKUP(175,'$$$ Replace &amp; Retrofit'!$E$10:$F$13,2),IF(D567&gt;=400,VLOOKUP(400,'$$$ Replace &amp; Retrofit'!$E$10:$F$13,2),NA))))*E567</f>
        <v>24797.506583270282</v>
      </c>
      <c r="K567" s="51"/>
    </row>
    <row r="568" spans="1:11" x14ac:dyDescent="0.25">
      <c r="A568" s="255" t="s">
        <v>20</v>
      </c>
      <c r="B568" s="255" t="s">
        <v>206</v>
      </c>
      <c r="C568" s="256">
        <v>2010</v>
      </c>
      <c r="D568" s="256">
        <v>100</v>
      </c>
      <c r="E568">
        <v>2.1733612697328399</v>
      </c>
      <c r="F568" s="257"/>
      <c r="G568">
        <f t="shared" si="8"/>
        <v>125</v>
      </c>
      <c r="H568" s="4">
        <f>IF(B568="RTG Crane",IF(D568&lt;600,800000,1200000),VLOOKUP(B568,'$$$ Replace &amp; Retrofit'!$B$10:$C$14,2)*'CHE Model poplulation'!D568)*E568</f>
        <v>217336.126973284</v>
      </c>
      <c r="I568" s="4">
        <f>E568*VLOOKUP('CHE Model poplulation'!G568,'$$$ Replace &amp; Retrofit'!$I$10:$J$15,2)</f>
        <v>42886.937935638132</v>
      </c>
      <c r="J568" s="4">
        <f>IF(D568=50,VLOOKUP(0,'$$$ Replace &amp; Retrofit'!$E$10:$F$13,2),IF(D568&lt;175,VLOOKUP(50,'$$$ Replace &amp; Retrofit'!$E$10:$F$13,2),IF(D568&lt;400,VLOOKUP(175,'$$$ Replace &amp; Retrofit'!$E$10:$F$13,2),IF(D568&gt;=400,VLOOKUP(400,'$$$ Replace &amp; Retrofit'!$E$10:$F$13,2),NA))))*E568</f>
        <v>26080.335236794079</v>
      </c>
      <c r="K568" s="51"/>
    </row>
    <row r="569" spans="1:11" x14ac:dyDescent="0.25">
      <c r="A569" s="255" t="s">
        <v>20</v>
      </c>
      <c r="B569" s="255" t="s">
        <v>206</v>
      </c>
      <c r="C569" s="256">
        <v>2010</v>
      </c>
      <c r="D569" s="256">
        <v>175</v>
      </c>
      <c r="E569">
        <v>4.4200642769247196</v>
      </c>
      <c r="F569" s="257"/>
      <c r="G569">
        <f t="shared" si="8"/>
        <v>175</v>
      </c>
      <c r="H569" s="4">
        <f>IF(B569="RTG Crane",IF(D569&lt;600,800000,1200000),VLOOKUP(B569,'$$$ Replace &amp; Retrofit'!$B$10:$C$14,2)*'CHE Model poplulation'!D569)*E569</f>
        <v>773511.24846182589</v>
      </c>
      <c r="I569" s="4">
        <f>E569*VLOOKUP('CHE Model poplulation'!G569,'$$$ Replace &amp; Retrofit'!$I$10:$J$15,2)</f>
        <v>109599.91381062535</v>
      </c>
      <c r="J569" s="4">
        <f>IF(D569=50,VLOOKUP(0,'$$$ Replace &amp; Retrofit'!$E$10:$F$13,2),IF(D569&lt;175,VLOOKUP(50,'$$$ Replace &amp; Retrofit'!$E$10:$F$13,2),IF(D569&lt;400,VLOOKUP(175,'$$$ Replace &amp; Retrofit'!$E$10:$F$13,2),IF(D569&gt;=400,VLOOKUP(400,'$$$ Replace &amp; Retrofit'!$E$10:$F$13,2),NA))))*E569</f>
        <v>79561.156984644957</v>
      </c>
      <c r="K569" s="51"/>
    </row>
    <row r="570" spans="1:11" x14ac:dyDescent="0.25">
      <c r="A570" s="255" t="s">
        <v>20</v>
      </c>
      <c r="B570" s="255" t="s">
        <v>206</v>
      </c>
      <c r="C570" s="256">
        <v>2010</v>
      </c>
      <c r="D570" s="256">
        <v>300</v>
      </c>
      <c r="E570">
        <v>3.9401107189818001</v>
      </c>
      <c r="F570" s="257"/>
      <c r="G570">
        <f t="shared" si="8"/>
        <v>300</v>
      </c>
      <c r="H570" s="4">
        <f>IF(B570="RTG Crane",IF(D570&lt;600,800000,1200000),VLOOKUP(B570,'$$$ Replace &amp; Retrofit'!$B$10:$C$14,2)*'CHE Model poplulation'!D570)*E570</f>
        <v>1182033.2156945399</v>
      </c>
      <c r="I570" s="4">
        <f>E570*VLOOKUP('CHE Model poplulation'!G570,'$$$ Replace &amp; Retrofit'!$I$10:$J$15,2)</f>
        <v>113329.40461007351</v>
      </c>
      <c r="J570" s="4">
        <f>IF(D570=50,VLOOKUP(0,'$$$ Replace &amp; Retrofit'!$E$10:$F$13,2),IF(D570&lt;175,VLOOKUP(50,'$$$ Replace &amp; Retrofit'!$E$10:$F$13,2),IF(D570&lt;400,VLOOKUP(175,'$$$ Replace &amp; Retrofit'!$E$10:$F$13,2),IF(D570&gt;=400,VLOOKUP(400,'$$$ Replace &amp; Retrofit'!$E$10:$F$13,2),NA))))*E570</f>
        <v>70921.992941672404</v>
      </c>
      <c r="K570" s="239"/>
    </row>
    <row r="571" spans="1:11" x14ac:dyDescent="0.25">
      <c r="A571" s="255" t="s">
        <v>20</v>
      </c>
      <c r="B571" s="255" t="s">
        <v>206</v>
      </c>
      <c r="C571" s="256">
        <v>2010</v>
      </c>
      <c r="D571" s="256">
        <v>600</v>
      </c>
      <c r="E571">
        <v>8.4361304987532897</v>
      </c>
      <c r="F571" s="257"/>
      <c r="G571">
        <f t="shared" si="8"/>
        <v>400</v>
      </c>
      <c r="H571" s="4">
        <f>IF(B571="RTG Crane",IF(D571&lt;600,800000,1200000),VLOOKUP(B571,'$$$ Replace &amp; Retrofit'!$B$10:$C$14,2)*'CHE Model poplulation'!D571)*E571</f>
        <v>5061678.2992519736</v>
      </c>
      <c r="I571" s="4">
        <f>E571*VLOOKUP('CHE Model poplulation'!G571,'$$$ Replace &amp; Retrofit'!$I$10:$J$15,2)</f>
        <v>441488.01739125588</v>
      </c>
      <c r="J571" s="4">
        <f>IF(D571=50,VLOOKUP(0,'$$$ Replace &amp; Retrofit'!$E$10:$F$13,2),IF(D571&lt;175,VLOOKUP(50,'$$$ Replace &amp; Retrofit'!$E$10:$F$13,2),IF(D571&lt;400,VLOOKUP(175,'$$$ Replace &amp; Retrofit'!$E$10:$F$13,2),IF(D571&gt;=400,VLOOKUP(400,'$$$ Replace &amp; Retrofit'!$E$10:$F$13,2),NA))))*E571</f>
        <v>253083.9149625987</v>
      </c>
      <c r="K571" s="239"/>
    </row>
    <row r="572" spans="1:11" x14ac:dyDescent="0.25">
      <c r="A572" s="255" t="s">
        <v>20</v>
      </c>
      <c r="B572" s="255" t="s">
        <v>206</v>
      </c>
      <c r="C572" s="256">
        <v>2011</v>
      </c>
      <c r="D572" s="256">
        <v>50</v>
      </c>
      <c r="E572">
        <v>0.95872737833440203</v>
      </c>
      <c r="F572" s="258">
        <f>SUM(E572:E577)</f>
        <v>21.872866829730082</v>
      </c>
      <c r="G572">
        <f t="shared" si="8"/>
        <v>50</v>
      </c>
      <c r="H572" s="4">
        <f>IF(B572="RTG Crane",IF(D572&lt;600,800000,1200000),VLOOKUP(B572,'$$$ Replace &amp; Retrofit'!$B$10:$C$14,2)*'CHE Model poplulation'!D572)*E572</f>
        <v>47936.368916720101</v>
      </c>
      <c r="I572" s="4">
        <f>E572*VLOOKUP('CHE Model poplulation'!G572,'$$$ Replace &amp; Retrofit'!$I$10:$J$15,2)</f>
        <v>16862.097130145463</v>
      </c>
      <c r="J572" s="4">
        <f>IF(D572=50,VLOOKUP(0,'$$$ Replace &amp; Retrofit'!$E$10:$F$13,2),IF(D572&lt;175,VLOOKUP(50,'$$$ Replace &amp; Retrofit'!$E$10:$F$13,2),IF(D572&lt;400,VLOOKUP(175,'$$$ Replace &amp; Retrofit'!$E$10:$F$13,2),IF(D572&gt;=400,VLOOKUP(400,'$$$ Replace &amp; Retrofit'!$E$10:$F$13,2),NA))))*E572</f>
        <v>7669.8190266752163</v>
      </c>
      <c r="K572" s="239"/>
    </row>
    <row r="573" spans="1:11" x14ac:dyDescent="0.25">
      <c r="A573" s="255" t="s">
        <v>20</v>
      </c>
      <c r="B573" s="255" t="s">
        <v>206</v>
      </c>
      <c r="C573" s="256">
        <v>2011</v>
      </c>
      <c r="D573" s="256">
        <v>75</v>
      </c>
      <c r="E573">
        <v>2.0553927866269599</v>
      </c>
      <c r="F573" s="257"/>
      <c r="G573">
        <f t="shared" si="8"/>
        <v>50</v>
      </c>
      <c r="H573" s="4">
        <f>IF(B573="RTG Crane",IF(D573&lt;600,800000,1200000),VLOOKUP(B573,'$$$ Replace &amp; Retrofit'!$B$10:$C$14,2)*'CHE Model poplulation'!D573)*E573</f>
        <v>154154.45899702198</v>
      </c>
      <c r="I573" s="4">
        <f>E573*VLOOKUP('CHE Model poplulation'!G573,'$$$ Replace &amp; Retrofit'!$I$10:$J$15,2)</f>
        <v>36150.248331194969</v>
      </c>
      <c r="J573" s="4">
        <f>IF(D573=50,VLOOKUP(0,'$$$ Replace &amp; Retrofit'!$E$10:$F$13,2),IF(D573&lt;175,VLOOKUP(50,'$$$ Replace &amp; Retrofit'!$E$10:$F$13,2),IF(D573&lt;400,VLOOKUP(175,'$$$ Replace &amp; Retrofit'!$E$10:$F$13,2),IF(D573&gt;=400,VLOOKUP(400,'$$$ Replace &amp; Retrofit'!$E$10:$F$13,2),NA))))*E573</f>
        <v>24664.713439523519</v>
      </c>
      <c r="K573" s="239"/>
    </row>
    <row r="574" spans="1:11" x14ac:dyDescent="0.25">
      <c r="A574" s="255" t="s">
        <v>20</v>
      </c>
      <c r="B574" s="255" t="s">
        <v>206</v>
      </c>
      <c r="C574" s="256">
        <v>2011</v>
      </c>
      <c r="D574" s="256">
        <v>100</v>
      </c>
      <c r="E574">
        <v>2.1607931671107501</v>
      </c>
      <c r="F574" s="257"/>
      <c r="G574">
        <f t="shared" si="8"/>
        <v>125</v>
      </c>
      <c r="H574" s="4">
        <f>IF(B574="RTG Crane",IF(D574&lt;600,800000,1200000),VLOOKUP(B574,'$$$ Replace &amp; Retrofit'!$B$10:$C$14,2)*'CHE Model poplulation'!D574)*E574</f>
        <v>216079.31671107502</v>
      </c>
      <c r="I574" s="4">
        <f>E574*VLOOKUP('CHE Model poplulation'!G574,'$$$ Replace &amp; Retrofit'!$I$10:$J$15,2)</f>
        <v>42638.931566596431</v>
      </c>
      <c r="J574" s="4">
        <f>IF(D574=50,VLOOKUP(0,'$$$ Replace &amp; Retrofit'!$E$10:$F$13,2),IF(D574&lt;175,VLOOKUP(50,'$$$ Replace &amp; Retrofit'!$E$10:$F$13,2),IF(D574&lt;400,VLOOKUP(175,'$$$ Replace &amp; Retrofit'!$E$10:$F$13,2),IF(D574&gt;=400,VLOOKUP(400,'$$$ Replace &amp; Retrofit'!$E$10:$F$13,2),NA))))*E574</f>
        <v>25929.518005329002</v>
      </c>
      <c r="K574" s="239"/>
    </row>
    <row r="575" spans="1:11" x14ac:dyDescent="0.25">
      <c r="A575" s="255" t="s">
        <v>20</v>
      </c>
      <c r="B575" s="255" t="s">
        <v>206</v>
      </c>
      <c r="C575" s="256">
        <v>2011</v>
      </c>
      <c r="D575" s="256">
        <v>175</v>
      </c>
      <c r="E575">
        <v>4.3977831097915203</v>
      </c>
      <c r="F575" s="257"/>
      <c r="G575">
        <f t="shared" si="8"/>
        <v>175</v>
      </c>
      <c r="H575" s="4">
        <f>IF(B575="RTG Crane",IF(D575&lt;600,800000,1200000),VLOOKUP(B575,'$$$ Replace &amp; Retrofit'!$B$10:$C$14,2)*'CHE Model poplulation'!D575)*E575</f>
        <v>769612.04421351606</v>
      </c>
      <c r="I575" s="4">
        <f>E575*VLOOKUP('CHE Model poplulation'!G575,'$$$ Replace &amp; Retrofit'!$I$10:$J$15,2)</f>
        <v>109047.42999039053</v>
      </c>
      <c r="J575" s="4">
        <f>IF(D575=50,VLOOKUP(0,'$$$ Replace &amp; Retrofit'!$E$10:$F$13,2),IF(D575&lt;175,VLOOKUP(50,'$$$ Replace &amp; Retrofit'!$E$10:$F$13,2),IF(D575&lt;400,VLOOKUP(175,'$$$ Replace &amp; Retrofit'!$E$10:$F$13,2),IF(D575&gt;=400,VLOOKUP(400,'$$$ Replace &amp; Retrofit'!$E$10:$F$13,2),NA))))*E575</f>
        <v>79160.095976247365</v>
      </c>
      <c r="K575" s="239"/>
    </row>
    <row r="576" spans="1:11" x14ac:dyDescent="0.25">
      <c r="A576" s="255" t="s">
        <v>20</v>
      </c>
      <c r="B576" s="255" t="s">
        <v>206</v>
      </c>
      <c r="C576" s="256">
        <v>2011</v>
      </c>
      <c r="D576" s="256">
        <v>300</v>
      </c>
      <c r="E576">
        <v>3.91938697624997</v>
      </c>
      <c r="F576" s="257"/>
      <c r="G576">
        <f t="shared" si="8"/>
        <v>300</v>
      </c>
      <c r="H576" s="4">
        <f>IF(B576="RTG Crane",IF(D576&lt;600,800000,1200000),VLOOKUP(B576,'$$$ Replace &amp; Retrofit'!$B$10:$C$14,2)*'CHE Model poplulation'!D576)*E576</f>
        <v>1175816.092874991</v>
      </c>
      <c r="I576" s="4">
        <f>E576*VLOOKUP('CHE Model poplulation'!G576,'$$$ Replace &amp; Retrofit'!$I$10:$J$15,2)</f>
        <v>112733.32759787788</v>
      </c>
      <c r="J576" s="4">
        <f>IF(D576=50,VLOOKUP(0,'$$$ Replace &amp; Retrofit'!$E$10:$F$13,2),IF(D576&lt;175,VLOOKUP(50,'$$$ Replace &amp; Retrofit'!$E$10:$F$13,2),IF(D576&lt;400,VLOOKUP(175,'$$$ Replace &amp; Retrofit'!$E$10:$F$13,2),IF(D576&gt;=400,VLOOKUP(400,'$$$ Replace &amp; Retrofit'!$E$10:$F$13,2),NA))))*E576</f>
        <v>70548.965572499466</v>
      </c>
      <c r="K576" s="239"/>
    </row>
    <row r="577" spans="1:11" x14ac:dyDescent="0.25">
      <c r="A577" s="255" t="s">
        <v>20</v>
      </c>
      <c r="B577" s="255" t="s">
        <v>206</v>
      </c>
      <c r="C577" s="256">
        <v>2011</v>
      </c>
      <c r="D577" s="256">
        <v>600</v>
      </c>
      <c r="E577">
        <v>8.3807834116164805</v>
      </c>
      <c r="F577" s="257"/>
      <c r="G577">
        <f t="shared" si="8"/>
        <v>400</v>
      </c>
      <c r="H577" s="4">
        <f>IF(B577="RTG Crane",IF(D577&lt;600,800000,1200000),VLOOKUP(B577,'$$$ Replace &amp; Retrofit'!$B$10:$C$14,2)*'CHE Model poplulation'!D577)*E577</f>
        <v>5028470.0469698887</v>
      </c>
      <c r="I577" s="4">
        <f>E577*VLOOKUP('CHE Model poplulation'!G577,'$$$ Replace &amp; Retrofit'!$I$10:$J$15,2)</f>
        <v>438591.5382801253</v>
      </c>
      <c r="J577" s="4">
        <f>IF(D577=50,VLOOKUP(0,'$$$ Replace &amp; Retrofit'!$E$10:$F$13,2),IF(D577&lt;175,VLOOKUP(50,'$$$ Replace &amp; Retrofit'!$E$10:$F$13,2),IF(D577&lt;400,VLOOKUP(175,'$$$ Replace &amp; Retrofit'!$E$10:$F$13,2),IF(D577&gt;=400,VLOOKUP(400,'$$$ Replace &amp; Retrofit'!$E$10:$F$13,2),NA))))*E577</f>
        <v>251423.50234849442</v>
      </c>
      <c r="K577" s="239"/>
    </row>
    <row r="578" spans="1:11" x14ac:dyDescent="0.25">
      <c r="A578" s="255" t="s">
        <v>20</v>
      </c>
      <c r="B578" s="255" t="s">
        <v>206</v>
      </c>
      <c r="C578" s="256">
        <v>2012</v>
      </c>
      <c r="D578" s="256">
        <v>50</v>
      </c>
      <c r="E578">
        <v>0.94896692290265905</v>
      </c>
      <c r="F578" s="257"/>
      <c r="G578">
        <f t="shared" si="8"/>
        <v>50</v>
      </c>
      <c r="H578" s="4">
        <f>IF(B578="RTG Crane",IF(D578&lt;600,800000,1200000),VLOOKUP(B578,'$$$ Replace &amp; Retrofit'!$B$10:$C$14,2)*'CHE Model poplulation'!D578)*E578</f>
        <v>47448.346145132949</v>
      </c>
      <c r="I578" s="4">
        <f>E578*VLOOKUP('CHE Model poplulation'!G578,'$$$ Replace &amp; Retrofit'!$I$10:$J$15,2)</f>
        <v>16690.430240011967</v>
      </c>
      <c r="J578" s="4">
        <f>IF(D578=50,VLOOKUP(0,'$$$ Replace &amp; Retrofit'!$E$10:$F$13,2),IF(D578&lt;175,VLOOKUP(50,'$$$ Replace &amp; Retrofit'!$E$10:$F$13,2),IF(D578&lt;400,VLOOKUP(175,'$$$ Replace &amp; Retrofit'!$E$10:$F$13,2),IF(D578&gt;=400,VLOOKUP(400,'$$$ Replace &amp; Retrofit'!$E$10:$F$13,2),NA))))*E578</f>
        <v>7591.7353832212721</v>
      </c>
      <c r="K578" s="239"/>
    </row>
    <row r="579" spans="1:11" x14ac:dyDescent="0.25">
      <c r="A579" s="255" t="s">
        <v>20</v>
      </c>
      <c r="B579" s="255" t="s">
        <v>206</v>
      </c>
      <c r="C579" s="256">
        <v>2012</v>
      </c>
      <c r="D579" s="256">
        <v>75</v>
      </c>
      <c r="E579">
        <v>1.98315268406554</v>
      </c>
      <c r="F579" s="257"/>
      <c r="G579">
        <f t="shared" si="8"/>
        <v>50</v>
      </c>
      <c r="H579" s="4">
        <f>IF(B579="RTG Crane",IF(D579&lt;600,800000,1200000),VLOOKUP(B579,'$$$ Replace &amp; Retrofit'!$B$10:$C$14,2)*'CHE Model poplulation'!D579)*E579</f>
        <v>148736.45130491551</v>
      </c>
      <c r="I579" s="4">
        <f>E579*VLOOKUP('CHE Model poplulation'!G579,'$$$ Replace &amp; Retrofit'!$I$10:$J$15,2)</f>
        <v>34879.689407344718</v>
      </c>
      <c r="J579" s="4">
        <f>IF(D579=50,VLOOKUP(0,'$$$ Replace &amp; Retrofit'!$E$10:$F$13,2),IF(D579&lt;175,VLOOKUP(50,'$$$ Replace &amp; Retrofit'!$E$10:$F$13,2),IF(D579&lt;400,VLOOKUP(175,'$$$ Replace &amp; Retrofit'!$E$10:$F$13,2),IF(D579&gt;=400,VLOOKUP(400,'$$$ Replace &amp; Retrofit'!$E$10:$F$13,2),NA))))*E579</f>
        <v>23797.83220878648</v>
      </c>
      <c r="K579" s="239"/>
    </row>
    <row r="580" spans="1:11" x14ac:dyDescent="0.25">
      <c r="A580" s="255" t="s">
        <v>20</v>
      </c>
      <c r="B580" s="255" t="s">
        <v>206</v>
      </c>
      <c r="C580" s="256">
        <v>2012</v>
      </c>
      <c r="D580" s="256">
        <v>100</v>
      </c>
      <c r="E580">
        <v>2.0716547764258499</v>
      </c>
      <c r="F580" s="257"/>
      <c r="G580">
        <f t="shared" si="8"/>
        <v>125</v>
      </c>
      <c r="H580" s="4">
        <f>IF(B580="RTG Crane",IF(D580&lt;600,800000,1200000),VLOOKUP(B580,'$$$ Replace &amp; Retrofit'!$B$10:$C$14,2)*'CHE Model poplulation'!D580)*E580</f>
        <v>207165.477642585</v>
      </c>
      <c r="I580" s="4">
        <f>E580*VLOOKUP('CHE Model poplulation'!G580,'$$$ Replace &amp; Retrofit'!$I$10:$J$15,2)</f>
        <v>40879.963703211295</v>
      </c>
      <c r="J580" s="4">
        <f>IF(D580=50,VLOOKUP(0,'$$$ Replace &amp; Retrofit'!$E$10:$F$13,2),IF(D580&lt;175,VLOOKUP(50,'$$$ Replace &amp; Retrofit'!$E$10:$F$13,2),IF(D580&lt;400,VLOOKUP(175,'$$$ Replace &amp; Retrofit'!$E$10:$F$13,2),IF(D580&gt;=400,VLOOKUP(400,'$$$ Replace &amp; Retrofit'!$E$10:$F$13,2),NA))))*E580</f>
        <v>24859.8573171102</v>
      </c>
      <c r="K580" s="239"/>
    </row>
    <row r="581" spans="1:11" x14ac:dyDescent="0.25">
      <c r="A581" s="255" t="s">
        <v>20</v>
      </c>
      <c r="B581" s="255" t="s">
        <v>206</v>
      </c>
      <c r="C581" s="256">
        <v>2012</v>
      </c>
      <c r="D581" s="256">
        <v>175</v>
      </c>
      <c r="E581">
        <v>4.1976205677061902</v>
      </c>
      <c r="F581" s="257"/>
      <c r="G581">
        <f t="shared" si="8"/>
        <v>175</v>
      </c>
      <c r="H581" s="4">
        <f>IF(B581="RTG Crane",IF(D581&lt;600,800000,1200000),VLOOKUP(B581,'$$$ Replace &amp; Retrofit'!$B$10:$C$14,2)*'CHE Model poplulation'!D581)*E581</f>
        <v>734583.59934858326</v>
      </c>
      <c r="I581" s="4">
        <f>E581*VLOOKUP('CHE Model poplulation'!G581,'$$$ Replace &amp; Retrofit'!$I$10:$J$15,2)</f>
        <v>104084.19959684269</v>
      </c>
      <c r="J581" s="4">
        <f>IF(D581=50,VLOOKUP(0,'$$$ Replace &amp; Retrofit'!$E$10:$F$13,2),IF(D581&lt;175,VLOOKUP(50,'$$$ Replace &amp; Retrofit'!$E$10:$F$13,2),IF(D581&lt;400,VLOOKUP(175,'$$$ Replace &amp; Retrofit'!$E$10:$F$13,2),IF(D581&gt;=400,VLOOKUP(400,'$$$ Replace &amp; Retrofit'!$E$10:$F$13,2),NA))))*E581</f>
        <v>75557.170218711428</v>
      </c>
      <c r="K581" s="239"/>
    </row>
    <row r="582" spans="1:11" x14ac:dyDescent="0.25">
      <c r="A582" s="255" t="s">
        <v>20</v>
      </c>
      <c r="B582" s="255" t="s">
        <v>206</v>
      </c>
      <c r="C582" s="256">
        <v>2012</v>
      </c>
      <c r="D582" s="256">
        <v>300</v>
      </c>
      <c r="E582">
        <v>3.5609943336341701</v>
      </c>
      <c r="F582" s="257"/>
      <c r="G582">
        <f t="shared" si="8"/>
        <v>300</v>
      </c>
      <c r="H582" s="4">
        <f>IF(B582="RTG Crane",IF(D582&lt;600,800000,1200000),VLOOKUP(B582,'$$$ Replace &amp; Retrofit'!$B$10:$C$14,2)*'CHE Model poplulation'!D582)*E582</f>
        <v>1068298.300090251</v>
      </c>
      <c r="I582" s="4">
        <f>E582*VLOOKUP('CHE Model poplulation'!G582,'$$$ Replace &amp; Retrofit'!$I$10:$J$15,2)</f>
        <v>102424.88001831963</v>
      </c>
      <c r="J582" s="4">
        <f>IF(D582=50,VLOOKUP(0,'$$$ Replace &amp; Retrofit'!$E$10:$F$13,2),IF(D582&lt;175,VLOOKUP(50,'$$$ Replace &amp; Retrofit'!$E$10:$F$13,2),IF(D582&lt;400,VLOOKUP(175,'$$$ Replace &amp; Retrofit'!$E$10:$F$13,2),IF(D582&gt;=400,VLOOKUP(400,'$$$ Replace &amp; Retrofit'!$E$10:$F$13,2),NA))))*E582</f>
        <v>64097.89800541506</v>
      </c>
      <c r="K582" s="239"/>
    </row>
    <row r="583" spans="1:11" x14ac:dyDescent="0.25">
      <c r="A583" s="255" t="s">
        <v>20</v>
      </c>
      <c r="B583" s="255" t="s">
        <v>206</v>
      </c>
      <c r="C583" s="256">
        <v>2012</v>
      </c>
      <c r="D583" s="256">
        <v>600</v>
      </c>
      <c r="E583">
        <v>7.9447032316968196</v>
      </c>
      <c r="F583" s="257"/>
      <c r="G583">
        <f t="shared" si="8"/>
        <v>400</v>
      </c>
      <c r="H583" s="4">
        <f>IF(B583="RTG Crane",IF(D583&lt;600,800000,1200000),VLOOKUP(B583,'$$$ Replace &amp; Retrofit'!$B$10:$C$14,2)*'CHE Model poplulation'!D583)*E583</f>
        <v>4766821.9390180921</v>
      </c>
      <c r="I583" s="4">
        <f>E583*VLOOKUP('CHE Model poplulation'!G583,'$$$ Replace &amp; Retrofit'!$I$10:$J$15,2)</f>
        <v>415770.15422438964</v>
      </c>
      <c r="J583" s="4">
        <f>IF(D583=50,VLOOKUP(0,'$$$ Replace &amp; Retrofit'!$E$10:$F$13,2),IF(D583&lt;175,VLOOKUP(50,'$$$ Replace &amp; Retrofit'!$E$10:$F$13,2),IF(D583&lt;400,VLOOKUP(175,'$$$ Replace &amp; Retrofit'!$E$10:$F$13,2),IF(D583&gt;=400,VLOOKUP(400,'$$$ Replace &amp; Retrofit'!$E$10:$F$13,2),NA))))*E583</f>
        <v>238341.09695090458</v>
      </c>
      <c r="K583" s="239"/>
    </row>
    <row r="584" spans="1:11" x14ac:dyDescent="0.25">
      <c r="A584" s="255" t="s">
        <v>20</v>
      </c>
      <c r="B584" s="255" t="s">
        <v>206</v>
      </c>
      <c r="C584" s="256">
        <v>2013</v>
      </c>
      <c r="D584" s="256">
        <v>50</v>
      </c>
      <c r="E584">
        <v>0.65333157000895703</v>
      </c>
      <c r="F584" s="257"/>
      <c r="G584">
        <f t="shared" si="8"/>
        <v>50</v>
      </c>
      <c r="H584" s="4">
        <f>IF(B584="RTG Crane",IF(D584&lt;600,800000,1200000),VLOOKUP(B584,'$$$ Replace &amp; Retrofit'!$B$10:$C$14,2)*'CHE Model poplulation'!D584)*E584</f>
        <v>32666.578500447853</v>
      </c>
      <c r="I584" s="4">
        <f>E584*VLOOKUP('CHE Model poplulation'!G584,'$$$ Replace &amp; Retrofit'!$I$10:$J$15,2)</f>
        <v>11490.795653317537</v>
      </c>
      <c r="J584" s="4">
        <f>IF(D584=50,VLOOKUP(0,'$$$ Replace &amp; Retrofit'!$E$10:$F$13,2),IF(D584&lt;175,VLOOKUP(50,'$$$ Replace &amp; Retrofit'!$E$10:$F$13,2),IF(D584&lt;400,VLOOKUP(175,'$$$ Replace &amp; Retrofit'!$E$10:$F$13,2),IF(D584&gt;=400,VLOOKUP(400,'$$$ Replace &amp; Retrofit'!$E$10:$F$13,2),NA))))*E584</f>
        <v>5226.6525600716559</v>
      </c>
      <c r="K584" s="239"/>
    </row>
    <row r="585" spans="1:11" x14ac:dyDescent="0.25">
      <c r="A585" s="255" t="s">
        <v>20</v>
      </c>
      <c r="B585" s="255" t="s">
        <v>206</v>
      </c>
      <c r="C585" s="256">
        <v>2013</v>
      </c>
      <c r="D585" s="256">
        <v>75</v>
      </c>
      <c r="E585">
        <v>1.2638145417241899</v>
      </c>
      <c r="F585" s="257"/>
      <c r="G585">
        <f t="shared" si="8"/>
        <v>50</v>
      </c>
      <c r="H585" s="4">
        <f>IF(B585="RTG Crane",IF(D585&lt;600,800000,1200000),VLOOKUP(B585,'$$$ Replace &amp; Retrofit'!$B$10:$C$14,2)*'CHE Model poplulation'!D585)*E585</f>
        <v>94786.090629314247</v>
      </c>
      <c r="I585" s="4">
        <f>E585*VLOOKUP('CHE Model poplulation'!G585,'$$$ Replace &amp; Retrofit'!$I$10:$J$15,2)</f>
        <v>22227.970159845052</v>
      </c>
      <c r="J585" s="4">
        <f>IF(D585=50,VLOOKUP(0,'$$$ Replace &amp; Retrofit'!$E$10:$F$13,2),IF(D585&lt;175,VLOOKUP(50,'$$$ Replace &amp; Retrofit'!$E$10:$F$13,2),IF(D585&lt;400,VLOOKUP(175,'$$$ Replace &amp; Retrofit'!$E$10:$F$13,2),IF(D585&gt;=400,VLOOKUP(400,'$$$ Replace &amp; Retrofit'!$E$10:$F$13,2),NA))))*E585</f>
        <v>15165.774500690279</v>
      </c>
      <c r="K585" s="239"/>
    </row>
    <row r="586" spans="1:11" x14ac:dyDescent="0.25">
      <c r="A586" s="255" t="s">
        <v>20</v>
      </c>
      <c r="B586" s="255" t="s">
        <v>206</v>
      </c>
      <c r="C586" s="256">
        <v>2013</v>
      </c>
      <c r="D586" s="256">
        <v>100</v>
      </c>
      <c r="E586">
        <v>1.36707968645259</v>
      </c>
      <c r="F586" s="257"/>
      <c r="G586">
        <f t="shared" si="8"/>
        <v>125</v>
      </c>
      <c r="H586" s="4">
        <f>IF(B586="RTG Crane",IF(D586&lt;600,800000,1200000),VLOOKUP(B586,'$$$ Replace &amp; Retrofit'!$B$10:$C$14,2)*'CHE Model poplulation'!D586)*E586</f>
        <v>136707.96864525901</v>
      </c>
      <c r="I586" s="4">
        <f>E586*VLOOKUP('CHE Model poplulation'!G586,'$$$ Replace &amp; Retrofit'!$I$10:$J$15,2)</f>
        <v>26976.583452768959</v>
      </c>
      <c r="J586" s="4">
        <f>IF(D586=50,VLOOKUP(0,'$$$ Replace &amp; Retrofit'!$E$10:$F$13,2),IF(D586&lt;175,VLOOKUP(50,'$$$ Replace &amp; Retrofit'!$E$10:$F$13,2),IF(D586&lt;400,VLOOKUP(175,'$$$ Replace &amp; Retrofit'!$E$10:$F$13,2),IF(D586&gt;=400,VLOOKUP(400,'$$$ Replace &amp; Retrofit'!$E$10:$F$13,2),NA))))*E586</f>
        <v>16404.956237431081</v>
      </c>
      <c r="K586" s="239"/>
    </row>
    <row r="587" spans="1:11" x14ac:dyDescent="0.25">
      <c r="A587" s="255" t="s">
        <v>20</v>
      </c>
      <c r="B587" s="255" t="s">
        <v>206</v>
      </c>
      <c r="C587" s="256">
        <v>2013</v>
      </c>
      <c r="D587" s="256">
        <v>175</v>
      </c>
      <c r="E587">
        <v>2.1250538789945099</v>
      </c>
      <c r="F587" s="257"/>
      <c r="G587">
        <f t="shared" si="8"/>
        <v>175</v>
      </c>
      <c r="H587" s="4">
        <f>IF(B587="RTG Crane",IF(D587&lt;600,800000,1200000),VLOOKUP(B587,'$$$ Replace &amp; Retrofit'!$B$10:$C$14,2)*'CHE Model poplulation'!D587)*E587</f>
        <v>371884.42882403923</v>
      </c>
      <c r="I587" s="4">
        <f>E587*VLOOKUP('CHE Model poplulation'!G587,'$$$ Replace &amp; Retrofit'!$I$10:$J$15,2)</f>
        <v>52692.83598354787</v>
      </c>
      <c r="J587" s="4">
        <f>IF(D587=50,VLOOKUP(0,'$$$ Replace &amp; Retrofit'!$E$10:$F$13,2),IF(D587&lt;175,VLOOKUP(50,'$$$ Replace &amp; Retrofit'!$E$10:$F$13,2),IF(D587&lt;400,VLOOKUP(175,'$$$ Replace &amp; Retrofit'!$E$10:$F$13,2),IF(D587&gt;=400,VLOOKUP(400,'$$$ Replace &amp; Retrofit'!$E$10:$F$13,2),NA))))*E587</f>
        <v>38250.969821901177</v>
      </c>
      <c r="K587" s="239"/>
    </row>
    <row r="588" spans="1:11" x14ac:dyDescent="0.25">
      <c r="A588" s="255" t="s">
        <v>20</v>
      </c>
      <c r="B588" s="255" t="s">
        <v>206</v>
      </c>
      <c r="C588" s="256">
        <v>2013</v>
      </c>
      <c r="D588" s="256">
        <v>300</v>
      </c>
      <c r="E588">
        <v>1.92073322734962</v>
      </c>
      <c r="F588" s="257"/>
      <c r="G588">
        <f t="shared" si="8"/>
        <v>300</v>
      </c>
      <c r="H588" s="4">
        <f>IF(B588="RTG Crane",IF(D588&lt;600,800000,1200000),VLOOKUP(B588,'$$$ Replace &amp; Retrofit'!$B$10:$C$14,2)*'CHE Model poplulation'!D588)*E588</f>
        <v>576219.96820488607</v>
      </c>
      <c r="I588" s="4">
        <f>E588*VLOOKUP('CHE Model poplulation'!G588,'$$$ Replace &amp; Retrofit'!$I$10:$J$15,2)</f>
        <v>55246.049818257125</v>
      </c>
      <c r="J588" s="4">
        <f>IF(D588=50,VLOOKUP(0,'$$$ Replace &amp; Retrofit'!$E$10:$F$13,2),IF(D588&lt;175,VLOOKUP(50,'$$$ Replace &amp; Retrofit'!$E$10:$F$13,2),IF(D588&lt;400,VLOOKUP(175,'$$$ Replace &amp; Retrofit'!$E$10:$F$13,2),IF(D588&gt;=400,VLOOKUP(400,'$$$ Replace &amp; Retrofit'!$E$10:$F$13,2),NA))))*E588</f>
        <v>34573.198092293162</v>
      </c>
      <c r="K588" s="239"/>
    </row>
    <row r="589" spans="1:11" x14ac:dyDescent="0.25">
      <c r="A589" s="255" t="s">
        <v>20</v>
      </c>
      <c r="B589" s="255" t="s">
        <v>206</v>
      </c>
      <c r="C589" s="256">
        <v>2013</v>
      </c>
      <c r="D589" s="256">
        <v>600</v>
      </c>
      <c r="E589">
        <v>5.0578851389374497</v>
      </c>
      <c r="F589" s="257"/>
      <c r="G589">
        <f t="shared" si="8"/>
        <v>400</v>
      </c>
      <c r="H589" s="4">
        <f>IF(B589="RTG Crane",IF(D589&lt;600,800000,1200000),VLOOKUP(B589,'$$$ Replace &amp; Retrofit'!$B$10:$C$14,2)*'CHE Model poplulation'!D589)*E589</f>
        <v>3034731.0833624699</v>
      </c>
      <c r="I589" s="4">
        <f>E589*VLOOKUP('CHE Model poplulation'!G589,'$$$ Replace &amp; Retrofit'!$I$10:$J$15,2)</f>
        <v>264694.30297601357</v>
      </c>
      <c r="J589" s="4">
        <f>IF(D589=50,VLOOKUP(0,'$$$ Replace &amp; Retrofit'!$E$10:$F$13,2),IF(D589&lt;175,VLOOKUP(50,'$$$ Replace &amp; Retrofit'!$E$10:$F$13,2),IF(D589&lt;400,VLOOKUP(175,'$$$ Replace &amp; Retrofit'!$E$10:$F$13,2),IF(D589&gt;=400,VLOOKUP(400,'$$$ Replace &amp; Retrofit'!$E$10:$F$13,2),NA))))*E589</f>
        <v>151736.55416812349</v>
      </c>
      <c r="K589" s="239"/>
    </row>
    <row r="590" spans="1:11" x14ac:dyDescent="0.25">
      <c r="A590" s="255" t="s">
        <v>20</v>
      </c>
      <c r="B590" s="255" t="s">
        <v>206</v>
      </c>
      <c r="C590" s="256">
        <v>2014</v>
      </c>
      <c r="D590" s="256">
        <v>50</v>
      </c>
      <c r="E590">
        <v>0.34278878634979099</v>
      </c>
      <c r="F590" s="257"/>
      <c r="G590">
        <f t="shared" si="8"/>
        <v>50</v>
      </c>
      <c r="H590" s="4">
        <f>IF(B590="RTG Crane",IF(D590&lt;600,800000,1200000),VLOOKUP(B590,'$$$ Replace &amp; Retrofit'!$B$10:$C$14,2)*'CHE Model poplulation'!D590)*E590</f>
        <v>17139.439317489549</v>
      </c>
      <c r="I590" s="4">
        <f>E590*VLOOKUP('CHE Model poplulation'!G590,'$$$ Replace &amp; Retrofit'!$I$10:$J$15,2)</f>
        <v>6028.9691743201238</v>
      </c>
      <c r="J590" s="4">
        <f>IF(D590=50,VLOOKUP(0,'$$$ Replace &amp; Retrofit'!$E$10:$F$13,2),IF(D590&lt;175,VLOOKUP(50,'$$$ Replace &amp; Retrofit'!$E$10:$F$13,2),IF(D590&lt;400,VLOOKUP(175,'$$$ Replace &amp; Retrofit'!$E$10:$F$13,2),IF(D590&gt;=400,VLOOKUP(400,'$$$ Replace &amp; Retrofit'!$E$10:$F$13,2),NA))))*E590</f>
        <v>2742.310290798328</v>
      </c>
      <c r="K590" s="239"/>
    </row>
    <row r="591" spans="1:11" x14ac:dyDescent="0.25">
      <c r="A591" s="255" t="s">
        <v>20</v>
      </c>
      <c r="B591" s="255" t="s">
        <v>206</v>
      </c>
      <c r="C591" s="256">
        <v>2014</v>
      </c>
      <c r="D591" s="256">
        <v>75</v>
      </c>
      <c r="E591">
        <v>0.72842617099330598</v>
      </c>
      <c r="F591" s="257"/>
      <c r="G591">
        <f t="shared" si="8"/>
        <v>50</v>
      </c>
      <c r="H591" s="4">
        <f>IF(B591="RTG Crane",IF(D591&lt;600,800000,1200000),VLOOKUP(B591,'$$$ Replace &amp; Retrofit'!$B$10:$C$14,2)*'CHE Model poplulation'!D591)*E591</f>
        <v>54631.962824497947</v>
      </c>
      <c r="I591" s="4">
        <f>E591*VLOOKUP('CHE Model poplulation'!G591,'$$$ Replace &amp; Retrofit'!$I$10:$J$15,2)</f>
        <v>12811.559495430265</v>
      </c>
      <c r="J591" s="4">
        <f>IF(D591=50,VLOOKUP(0,'$$$ Replace &amp; Retrofit'!$E$10:$F$13,2),IF(D591&lt;175,VLOOKUP(50,'$$$ Replace &amp; Retrofit'!$E$10:$F$13,2),IF(D591&lt;400,VLOOKUP(175,'$$$ Replace &amp; Retrofit'!$E$10:$F$13,2),IF(D591&gt;=400,VLOOKUP(400,'$$$ Replace &amp; Retrofit'!$E$10:$F$13,2),NA))))*E591</f>
        <v>8741.1140519196724</v>
      </c>
      <c r="K591" s="239"/>
    </row>
    <row r="592" spans="1:11" x14ac:dyDescent="0.25">
      <c r="A592" s="255" t="s">
        <v>20</v>
      </c>
      <c r="B592" s="255" t="s">
        <v>206</v>
      </c>
      <c r="C592" s="256">
        <v>2014</v>
      </c>
      <c r="D592" s="256">
        <v>100</v>
      </c>
      <c r="E592">
        <v>0.72842617099330598</v>
      </c>
      <c r="F592" s="257"/>
      <c r="G592">
        <f t="shared" si="8"/>
        <v>125</v>
      </c>
      <c r="H592" s="4">
        <f>IF(B592="RTG Crane",IF(D592&lt;600,800000,1200000),VLOOKUP(B592,'$$$ Replace &amp; Retrofit'!$B$10:$C$14,2)*'CHE Model poplulation'!D592)*E592</f>
        <v>72842.6170993306</v>
      </c>
      <c r="I592" s="4">
        <f>E592*VLOOKUP('CHE Model poplulation'!G592,'$$$ Replace &amp; Retrofit'!$I$10:$J$15,2)</f>
        <v>14374.033632210907</v>
      </c>
      <c r="J592" s="4">
        <f>IF(D592=50,VLOOKUP(0,'$$$ Replace &amp; Retrofit'!$E$10:$F$13,2),IF(D592&lt;175,VLOOKUP(50,'$$$ Replace &amp; Retrofit'!$E$10:$F$13,2),IF(D592&lt;400,VLOOKUP(175,'$$$ Replace &amp; Retrofit'!$E$10:$F$13,2),IF(D592&gt;=400,VLOOKUP(400,'$$$ Replace &amp; Retrofit'!$E$10:$F$13,2),NA))))*E592</f>
        <v>8741.1140519196724</v>
      </c>
      <c r="K592" s="239"/>
    </row>
    <row r="593" spans="1:11" x14ac:dyDescent="0.25">
      <c r="A593" s="255" t="s">
        <v>20</v>
      </c>
      <c r="B593" s="255" t="s">
        <v>206</v>
      </c>
      <c r="C593" s="256">
        <v>2014</v>
      </c>
      <c r="D593" s="256">
        <v>175</v>
      </c>
      <c r="E593">
        <v>1.0712149573431</v>
      </c>
      <c r="F593" s="257"/>
      <c r="G593">
        <f t="shared" si="8"/>
        <v>175</v>
      </c>
      <c r="H593" s="4">
        <f>IF(B593="RTG Crane",IF(D593&lt;600,800000,1200000),VLOOKUP(B593,'$$$ Replace &amp; Retrofit'!$B$10:$C$14,2)*'CHE Model poplulation'!D593)*E593</f>
        <v>187462.61753504249</v>
      </c>
      <c r="I593" s="4">
        <f>E593*VLOOKUP('CHE Model poplulation'!G593,'$$$ Replace &amp; Retrofit'!$I$10:$J$15,2)</f>
        <v>26561.84608227951</v>
      </c>
      <c r="J593" s="4">
        <f>IF(D593=50,VLOOKUP(0,'$$$ Replace &amp; Retrofit'!$E$10:$F$13,2),IF(D593&lt;175,VLOOKUP(50,'$$$ Replace &amp; Retrofit'!$E$10:$F$13,2),IF(D593&lt;400,VLOOKUP(175,'$$$ Replace &amp; Retrofit'!$E$10:$F$13,2),IF(D593&gt;=400,VLOOKUP(400,'$$$ Replace &amp; Retrofit'!$E$10:$F$13,2),NA))))*E593</f>
        <v>19281.869232175799</v>
      </c>
      <c r="K593" s="239"/>
    </row>
    <row r="594" spans="1:11" x14ac:dyDescent="0.25">
      <c r="A594" s="255" t="s">
        <v>20</v>
      </c>
      <c r="B594" s="255" t="s">
        <v>206</v>
      </c>
      <c r="C594" s="256">
        <v>2014</v>
      </c>
      <c r="D594" s="256">
        <v>300</v>
      </c>
      <c r="E594">
        <v>0.81412336758075399</v>
      </c>
      <c r="F594" s="257"/>
      <c r="G594">
        <f t="shared" si="8"/>
        <v>300</v>
      </c>
      <c r="H594" s="4">
        <f>IF(B594="RTG Crane",IF(D594&lt;600,800000,1200000),VLOOKUP(B594,'$$$ Replace &amp; Retrofit'!$B$10:$C$14,2)*'CHE Model poplulation'!D594)*E594</f>
        <v>244237.0102742262</v>
      </c>
      <c r="I594" s="4">
        <f>E594*VLOOKUP('CHE Model poplulation'!G594,'$$$ Replace &amp; Retrofit'!$I$10:$J$15,2)</f>
        <v>23416.630421725225</v>
      </c>
      <c r="J594" s="4">
        <f>IF(D594=50,VLOOKUP(0,'$$$ Replace &amp; Retrofit'!$E$10:$F$13,2),IF(D594&lt;175,VLOOKUP(50,'$$$ Replace &amp; Retrofit'!$E$10:$F$13,2),IF(D594&lt;400,VLOOKUP(175,'$$$ Replace &amp; Retrofit'!$E$10:$F$13,2),IF(D594&gt;=400,VLOOKUP(400,'$$$ Replace &amp; Retrofit'!$E$10:$F$13,2),NA))))*E594</f>
        <v>14654.220616453571</v>
      </c>
      <c r="K594" s="239"/>
    </row>
    <row r="595" spans="1:11" x14ac:dyDescent="0.25">
      <c r="A595" s="255" t="s">
        <v>20</v>
      </c>
      <c r="B595" s="255" t="s">
        <v>206</v>
      </c>
      <c r="C595" s="256">
        <v>2014</v>
      </c>
      <c r="D595" s="256">
        <v>600</v>
      </c>
      <c r="E595">
        <v>2.52806729932971</v>
      </c>
      <c r="F595" s="257"/>
      <c r="G595">
        <f t="shared" ref="G595:G601" si="9">IF(OR(D595=50,D595=75),50,IF(OR(D595=100,D595=125),125,IF(D595&gt;=400,400,D595)))</f>
        <v>400</v>
      </c>
      <c r="H595" s="4">
        <f>IF(B595="RTG Crane",IF(D595&lt;600,800000,1200000),VLOOKUP(B595,'$$$ Replace &amp; Retrofit'!$B$10:$C$14,2)*'CHE Model poplulation'!D595)*E595</f>
        <v>1516840.3795978259</v>
      </c>
      <c r="I595" s="4">
        <f>E595*VLOOKUP('CHE Model poplulation'!G595,'$$$ Replace &amp; Retrofit'!$I$10:$J$15,2)</f>
        <v>132301.34597582172</v>
      </c>
      <c r="J595" s="4">
        <f>IF(D595=50,VLOOKUP(0,'$$$ Replace &amp; Retrofit'!$E$10:$F$13,2),IF(D595&lt;175,VLOOKUP(50,'$$$ Replace &amp; Retrofit'!$E$10:$F$13,2),IF(D595&lt;400,VLOOKUP(175,'$$$ Replace &amp; Retrofit'!$E$10:$F$13,2),IF(D595&gt;=400,VLOOKUP(400,'$$$ Replace &amp; Retrofit'!$E$10:$F$13,2),NA))))*E595</f>
        <v>75842.018979891305</v>
      </c>
      <c r="K595" s="239"/>
    </row>
    <row r="596" spans="1:11" x14ac:dyDescent="0.25">
      <c r="A596" s="255" t="s">
        <v>20</v>
      </c>
      <c r="B596" s="255" t="s">
        <v>206</v>
      </c>
      <c r="C596" s="256">
        <v>2015</v>
      </c>
      <c r="D596" s="256">
        <v>50</v>
      </c>
      <c r="E596">
        <v>8.5697196587447705E-2</v>
      </c>
      <c r="F596" s="257"/>
      <c r="G596">
        <f t="shared" si="9"/>
        <v>50</v>
      </c>
      <c r="H596" s="4">
        <f>IF(B596="RTG Crane",IF(D596&lt;600,800000,1200000),VLOOKUP(B596,'$$$ Replace &amp; Retrofit'!$B$10:$C$14,2)*'CHE Model poplulation'!D596)*E596</f>
        <v>4284.8598293723853</v>
      </c>
      <c r="I596" s="4">
        <f>E596*VLOOKUP('CHE Model poplulation'!G596,'$$$ Replace &amp; Retrofit'!$I$10:$J$15,2)</f>
        <v>1507.2422935800303</v>
      </c>
      <c r="J596" s="4">
        <f>IF(D596=50,VLOOKUP(0,'$$$ Replace &amp; Retrofit'!$E$10:$F$13,2),IF(D596&lt;175,VLOOKUP(50,'$$$ Replace &amp; Retrofit'!$E$10:$F$13,2),IF(D596&lt;400,VLOOKUP(175,'$$$ Replace &amp; Retrofit'!$E$10:$F$13,2),IF(D596&gt;=400,VLOOKUP(400,'$$$ Replace &amp; Retrofit'!$E$10:$F$13,2),NA))))*E596</f>
        <v>685.57757269958165</v>
      </c>
      <c r="K596" s="239"/>
    </row>
    <row r="597" spans="1:11" x14ac:dyDescent="0.25">
      <c r="A597" s="255" t="s">
        <v>20</v>
      </c>
      <c r="B597" s="255" t="s">
        <v>206</v>
      </c>
      <c r="C597" s="256">
        <v>2015</v>
      </c>
      <c r="D597" s="256">
        <v>75</v>
      </c>
      <c r="E597">
        <v>0.29994018805606698</v>
      </c>
      <c r="F597" s="257"/>
      <c r="G597">
        <f t="shared" si="9"/>
        <v>50</v>
      </c>
      <c r="H597" s="4">
        <f>IF(B597="RTG Crane",IF(D597&lt;600,800000,1200000),VLOOKUP(B597,'$$$ Replace &amp; Retrofit'!$B$10:$C$14,2)*'CHE Model poplulation'!D597)*E597</f>
        <v>22495.514104205024</v>
      </c>
      <c r="I597" s="4">
        <f>E597*VLOOKUP('CHE Model poplulation'!G597,'$$$ Replace &amp; Retrofit'!$I$10:$J$15,2)</f>
        <v>5275.3480275301063</v>
      </c>
      <c r="J597" s="4">
        <f>IF(D597=50,VLOOKUP(0,'$$$ Replace &amp; Retrofit'!$E$10:$F$13,2),IF(D597&lt;175,VLOOKUP(50,'$$$ Replace &amp; Retrofit'!$E$10:$F$13,2),IF(D597&lt;400,VLOOKUP(175,'$$$ Replace &amp; Retrofit'!$E$10:$F$13,2),IF(D597&gt;=400,VLOOKUP(400,'$$$ Replace &amp; Retrofit'!$E$10:$F$13,2),NA))))*E597</f>
        <v>3599.2822566728037</v>
      </c>
      <c r="K597" s="239"/>
    </row>
    <row r="598" spans="1:11" x14ac:dyDescent="0.25">
      <c r="A598" s="255" t="s">
        <v>20</v>
      </c>
      <c r="B598" s="255" t="s">
        <v>206</v>
      </c>
      <c r="C598" s="256">
        <v>2015</v>
      </c>
      <c r="D598" s="256">
        <v>100</v>
      </c>
      <c r="E598">
        <v>0.29994018805606698</v>
      </c>
      <c r="F598" s="257"/>
      <c r="G598">
        <f t="shared" si="9"/>
        <v>125</v>
      </c>
      <c r="H598" s="4">
        <f>IF(B598="RTG Crane",IF(D598&lt;600,800000,1200000),VLOOKUP(B598,'$$$ Replace &amp; Retrofit'!$B$10:$C$14,2)*'CHE Model poplulation'!D598)*E598</f>
        <v>29994.018805606698</v>
      </c>
      <c r="I598" s="4">
        <f>E598*VLOOKUP('CHE Model poplulation'!G598,'$$$ Replace &amp; Retrofit'!$I$10:$J$15,2)</f>
        <v>5918.7197309103694</v>
      </c>
      <c r="J598" s="4">
        <f>IF(D598=50,VLOOKUP(0,'$$$ Replace &amp; Retrofit'!$E$10:$F$13,2),IF(D598&lt;175,VLOOKUP(50,'$$$ Replace &amp; Retrofit'!$E$10:$F$13,2),IF(D598&lt;400,VLOOKUP(175,'$$$ Replace &amp; Retrofit'!$E$10:$F$13,2),IF(D598&gt;=400,VLOOKUP(400,'$$$ Replace &amp; Retrofit'!$E$10:$F$13,2),NA))))*E598</f>
        <v>3599.2822566728037</v>
      </c>
      <c r="K598" s="239"/>
    </row>
    <row r="599" spans="1:11" x14ac:dyDescent="0.25">
      <c r="A599" s="255" t="s">
        <v>20</v>
      </c>
      <c r="B599" s="255" t="s">
        <v>206</v>
      </c>
      <c r="C599" s="256">
        <v>2015</v>
      </c>
      <c r="D599" s="256">
        <v>175</v>
      </c>
      <c r="E599">
        <v>0.38563738464351499</v>
      </c>
      <c r="F599" s="257"/>
      <c r="G599">
        <f t="shared" si="9"/>
        <v>175</v>
      </c>
      <c r="H599" s="4">
        <f>IF(B599="RTG Crane",IF(D599&lt;600,800000,1200000),VLOOKUP(B599,'$$$ Replace &amp; Retrofit'!$B$10:$C$14,2)*'CHE Model poplulation'!D599)*E599</f>
        <v>67486.542312615129</v>
      </c>
      <c r="I599" s="4">
        <f>E599*VLOOKUP('CHE Model poplulation'!G599,'$$$ Replace &amp; Retrofit'!$I$10:$J$15,2)</f>
        <v>9562.2645896205977</v>
      </c>
      <c r="J599" s="4">
        <f>IF(D599=50,VLOOKUP(0,'$$$ Replace &amp; Retrofit'!$E$10:$F$13,2),IF(D599&lt;175,VLOOKUP(50,'$$$ Replace &amp; Retrofit'!$E$10:$F$13,2),IF(D599&lt;400,VLOOKUP(175,'$$$ Replace &amp; Retrofit'!$E$10:$F$13,2),IF(D599&gt;=400,VLOOKUP(400,'$$$ Replace &amp; Retrofit'!$E$10:$F$13,2),NA))))*E599</f>
        <v>6941.4729235832701</v>
      </c>
      <c r="K599" s="239"/>
    </row>
    <row r="600" spans="1:11" x14ac:dyDescent="0.25">
      <c r="A600" s="255" t="s">
        <v>20</v>
      </c>
      <c r="B600" s="255" t="s">
        <v>206</v>
      </c>
      <c r="C600" s="256">
        <v>2015</v>
      </c>
      <c r="D600" s="256">
        <v>300</v>
      </c>
      <c r="E600">
        <v>8.5697196587447705E-2</v>
      </c>
      <c r="F600" s="257"/>
      <c r="G600">
        <f t="shared" si="9"/>
        <v>300</v>
      </c>
      <c r="H600" s="4">
        <f>IF(B600="RTG Crane",IF(D600&lt;600,800000,1200000),VLOOKUP(B600,'$$$ Replace &amp; Retrofit'!$B$10:$C$14,2)*'CHE Model poplulation'!D600)*E600</f>
        <v>25709.15897623431</v>
      </c>
      <c r="I600" s="4">
        <f>E600*VLOOKUP('CHE Model poplulation'!G600,'$$$ Replace &amp; Retrofit'!$I$10:$J$15,2)</f>
        <v>2464.9084654447583</v>
      </c>
      <c r="J600" s="4">
        <f>IF(D600=50,VLOOKUP(0,'$$$ Replace &amp; Retrofit'!$E$10:$F$13,2),IF(D600&lt;175,VLOOKUP(50,'$$$ Replace &amp; Retrofit'!$E$10:$F$13,2),IF(D600&lt;400,VLOOKUP(175,'$$$ Replace &amp; Retrofit'!$E$10:$F$13,2),IF(D600&gt;=400,VLOOKUP(400,'$$$ Replace &amp; Retrofit'!$E$10:$F$13,2),NA))))*E600</f>
        <v>1542.5495385740587</v>
      </c>
      <c r="K600" s="239"/>
    </row>
    <row r="601" spans="1:11" x14ac:dyDescent="0.25">
      <c r="A601" s="255" t="s">
        <v>20</v>
      </c>
      <c r="B601" s="255" t="s">
        <v>206</v>
      </c>
      <c r="C601" s="256">
        <v>2015</v>
      </c>
      <c r="D601" s="256">
        <v>600</v>
      </c>
      <c r="E601">
        <v>0.68557757269958197</v>
      </c>
      <c r="F601" s="257"/>
      <c r="G601">
        <f t="shared" si="9"/>
        <v>400</v>
      </c>
      <c r="H601" s="4">
        <f>IF(B601="RTG Crane",IF(D601&lt;600,800000,1200000),VLOOKUP(B601,'$$$ Replace &amp; Retrofit'!$B$10:$C$14,2)*'CHE Model poplulation'!D601)*E601</f>
        <v>411346.54361974919</v>
      </c>
      <c r="I601" s="4">
        <f>E601*VLOOKUP('CHE Model poplulation'!G601,'$$$ Replace &amp; Retrofit'!$I$10:$J$15,2)</f>
        <v>35878.331112087224</v>
      </c>
      <c r="J601" s="4">
        <f>IF(D601=50,VLOOKUP(0,'$$$ Replace &amp; Retrofit'!$E$10:$F$13,2),IF(D601&lt;175,VLOOKUP(50,'$$$ Replace &amp; Retrofit'!$E$10:$F$13,2),IF(D601&lt;400,VLOOKUP(175,'$$$ Replace &amp; Retrofit'!$E$10:$F$13,2),IF(D601&gt;=400,VLOOKUP(400,'$$$ Replace &amp; Retrofit'!$E$10:$F$13,2),NA))))*E601</f>
        <v>20567.32718098746</v>
      </c>
      <c r="K601" s="239"/>
    </row>
    <row r="602" spans="1:11" x14ac:dyDescent="0.25">
      <c r="A602" s="255" t="s">
        <v>20</v>
      </c>
      <c r="B602" s="255" t="s">
        <v>206</v>
      </c>
      <c r="C602" s="256">
        <v>2016</v>
      </c>
      <c r="D602" s="256">
        <v>50</v>
      </c>
      <c r="E602">
        <v>0</v>
      </c>
      <c r="F602" s="257"/>
      <c r="I602" s="4"/>
    </row>
    <row r="603" spans="1:11" x14ac:dyDescent="0.25">
      <c r="A603" s="255" t="s">
        <v>20</v>
      </c>
      <c r="B603" s="255" t="s">
        <v>206</v>
      </c>
      <c r="C603" s="256">
        <v>2016</v>
      </c>
      <c r="D603" s="256">
        <v>75</v>
      </c>
      <c r="E603">
        <v>0</v>
      </c>
      <c r="F603" s="257"/>
      <c r="I603" s="4"/>
    </row>
    <row r="604" spans="1:11" x14ac:dyDescent="0.25">
      <c r="A604" s="255" t="s">
        <v>20</v>
      </c>
      <c r="B604" s="255" t="s">
        <v>206</v>
      </c>
      <c r="C604" s="256">
        <v>2016</v>
      </c>
      <c r="D604" s="256">
        <v>100</v>
      </c>
      <c r="E604">
        <v>0</v>
      </c>
      <c r="F604" s="257"/>
      <c r="I604" s="4"/>
    </row>
    <row r="605" spans="1:11" x14ac:dyDescent="0.25">
      <c r="A605" s="255" t="s">
        <v>20</v>
      </c>
      <c r="B605" s="255" t="s">
        <v>206</v>
      </c>
      <c r="C605" s="256">
        <v>2016</v>
      </c>
      <c r="D605" s="256">
        <v>175</v>
      </c>
      <c r="E605">
        <v>0</v>
      </c>
      <c r="F605" s="257"/>
      <c r="I605" s="4"/>
    </row>
    <row r="606" spans="1:11" x14ac:dyDescent="0.25">
      <c r="A606" s="255" t="s">
        <v>20</v>
      </c>
      <c r="B606" s="255" t="s">
        <v>206</v>
      </c>
      <c r="C606" s="256">
        <v>2016</v>
      </c>
      <c r="D606" s="256">
        <v>300</v>
      </c>
      <c r="E606">
        <v>0</v>
      </c>
      <c r="F606" s="257"/>
      <c r="I606" s="4"/>
    </row>
    <row r="607" spans="1:11" x14ac:dyDescent="0.25">
      <c r="A607" s="255" t="s">
        <v>20</v>
      </c>
      <c r="B607" s="255" t="s">
        <v>206</v>
      </c>
      <c r="C607" s="256">
        <v>2016</v>
      </c>
      <c r="D607" s="256">
        <v>600</v>
      </c>
      <c r="E607">
        <v>0</v>
      </c>
      <c r="F607" s="257"/>
      <c r="I607" s="4"/>
    </row>
    <row r="608" spans="1:11" x14ac:dyDescent="0.25">
      <c r="A608" s="255" t="s">
        <v>20</v>
      </c>
      <c r="B608" s="255" t="s">
        <v>206</v>
      </c>
      <c r="C608" s="256">
        <v>2017</v>
      </c>
      <c r="D608" s="256">
        <v>50</v>
      </c>
      <c r="E608">
        <v>0</v>
      </c>
      <c r="F608" s="257"/>
      <c r="I608" s="4"/>
    </row>
    <row r="609" spans="1:9" x14ac:dyDescent="0.25">
      <c r="A609" s="255" t="s">
        <v>20</v>
      </c>
      <c r="B609" s="255" t="s">
        <v>206</v>
      </c>
      <c r="C609" s="256">
        <v>2017</v>
      </c>
      <c r="D609" s="256">
        <v>75</v>
      </c>
      <c r="E609">
        <v>0</v>
      </c>
      <c r="F609" s="257"/>
      <c r="I609" s="4"/>
    </row>
    <row r="610" spans="1:9" x14ac:dyDescent="0.25">
      <c r="A610" s="255" t="s">
        <v>20</v>
      </c>
      <c r="B610" s="255" t="s">
        <v>206</v>
      </c>
      <c r="C610" s="256">
        <v>2017</v>
      </c>
      <c r="D610" s="256">
        <v>100</v>
      </c>
      <c r="E610">
        <v>0</v>
      </c>
      <c r="F610" s="257"/>
      <c r="I610" s="4"/>
    </row>
    <row r="611" spans="1:9" x14ac:dyDescent="0.25">
      <c r="A611" s="255" t="s">
        <v>20</v>
      </c>
      <c r="B611" s="255" t="s">
        <v>206</v>
      </c>
      <c r="C611" s="256">
        <v>2017</v>
      </c>
      <c r="D611" s="256">
        <v>175</v>
      </c>
      <c r="E611">
        <v>0</v>
      </c>
      <c r="F611" s="257"/>
      <c r="I611" s="4"/>
    </row>
    <row r="612" spans="1:9" x14ac:dyDescent="0.25">
      <c r="A612" s="255" t="s">
        <v>20</v>
      </c>
      <c r="B612" s="255" t="s">
        <v>206</v>
      </c>
      <c r="C612" s="256">
        <v>2017</v>
      </c>
      <c r="D612" s="256">
        <v>300</v>
      </c>
      <c r="E612">
        <v>0</v>
      </c>
      <c r="F612" s="257"/>
      <c r="I612" s="4"/>
    </row>
    <row r="613" spans="1:9" x14ac:dyDescent="0.25">
      <c r="A613" s="255" t="s">
        <v>20</v>
      </c>
      <c r="B613" s="255" t="s">
        <v>206</v>
      </c>
      <c r="C613" s="256">
        <v>2017</v>
      </c>
      <c r="D613" s="256">
        <v>600</v>
      </c>
      <c r="E613">
        <v>0</v>
      </c>
      <c r="F613" s="257"/>
      <c r="I613" s="4"/>
    </row>
    <row r="614" spans="1:9" x14ac:dyDescent="0.25">
      <c r="A614" s="255" t="s">
        <v>20</v>
      </c>
      <c r="B614" s="255" t="s">
        <v>206</v>
      </c>
      <c r="C614" s="256">
        <v>2018</v>
      </c>
      <c r="D614" s="256">
        <v>50</v>
      </c>
      <c r="E614">
        <v>0</v>
      </c>
      <c r="F614" s="257"/>
      <c r="I614" s="4"/>
    </row>
    <row r="615" spans="1:9" x14ac:dyDescent="0.25">
      <c r="A615" s="255" t="s">
        <v>20</v>
      </c>
      <c r="B615" s="255" t="s">
        <v>206</v>
      </c>
      <c r="C615" s="256">
        <v>2018</v>
      </c>
      <c r="D615" s="256">
        <v>75</v>
      </c>
      <c r="E615">
        <v>0</v>
      </c>
      <c r="F615" s="257"/>
      <c r="I615" s="4"/>
    </row>
    <row r="616" spans="1:9" x14ac:dyDescent="0.25">
      <c r="A616" s="255" t="s">
        <v>20</v>
      </c>
      <c r="B616" s="255" t="s">
        <v>206</v>
      </c>
      <c r="C616" s="256">
        <v>2018</v>
      </c>
      <c r="D616" s="256">
        <v>100</v>
      </c>
      <c r="E616">
        <v>0</v>
      </c>
      <c r="F616" s="257"/>
      <c r="I616" s="4"/>
    </row>
    <row r="617" spans="1:9" x14ac:dyDescent="0.25">
      <c r="A617" s="255" t="s">
        <v>20</v>
      </c>
      <c r="B617" s="255" t="s">
        <v>206</v>
      </c>
      <c r="C617" s="256">
        <v>2018</v>
      </c>
      <c r="D617" s="256">
        <v>175</v>
      </c>
      <c r="E617">
        <v>0</v>
      </c>
      <c r="F617" s="257"/>
      <c r="I617" s="4"/>
    </row>
    <row r="618" spans="1:9" x14ac:dyDescent="0.25">
      <c r="A618" s="255" t="s">
        <v>20</v>
      </c>
      <c r="B618" s="255" t="s">
        <v>206</v>
      </c>
      <c r="C618" s="256">
        <v>2018</v>
      </c>
      <c r="D618" s="256">
        <v>300</v>
      </c>
      <c r="E618">
        <v>0</v>
      </c>
      <c r="F618" s="257"/>
      <c r="I618" s="4"/>
    </row>
    <row r="619" spans="1:9" x14ac:dyDescent="0.25">
      <c r="A619" s="255" t="s">
        <v>20</v>
      </c>
      <c r="B619" s="255" t="s">
        <v>206</v>
      </c>
      <c r="C619" s="256">
        <v>2018</v>
      </c>
      <c r="D619" s="256">
        <v>600</v>
      </c>
      <c r="E619">
        <v>0</v>
      </c>
      <c r="F619" s="257"/>
      <c r="I619" s="4"/>
    </row>
    <row r="620" spans="1:9" x14ac:dyDescent="0.25">
      <c r="A620" s="255" t="s">
        <v>20</v>
      </c>
      <c r="B620" s="255" t="s">
        <v>206</v>
      </c>
      <c r="C620" s="256">
        <v>2019</v>
      </c>
      <c r="D620" s="256">
        <v>50</v>
      </c>
      <c r="E620">
        <v>0</v>
      </c>
      <c r="F620" s="257"/>
      <c r="I620" s="4"/>
    </row>
    <row r="621" spans="1:9" x14ac:dyDescent="0.25">
      <c r="A621" s="255" t="s">
        <v>20</v>
      </c>
      <c r="B621" s="255" t="s">
        <v>206</v>
      </c>
      <c r="C621" s="256">
        <v>2019</v>
      </c>
      <c r="D621" s="256">
        <v>75</v>
      </c>
      <c r="E621">
        <v>0</v>
      </c>
      <c r="F621" s="257"/>
      <c r="I621" s="4"/>
    </row>
    <row r="622" spans="1:9" x14ac:dyDescent="0.25">
      <c r="A622" s="255" t="s">
        <v>20</v>
      </c>
      <c r="B622" s="255" t="s">
        <v>206</v>
      </c>
      <c r="C622" s="256">
        <v>2019</v>
      </c>
      <c r="D622" s="256">
        <v>100</v>
      </c>
      <c r="E622">
        <v>0</v>
      </c>
      <c r="F622" s="257"/>
      <c r="I622" s="4"/>
    </row>
    <row r="623" spans="1:9" x14ac:dyDescent="0.25">
      <c r="A623" s="255" t="s">
        <v>20</v>
      </c>
      <c r="B623" s="255" t="s">
        <v>206</v>
      </c>
      <c r="C623" s="256">
        <v>2019</v>
      </c>
      <c r="D623" s="256">
        <v>175</v>
      </c>
      <c r="E623">
        <v>0</v>
      </c>
      <c r="F623" s="257"/>
      <c r="I623" s="4"/>
    </row>
    <row r="624" spans="1:9" x14ac:dyDescent="0.25">
      <c r="A624" s="255" t="s">
        <v>20</v>
      </c>
      <c r="B624" s="255" t="s">
        <v>206</v>
      </c>
      <c r="C624" s="256">
        <v>2019</v>
      </c>
      <c r="D624" s="256">
        <v>300</v>
      </c>
      <c r="E624">
        <v>0</v>
      </c>
      <c r="F624" s="257"/>
      <c r="I624" s="4"/>
    </row>
    <row r="625" spans="1:9" x14ac:dyDescent="0.25">
      <c r="A625" s="255" t="s">
        <v>20</v>
      </c>
      <c r="B625" s="255" t="s">
        <v>206</v>
      </c>
      <c r="C625" s="256">
        <v>2019</v>
      </c>
      <c r="D625" s="256">
        <v>600</v>
      </c>
      <c r="E625">
        <v>0</v>
      </c>
      <c r="F625" s="257"/>
      <c r="I625" s="4"/>
    </row>
    <row r="626" spans="1:9" x14ac:dyDescent="0.25">
      <c r="A626" s="255" t="s">
        <v>20</v>
      </c>
      <c r="B626" s="255" t="s">
        <v>206</v>
      </c>
      <c r="C626" s="256">
        <v>2020</v>
      </c>
      <c r="D626" s="256">
        <v>50</v>
      </c>
      <c r="E626">
        <v>0</v>
      </c>
      <c r="F626" s="257"/>
      <c r="I626" s="4"/>
    </row>
    <row r="627" spans="1:9" x14ac:dyDescent="0.25">
      <c r="A627" s="255" t="s">
        <v>20</v>
      </c>
      <c r="B627" s="255" t="s">
        <v>206</v>
      </c>
      <c r="C627" s="256">
        <v>2020</v>
      </c>
      <c r="D627" s="256">
        <v>75</v>
      </c>
      <c r="E627">
        <v>0</v>
      </c>
      <c r="F627" s="257"/>
      <c r="I627" s="4"/>
    </row>
    <row r="628" spans="1:9" x14ac:dyDescent="0.25">
      <c r="A628" s="255" t="s">
        <v>20</v>
      </c>
      <c r="B628" s="255" t="s">
        <v>206</v>
      </c>
      <c r="C628" s="256">
        <v>2020</v>
      </c>
      <c r="D628" s="256">
        <v>100</v>
      </c>
      <c r="E628">
        <v>0</v>
      </c>
      <c r="F628" s="257"/>
      <c r="I628" s="4"/>
    </row>
    <row r="629" spans="1:9" x14ac:dyDescent="0.25">
      <c r="A629" s="255" t="s">
        <v>20</v>
      </c>
      <c r="B629" s="255" t="s">
        <v>206</v>
      </c>
      <c r="C629" s="256">
        <v>2020</v>
      </c>
      <c r="D629" s="256">
        <v>175</v>
      </c>
      <c r="E629">
        <v>0</v>
      </c>
      <c r="F629" s="257"/>
      <c r="I629" s="4"/>
    </row>
    <row r="630" spans="1:9" x14ac:dyDescent="0.25">
      <c r="A630" s="255" t="s">
        <v>20</v>
      </c>
      <c r="B630" s="255" t="s">
        <v>206</v>
      </c>
      <c r="C630" s="256">
        <v>2020</v>
      </c>
      <c r="D630" s="256">
        <v>300</v>
      </c>
      <c r="E630">
        <v>0</v>
      </c>
      <c r="F630" s="257"/>
      <c r="I630" s="4"/>
    </row>
    <row r="631" spans="1:9" x14ac:dyDescent="0.25">
      <c r="A631" s="255" t="s">
        <v>20</v>
      </c>
      <c r="B631" s="255" t="s">
        <v>206</v>
      </c>
      <c r="C631" s="256">
        <v>2020</v>
      </c>
      <c r="D631" s="256">
        <v>600</v>
      </c>
      <c r="E631">
        <v>0</v>
      </c>
      <c r="F631" s="257"/>
      <c r="I631" s="4"/>
    </row>
    <row r="632" spans="1:9" x14ac:dyDescent="0.25">
      <c r="A632" s="255" t="s">
        <v>20</v>
      </c>
      <c r="B632" s="255" t="s">
        <v>206</v>
      </c>
      <c r="C632" s="256">
        <v>2021</v>
      </c>
      <c r="D632" s="256">
        <v>50</v>
      </c>
      <c r="E632">
        <v>0</v>
      </c>
      <c r="F632" s="257"/>
      <c r="I632" s="4"/>
    </row>
    <row r="633" spans="1:9" x14ac:dyDescent="0.25">
      <c r="A633" s="255" t="s">
        <v>20</v>
      </c>
      <c r="B633" s="255" t="s">
        <v>206</v>
      </c>
      <c r="C633" s="256">
        <v>2021</v>
      </c>
      <c r="D633" s="256">
        <v>75</v>
      </c>
      <c r="E633">
        <v>0</v>
      </c>
      <c r="F633" s="257"/>
      <c r="I633" s="4"/>
    </row>
    <row r="634" spans="1:9" x14ac:dyDescent="0.25">
      <c r="A634" s="255" t="s">
        <v>20</v>
      </c>
      <c r="B634" s="255" t="s">
        <v>206</v>
      </c>
      <c r="C634" s="256">
        <v>2021</v>
      </c>
      <c r="D634" s="256">
        <v>100</v>
      </c>
      <c r="E634">
        <v>0</v>
      </c>
      <c r="F634" s="257"/>
      <c r="I634" s="4"/>
    </row>
    <row r="635" spans="1:9" x14ac:dyDescent="0.25">
      <c r="A635" s="255" t="s">
        <v>20</v>
      </c>
      <c r="B635" s="255" t="s">
        <v>206</v>
      </c>
      <c r="C635" s="256">
        <v>2021</v>
      </c>
      <c r="D635" s="256">
        <v>175</v>
      </c>
      <c r="E635">
        <v>0</v>
      </c>
      <c r="F635" s="257"/>
      <c r="I635" s="4"/>
    </row>
    <row r="636" spans="1:9" x14ac:dyDescent="0.25">
      <c r="A636" s="255" t="s">
        <v>20</v>
      </c>
      <c r="B636" s="255" t="s">
        <v>206</v>
      </c>
      <c r="C636" s="256">
        <v>2021</v>
      </c>
      <c r="D636" s="256">
        <v>300</v>
      </c>
      <c r="E636">
        <v>0</v>
      </c>
      <c r="F636" s="257"/>
      <c r="I636" s="4"/>
    </row>
    <row r="637" spans="1:9" x14ac:dyDescent="0.25">
      <c r="A637" s="255" t="s">
        <v>20</v>
      </c>
      <c r="B637" s="255" t="s">
        <v>206</v>
      </c>
      <c r="C637" s="256">
        <v>2021</v>
      </c>
      <c r="D637" s="256">
        <v>600</v>
      </c>
      <c r="E637">
        <v>0</v>
      </c>
      <c r="F637" s="257"/>
      <c r="I637" s="4"/>
    </row>
    <row r="638" spans="1:9" x14ac:dyDescent="0.25">
      <c r="A638" s="255" t="s">
        <v>20</v>
      </c>
      <c r="B638" s="255" t="s">
        <v>206</v>
      </c>
      <c r="C638" s="256">
        <v>2022</v>
      </c>
      <c r="D638" s="256">
        <v>50</v>
      </c>
      <c r="E638">
        <v>0</v>
      </c>
      <c r="F638" s="257"/>
      <c r="I638" s="4"/>
    </row>
    <row r="639" spans="1:9" x14ac:dyDescent="0.25">
      <c r="A639" s="255" t="s">
        <v>20</v>
      </c>
      <c r="B639" s="255" t="s">
        <v>206</v>
      </c>
      <c r="C639" s="256">
        <v>2022</v>
      </c>
      <c r="D639" s="256">
        <v>75</v>
      </c>
      <c r="E639">
        <v>0</v>
      </c>
      <c r="F639" s="257"/>
      <c r="I639" s="4"/>
    </row>
    <row r="640" spans="1:9" x14ac:dyDescent="0.25">
      <c r="A640" s="255" t="s">
        <v>20</v>
      </c>
      <c r="B640" s="255" t="s">
        <v>206</v>
      </c>
      <c r="C640" s="256">
        <v>2022</v>
      </c>
      <c r="D640" s="256">
        <v>100</v>
      </c>
      <c r="E640">
        <v>0</v>
      </c>
      <c r="F640" s="257"/>
      <c r="I640" s="4"/>
    </row>
    <row r="641" spans="1:9" x14ac:dyDescent="0.25">
      <c r="A641" s="255" t="s">
        <v>20</v>
      </c>
      <c r="B641" s="255" t="s">
        <v>206</v>
      </c>
      <c r="C641" s="256">
        <v>2022</v>
      </c>
      <c r="D641" s="256">
        <v>175</v>
      </c>
      <c r="E641">
        <v>0</v>
      </c>
      <c r="F641" s="257"/>
      <c r="I641" s="4"/>
    </row>
    <row r="642" spans="1:9" x14ac:dyDescent="0.25">
      <c r="A642" s="255" t="s">
        <v>20</v>
      </c>
      <c r="B642" s="255" t="s">
        <v>206</v>
      </c>
      <c r="C642" s="256">
        <v>2022</v>
      </c>
      <c r="D642" s="256">
        <v>300</v>
      </c>
      <c r="E642">
        <v>0</v>
      </c>
      <c r="F642" s="257"/>
      <c r="I642" s="4"/>
    </row>
    <row r="643" spans="1:9" x14ac:dyDescent="0.25">
      <c r="A643" s="255" t="s">
        <v>20</v>
      </c>
      <c r="B643" s="255" t="s">
        <v>206</v>
      </c>
      <c r="C643" s="256">
        <v>2022</v>
      </c>
      <c r="D643" s="256">
        <v>600</v>
      </c>
      <c r="E643">
        <v>0</v>
      </c>
      <c r="F643" s="257"/>
      <c r="I643" s="4"/>
    </row>
    <row r="644" spans="1:9" x14ac:dyDescent="0.25">
      <c r="A644" s="255" t="s">
        <v>20</v>
      </c>
      <c r="B644" s="255" t="s">
        <v>206</v>
      </c>
      <c r="C644" s="256">
        <v>2023</v>
      </c>
      <c r="D644" s="256">
        <v>50</v>
      </c>
      <c r="E644">
        <v>0</v>
      </c>
      <c r="F644" s="257"/>
      <c r="I644" s="4"/>
    </row>
    <row r="645" spans="1:9" x14ac:dyDescent="0.25">
      <c r="A645" s="255" t="s">
        <v>20</v>
      </c>
      <c r="B645" s="255" t="s">
        <v>206</v>
      </c>
      <c r="C645" s="256">
        <v>2023</v>
      </c>
      <c r="D645" s="256">
        <v>75</v>
      </c>
      <c r="E645">
        <v>0</v>
      </c>
      <c r="F645" s="257"/>
      <c r="I645" s="4"/>
    </row>
    <row r="646" spans="1:9" x14ac:dyDescent="0.25">
      <c r="A646" s="255" t="s">
        <v>20</v>
      </c>
      <c r="B646" s="255" t="s">
        <v>206</v>
      </c>
      <c r="C646" s="256">
        <v>2023</v>
      </c>
      <c r="D646" s="256">
        <v>100</v>
      </c>
      <c r="E646">
        <v>0</v>
      </c>
      <c r="F646" s="257"/>
      <c r="I646" s="4"/>
    </row>
    <row r="647" spans="1:9" x14ac:dyDescent="0.25">
      <c r="A647" s="255" t="s">
        <v>20</v>
      </c>
      <c r="B647" s="255" t="s">
        <v>206</v>
      </c>
      <c r="C647" s="256">
        <v>2023</v>
      </c>
      <c r="D647" s="256">
        <v>175</v>
      </c>
      <c r="E647">
        <v>0</v>
      </c>
      <c r="F647" s="257"/>
      <c r="I647" s="4"/>
    </row>
    <row r="648" spans="1:9" x14ac:dyDescent="0.25">
      <c r="A648" s="255" t="s">
        <v>20</v>
      </c>
      <c r="B648" s="255" t="s">
        <v>206</v>
      </c>
      <c r="C648" s="256">
        <v>2023</v>
      </c>
      <c r="D648" s="256">
        <v>300</v>
      </c>
      <c r="E648">
        <v>0</v>
      </c>
      <c r="F648" s="257"/>
      <c r="I648" s="4"/>
    </row>
    <row r="649" spans="1:9" x14ac:dyDescent="0.25">
      <c r="A649" s="255" t="s">
        <v>20</v>
      </c>
      <c r="B649" s="255" t="s">
        <v>206</v>
      </c>
      <c r="C649" s="256">
        <v>2023</v>
      </c>
      <c r="D649" s="256">
        <v>600</v>
      </c>
      <c r="E649">
        <v>0</v>
      </c>
      <c r="F649" s="257"/>
      <c r="I649" s="4"/>
    </row>
    <row r="650" spans="1:9" x14ac:dyDescent="0.25">
      <c r="A650" s="255" t="s">
        <v>20</v>
      </c>
      <c r="B650" s="255" t="s">
        <v>206</v>
      </c>
      <c r="C650" s="256">
        <v>2024</v>
      </c>
      <c r="D650" s="256">
        <v>50</v>
      </c>
      <c r="E650">
        <v>0</v>
      </c>
      <c r="F650" s="257"/>
      <c r="I650" s="4"/>
    </row>
    <row r="651" spans="1:9" x14ac:dyDescent="0.25">
      <c r="A651" s="255" t="s">
        <v>20</v>
      </c>
      <c r="B651" s="255" t="s">
        <v>206</v>
      </c>
      <c r="C651" s="256">
        <v>2024</v>
      </c>
      <c r="D651" s="256">
        <v>75</v>
      </c>
      <c r="E651">
        <v>0</v>
      </c>
      <c r="F651" s="257"/>
      <c r="I651" s="4"/>
    </row>
    <row r="652" spans="1:9" x14ac:dyDescent="0.25">
      <c r="A652" s="255" t="s">
        <v>20</v>
      </c>
      <c r="B652" s="255" t="s">
        <v>206</v>
      </c>
      <c r="C652" s="256">
        <v>2024</v>
      </c>
      <c r="D652" s="256">
        <v>100</v>
      </c>
      <c r="E652">
        <v>0</v>
      </c>
      <c r="F652" s="257"/>
      <c r="I652" s="4"/>
    </row>
    <row r="653" spans="1:9" x14ac:dyDescent="0.25">
      <c r="A653" s="255" t="s">
        <v>20</v>
      </c>
      <c r="B653" s="255" t="s">
        <v>206</v>
      </c>
      <c r="C653" s="256">
        <v>2024</v>
      </c>
      <c r="D653" s="256">
        <v>175</v>
      </c>
      <c r="E653">
        <v>0</v>
      </c>
      <c r="F653" s="257"/>
      <c r="I653" s="4"/>
    </row>
    <row r="654" spans="1:9" x14ac:dyDescent="0.25">
      <c r="A654" s="255" t="s">
        <v>20</v>
      </c>
      <c r="B654" s="255" t="s">
        <v>206</v>
      </c>
      <c r="C654" s="256">
        <v>2024</v>
      </c>
      <c r="D654" s="256">
        <v>300</v>
      </c>
      <c r="E654">
        <v>0</v>
      </c>
      <c r="F654" s="257"/>
      <c r="I654" s="4"/>
    </row>
    <row r="655" spans="1:9" x14ac:dyDescent="0.25">
      <c r="A655" s="255" t="s">
        <v>20</v>
      </c>
      <c r="B655" s="255" t="s">
        <v>206</v>
      </c>
      <c r="C655" s="256">
        <v>2024</v>
      </c>
      <c r="D655" s="256">
        <v>600</v>
      </c>
      <c r="E655">
        <v>0</v>
      </c>
      <c r="F655" s="257"/>
      <c r="I655" s="4"/>
    </row>
    <row r="656" spans="1:9" x14ac:dyDescent="0.25">
      <c r="A656" s="255" t="s">
        <v>20</v>
      </c>
      <c r="B656" s="255" t="s">
        <v>206</v>
      </c>
      <c r="C656" s="256">
        <v>2025</v>
      </c>
      <c r="D656" s="256">
        <v>50</v>
      </c>
      <c r="E656">
        <v>0</v>
      </c>
      <c r="F656" s="257"/>
      <c r="I656" s="4"/>
    </row>
    <row r="657" spans="1:9" x14ac:dyDescent="0.25">
      <c r="A657" s="255" t="s">
        <v>20</v>
      </c>
      <c r="B657" s="255" t="s">
        <v>206</v>
      </c>
      <c r="C657" s="256">
        <v>2025</v>
      </c>
      <c r="D657" s="256">
        <v>75</v>
      </c>
      <c r="E657">
        <v>0</v>
      </c>
      <c r="F657" s="257"/>
      <c r="I657" s="4"/>
    </row>
    <row r="658" spans="1:9" x14ac:dyDescent="0.25">
      <c r="A658" s="255" t="s">
        <v>20</v>
      </c>
      <c r="B658" s="255" t="s">
        <v>206</v>
      </c>
      <c r="C658" s="256">
        <v>2025</v>
      </c>
      <c r="D658" s="256">
        <v>100</v>
      </c>
      <c r="E658">
        <v>0</v>
      </c>
      <c r="F658" s="257"/>
      <c r="I658" s="4"/>
    </row>
    <row r="659" spans="1:9" x14ac:dyDescent="0.25">
      <c r="A659" s="255" t="s">
        <v>20</v>
      </c>
      <c r="B659" s="255" t="s">
        <v>206</v>
      </c>
      <c r="C659" s="256">
        <v>2025</v>
      </c>
      <c r="D659" s="256">
        <v>175</v>
      </c>
      <c r="E659">
        <v>0</v>
      </c>
      <c r="F659" s="257"/>
      <c r="I659" s="4"/>
    </row>
    <row r="660" spans="1:9" x14ac:dyDescent="0.25">
      <c r="A660" s="255" t="s">
        <v>20</v>
      </c>
      <c r="B660" s="255" t="s">
        <v>206</v>
      </c>
      <c r="C660" s="256">
        <v>2025</v>
      </c>
      <c r="D660" s="256">
        <v>300</v>
      </c>
      <c r="E660">
        <v>0</v>
      </c>
      <c r="F660" s="257"/>
      <c r="I660" s="4"/>
    </row>
    <row r="661" spans="1:9" x14ac:dyDescent="0.25">
      <c r="A661" s="255" t="s">
        <v>20</v>
      </c>
      <c r="B661" s="255" t="s">
        <v>206</v>
      </c>
      <c r="C661" s="256">
        <v>2025</v>
      </c>
      <c r="D661" s="256">
        <v>600</v>
      </c>
      <c r="E661">
        <v>0</v>
      </c>
      <c r="F661" s="257"/>
      <c r="I661" s="4"/>
    </row>
    <row r="662" spans="1:9" x14ac:dyDescent="0.25">
      <c r="A662" s="255" t="s">
        <v>20</v>
      </c>
      <c r="B662" s="255" t="s">
        <v>208</v>
      </c>
      <c r="C662" s="256">
        <v>2006</v>
      </c>
      <c r="D662" s="256">
        <v>100</v>
      </c>
      <c r="E662">
        <v>0</v>
      </c>
      <c r="F662" s="257"/>
      <c r="I662" s="4"/>
    </row>
    <row r="663" spans="1:9" x14ac:dyDescent="0.25">
      <c r="A663" s="255" t="s">
        <v>20</v>
      </c>
      <c r="B663" s="255" t="s">
        <v>208</v>
      </c>
      <c r="C663" s="256">
        <v>2006</v>
      </c>
      <c r="D663" s="256">
        <v>175</v>
      </c>
      <c r="E663">
        <v>0</v>
      </c>
      <c r="F663" s="257"/>
      <c r="I663" s="4"/>
    </row>
    <row r="664" spans="1:9" x14ac:dyDescent="0.25">
      <c r="A664" s="255" t="s">
        <v>20</v>
      </c>
      <c r="B664" s="255" t="s">
        <v>208</v>
      </c>
      <c r="C664" s="256">
        <v>2006</v>
      </c>
      <c r="D664" s="256">
        <v>300</v>
      </c>
      <c r="E664">
        <v>0</v>
      </c>
      <c r="F664" s="257"/>
      <c r="I664" s="4"/>
    </row>
    <row r="665" spans="1:9" x14ac:dyDescent="0.25">
      <c r="A665" s="255" t="s">
        <v>20</v>
      </c>
      <c r="B665" s="255" t="s">
        <v>208</v>
      </c>
      <c r="C665" s="256">
        <v>2006</v>
      </c>
      <c r="D665" s="256">
        <v>600</v>
      </c>
      <c r="E665">
        <v>0</v>
      </c>
      <c r="F665" s="257"/>
      <c r="I665" s="4"/>
    </row>
    <row r="666" spans="1:9" x14ac:dyDescent="0.25">
      <c r="A666" s="255" t="s">
        <v>20</v>
      </c>
      <c r="B666" s="255" t="s">
        <v>208</v>
      </c>
      <c r="C666" s="256">
        <v>2007</v>
      </c>
      <c r="D666" s="256">
        <v>100</v>
      </c>
      <c r="E666">
        <v>0</v>
      </c>
      <c r="F666" s="257"/>
      <c r="I666" s="4"/>
    </row>
    <row r="667" spans="1:9" x14ac:dyDescent="0.25">
      <c r="A667" s="255" t="s">
        <v>20</v>
      </c>
      <c r="B667" s="255" t="s">
        <v>208</v>
      </c>
      <c r="C667" s="256">
        <v>2007</v>
      </c>
      <c r="D667" s="256">
        <v>175</v>
      </c>
      <c r="E667">
        <v>0</v>
      </c>
      <c r="F667" s="257"/>
      <c r="I667" s="4"/>
    </row>
    <row r="668" spans="1:9" x14ac:dyDescent="0.25">
      <c r="A668" s="255" t="s">
        <v>20</v>
      </c>
      <c r="B668" s="255" t="s">
        <v>208</v>
      </c>
      <c r="C668" s="256">
        <v>2007</v>
      </c>
      <c r="D668" s="256">
        <v>300</v>
      </c>
      <c r="E668">
        <v>0</v>
      </c>
      <c r="F668" s="257"/>
      <c r="I668" s="4"/>
    </row>
    <row r="669" spans="1:9" x14ac:dyDescent="0.25">
      <c r="A669" s="255" t="s">
        <v>20</v>
      </c>
      <c r="B669" s="255" t="s">
        <v>208</v>
      </c>
      <c r="C669" s="256">
        <v>2007</v>
      </c>
      <c r="D669" s="256">
        <v>600</v>
      </c>
      <c r="E669">
        <v>0</v>
      </c>
      <c r="F669" s="257"/>
      <c r="I669" s="4"/>
    </row>
    <row r="670" spans="1:9" x14ac:dyDescent="0.25">
      <c r="A670" s="255" t="s">
        <v>20</v>
      </c>
      <c r="B670" s="255" t="s">
        <v>208</v>
      </c>
      <c r="C670" s="256">
        <v>2008</v>
      </c>
      <c r="D670" s="256">
        <v>100</v>
      </c>
      <c r="E670">
        <v>0</v>
      </c>
      <c r="F670" s="257"/>
      <c r="I670" s="4"/>
    </row>
    <row r="671" spans="1:9" x14ac:dyDescent="0.25">
      <c r="A671" s="255" t="s">
        <v>20</v>
      </c>
      <c r="B671" s="255" t="s">
        <v>208</v>
      </c>
      <c r="C671" s="256">
        <v>2008</v>
      </c>
      <c r="D671" s="256">
        <v>175</v>
      </c>
      <c r="E671">
        <v>0</v>
      </c>
      <c r="F671" s="257"/>
      <c r="I671" s="4"/>
    </row>
    <row r="672" spans="1:9" x14ac:dyDescent="0.25">
      <c r="A672" s="255" t="s">
        <v>20</v>
      </c>
      <c r="B672" s="255" t="s">
        <v>208</v>
      </c>
      <c r="C672" s="256">
        <v>2008</v>
      </c>
      <c r="D672" s="256">
        <v>300</v>
      </c>
      <c r="E672">
        <v>0</v>
      </c>
      <c r="F672" s="257"/>
      <c r="I672" s="4"/>
    </row>
    <row r="673" spans="1:10" x14ac:dyDescent="0.25">
      <c r="A673" s="255" t="s">
        <v>20</v>
      </c>
      <c r="B673" s="255" t="s">
        <v>208</v>
      </c>
      <c r="C673" s="256">
        <v>2008</v>
      </c>
      <c r="D673" s="256">
        <v>600</v>
      </c>
      <c r="E673">
        <v>0</v>
      </c>
      <c r="F673" s="257"/>
      <c r="I673" s="4"/>
    </row>
    <row r="674" spans="1:10" x14ac:dyDescent="0.25">
      <c r="A674" s="255" t="s">
        <v>20</v>
      </c>
      <c r="B674" s="255" t="s">
        <v>208</v>
      </c>
      <c r="C674" s="256">
        <v>2009</v>
      </c>
      <c r="D674" s="256">
        <v>100</v>
      </c>
      <c r="E674">
        <v>0</v>
      </c>
      <c r="F674" s="257"/>
      <c r="I674" s="4"/>
    </row>
    <row r="675" spans="1:10" x14ac:dyDescent="0.25">
      <c r="A675" s="255" t="s">
        <v>20</v>
      </c>
      <c r="B675" s="255" t="s">
        <v>208</v>
      </c>
      <c r="C675" s="256">
        <v>2009</v>
      </c>
      <c r="D675" s="256">
        <v>175</v>
      </c>
      <c r="E675">
        <v>0</v>
      </c>
      <c r="F675" s="257"/>
      <c r="I675" s="4"/>
    </row>
    <row r="676" spans="1:10" x14ac:dyDescent="0.25">
      <c r="A676" s="255" t="s">
        <v>20</v>
      </c>
      <c r="B676" s="255" t="s">
        <v>208</v>
      </c>
      <c r="C676" s="256">
        <v>2009</v>
      </c>
      <c r="D676" s="256">
        <v>300</v>
      </c>
      <c r="E676">
        <v>0</v>
      </c>
      <c r="F676" s="257"/>
      <c r="I676" s="4"/>
    </row>
    <row r="677" spans="1:10" x14ac:dyDescent="0.25">
      <c r="A677" s="255" t="s">
        <v>20</v>
      </c>
      <c r="B677" s="255" t="s">
        <v>208</v>
      </c>
      <c r="C677" s="256">
        <v>2009</v>
      </c>
      <c r="D677" s="256">
        <v>600</v>
      </c>
      <c r="E677">
        <v>0</v>
      </c>
      <c r="F677" s="257"/>
      <c r="I677" s="4"/>
    </row>
    <row r="678" spans="1:10" x14ac:dyDescent="0.25">
      <c r="A678" s="255" t="s">
        <v>20</v>
      </c>
      <c r="B678" s="255" t="s">
        <v>208</v>
      </c>
      <c r="C678" s="256">
        <v>2010</v>
      </c>
      <c r="D678" s="256">
        <v>100</v>
      </c>
      <c r="E678">
        <v>7.7514365859636697E-2</v>
      </c>
      <c r="F678" s="257">
        <f>SUM(E678:E681)</f>
        <v>14.999999999999996</v>
      </c>
      <c r="G678">
        <f t="shared" ref="G678:G701" si="10">IF(OR(D678=50,D678=75),50,IF(OR(D678=100,D678=125),125,IF(D678&gt;=400,400,D678)))</f>
        <v>125</v>
      </c>
      <c r="H678" s="4">
        <f>IF(B678="RTG Crane",IF(D678&lt;600,800000,1200000),VLOOKUP(B678,'$$$ Replace &amp; Retrofit'!$B$10:$C$14,2)*'CHE Model poplulation'!D678)*E678</f>
        <v>6177.8949590130451</v>
      </c>
      <c r="I678" s="4">
        <f>E678*VLOOKUP('CHE Model poplulation'!G678,'$$$ Replace &amp; Retrofit'!$I$10:$J$15,2)</f>
        <v>1529.5909815082109</v>
      </c>
      <c r="J678" s="4">
        <f>IF(D678=50,VLOOKUP(0,'$$$ Replace &amp; Retrofit'!$E$10:$F$13,2),IF(D678&lt;175,VLOOKUP(50,'$$$ Replace &amp; Retrofit'!$E$10:$F$13,2),IF(D678&lt;400,VLOOKUP(175,'$$$ Replace &amp; Retrofit'!$E$10:$F$13,2),IF(D678&gt;=400,VLOOKUP(400,'$$$ Replace &amp; Retrofit'!$E$10:$F$13,2),NA))))*E678</f>
        <v>930.17239031564031</v>
      </c>
    </row>
    <row r="679" spans="1:10" x14ac:dyDescent="0.25">
      <c r="A679" s="255" t="s">
        <v>20</v>
      </c>
      <c r="B679" s="255" t="s">
        <v>208</v>
      </c>
      <c r="C679" s="256">
        <v>2010</v>
      </c>
      <c r="D679" s="256">
        <v>175</v>
      </c>
      <c r="E679">
        <v>2.05060731501402</v>
      </c>
      <c r="F679" s="257"/>
      <c r="G679">
        <f t="shared" si="10"/>
        <v>175</v>
      </c>
      <c r="H679" s="4">
        <f>IF(B679="RTG Crane",IF(D679&lt;600,800000,1200000),VLOOKUP(B679,'$$$ Replace &amp; Retrofit'!$B$10:$C$14,2)*'CHE Model poplulation'!D679)*E679</f>
        <v>286008.45526158047</v>
      </c>
      <c r="I679" s="4">
        <f>E679*VLOOKUP('CHE Model poplulation'!G679,'$$$ Replace &amp; Retrofit'!$I$10:$J$15,2)</f>
        <v>50846.858983087644</v>
      </c>
      <c r="J679" s="4">
        <f>IF(D679=50,VLOOKUP(0,'$$$ Replace &amp; Retrofit'!$E$10:$F$13,2),IF(D679&lt;175,VLOOKUP(50,'$$$ Replace &amp; Retrofit'!$E$10:$F$13,2),IF(D679&lt;400,VLOOKUP(175,'$$$ Replace &amp; Retrofit'!$E$10:$F$13,2),IF(D679&gt;=400,VLOOKUP(400,'$$$ Replace &amp; Retrofit'!$E$10:$F$13,2),NA))))*E679</f>
        <v>36910.931670252357</v>
      </c>
    </row>
    <row r="680" spans="1:10" x14ac:dyDescent="0.25">
      <c r="A680" s="255" t="s">
        <v>20</v>
      </c>
      <c r="B680" s="255" t="s">
        <v>208</v>
      </c>
      <c r="C680" s="256">
        <v>2010</v>
      </c>
      <c r="D680" s="256">
        <v>300</v>
      </c>
      <c r="E680">
        <v>5.6456296467768698</v>
      </c>
      <c r="F680" s="257"/>
      <c r="G680">
        <f t="shared" si="10"/>
        <v>300</v>
      </c>
      <c r="H680" s="4">
        <f>IF(B680="RTG Crane",IF(D680&lt;600,800000,1200000),VLOOKUP(B680,'$$$ Replace &amp; Retrofit'!$B$10:$C$14,2)*'CHE Model poplulation'!D680)*E680</f>
        <v>1349870.0485443496</v>
      </c>
      <c r="I680" s="4">
        <f>E680*VLOOKUP('CHE Model poplulation'!G680,'$$$ Replace &amp; Retrofit'!$I$10:$J$15,2)</f>
        <v>162385.24553024312</v>
      </c>
      <c r="J680" s="4">
        <f>IF(D680=50,VLOOKUP(0,'$$$ Replace &amp; Retrofit'!$E$10:$F$13,2),IF(D680&lt;175,VLOOKUP(50,'$$$ Replace &amp; Retrofit'!$E$10:$F$13,2),IF(D680&lt;400,VLOOKUP(175,'$$$ Replace &amp; Retrofit'!$E$10:$F$13,2),IF(D680&gt;=400,VLOOKUP(400,'$$$ Replace &amp; Retrofit'!$E$10:$F$13,2),NA))))*E680</f>
        <v>101621.33364198366</v>
      </c>
    </row>
    <row r="681" spans="1:10" x14ac:dyDescent="0.25">
      <c r="A681" s="255" t="s">
        <v>20</v>
      </c>
      <c r="B681" s="255" t="s">
        <v>208</v>
      </c>
      <c r="C681" s="256">
        <v>2010</v>
      </c>
      <c r="D681" s="256">
        <v>600</v>
      </c>
      <c r="E681">
        <v>7.2262486723494703</v>
      </c>
      <c r="F681" s="257"/>
      <c r="G681">
        <f t="shared" si="10"/>
        <v>400</v>
      </c>
      <c r="H681" s="4">
        <f>IF(B681="RTG Crane",IF(D681&lt;600,800000,1200000),VLOOKUP(B681,'$$$ Replace &amp; Retrofit'!$B$10:$C$14,2)*'CHE Model poplulation'!D681)*E681</f>
        <v>3455592.1151175168</v>
      </c>
      <c r="I681" s="4">
        <f>E681*VLOOKUP('CHE Model poplulation'!G681,'$$$ Replace &amp; Retrofit'!$I$10:$J$15,2)</f>
        <v>378171.27177006484</v>
      </c>
      <c r="J681" s="4">
        <f>IF(D681=50,VLOOKUP(0,'$$$ Replace &amp; Retrofit'!$E$10:$F$13,2),IF(D681&lt;175,VLOOKUP(50,'$$$ Replace &amp; Retrofit'!$E$10:$F$13,2),IF(D681&lt;400,VLOOKUP(175,'$$$ Replace &amp; Retrofit'!$E$10:$F$13,2),IF(D681&gt;=400,VLOOKUP(400,'$$$ Replace &amp; Retrofit'!$E$10:$F$13,2),NA))))*E681</f>
        <v>216787.46017048412</v>
      </c>
    </row>
    <row r="682" spans="1:10" x14ac:dyDescent="0.25">
      <c r="A682" s="255" t="s">
        <v>20</v>
      </c>
      <c r="B682" s="255" t="s">
        <v>208</v>
      </c>
      <c r="C682" s="256">
        <v>2011</v>
      </c>
      <c r="D682" s="256">
        <v>100</v>
      </c>
      <c r="E682">
        <v>6.0020153116093003E-2</v>
      </c>
      <c r="F682" s="257">
        <f>SUM(E682:E685)</f>
        <v>12.811603749172313</v>
      </c>
      <c r="G682">
        <f t="shared" si="10"/>
        <v>125</v>
      </c>
      <c r="H682" s="4">
        <f>IF(B682="RTG Crane",IF(D682&lt;600,800000,1200000),VLOOKUP(B682,'$$$ Replace &amp; Retrofit'!$B$10:$C$14,2)*'CHE Model poplulation'!D682)*E682</f>
        <v>4783.6062033526123</v>
      </c>
      <c r="I682" s="4">
        <f>E682*VLOOKUP('CHE Model poplulation'!G682,'$$$ Replace &amp; Retrofit'!$I$10:$J$15,2)</f>
        <v>1184.3776814398632</v>
      </c>
      <c r="J682" s="4">
        <f>IF(D682=50,VLOOKUP(0,'$$$ Replace &amp; Retrofit'!$E$10:$F$13,2),IF(D682&lt;175,VLOOKUP(50,'$$$ Replace &amp; Retrofit'!$E$10:$F$13,2),IF(D682&lt;400,VLOOKUP(175,'$$$ Replace &amp; Retrofit'!$E$10:$F$13,2),IF(D682&gt;=400,VLOOKUP(400,'$$$ Replace &amp; Retrofit'!$E$10:$F$13,2),NA))))*E682</f>
        <v>720.24183739311604</v>
      </c>
    </row>
    <row r="683" spans="1:10" x14ac:dyDescent="0.25">
      <c r="A683" s="255" t="s">
        <v>20</v>
      </c>
      <c r="B683" s="255" t="s">
        <v>208</v>
      </c>
      <c r="C683" s="256">
        <v>2011</v>
      </c>
      <c r="D683" s="256">
        <v>175</v>
      </c>
      <c r="E683">
        <v>1.6772171314382101</v>
      </c>
      <c r="F683" s="257"/>
      <c r="G683">
        <f t="shared" si="10"/>
        <v>175</v>
      </c>
      <c r="H683" s="4">
        <f>IF(B683="RTG Crane",IF(D683&lt;600,800000,1200000),VLOOKUP(B683,'$$$ Replace &amp; Retrofit'!$B$10:$C$14,2)*'CHE Model poplulation'!D683)*E683</f>
        <v>233929.85940734434</v>
      </c>
      <c r="I683" s="4">
        <f>E683*VLOOKUP('CHE Model poplulation'!G683,'$$$ Replace &amp; Retrofit'!$I$10:$J$15,2)</f>
        <v>41588.275991141854</v>
      </c>
      <c r="J683" s="4">
        <f>IF(D683=50,VLOOKUP(0,'$$$ Replace &amp; Retrofit'!$E$10:$F$13,2),IF(D683&lt;175,VLOOKUP(50,'$$$ Replace &amp; Retrofit'!$E$10:$F$13,2),IF(D683&lt;400,VLOOKUP(175,'$$$ Replace &amp; Retrofit'!$E$10:$F$13,2),IF(D683&gt;=400,VLOOKUP(400,'$$$ Replace &amp; Retrofit'!$E$10:$F$13,2),NA))))*E683</f>
        <v>30189.908365887783</v>
      </c>
    </row>
    <row r="684" spans="1:10" x14ac:dyDescent="0.25">
      <c r="A684" s="255" t="s">
        <v>20</v>
      </c>
      <c r="B684" s="255" t="s">
        <v>208</v>
      </c>
      <c r="C684" s="256">
        <v>2011</v>
      </c>
      <c r="D684" s="256">
        <v>300</v>
      </c>
      <c r="E684">
        <v>4.65538581310852</v>
      </c>
      <c r="F684" s="257"/>
      <c r="G684">
        <f t="shared" si="10"/>
        <v>300</v>
      </c>
      <c r="H684" s="4">
        <f>IF(B684="RTG Crane",IF(D684&lt;600,800000,1200000),VLOOKUP(B684,'$$$ Replace &amp; Retrofit'!$B$10:$C$14,2)*'CHE Model poplulation'!D684)*E684</f>
        <v>1113102.7479142472</v>
      </c>
      <c r="I684" s="4">
        <f>E684*VLOOKUP('CHE Model poplulation'!G684,'$$$ Replace &amp; Retrofit'!$I$10:$J$15,2)</f>
        <v>133902.86214244037</v>
      </c>
      <c r="J684" s="4">
        <f>IF(D684=50,VLOOKUP(0,'$$$ Replace &amp; Retrofit'!$E$10:$F$13,2),IF(D684&lt;175,VLOOKUP(50,'$$$ Replace &amp; Retrofit'!$E$10:$F$13,2),IF(D684&lt;400,VLOOKUP(175,'$$$ Replace &amp; Retrofit'!$E$10:$F$13,2),IF(D684&gt;=400,VLOOKUP(400,'$$$ Replace &amp; Retrofit'!$E$10:$F$13,2),NA))))*E684</f>
        <v>83796.944635953361</v>
      </c>
    </row>
    <row r="685" spans="1:10" x14ac:dyDescent="0.25">
      <c r="A685" s="255" t="s">
        <v>20</v>
      </c>
      <c r="B685" s="255" t="s">
        <v>208</v>
      </c>
      <c r="C685" s="256">
        <v>2011</v>
      </c>
      <c r="D685" s="256">
        <v>600</v>
      </c>
      <c r="E685">
        <v>6.4189806515094903</v>
      </c>
      <c r="F685" s="257"/>
      <c r="G685">
        <f t="shared" si="10"/>
        <v>400</v>
      </c>
      <c r="H685" s="4">
        <f>IF(B685="RTG Crane",IF(D685&lt;600,800000,1200000),VLOOKUP(B685,'$$$ Replace &amp; Retrofit'!$B$10:$C$14,2)*'CHE Model poplulation'!D685)*E685</f>
        <v>3069556.5475518382</v>
      </c>
      <c r="I685" s="4">
        <f>E685*VLOOKUP('CHE Model poplulation'!G685,'$$$ Replace &amp; Retrofit'!$I$10:$J$15,2)</f>
        <v>335924.51443544618</v>
      </c>
      <c r="J685" s="4">
        <f>IF(D685=50,VLOOKUP(0,'$$$ Replace &amp; Retrofit'!$E$10:$F$13,2),IF(D685&lt;175,VLOOKUP(50,'$$$ Replace &amp; Retrofit'!$E$10:$F$13,2),IF(D685&lt;400,VLOOKUP(175,'$$$ Replace &amp; Retrofit'!$E$10:$F$13,2),IF(D685&gt;=400,VLOOKUP(400,'$$$ Replace &amp; Retrofit'!$E$10:$F$13,2),NA))))*E685</f>
        <v>192569.41954528471</v>
      </c>
    </row>
    <row r="686" spans="1:10" x14ac:dyDescent="0.25">
      <c r="A686" s="255" t="s">
        <v>20</v>
      </c>
      <c r="B686" s="255" t="s">
        <v>208</v>
      </c>
      <c r="C686" s="256">
        <v>2012</v>
      </c>
      <c r="D686" s="256">
        <v>100</v>
      </c>
      <c r="E686">
        <v>5.3640355587089697E-2</v>
      </c>
      <c r="F686" s="257"/>
      <c r="G686">
        <f t="shared" si="10"/>
        <v>125</v>
      </c>
      <c r="H686" s="4">
        <f>IF(B686="RTG Crane",IF(D686&lt;600,800000,1200000),VLOOKUP(B686,'$$$ Replace &amp; Retrofit'!$B$10:$C$14,2)*'CHE Model poplulation'!D686)*E686</f>
        <v>4275.1363402910492</v>
      </c>
      <c r="I686" s="4">
        <f>E686*VLOOKUP('CHE Model poplulation'!G686,'$$$ Replace &amp; Retrofit'!$I$10:$J$15,2)</f>
        <v>1058.4851368000409</v>
      </c>
      <c r="J686" s="4">
        <f>IF(D686=50,VLOOKUP(0,'$$$ Replace &amp; Retrofit'!$E$10:$F$13,2),IF(D686&lt;175,VLOOKUP(50,'$$$ Replace &amp; Retrofit'!$E$10:$F$13,2),IF(D686&lt;400,VLOOKUP(175,'$$$ Replace &amp; Retrofit'!$E$10:$F$13,2),IF(D686&gt;=400,VLOOKUP(400,'$$$ Replace &amp; Retrofit'!$E$10:$F$13,2),NA))))*E686</f>
        <v>643.68426704507635</v>
      </c>
    </row>
    <row r="687" spans="1:10" x14ac:dyDescent="0.25">
      <c r="A687" s="255" t="s">
        <v>20</v>
      </c>
      <c r="B687" s="255" t="s">
        <v>208</v>
      </c>
      <c r="C687" s="256">
        <v>2012</v>
      </c>
      <c r="D687" s="256">
        <v>175</v>
      </c>
      <c r="E687">
        <v>1.48660737148936</v>
      </c>
      <c r="F687" s="257"/>
      <c r="G687">
        <f t="shared" si="10"/>
        <v>175</v>
      </c>
      <c r="H687" s="4">
        <f>IF(B687="RTG Crane",IF(D687&lt;600,800000,1200000),VLOOKUP(B687,'$$$ Replace &amp; Retrofit'!$B$10:$C$14,2)*'CHE Model poplulation'!D687)*E687</f>
        <v>207344.56313847849</v>
      </c>
      <c r="I687" s="4">
        <f>E687*VLOOKUP('CHE Model poplulation'!G687,'$$$ Replace &amp; Retrofit'!$I$10:$J$15,2)</f>
        <v>36861.916383450167</v>
      </c>
      <c r="J687" s="4">
        <f>IF(D687=50,VLOOKUP(0,'$$$ Replace &amp; Retrofit'!$E$10:$F$13,2),IF(D687&lt;175,VLOOKUP(50,'$$$ Replace &amp; Retrofit'!$E$10:$F$13,2),IF(D687&lt;400,VLOOKUP(175,'$$$ Replace &amp; Retrofit'!$E$10:$F$13,2),IF(D687&gt;=400,VLOOKUP(400,'$$$ Replace &amp; Retrofit'!$E$10:$F$13,2),NA))))*E687</f>
        <v>26758.932686808479</v>
      </c>
    </row>
    <row r="688" spans="1:10" x14ac:dyDescent="0.25">
      <c r="A688" s="255" t="s">
        <v>20</v>
      </c>
      <c r="B688" s="255" t="s">
        <v>208</v>
      </c>
      <c r="C688" s="256">
        <v>2012</v>
      </c>
      <c r="D688" s="256">
        <v>300</v>
      </c>
      <c r="E688">
        <v>4.1427561017680397</v>
      </c>
      <c r="F688" s="257"/>
      <c r="G688">
        <f t="shared" si="10"/>
        <v>300</v>
      </c>
      <c r="H688" s="4">
        <f>IF(B688="RTG Crane",IF(D688&lt;600,800000,1200000),VLOOKUP(B688,'$$$ Replace &amp; Retrofit'!$B$10:$C$14,2)*'CHE Model poplulation'!D688)*E688</f>
        <v>990532.98393273831</v>
      </c>
      <c r="I688" s="4">
        <f>E688*VLOOKUP('CHE Model poplulation'!G688,'$$$ Replace &amp; Retrofit'!$I$10:$J$15,2)</f>
        <v>119158.09375515413</v>
      </c>
      <c r="J688" s="4">
        <f>IF(D688=50,VLOOKUP(0,'$$$ Replace &amp; Retrofit'!$E$10:$F$13,2),IF(D688&lt;175,VLOOKUP(50,'$$$ Replace &amp; Retrofit'!$E$10:$F$13,2),IF(D688&lt;400,VLOOKUP(175,'$$$ Replace &amp; Retrofit'!$E$10:$F$13,2),IF(D688&gt;=400,VLOOKUP(400,'$$$ Replace &amp; Retrofit'!$E$10:$F$13,2),NA))))*E688</f>
        <v>74569.60983182471</v>
      </c>
    </row>
    <row r="689" spans="1:10" x14ac:dyDescent="0.25">
      <c r="A689" s="255" t="s">
        <v>20</v>
      </c>
      <c r="B689" s="255" t="s">
        <v>208</v>
      </c>
      <c r="C689" s="256">
        <v>2012</v>
      </c>
      <c r="D689" s="256">
        <v>600</v>
      </c>
      <c r="E689">
        <v>5.8116743130329303</v>
      </c>
      <c r="F689" s="257"/>
      <c r="G689">
        <f t="shared" si="10"/>
        <v>400</v>
      </c>
      <c r="H689" s="4">
        <f>IF(B689="RTG Crane",IF(D689&lt;600,800000,1200000),VLOOKUP(B689,'$$$ Replace &amp; Retrofit'!$B$10:$C$14,2)*'CHE Model poplulation'!D689)*E689</f>
        <v>2779142.6564923474</v>
      </c>
      <c r="I689" s="4">
        <f>E689*VLOOKUP('CHE Model poplulation'!G689,'$$$ Replace &amp; Retrofit'!$I$10:$J$15,2)</f>
        <v>304142.35182395234</v>
      </c>
      <c r="J689" s="4">
        <f>IF(D689=50,VLOOKUP(0,'$$$ Replace &amp; Retrofit'!$E$10:$F$13,2),IF(D689&lt;175,VLOOKUP(50,'$$$ Replace &amp; Retrofit'!$E$10:$F$13,2),IF(D689&lt;400,VLOOKUP(175,'$$$ Replace &amp; Retrofit'!$E$10:$F$13,2),IF(D689&gt;=400,VLOOKUP(400,'$$$ Replace &amp; Retrofit'!$E$10:$F$13,2),NA))))*E689</f>
        <v>174350.22939098789</v>
      </c>
    </row>
    <row r="690" spans="1:10" x14ac:dyDescent="0.25">
      <c r="A690" s="255" t="s">
        <v>20</v>
      </c>
      <c r="B690" s="255" t="s">
        <v>208</v>
      </c>
      <c r="C690" s="256">
        <v>2013</v>
      </c>
      <c r="D690" s="256">
        <v>100</v>
      </c>
      <c r="E690">
        <v>4.4679817573110597E-2</v>
      </c>
      <c r="F690" s="257"/>
      <c r="G690">
        <f t="shared" si="10"/>
        <v>125</v>
      </c>
      <c r="H690" s="4">
        <f>IF(B690="RTG Crane",IF(D690&lt;600,800000,1200000),VLOOKUP(B690,'$$$ Replace &amp; Retrofit'!$B$10:$C$14,2)*'CHE Model poplulation'!D690)*E690</f>
        <v>3560.9814605769147</v>
      </c>
      <c r="I690" s="4">
        <f>E690*VLOOKUP('CHE Model poplulation'!G690,'$$$ Replace &amp; Retrofit'!$I$10:$J$15,2)</f>
        <v>881.66684017019145</v>
      </c>
      <c r="J690" s="4">
        <f>IF(D690=50,VLOOKUP(0,'$$$ Replace &amp; Retrofit'!$E$10:$F$13,2),IF(D690&lt;175,VLOOKUP(50,'$$$ Replace &amp; Retrofit'!$E$10:$F$13,2),IF(D690&lt;400,VLOOKUP(175,'$$$ Replace &amp; Retrofit'!$E$10:$F$13,2),IF(D690&gt;=400,VLOOKUP(400,'$$$ Replace &amp; Retrofit'!$E$10:$F$13,2),NA))))*E690</f>
        <v>536.15781087732717</v>
      </c>
    </row>
    <row r="691" spans="1:10" x14ac:dyDescent="0.25">
      <c r="A691" s="255" t="s">
        <v>20</v>
      </c>
      <c r="B691" s="255" t="s">
        <v>208</v>
      </c>
      <c r="C691" s="256">
        <v>2013</v>
      </c>
      <c r="D691" s="256">
        <v>175</v>
      </c>
      <c r="E691">
        <v>1.0734699933179701</v>
      </c>
      <c r="F691" s="257"/>
      <c r="G691">
        <f t="shared" si="10"/>
        <v>175</v>
      </c>
      <c r="H691" s="4">
        <f>IF(B691="RTG Crane",IF(D691&lt;600,800000,1200000),VLOOKUP(B691,'$$$ Replace &amp; Retrofit'!$B$10:$C$14,2)*'CHE Model poplulation'!D691)*E691</f>
        <v>149722.22731802388</v>
      </c>
      <c r="I691" s="4">
        <f>E691*VLOOKUP('CHE Model poplulation'!G691,'$$$ Replace &amp; Retrofit'!$I$10:$J$15,2)</f>
        <v>26617.761954312387</v>
      </c>
      <c r="J691" s="4">
        <f>IF(D691=50,VLOOKUP(0,'$$$ Replace &amp; Retrofit'!$E$10:$F$13,2),IF(D691&lt;175,VLOOKUP(50,'$$$ Replace &amp; Retrofit'!$E$10:$F$13,2),IF(D691&lt;400,VLOOKUP(175,'$$$ Replace &amp; Retrofit'!$E$10:$F$13,2),IF(D691&gt;=400,VLOOKUP(400,'$$$ Replace &amp; Retrofit'!$E$10:$F$13,2),NA))))*E691</f>
        <v>19322.459879723461</v>
      </c>
    </row>
    <row r="692" spans="1:10" x14ac:dyDescent="0.25">
      <c r="A692" s="255" t="s">
        <v>20</v>
      </c>
      <c r="B692" s="255" t="s">
        <v>208</v>
      </c>
      <c r="C692" s="256">
        <v>2013</v>
      </c>
      <c r="D692" s="256">
        <v>300</v>
      </c>
      <c r="E692">
        <v>3.0139328262879599</v>
      </c>
      <c r="F692" s="257"/>
      <c r="G692">
        <f t="shared" si="10"/>
        <v>300</v>
      </c>
      <c r="H692" s="4">
        <f>IF(B692="RTG Crane",IF(D692&lt;600,800000,1200000),VLOOKUP(B692,'$$$ Replace &amp; Retrofit'!$B$10:$C$14,2)*'CHE Model poplulation'!D692)*E692</f>
        <v>720631.33876545122</v>
      </c>
      <c r="I692" s="4">
        <f>E692*VLOOKUP('CHE Model poplulation'!G692,'$$$ Replace &amp; Retrofit'!$I$10:$J$15,2)</f>
        <v>86689.749882520584</v>
      </c>
      <c r="J692" s="4">
        <f>IF(D692=50,VLOOKUP(0,'$$$ Replace &amp; Retrofit'!$E$10:$F$13,2),IF(D692&lt;175,VLOOKUP(50,'$$$ Replace &amp; Retrofit'!$E$10:$F$13,2),IF(D692&lt;400,VLOOKUP(175,'$$$ Replace &amp; Retrofit'!$E$10:$F$13,2),IF(D692&gt;=400,VLOOKUP(400,'$$$ Replace &amp; Retrofit'!$E$10:$F$13,2),NA))))*E692</f>
        <v>54250.790873183279</v>
      </c>
    </row>
    <row r="693" spans="1:10" x14ac:dyDescent="0.25">
      <c r="A693" s="255" t="s">
        <v>20</v>
      </c>
      <c r="B693" s="255" t="s">
        <v>208</v>
      </c>
      <c r="C693" s="256">
        <v>2013</v>
      </c>
      <c r="D693" s="256">
        <v>600</v>
      </c>
      <c r="E693">
        <v>4.4276962697704798</v>
      </c>
      <c r="F693" s="257"/>
      <c r="G693">
        <f t="shared" si="10"/>
        <v>400</v>
      </c>
      <c r="H693" s="4">
        <f>IF(B693="RTG Crane",IF(D693&lt;600,800000,1200000),VLOOKUP(B693,'$$$ Replace &amp; Retrofit'!$B$10:$C$14,2)*'CHE Model poplulation'!D693)*E693</f>
        <v>2117324.3562042434</v>
      </c>
      <c r="I693" s="4">
        <f>E693*VLOOKUP('CHE Model poplulation'!G693,'$$$ Replace &amp; Retrofit'!$I$10:$J$15,2)</f>
        <v>231714.62888589851</v>
      </c>
      <c r="J693" s="4">
        <f>IF(D693=50,VLOOKUP(0,'$$$ Replace &amp; Retrofit'!$E$10:$F$13,2),IF(D693&lt;175,VLOOKUP(50,'$$$ Replace &amp; Retrofit'!$E$10:$F$13,2),IF(D693&lt;400,VLOOKUP(175,'$$$ Replace &amp; Retrofit'!$E$10:$F$13,2),IF(D693&gt;=400,VLOOKUP(400,'$$$ Replace &amp; Retrofit'!$E$10:$F$13,2),NA))))*E693</f>
        <v>132830.88809311439</v>
      </c>
    </row>
    <row r="694" spans="1:10" x14ac:dyDescent="0.25">
      <c r="A694" s="255" t="s">
        <v>20</v>
      </c>
      <c r="B694" s="255" t="s">
        <v>208</v>
      </c>
      <c r="C694" s="256">
        <v>2014</v>
      </c>
      <c r="D694" s="256">
        <v>100</v>
      </c>
      <c r="E694">
        <v>2.5838121953212199E-2</v>
      </c>
      <c r="F694" s="257"/>
      <c r="G694">
        <f t="shared" si="10"/>
        <v>125</v>
      </c>
      <c r="H694" s="4">
        <f>IF(B694="RTG Crane",IF(D694&lt;600,800000,1200000),VLOOKUP(B694,'$$$ Replace &amp; Retrofit'!$B$10:$C$14,2)*'CHE Model poplulation'!D694)*E694</f>
        <v>2059.2983196710125</v>
      </c>
      <c r="I694" s="4">
        <f>E694*VLOOKUP('CHE Model poplulation'!G694,'$$$ Replace &amp; Retrofit'!$I$10:$J$15,2)</f>
        <v>509.86366050273631</v>
      </c>
      <c r="J694" s="4">
        <f>IF(D694=50,VLOOKUP(0,'$$$ Replace &amp; Retrofit'!$E$10:$F$13,2),IF(D694&lt;175,VLOOKUP(50,'$$$ Replace &amp; Retrofit'!$E$10:$F$13,2),IF(D694&lt;400,VLOOKUP(175,'$$$ Replace &amp; Retrofit'!$E$10:$F$13,2),IF(D694&gt;=400,VLOOKUP(400,'$$$ Replace &amp; Retrofit'!$E$10:$F$13,2),NA))))*E694</f>
        <v>310.05746343854639</v>
      </c>
    </row>
    <row r="695" spans="1:10" x14ac:dyDescent="0.25">
      <c r="A695" s="255" t="s">
        <v>20</v>
      </c>
      <c r="B695" s="255" t="s">
        <v>208</v>
      </c>
      <c r="C695" s="256">
        <v>2014</v>
      </c>
      <c r="D695" s="256">
        <v>175</v>
      </c>
      <c r="E695">
        <v>0.56159058458265798</v>
      </c>
      <c r="F695" s="257"/>
      <c r="G695">
        <f t="shared" si="10"/>
        <v>175</v>
      </c>
      <c r="H695" s="4">
        <f>IF(B695="RTG Crane",IF(D695&lt;600,800000,1200000),VLOOKUP(B695,'$$$ Replace &amp; Retrofit'!$B$10:$C$14,2)*'CHE Model poplulation'!D695)*E695</f>
        <v>78327.846784666224</v>
      </c>
      <c r="I695" s="4">
        <f>E695*VLOOKUP('CHE Model poplulation'!G695,'$$$ Replace &amp; Retrofit'!$I$10:$J$15,2)</f>
        <v>13925.200135311587</v>
      </c>
      <c r="J695" s="4">
        <f>IF(D695=50,VLOOKUP(0,'$$$ Replace &amp; Retrofit'!$E$10:$F$13,2),IF(D695&lt;175,VLOOKUP(50,'$$$ Replace &amp; Retrofit'!$E$10:$F$13,2),IF(D695&lt;400,VLOOKUP(175,'$$$ Replace &amp; Retrofit'!$E$10:$F$13,2),IF(D695&gt;=400,VLOOKUP(400,'$$$ Replace &amp; Retrofit'!$E$10:$F$13,2),NA))))*E695</f>
        <v>10108.630522487843</v>
      </c>
    </row>
    <row r="696" spans="1:10" x14ac:dyDescent="0.25">
      <c r="A696" s="255" t="s">
        <v>20</v>
      </c>
      <c r="B696" s="255" t="s">
        <v>208</v>
      </c>
      <c r="C696" s="256">
        <v>2014</v>
      </c>
      <c r="D696" s="256">
        <v>300</v>
      </c>
      <c r="E696">
        <v>1.8651265002663699</v>
      </c>
      <c r="F696" s="257"/>
      <c r="G696">
        <f t="shared" si="10"/>
        <v>300</v>
      </c>
      <c r="H696" s="4">
        <f>IF(B696="RTG Crane",IF(D696&lt;600,800000,1200000),VLOOKUP(B696,'$$$ Replace &amp; Retrofit'!$B$10:$C$14,2)*'CHE Model poplulation'!D696)*E696</f>
        <v>445951.74621368904</v>
      </c>
      <c r="I696" s="4">
        <f>E696*VLOOKUP('CHE Model poplulation'!G696,'$$$ Replace &amp; Retrofit'!$I$10:$J$15,2)</f>
        <v>53646.633527161597</v>
      </c>
      <c r="J696" s="4">
        <f>IF(D696=50,VLOOKUP(0,'$$$ Replace &amp; Retrofit'!$E$10:$F$13,2),IF(D696&lt;175,VLOOKUP(50,'$$$ Replace &amp; Retrofit'!$E$10:$F$13,2),IF(D696&lt;400,VLOOKUP(175,'$$$ Replace &amp; Retrofit'!$E$10:$F$13,2),IF(D696&gt;=400,VLOOKUP(400,'$$$ Replace &amp; Retrofit'!$E$10:$F$13,2),NA))))*E696</f>
        <v>33572.277004794661</v>
      </c>
    </row>
    <row r="697" spans="1:10" x14ac:dyDescent="0.25">
      <c r="A697" s="255" t="s">
        <v>20</v>
      </c>
      <c r="B697" s="255" t="s">
        <v>208</v>
      </c>
      <c r="C697" s="256">
        <v>2014</v>
      </c>
      <c r="D697" s="256">
        <v>600</v>
      </c>
      <c r="E697">
        <v>3.11438354040745</v>
      </c>
      <c r="F697" s="257"/>
      <c r="G697">
        <f t="shared" si="10"/>
        <v>400</v>
      </c>
      <c r="H697" s="4">
        <f>IF(B697="RTG Crane",IF(D697&lt;600,800000,1200000),VLOOKUP(B697,'$$$ Replace &amp; Retrofit'!$B$10:$C$14,2)*'CHE Model poplulation'!D697)*E697</f>
        <v>1489298.2090228426</v>
      </c>
      <c r="I697" s="4">
        <f>E697*VLOOKUP('CHE Model poplulation'!G697,'$$$ Replace &amp; Retrofit'!$I$10:$J$15,2)</f>
        <v>162985.03382014309</v>
      </c>
      <c r="J697" s="4">
        <f>IF(D697=50,VLOOKUP(0,'$$$ Replace &amp; Retrofit'!$E$10:$F$13,2),IF(D697&lt;175,VLOOKUP(50,'$$$ Replace &amp; Retrofit'!$E$10:$F$13,2),IF(D697&lt;400,VLOOKUP(175,'$$$ Replace &amp; Retrofit'!$E$10:$F$13,2),IF(D697&gt;=400,VLOOKUP(400,'$$$ Replace &amp; Retrofit'!$E$10:$F$13,2),NA))))*E697</f>
        <v>93431.506212223496</v>
      </c>
    </row>
    <row r="698" spans="1:10" x14ac:dyDescent="0.25">
      <c r="A698" s="255" t="s">
        <v>20</v>
      </c>
      <c r="B698" s="255" t="s">
        <v>208</v>
      </c>
      <c r="C698" s="256">
        <v>2015</v>
      </c>
      <c r="D698" s="256">
        <v>100</v>
      </c>
      <c r="E698">
        <v>0</v>
      </c>
      <c r="F698" s="257"/>
      <c r="G698">
        <f t="shared" si="10"/>
        <v>125</v>
      </c>
      <c r="H698" s="4">
        <f>IF(B698="RTG Crane",IF(D698&lt;600,800000,1200000),VLOOKUP(B698,'$$$ Replace &amp; Retrofit'!$B$10:$C$14,2)*'CHE Model poplulation'!D698)*E698</f>
        <v>0</v>
      </c>
      <c r="I698" s="4">
        <f>E698*VLOOKUP('CHE Model poplulation'!G698,'$$$ Replace &amp; Retrofit'!$I$10:$J$15,2)</f>
        <v>0</v>
      </c>
      <c r="J698" s="4">
        <f>IF(D698=50,VLOOKUP(0,'$$$ Replace &amp; Retrofit'!$E$10:$F$13,2),IF(D698&lt;175,VLOOKUP(50,'$$$ Replace &amp; Retrofit'!$E$10:$F$13,2),IF(D698&lt;400,VLOOKUP(175,'$$$ Replace &amp; Retrofit'!$E$10:$F$13,2),IF(D698&gt;=400,VLOOKUP(400,'$$$ Replace &amp; Retrofit'!$E$10:$F$13,2),NA))))*E698</f>
        <v>0</v>
      </c>
    </row>
    <row r="699" spans="1:10" x14ac:dyDescent="0.25">
      <c r="A699" s="255" t="s">
        <v>20</v>
      </c>
      <c r="B699" s="255" t="s">
        <v>208</v>
      </c>
      <c r="C699" s="256">
        <v>2015</v>
      </c>
      <c r="D699" s="256">
        <v>175</v>
      </c>
      <c r="E699">
        <v>6.4595304883030599E-2</v>
      </c>
      <c r="F699" s="257"/>
      <c r="G699">
        <f t="shared" si="10"/>
        <v>175</v>
      </c>
      <c r="H699" s="4">
        <f>IF(B699="RTG Crane",IF(D699&lt;600,800000,1200000),VLOOKUP(B699,'$$$ Replace &amp; Retrofit'!$B$10:$C$14,2)*'CHE Model poplulation'!D699)*E699</f>
        <v>9009.430148560692</v>
      </c>
      <c r="I699" s="4">
        <f>E699*VLOOKUP('CHE Model poplulation'!G699,'$$$ Replace &amp; Retrofit'!$I$10:$J$15,2)</f>
        <v>1601.7051798796267</v>
      </c>
      <c r="J699" s="4">
        <f>IF(D699=50,VLOOKUP(0,'$$$ Replace &amp; Retrofit'!$E$10:$F$13,2),IF(D699&lt;175,VLOOKUP(50,'$$$ Replace &amp; Retrofit'!$E$10:$F$13,2),IF(D699&lt;400,VLOOKUP(175,'$$$ Replace &amp; Retrofit'!$E$10:$F$13,2),IF(D699&gt;=400,VLOOKUP(400,'$$$ Replace &amp; Retrofit'!$E$10:$F$13,2),NA))))*E699</f>
        <v>1162.7154878945507</v>
      </c>
    </row>
    <row r="700" spans="1:10" x14ac:dyDescent="0.25">
      <c r="A700" s="255" t="s">
        <v>20</v>
      </c>
      <c r="B700" s="255" t="s">
        <v>208</v>
      </c>
      <c r="C700" s="256">
        <v>2015</v>
      </c>
      <c r="D700" s="256">
        <v>300</v>
      </c>
      <c r="E700">
        <v>0.59427680492388102</v>
      </c>
      <c r="F700" s="257"/>
      <c r="G700">
        <f t="shared" si="10"/>
        <v>300</v>
      </c>
      <c r="H700" s="4">
        <f>IF(B700="RTG Crane",IF(D700&lt;600,800000,1200000),VLOOKUP(B700,'$$$ Replace &amp; Retrofit'!$B$10:$C$14,2)*'CHE Model poplulation'!D700)*E700</f>
        <v>142091.58405729994</v>
      </c>
      <c r="I700" s="4">
        <f>E700*VLOOKUP('CHE Model poplulation'!G700,'$$$ Replace &amp; Retrofit'!$I$10:$J$15,2)</f>
        <v>17093.18374002559</v>
      </c>
      <c r="J700" s="4">
        <f>IF(D700=50,VLOOKUP(0,'$$$ Replace &amp; Retrofit'!$E$10:$F$13,2),IF(D700&lt;175,VLOOKUP(50,'$$$ Replace &amp; Retrofit'!$E$10:$F$13,2),IF(D700&lt;400,VLOOKUP(175,'$$$ Replace &amp; Retrofit'!$E$10:$F$13,2),IF(D700&gt;=400,VLOOKUP(400,'$$$ Replace &amp; Retrofit'!$E$10:$F$13,2),NA))))*E700</f>
        <v>10696.982488629857</v>
      </c>
    </row>
    <row r="701" spans="1:10" x14ac:dyDescent="0.25">
      <c r="A701" s="255" t="s">
        <v>20</v>
      </c>
      <c r="B701" s="255" t="s">
        <v>208</v>
      </c>
      <c r="C701" s="256">
        <v>2015</v>
      </c>
      <c r="D701" s="256">
        <v>600</v>
      </c>
      <c r="E701">
        <v>1.2660679757074</v>
      </c>
      <c r="F701" s="257"/>
      <c r="G701">
        <f t="shared" si="10"/>
        <v>400</v>
      </c>
      <c r="H701" s="4">
        <f>IF(B701="RTG Crane",IF(D701&lt;600,800000,1200000),VLOOKUP(B701,'$$$ Replace &amp; Retrofit'!$B$10:$C$14,2)*'CHE Model poplulation'!D701)*E701</f>
        <v>605433.70598327869</v>
      </c>
      <c r="I701" s="4">
        <f>E701*VLOOKUP('CHE Model poplulation'!G701,'$$$ Replace &amp; Retrofit'!$I$10:$J$15,2)</f>
        <v>66257.135372695368</v>
      </c>
      <c r="J701" s="4">
        <f>IF(D701=50,VLOOKUP(0,'$$$ Replace &amp; Retrofit'!$E$10:$F$13,2),IF(D701&lt;175,VLOOKUP(50,'$$$ Replace &amp; Retrofit'!$E$10:$F$13,2),IF(D701&lt;400,VLOOKUP(175,'$$$ Replace &amp; Retrofit'!$E$10:$F$13,2),IF(D701&gt;=400,VLOOKUP(400,'$$$ Replace &amp; Retrofit'!$E$10:$F$13,2),NA))))*E701</f>
        <v>37982.039271221998</v>
      </c>
    </row>
    <row r="702" spans="1:10" x14ac:dyDescent="0.25">
      <c r="A702" s="255" t="s">
        <v>20</v>
      </c>
      <c r="B702" s="255" t="s">
        <v>208</v>
      </c>
      <c r="C702" s="256">
        <v>2016</v>
      </c>
      <c r="D702" s="256">
        <v>100</v>
      </c>
      <c r="E702">
        <v>0</v>
      </c>
      <c r="F702" s="257"/>
      <c r="I702" s="4"/>
    </row>
    <row r="703" spans="1:10" x14ac:dyDescent="0.25">
      <c r="A703" s="255" t="s">
        <v>20</v>
      </c>
      <c r="B703" s="255" t="s">
        <v>208</v>
      </c>
      <c r="C703" s="256">
        <v>2016</v>
      </c>
      <c r="D703" s="256">
        <v>175</v>
      </c>
      <c r="E703">
        <v>0</v>
      </c>
      <c r="F703" s="257"/>
      <c r="I703" s="4"/>
    </row>
    <row r="704" spans="1:10" x14ac:dyDescent="0.25">
      <c r="A704" s="255" t="s">
        <v>20</v>
      </c>
      <c r="B704" s="255" t="s">
        <v>208</v>
      </c>
      <c r="C704" s="256">
        <v>2016</v>
      </c>
      <c r="D704" s="256">
        <v>300</v>
      </c>
      <c r="E704">
        <v>0</v>
      </c>
      <c r="F704" s="257"/>
      <c r="I704" s="4"/>
    </row>
    <row r="705" spans="1:9" x14ac:dyDescent="0.25">
      <c r="A705" s="255" t="s">
        <v>20</v>
      </c>
      <c r="B705" s="255" t="s">
        <v>208</v>
      </c>
      <c r="C705" s="256">
        <v>2016</v>
      </c>
      <c r="D705" s="256">
        <v>600</v>
      </c>
      <c r="E705">
        <v>0</v>
      </c>
      <c r="F705" s="257"/>
      <c r="I705" s="4"/>
    </row>
    <row r="706" spans="1:9" x14ac:dyDescent="0.25">
      <c r="A706" s="255" t="s">
        <v>20</v>
      </c>
      <c r="B706" s="255" t="s">
        <v>208</v>
      </c>
      <c r="C706" s="256">
        <v>2017</v>
      </c>
      <c r="D706" s="256">
        <v>100</v>
      </c>
      <c r="E706">
        <v>0</v>
      </c>
      <c r="F706" s="257"/>
      <c r="I706" s="4"/>
    </row>
    <row r="707" spans="1:9" x14ac:dyDescent="0.25">
      <c r="A707" s="255" t="s">
        <v>20</v>
      </c>
      <c r="B707" s="255" t="s">
        <v>208</v>
      </c>
      <c r="C707" s="256">
        <v>2017</v>
      </c>
      <c r="D707" s="256">
        <v>175</v>
      </c>
      <c r="E707">
        <v>0</v>
      </c>
      <c r="F707" s="257"/>
      <c r="I707" s="4"/>
    </row>
    <row r="708" spans="1:9" x14ac:dyDescent="0.25">
      <c r="A708" s="255" t="s">
        <v>20</v>
      </c>
      <c r="B708" s="255" t="s">
        <v>208</v>
      </c>
      <c r="C708" s="256">
        <v>2017</v>
      </c>
      <c r="D708" s="256">
        <v>300</v>
      </c>
      <c r="E708">
        <v>0</v>
      </c>
      <c r="F708" s="257"/>
      <c r="I708" s="4"/>
    </row>
    <row r="709" spans="1:9" x14ac:dyDescent="0.25">
      <c r="A709" s="255" t="s">
        <v>20</v>
      </c>
      <c r="B709" s="255" t="s">
        <v>208</v>
      </c>
      <c r="C709" s="256">
        <v>2017</v>
      </c>
      <c r="D709" s="256">
        <v>600</v>
      </c>
      <c r="E709">
        <v>0</v>
      </c>
      <c r="F709" s="257"/>
      <c r="I709" s="4"/>
    </row>
    <row r="710" spans="1:9" x14ac:dyDescent="0.25">
      <c r="A710" s="255" t="s">
        <v>20</v>
      </c>
      <c r="B710" s="255" t="s">
        <v>208</v>
      </c>
      <c r="C710" s="256">
        <v>2018</v>
      </c>
      <c r="D710" s="256">
        <v>100</v>
      </c>
      <c r="E710">
        <v>0</v>
      </c>
      <c r="F710" s="257"/>
      <c r="I710" s="4"/>
    </row>
    <row r="711" spans="1:9" x14ac:dyDescent="0.25">
      <c r="A711" s="255" t="s">
        <v>20</v>
      </c>
      <c r="B711" s="255" t="s">
        <v>208</v>
      </c>
      <c r="C711" s="256">
        <v>2018</v>
      </c>
      <c r="D711" s="256">
        <v>175</v>
      </c>
      <c r="E711">
        <v>0</v>
      </c>
      <c r="F711" s="257"/>
      <c r="I711" s="4"/>
    </row>
    <row r="712" spans="1:9" x14ac:dyDescent="0.25">
      <c r="A712" s="255" t="s">
        <v>20</v>
      </c>
      <c r="B712" s="255" t="s">
        <v>208</v>
      </c>
      <c r="C712" s="256">
        <v>2018</v>
      </c>
      <c r="D712" s="256">
        <v>300</v>
      </c>
      <c r="E712">
        <v>0</v>
      </c>
      <c r="F712" s="257"/>
      <c r="I712" s="4"/>
    </row>
    <row r="713" spans="1:9" x14ac:dyDescent="0.25">
      <c r="A713" s="255" t="s">
        <v>20</v>
      </c>
      <c r="B713" s="255" t="s">
        <v>208</v>
      </c>
      <c r="C713" s="256">
        <v>2018</v>
      </c>
      <c r="D713" s="256">
        <v>600</v>
      </c>
      <c r="E713">
        <v>0</v>
      </c>
      <c r="F713" s="257"/>
      <c r="I713" s="4"/>
    </row>
    <row r="714" spans="1:9" x14ac:dyDescent="0.25">
      <c r="A714" s="255" t="s">
        <v>20</v>
      </c>
      <c r="B714" s="255" t="s">
        <v>208</v>
      </c>
      <c r="C714" s="256">
        <v>2019</v>
      </c>
      <c r="D714" s="256">
        <v>100</v>
      </c>
      <c r="E714">
        <v>0</v>
      </c>
      <c r="F714" s="257"/>
      <c r="I714" s="4"/>
    </row>
    <row r="715" spans="1:9" x14ac:dyDescent="0.25">
      <c r="A715" s="255" t="s">
        <v>20</v>
      </c>
      <c r="B715" s="255" t="s">
        <v>208</v>
      </c>
      <c r="C715" s="256">
        <v>2019</v>
      </c>
      <c r="D715" s="256">
        <v>175</v>
      </c>
      <c r="E715">
        <v>0</v>
      </c>
      <c r="F715" s="257"/>
      <c r="I715" s="4"/>
    </row>
    <row r="716" spans="1:9" x14ac:dyDescent="0.25">
      <c r="A716" s="255" t="s">
        <v>20</v>
      </c>
      <c r="B716" s="255" t="s">
        <v>208</v>
      </c>
      <c r="C716" s="256">
        <v>2019</v>
      </c>
      <c r="D716" s="256">
        <v>300</v>
      </c>
      <c r="E716">
        <v>0</v>
      </c>
      <c r="F716" s="257"/>
      <c r="I716" s="4"/>
    </row>
    <row r="717" spans="1:9" x14ac:dyDescent="0.25">
      <c r="A717" s="255" t="s">
        <v>20</v>
      </c>
      <c r="B717" s="255" t="s">
        <v>208</v>
      </c>
      <c r="C717" s="256">
        <v>2019</v>
      </c>
      <c r="D717" s="256">
        <v>600</v>
      </c>
      <c r="E717">
        <v>0</v>
      </c>
      <c r="F717" s="257"/>
      <c r="I717" s="4"/>
    </row>
    <row r="718" spans="1:9" x14ac:dyDescent="0.25">
      <c r="A718" s="255" t="s">
        <v>20</v>
      </c>
      <c r="B718" s="255" t="s">
        <v>208</v>
      </c>
      <c r="C718" s="256">
        <v>2020</v>
      </c>
      <c r="D718" s="256">
        <v>100</v>
      </c>
      <c r="E718">
        <v>0</v>
      </c>
      <c r="F718" s="257"/>
      <c r="I718" s="4"/>
    </row>
    <row r="719" spans="1:9" x14ac:dyDescent="0.25">
      <c r="A719" s="255" t="s">
        <v>20</v>
      </c>
      <c r="B719" s="255" t="s">
        <v>208</v>
      </c>
      <c r="C719" s="256">
        <v>2020</v>
      </c>
      <c r="D719" s="256">
        <v>175</v>
      </c>
      <c r="E719">
        <v>0</v>
      </c>
      <c r="F719" s="257"/>
      <c r="I719" s="4"/>
    </row>
    <row r="720" spans="1:9" x14ac:dyDescent="0.25">
      <c r="A720" s="255" t="s">
        <v>20</v>
      </c>
      <c r="B720" s="255" t="s">
        <v>208</v>
      </c>
      <c r="C720" s="256">
        <v>2020</v>
      </c>
      <c r="D720" s="256">
        <v>300</v>
      </c>
      <c r="E720">
        <v>0</v>
      </c>
      <c r="F720" s="257"/>
      <c r="I720" s="4"/>
    </row>
    <row r="721" spans="1:9" x14ac:dyDescent="0.25">
      <c r="A721" s="255" t="s">
        <v>20</v>
      </c>
      <c r="B721" s="255" t="s">
        <v>208</v>
      </c>
      <c r="C721" s="256">
        <v>2020</v>
      </c>
      <c r="D721" s="256">
        <v>600</v>
      </c>
      <c r="E721">
        <v>0</v>
      </c>
      <c r="F721" s="257"/>
      <c r="I721" s="4"/>
    </row>
    <row r="722" spans="1:9" x14ac:dyDescent="0.25">
      <c r="A722" s="255" t="s">
        <v>20</v>
      </c>
      <c r="B722" s="255" t="s">
        <v>208</v>
      </c>
      <c r="C722" s="256">
        <v>2021</v>
      </c>
      <c r="D722" s="256">
        <v>100</v>
      </c>
      <c r="E722">
        <v>0</v>
      </c>
      <c r="F722" s="257"/>
      <c r="I722" s="4"/>
    </row>
    <row r="723" spans="1:9" x14ac:dyDescent="0.25">
      <c r="A723" s="255" t="s">
        <v>20</v>
      </c>
      <c r="B723" s="255" t="s">
        <v>208</v>
      </c>
      <c r="C723" s="256">
        <v>2021</v>
      </c>
      <c r="D723" s="256">
        <v>175</v>
      </c>
      <c r="E723">
        <v>0</v>
      </c>
      <c r="F723" s="257"/>
      <c r="I723" s="4"/>
    </row>
    <row r="724" spans="1:9" x14ac:dyDescent="0.25">
      <c r="A724" s="255" t="s">
        <v>20</v>
      </c>
      <c r="B724" s="255" t="s">
        <v>208</v>
      </c>
      <c r="C724" s="256">
        <v>2021</v>
      </c>
      <c r="D724" s="256">
        <v>300</v>
      </c>
      <c r="E724">
        <v>0</v>
      </c>
      <c r="F724" s="257"/>
      <c r="I724" s="4"/>
    </row>
    <row r="725" spans="1:9" x14ac:dyDescent="0.25">
      <c r="A725" s="255" t="s">
        <v>20</v>
      </c>
      <c r="B725" s="255" t="s">
        <v>208</v>
      </c>
      <c r="C725" s="256">
        <v>2021</v>
      </c>
      <c r="D725" s="256">
        <v>600</v>
      </c>
      <c r="E725">
        <v>0</v>
      </c>
      <c r="F725" s="257"/>
      <c r="I725" s="4"/>
    </row>
    <row r="726" spans="1:9" x14ac:dyDescent="0.25">
      <c r="A726" s="255" t="s">
        <v>20</v>
      </c>
      <c r="B726" s="255" t="s">
        <v>208</v>
      </c>
      <c r="C726" s="256">
        <v>2022</v>
      </c>
      <c r="D726" s="256">
        <v>100</v>
      </c>
      <c r="E726">
        <v>0</v>
      </c>
      <c r="F726" s="257"/>
      <c r="I726" s="4"/>
    </row>
    <row r="727" spans="1:9" x14ac:dyDescent="0.25">
      <c r="A727" s="255" t="s">
        <v>20</v>
      </c>
      <c r="B727" s="255" t="s">
        <v>208</v>
      </c>
      <c r="C727" s="256">
        <v>2022</v>
      </c>
      <c r="D727" s="256">
        <v>175</v>
      </c>
      <c r="E727">
        <v>0</v>
      </c>
      <c r="F727" s="257"/>
      <c r="I727" s="4"/>
    </row>
    <row r="728" spans="1:9" x14ac:dyDescent="0.25">
      <c r="A728" s="255" t="s">
        <v>20</v>
      </c>
      <c r="B728" s="255" t="s">
        <v>208</v>
      </c>
      <c r="C728" s="256">
        <v>2022</v>
      </c>
      <c r="D728" s="256">
        <v>300</v>
      </c>
      <c r="E728">
        <v>0</v>
      </c>
      <c r="F728" s="257"/>
      <c r="I728" s="4"/>
    </row>
    <row r="729" spans="1:9" x14ac:dyDescent="0.25">
      <c r="A729" s="255" t="s">
        <v>20</v>
      </c>
      <c r="B729" s="255" t="s">
        <v>208</v>
      </c>
      <c r="C729" s="256">
        <v>2022</v>
      </c>
      <c r="D729" s="256">
        <v>600</v>
      </c>
      <c r="E729">
        <v>0</v>
      </c>
      <c r="F729" s="257"/>
      <c r="I729" s="4"/>
    </row>
    <row r="730" spans="1:9" x14ac:dyDescent="0.25">
      <c r="A730" s="255" t="s">
        <v>20</v>
      </c>
      <c r="B730" s="255" t="s">
        <v>208</v>
      </c>
      <c r="C730" s="256">
        <v>2023</v>
      </c>
      <c r="D730" s="256">
        <v>100</v>
      </c>
      <c r="E730">
        <v>0</v>
      </c>
      <c r="F730" s="257"/>
      <c r="I730" s="4"/>
    </row>
    <row r="731" spans="1:9" x14ac:dyDescent="0.25">
      <c r="A731" s="255" t="s">
        <v>20</v>
      </c>
      <c r="B731" s="255" t="s">
        <v>208</v>
      </c>
      <c r="C731" s="256">
        <v>2023</v>
      </c>
      <c r="D731" s="256">
        <v>175</v>
      </c>
      <c r="E731">
        <v>0</v>
      </c>
      <c r="F731" s="257"/>
      <c r="I731" s="4"/>
    </row>
    <row r="732" spans="1:9" x14ac:dyDescent="0.25">
      <c r="A732" s="255" t="s">
        <v>20</v>
      </c>
      <c r="B732" s="255" t="s">
        <v>208</v>
      </c>
      <c r="C732" s="256">
        <v>2023</v>
      </c>
      <c r="D732" s="256">
        <v>300</v>
      </c>
      <c r="E732">
        <v>0</v>
      </c>
      <c r="F732" s="257"/>
      <c r="I732" s="4"/>
    </row>
    <row r="733" spans="1:9" x14ac:dyDescent="0.25">
      <c r="A733" s="255" t="s">
        <v>20</v>
      </c>
      <c r="B733" s="255" t="s">
        <v>208</v>
      </c>
      <c r="C733" s="256">
        <v>2023</v>
      </c>
      <c r="D733" s="256">
        <v>600</v>
      </c>
      <c r="E733">
        <v>0</v>
      </c>
      <c r="F733" s="257"/>
      <c r="I733" s="4"/>
    </row>
    <row r="734" spans="1:9" x14ac:dyDescent="0.25">
      <c r="A734" s="255" t="s">
        <v>20</v>
      </c>
      <c r="B734" s="255" t="s">
        <v>208</v>
      </c>
      <c r="C734" s="256">
        <v>2024</v>
      </c>
      <c r="D734" s="256">
        <v>100</v>
      </c>
      <c r="E734">
        <v>0</v>
      </c>
      <c r="F734" s="257"/>
      <c r="I734" s="4"/>
    </row>
    <row r="735" spans="1:9" x14ac:dyDescent="0.25">
      <c r="A735" s="255" t="s">
        <v>20</v>
      </c>
      <c r="B735" s="255" t="s">
        <v>208</v>
      </c>
      <c r="C735" s="256">
        <v>2024</v>
      </c>
      <c r="D735" s="256">
        <v>175</v>
      </c>
      <c r="E735">
        <v>0</v>
      </c>
      <c r="F735" s="257"/>
      <c r="I735" s="4"/>
    </row>
    <row r="736" spans="1:9" x14ac:dyDescent="0.25">
      <c r="A736" s="255" t="s">
        <v>20</v>
      </c>
      <c r="B736" s="255" t="s">
        <v>208</v>
      </c>
      <c r="C736" s="256">
        <v>2024</v>
      </c>
      <c r="D736" s="256">
        <v>300</v>
      </c>
      <c r="E736">
        <v>0</v>
      </c>
      <c r="F736" s="257"/>
      <c r="I736" s="4"/>
    </row>
    <row r="737" spans="1:9" x14ac:dyDescent="0.25">
      <c r="A737" s="255" t="s">
        <v>20</v>
      </c>
      <c r="B737" s="255" t="s">
        <v>208</v>
      </c>
      <c r="C737" s="256">
        <v>2024</v>
      </c>
      <c r="D737" s="256">
        <v>600</v>
      </c>
      <c r="E737">
        <v>0</v>
      </c>
      <c r="F737" s="257"/>
      <c r="I737" s="4"/>
    </row>
    <row r="738" spans="1:9" x14ac:dyDescent="0.25">
      <c r="A738" s="255" t="s">
        <v>20</v>
      </c>
      <c r="B738" s="255" t="s">
        <v>208</v>
      </c>
      <c r="C738" s="256">
        <v>2025</v>
      </c>
      <c r="D738" s="256">
        <v>100</v>
      </c>
      <c r="E738">
        <v>0</v>
      </c>
      <c r="F738" s="257"/>
      <c r="I738" s="4"/>
    </row>
    <row r="739" spans="1:9" x14ac:dyDescent="0.25">
      <c r="A739" s="255" t="s">
        <v>20</v>
      </c>
      <c r="B739" s="255" t="s">
        <v>208</v>
      </c>
      <c r="C739" s="256">
        <v>2025</v>
      </c>
      <c r="D739" s="256">
        <v>175</v>
      </c>
      <c r="E739">
        <v>0</v>
      </c>
      <c r="F739" s="257"/>
      <c r="I739" s="4"/>
    </row>
    <row r="740" spans="1:9" x14ac:dyDescent="0.25">
      <c r="A740" s="255" t="s">
        <v>20</v>
      </c>
      <c r="B740" s="255" t="s">
        <v>208</v>
      </c>
      <c r="C740" s="256">
        <v>2025</v>
      </c>
      <c r="D740" s="256">
        <v>300</v>
      </c>
      <c r="E740">
        <v>0</v>
      </c>
      <c r="F740" s="257"/>
      <c r="I740" s="4"/>
    </row>
    <row r="741" spans="1:9" x14ac:dyDescent="0.25">
      <c r="A741" s="255" t="s">
        <v>20</v>
      </c>
      <c r="B741" s="255" t="s">
        <v>208</v>
      </c>
      <c r="C741" s="256">
        <v>2025</v>
      </c>
      <c r="D741" s="256">
        <v>600</v>
      </c>
      <c r="E741">
        <v>0</v>
      </c>
      <c r="F741" s="257"/>
      <c r="I741" s="4"/>
    </row>
    <row r="742" spans="1:9" x14ac:dyDescent="0.25">
      <c r="A742" s="255" t="s">
        <v>20</v>
      </c>
      <c r="B742" s="255" t="s">
        <v>192</v>
      </c>
      <c r="C742" s="256">
        <v>2006</v>
      </c>
      <c r="D742" s="256">
        <v>50</v>
      </c>
      <c r="E742">
        <v>0</v>
      </c>
      <c r="F742" s="257"/>
      <c r="I742" s="4"/>
    </row>
    <row r="743" spans="1:9" x14ac:dyDescent="0.25">
      <c r="A743" s="255" t="s">
        <v>20</v>
      </c>
      <c r="B743" s="255" t="s">
        <v>192</v>
      </c>
      <c r="C743" s="256">
        <v>2006</v>
      </c>
      <c r="D743" s="256">
        <v>75</v>
      </c>
      <c r="E743">
        <v>0</v>
      </c>
      <c r="F743" s="257"/>
      <c r="I743" s="4"/>
    </row>
    <row r="744" spans="1:9" x14ac:dyDescent="0.25">
      <c r="A744" s="255" t="s">
        <v>20</v>
      </c>
      <c r="B744" s="255" t="s">
        <v>192</v>
      </c>
      <c r="C744" s="256">
        <v>2006</v>
      </c>
      <c r="D744" s="256">
        <v>100</v>
      </c>
      <c r="E744">
        <v>0</v>
      </c>
      <c r="F744" s="257"/>
      <c r="I744" s="4"/>
    </row>
    <row r="745" spans="1:9" x14ac:dyDescent="0.25">
      <c r="A745" s="255" t="s">
        <v>20</v>
      </c>
      <c r="B745" s="255" t="s">
        <v>192</v>
      </c>
      <c r="C745" s="256">
        <v>2006</v>
      </c>
      <c r="D745" s="256">
        <v>175</v>
      </c>
      <c r="E745">
        <v>0</v>
      </c>
      <c r="F745" s="257"/>
      <c r="I745" s="4"/>
    </row>
    <row r="746" spans="1:9" x14ac:dyDescent="0.25">
      <c r="A746" s="255" t="s">
        <v>20</v>
      </c>
      <c r="B746" s="255" t="s">
        <v>192</v>
      </c>
      <c r="C746" s="256">
        <v>2006</v>
      </c>
      <c r="D746" s="256">
        <v>300</v>
      </c>
      <c r="E746">
        <v>0</v>
      </c>
      <c r="F746" s="257"/>
      <c r="I746" s="4"/>
    </row>
    <row r="747" spans="1:9" x14ac:dyDescent="0.25">
      <c r="A747" s="255" t="s">
        <v>20</v>
      </c>
      <c r="B747" s="255" t="s">
        <v>192</v>
      </c>
      <c r="C747" s="256">
        <v>2006</v>
      </c>
      <c r="D747" s="256">
        <v>600</v>
      </c>
      <c r="E747">
        <v>0</v>
      </c>
      <c r="F747" s="257"/>
      <c r="I747" s="4"/>
    </row>
    <row r="748" spans="1:9" x14ac:dyDescent="0.25">
      <c r="A748" s="255" t="s">
        <v>20</v>
      </c>
      <c r="B748" s="255" t="s">
        <v>192</v>
      </c>
      <c r="C748" s="256">
        <v>2007</v>
      </c>
      <c r="D748" s="256">
        <v>50</v>
      </c>
      <c r="E748">
        <v>0</v>
      </c>
      <c r="F748" s="257"/>
      <c r="I748" s="4"/>
    </row>
    <row r="749" spans="1:9" x14ac:dyDescent="0.25">
      <c r="A749" s="255" t="s">
        <v>20</v>
      </c>
      <c r="B749" s="255" t="s">
        <v>192</v>
      </c>
      <c r="C749" s="256">
        <v>2007</v>
      </c>
      <c r="D749" s="256">
        <v>75</v>
      </c>
      <c r="E749">
        <v>0</v>
      </c>
      <c r="F749" s="257"/>
      <c r="I749" s="4"/>
    </row>
    <row r="750" spans="1:9" x14ac:dyDescent="0.25">
      <c r="A750" s="255" t="s">
        <v>20</v>
      </c>
      <c r="B750" s="255" t="s">
        <v>192</v>
      </c>
      <c r="C750" s="256">
        <v>2007</v>
      </c>
      <c r="D750" s="256">
        <v>100</v>
      </c>
      <c r="E750">
        <v>0</v>
      </c>
      <c r="F750" s="257"/>
      <c r="I750" s="4"/>
    </row>
    <row r="751" spans="1:9" x14ac:dyDescent="0.25">
      <c r="A751" s="255" t="s">
        <v>20</v>
      </c>
      <c r="B751" s="255" t="s">
        <v>192</v>
      </c>
      <c r="C751" s="256">
        <v>2007</v>
      </c>
      <c r="D751" s="256">
        <v>175</v>
      </c>
      <c r="E751">
        <v>0</v>
      </c>
      <c r="F751" s="257"/>
      <c r="I751" s="4"/>
    </row>
    <row r="752" spans="1:9" x14ac:dyDescent="0.25">
      <c r="A752" s="255" t="s">
        <v>20</v>
      </c>
      <c r="B752" s="255" t="s">
        <v>192</v>
      </c>
      <c r="C752" s="256">
        <v>2007</v>
      </c>
      <c r="D752" s="256">
        <v>300</v>
      </c>
      <c r="E752">
        <v>0</v>
      </c>
      <c r="F752" s="257"/>
      <c r="I752" s="4"/>
    </row>
    <row r="753" spans="1:10" x14ac:dyDescent="0.25">
      <c r="A753" s="255" t="s">
        <v>20</v>
      </c>
      <c r="B753" s="255" t="s">
        <v>192</v>
      </c>
      <c r="C753" s="256">
        <v>2007</v>
      </c>
      <c r="D753" s="256">
        <v>600</v>
      </c>
      <c r="E753">
        <v>0</v>
      </c>
      <c r="F753" s="257"/>
      <c r="I753" s="4"/>
    </row>
    <row r="754" spans="1:10" x14ac:dyDescent="0.25">
      <c r="A754" s="255" t="s">
        <v>20</v>
      </c>
      <c r="B754" s="255" t="s">
        <v>192</v>
      </c>
      <c r="C754" s="256">
        <v>2008</v>
      </c>
      <c r="D754" s="256">
        <v>50</v>
      </c>
      <c r="E754">
        <v>0</v>
      </c>
      <c r="F754" s="257"/>
      <c r="I754" s="4"/>
    </row>
    <row r="755" spans="1:10" x14ac:dyDescent="0.25">
      <c r="A755" s="255" t="s">
        <v>20</v>
      </c>
      <c r="B755" s="255" t="s">
        <v>192</v>
      </c>
      <c r="C755" s="256">
        <v>2008</v>
      </c>
      <c r="D755" s="256">
        <v>75</v>
      </c>
      <c r="E755">
        <v>0</v>
      </c>
      <c r="F755" s="257"/>
      <c r="I755" s="4"/>
    </row>
    <row r="756" spans="1:10" x14ac:dyDescent="0.25">
      <c r="A756" s="255" t="s">
        <v>20</v>
      </c>
      <c r="B756" s="255" t="s">
        <v>192</v>
      </c>
      <c r="C756" s="256">
        <v>2008</v>
      </c>
      <c r="D756" s="256">
        <v>100</v>
      </c>
      <c r="E756">
        <v>0</v>
      </c>
      <c r="F756" s="257"/>
      <c r="I756" s="4"/>
    </row>
    <row r="757" spans="1:10" x14ac:dyDescent="0.25">
      <c r="A757" s="255" t="s">
        <v>20</v>
      </c>
      <c r="B757" s="255" t="s">
        <v>192</v>
      </c>
      <c r="C757" s="256">
        <v>2008</v>
      </c>
      <c r="D757" s="256">
        <v>175</v>
      </c>
      <c r="E757">
        <v>0</v>
      </c>
      <c r="F757" s="257"/>
      <c r="I757" s="4"/>
    </row>
    <row r="758" spans="1:10" x14ac:dyDescent="0.25">
      <c r="A758" s="255" t="s">
        <v>20</v>
      </c>
      <c r="B758" s="255" t="s">
        <v>192</v>
      </c>
      <c r="C758" s="256">
        <v>2008</v>
      </c>
      <c r="D758" s="256">
        <v>300</v>
      </c>
      <c r="E758">
        <v>0</v>
      </c>
      <c r="F758" s="257"/>
      <c r="I758" s="4"/>
    </row>
    <row r="759" spans="1:10" x14ac:dyDescent="0.25">
      <c r="A759" s="255" t="s">
        <v>20</v>
      </c>
      <c r="B759" s="255" t="s">
        <v>192</v>
      </c>
      <c r="C759" s="256">
        <v>2008</v>
      </c>
      <c r="D759" s="256">
        <v>600</v>
      </c>
      <c r="E759">
        <v>0</v>
      </c>
      <c r="F759" s="257"/>
      <c r="I759" s="4"/>
    </row>
    <row r="760" spans="1:10" x14ac:dyDescent="0.25">
      <c r="A760" s="255" t="s">
        <v>20</v>
      </c>
      <c r="B760" s="255" t="s">
        <v>192</v>
      </c>
      <c r="C760" s="256">
        <v>2009</v>
      </c>
      <c r="D760" s="256">
        <v>50</v>
      </c>
      <c r="E760">
        <v>0</v>
      </c>
      <c r="F760" s="257"/>
      <c r="I760" s="4"/>
    </row>
    <row r="761" spans="1:10" x14ac:dyDescent="0.25">
      <c r="A761" s="255" t="s">
        <v>20</v>
      </c>
      <c r="B761" s="255" t="s">
        <v>192</v>
      </c>
      <c r="C761" s="256">
        <v>2009</v>
      </c>
      <c r="D761" s="256">
        <v>75</v>
      </c>
      <c r="E761">
        <v>0</v>
      </c>
      <c r="F761" s="257"/>
      <c r="I761" s="4"/>
    </row>
    <row r="762" spans="1:10" x14ac:dyDescent="0.25">
      <c r="A762" s="255" t="s">
        <v>20</v>
      </c>
      <c r="B762" s="255" t="s">
        <v>192</v>
      </c>
      <c r="C762" s="256">
        <v>2009</v>
      </c>
      <c r="D762" s="256">
        <v>100</v>
      </c>
      <c r="E762">
        <v>0</v>
      </c>
      <c r="F762" s="257"/>
      <c r="I762" s="4"/>
    </row>
    <row r="763" spans="1:10" x14ac:dyDescent="0.25">
      <c r="A763" s="255" t="s">
        <v>20</v>
      </c>
      <c r="B763" s="255" t="s">
        <v>192</v>
      </c>
      <c r="C763" s="256">
        <v>2009</v>
      </c>
      <c r="D763" s="256">
        <v>175</v>
      </c>
      <c r="E763">
        <v>0</v>
      </c>
      <c r="F763" s="257"/>
      <c r="I763" s="4"/>
    </row>
    <row r="764" spans="1:10" x14ac:dyDescent="0.25">
      <c r="A764" s="255" t="s">
        <v>20</v>
      </c>
      <c r="B764" s="255" t="s">
        <v>192</v>
      </c>
      <c r="C764" s="256">
        <v>2009</v>
      </c>
      <c r="D764" s="256">
        <v>300</v>
      </c>
      <c r="E764">
        <v>0</v>
      </c>
      <c r="F764" s="257"/>
      <c r="I764" s="4"/>
    </row>
    <row r="765" spans="1:10" x14ac:dyDescent="0.25">
      <c r="A765" s="255" t="s">
        <v>20</v>
      </c>
      <c r="B765" s="255" t="s">
        <v>192</v>
      </c>
      <c r="C765" s="256">
        <v>2009</v>
      </c>
      <c r="D765" s="256">
        <v>600</v>
      </c>
      <c r="E765">
        <v>0</v>
      </c>
      <c r="F765" s="257"/>
      <c r="I765" s="4"/>
    </row>
    <row r="766" spans="1:10" x14ac:dyDescent="0.25">
      <c r="A766" s="255" t="s">
        <v>20</v>
      </c>
      <c r="B766" s="255" t="s">
        <v>192</v>
      </c>
      <c r="C766" s="256">
        <v>2010</v>
      </c>
      <c r="D766" s="256">
        <v>50</v>
      </c>
      <c r="E766">
        <v>5.9394332631733802</v>
      </c>
      <c r="F766" s="257">
        <f>SUM(E766:E771)</f>
        <v>106.99999999999979</v>
      </c>
      <c r="G766">
        <f t="shared" ref="G766:G801" si="11">IF(OR(D766=50,D766=75),50,IF(OR(D766=100,D766=125),125,IF(D766&gt;=400,400,D766)))</f>
        <v>50</v>
      </c>
      <c r="H766" s="4">
        <f>IF(B766="RTG Crane",IF(D766&lt;600,800000,1200000),VLOOKUP(B766,'$$$ Replace &amp; Retrofit'!$B$10:$C$14,2)*'CHE Model poplulation'!D766)*E766</f>
        <v>259850.20526383538</v>
      </c>
      <c r="I766" s="4">
        <f>E766*VLOOKUP('CHE Model poplulation'!G766,'$$$ Replace &amp; Retrofit'!$I$10:$J$15,2)</f>
        <v>104462.75223269341</v>
      </c>
      <c r="J766" s="4">
        <f>IF(D766=50,VLOOKUP(0,'$$$ Replace &amp; Retrofit'!$E$10:$F$13,2),IF(D766&lt;175,VLOOKUP(50,'$$$ Replace &amp; Retrofit'!$E$10:$F$13,2),IF(D766&lt;400,VLOOKUP(175,'$$$ Replace &amp; Retrofit'!$E$10:$F$13,2),IF(D766&gt;=400,VLOOKUP(400,'$$$ Replace &amp; Retrofit'!$E$10:$F$13,2),NA))))*E766</f>
        <v>47515.466105387044</v>
      </c>
    </row>
    <row r="767" spans="1:10" x14ac:dyDescent="0.25">
      <c r="A767" s="255" t="s">
        <v>20</v>
      </c>
      <c r="B767" s="255" t="s">
        <v>192</v>
      </c>
      <c r="C767" s="256">
        <v>2010</v>
      </c>
      <c r="D767" s="256">
        <v>75</v>
      </c>
      <c r="E767">
        <v>9.6765402596314303</v>
      </c>
      <c r="F767" s="257"/>
      <c r="G767">
        <f t="shared" si="11"/>
        <v>50</v>
      </c>
      <c r="H767" s="4">
        <f>IF(B767="RTG Crane",IF(D767&lt;600,800000,1200000),VLOOKUP(B767,'$$$ Replace &amp; Retrofit'!$B$10:$C$14,2)*'CHE Model poplulation'!D767)*E767</f>
        <v>635022.95453831262</v>
      </c>
      <c r="I767" s="4">
        <f>E767*VLOOKUP('CHE Model poplulation'!G767,'$$$ Replace &amp; Retrofit'!$I$10:$J$15,2)</f>
        <v>170190.99008639759</v>
      </c>
      <c r="J767" s="4">
        <f>IF(D767=50,VLOOKUP(0,'$$$ Replace &amp; Retrofit'!$E$10:$F$13,2),IF(D767&lt;175,VLOOKUP(50,'$$$ Replace &amp; Retrofit'!$E$10:$F$13,2),IF(D767&lt;400,VLOOKUP(175,'$$$ Replace &amp; Retrofit'!$E$10:$F$13,2),IF(D767&gt;=400,VLOOKUP(400,'$$$ Replace &amp; Retrofit'!$E$10:$F$13,2),NA))))*E767</f>
        <v>116118.48311557717</v>
      </c>
    </row>
    <row r="768" spans="1:10" x14ac:dyDescent="0.25">
      <c r="A768" s="255" t="s">
        <v>20</v>
      </c>
      <c r="B768" s="255" t="s">
        <v>192</v>
      </c>
      <c r="C768" s="256">
        <v>2010</v>
      </c>
      <c r="D768" s="256">
        <v>100</v>
      </c>
      <c r="E768">
        <v>31.082809353858298</v>
      </c>
      <c r="F768" s="257"/>
      <c r="G768">
        <f t="shared" si="11"/>
        <v>125</v>
      </c>
      <c r="H768" s="4">
        <f>IF(B768="RTG Crane",IF(D768&lt;600,800000,1200000),VLOOKUP(B768,'$$$ Replace &amp; Retrofit'!$B$10:$C$14,2)*'CHE Model poplulation'!D768)*E768</f>
        <v>2719745.8184626009</v>
      </c>
      <c r="I768" s="4">
        <f>E768*VLOOKUP('CHE Model poplulation'!G768,'$$$ Replace &amp; Retrofit'!$I$10:$J$15,2)</f>
        <v>613357.07697968581</v>
      </c>
      <c r="J768" s="4">
        <f>IF(D768=50,VLOOKUP(0,'$$$ Replace &amp; Retrofit'!$E$10:$F$13,2),IF(D768&lt;175,VLOOKUP(50,'$$$ Replace &amp; Retrofit'!$E$10:$F$13,2),IF(D768&lt;400,VLOOKUP(175,'$$$ Replace &amp; Retrofit'!$E$10:$F$13,2),IF(D768&gt;=400,VLOOKUP(400,'$$$ Replace &amp; Retrofit'!$E$10:$F$13,2),NA))))*E768</f>
        <v>372993.7122462996</v>
      </c>
    </row>
    <row r="769" spans="1:10" x14ac:dyDescent="0.25">
      <c r="A769" s="255" t="s">
        <v>20</v>
      </c>
      <c r="B769" s="255" t="s">
        <v>192</v>
      </c>
      <c r="C769" s="256">
        <v>2010</v>
      </c>
      <c r="D769" s="256">
        <v>175</v>
      </c>
      <c r="E769">
        <v>45.516105823673101</v>
      </c>
      <c r="F769" s="257"/>
      <c r="G769">
        <f t="shared" si="11"/>
        <v>175</v>
      </c>
      <c r="H769" s="4">
        <f>IF(B769="RTG Crane",IF(D769&lt;600,800000,1200000),VLOOKUP(B769,'$$$ Replace &amp; Retrofit'!$B$10:$C$14,2)*'CHE Model poplulation'!D769)*E769</f>
        <v>6969653.7042499436</v>
      </c>
      <c r="I769" s="4">
        <f>E769*VLOOKUP('CHE Model poplulation'!G769,'$$$ Replace &amp; Retrofit'!$I$10:$J$15,2)</f>
        <v>1128617.3600037983</v>
      </c>
      <c r="J769" s="4">
        <f>IF(D769=50,VLOOKUP(0,'$$$ Replace &amp; Retrofit'!$E$10:$F$13,2),IF(D769&lt;175,VLOOKUP(50,'$$$ Replace &amp; Retrofit'!$E$10:$F$13,2),IF(D769&lt;400,VLOOKUP(175,'$$$ Replace &amp; Retrofit'!$E$10:$F$13,2),IF(D769&gt;=400,VLOOKUP(400,'$$$ Replace &amp; Retrofit'!$E$10:$F$13,2),NA))))*E769</f>
        <v>819289.90482611582</v>
      </c>
    </row>
    <row r="770" spans="1:10" x14ac:dyDescent="0.25">
      <c r="A770" s="255" t="s">
        <v>20</v>
      </c>
      <c r="B770" s="255" t="s">
        <v>192</v>
      </c>
      <c r="C770" s="256">
        <v>2010</v>
      </c>
      <c r="D770" s="256">
        <v>300</v>
      </c>
      <c r="E770">
        <v>13.5323795880054</v>
      </c>
      <c r="F770" s="257"/>
      <c r="G770">
        <f t="shared" si="11"/>
        <v>300</v>
      </c>
      <c r="H770" s="4">
        <f>IF(B770="RTG Crane",IF(D770&lt;600,800000,1200000),VLOOKUP(B770,'$$$ Replace &amp; Retrofit'!$B$10:$C$14,2)*'CHE Model poplulation'!D770)*E770</f>
        <v>3552249.6418514173</v>
      </c>
      <c r="I770" s="4">
        <f>E770*VLOOKUP('CHE Model poplulation'!G770,'$$$ Replace &amp; Retrofit'!$I$10:$J$15,2)</f>
        <v>389231.83408979932</v>
      </c>
      <c r="J770" s="4">
        <f>IF(D770=50,VLOOKUP(0,'$$$ Replace &amp; Retrofit'!$E$10:$F$13,2),IF(D770&lt;175,VLOOKUP(50,'$$$ Replace &amp; Retrofit'!$E$10:$F$13,2),IF(D770&lt;400,VLOOKUP(175,'$$$ Replace &amp; Retrofit'!$E$10:$F$13,2),IF(D770&gt;=400,VLOOKUP(400,'$$$ Replace &amp; Retrofit'!$E$10:$F$13,2),NA))))*E770</f>
        <v>243582.8325840972</v>
      </c>
    </row>
    <row r="771" spans="1:10" x14ac:dyDescent="0.25">
      <c r="A771" s="255" t="s">
        <v>20</v>
      </c>
      <c r="B771" s="255" t="s">
        <v>192</v>
      </c>
      <c r="C771" s="256">
        <v>2010</v>
      </c>
      <c r="D771" s="256">
        <v>600</v>
      </c>
      <c r="E771">
        <v>1.25273171165817</v>
      </c>
      <c r="F771" s="257"/>
      <c r="G771">
        <f t="shared" si="11"/>
        <v>400</v>
      </c>
      <c r="H771" s="4">
        <f>IF(B771="RTG Crane",IF(D771&lt;600,800000,1200000),VLOOKUP(B771,'$$$ Replace &amp; Retrofit'!$B$10:$C$14,2)*'CHE Model poplulation'!D771)*E771</f>
        <v>657684.14862053923</v>
      </c>
      <c r="I771" s="4">
        <f>E771*VLOOKUP('CHE Model poplulation'!G771,'$$$ Replace &amp; Retrofit'!$I$10:$J$15,2)</f>
        <v>65559.208666207007</v>
      </c>
      <c r="J771" s="4">
        <f>IF(D771=50,VLOOKUP(0,'$$$ Replace &amp; Retrofit'!$E$10:$F$13,2),IF(D771&lt;175,VLOOKUP(50,'$$$ Replace &amp; Retrofit'!$E$10:$F$13,2),IF(D771&lt;400,VLOOKUP(175,'$$$ Replace &amp; Retrofit'!$E$10:$F$13,2),IF(D771&gt;=400,VLOOKUP(400,'$$$ Replace &amp; Retrofit'!$E$10:$F$13,2),NA))))*E771</f>
        <v>37581.951349745097</v>
      </c>
    </row>
    <row r="772" spans="1:10" x14ac:dyDescent="0.25">
      <c r="A772" s="255" t="s">
        <v>20</v>
      </c>
      <c r="B772" s="255" t="s">
        <v>192</v>
      </c>
      <c r="C772" s="256">
        <v>2011</v>
      </c>
      <c r="D772" s="256">
        <v>50</v>
      </c>
      <c r="E772">
        <v>5.2489402307603603</v>
      </c>
      <c r="F772" s="257">
        <f>SUM(E772:E777)</f>
        <v>98.74364813941564</v>
      </c>
      <c r="G772">
        <f t="shared" si="11"/>
        <v>50</v>
      </c>
      <c r="H772" s="4">
        <f>IF(B772="RTG Crane",IF(D772&lt;600,800000,1200000),VLOOKUP(B772,'$$$ Replace &amp; Retrofit'!$B$10:$C$14,2)*'CHE Model poplulation'!D772)*E772</f>
        <v>229641.13509576576</v>
      </c>
      <c r="I772" s="4">
        <f>E772*VLOOKUP('CHE Model poplulation'!G772,'$$$ Replace &amp; Retrofit'!$I$10:$J$15,2)</f>
        <v>92318.36077861322</v>
      </c>
      <c r="J772" s="4">
        <f>IF(D772=50,VLOOKUP(0,'$$$ Replace &amp; Retrofit'!$E$10:$F$13,2),IF(D772&lt;175,VLOOKUP(50,'$$$ Replace &amp; Retrofit'!$E$10:$F$13,2),IF(D772&lt;400,VLOOKUP(175,'$$$ Replace &amp; Retrofit'!$E$10:$F$13,2),IF(D772&gt;=400,VLOOKUP(400,'$$$ Replace &amp; Retrofit'!$E$10:$F$13,2),NA))))*E772</f>
        <v>41991.521846082884</v>
      </c>
    </row>
    <row r="773" spans="1:10" x14ac:dyDescent="0.25">
      <c r="A773" s="255" t="s">
        <v>20</v>
      </c>
      <c r="B773" s="255" t="s">
        <v>192</v>
      </c>
      <c r="C773" s="256">
        <v>2011</v>
      </c>
      <c r="D773" s="256">
        <v>75</v>
      </c>
      <c r="E773">
        <v>9.2339576118965798</v>
      </c>
      <c r="F773" s="257"/>
      <c r="G773">
        <f t="shared" si="11"/>
        <v>50</v>
      </c>
      <c r="H773" s="4">
        <f>IF(B773="RTG Crane",IF(D773&lt;600,800000,1200000),VLOOKUP(B773,'$$$ Replace &amp; Retrofit'!$B$10:$C$14,2)*'CHE Model poplulation'!D773)*E773</f>
        <v>605978.46828071307</v>
      </c>
      <c r="I773" s="4">
        <f>E773*VLOOKUP('CHE Model poplulation'!G773,'$$$ Replace &amp; Retrofit'!$I$10:$J$15,2)</f>
        <v>162406.84647803704</v>
      </c>
      <c r="J773" s="4">
        <f>IF(D773=50,VLOOKUP(0,'$$$ Replace &amp; Retrofit'!$E$10:$F$13,2),IF(D773&lt;175,VLOOKUP(50,'$$$ Replace &amp; Retrofit'!$E$10:$F$13,2),IF(D773&lt;400,VLOOKUP(175,'$$$ Replace &amp; Retrofit'!$E$10:$F$13,2),IF(D773&gt;=400,VLOOKUP(400,'$$$ Replace &amp; Retrofit'!$E$10:$F$13,2),NA))))*E773</f>
        <v>110807.49134275896</v>
      </c>
    </row>
    <row r="774" spans="1:10" x14ac:dyDescent="0.25">
      <c r="A774" s="255" t="s">
        <v>20</v>
      </c>
      <c r="B774" s="255" t="s">
        <v>192</v>
      </c>
      <c r="C774" s="256">
        <v>2011</v>
      </c>
      <c r="D774" s="256">
        <v>100</v>
      </c>
      <c r="E774">
        <v>29.407401924694501</v>
      </c>
      <c r="F774" s="257"/>
      <c r="G774">
        <f t="shared" si="11"/>
        <v>125</v>
      </c>
      <c r="H774" s="4">
        <f>IF(B774="RTG Crane",IF(D774&lt;600,800000,1200000),VLOOKUP(B774,'$$$ Replace &amp; Retrofit'!$B$10:$C$14,2)*'CHE Model poplulation'!D774)*E774</f>
        <v>2573147.6684107687</v>
      </c>
      <c r="I774" s="4">
        <f>E774*VLOOKUP('CHE Model poplulation'!G774,'$$$ Replace &amp; Retrofit'!$I$10:$J$15,2)</f>
        <v>580296.26217999659</v>
      </c>
      <c r="J774" s="4">
        <f>IF(D774=50,VLOOKUP(0,'$$$ Replace &amp; Retrofit'!$E$10:$F$13,2),IF(D774&lt;175,VLOOKUP(50,'$$$ Replace &amp; Retrofit'!$E$10:$F$13,2),IF(D774&lt;400,VLOOKUP(175,'$$$ Replace &amp; Retrofit'!$E$10:$F$13,2),IF(D774&gt;=400,VLOOKUP(400,'$$$ Replace &amp; Retrofit'!$E$10:$F$13,2),NA))))*E774</f>
        <v>352888.823096334</v>
      </c>
    </row>
    <row r="775" spans="1:10" x14ac:dyDescent="0.25">
      <c r="A775" s="255" t="s">
        <v>20</v>
      </c>
      <c r="B775" s="255" t="s">
        <v>192</v>
      </c>
      <c r="C775" s="256">
        <v>2011</v>
      </c>
      <c r="D775" s="256">
        <v>175</v>
      </c>
      <c r="E775">
        <v>41.023472899974898</v>
      </c>
      <c r="F775" s="257"/>
      <c r="G775">
        <f t="shared" si="11"/>
        <v>175</v>
      </c>
      <c r="H775" s="4">
        <f>IF(B775="RTG Crane",IF(D775&lt;600,800000,1200000),VLOOKUP(B775,'$$$ Replace &amp; Retrofit'!$B$10:$C$14,2)*'CHE Model poplulation'!D775)*E775</f>
        <v>6281719.2878086567</v>
      </c>
      <c r="I775" s="4">
        <f>E775*VLOOKUP('CHE Model poplulation'!G775,'$$$ Replace &amp; Retrofit'!$I$10:$J$15,2)</f>
        <v>1017218.0340277776</v>
      </c>
      <c r="J775" s="4">
        <f>IF(D775=50,VLOOKUP(0,'$$$ Replace &amp; Retrofit'!$E$10:$F$13,2),IF(D775&lt;175,VLOOKUP(50,'$$$ Replace &amp; Retrofit'!$E$10:$F$13,2),IF(D775&lt;400,VLOOKUP(175,'$$$ Replace &amp; Retrofit'!$E$10:$F$13,2),IF(D775&gt;=400,VLOOKUP(400,'$$$ Replace &amp; Retrofit'!$E$10:$F$13,2),NA))))*E775</f>
        <v>738422.51219954819</v>
      </c>
    </row>
    <row r="776" spans="1:10" x14ac:dyDescent="0.25">
      <c r="A776" s="255" t="s">
        <v>20</v>
      </c>
      <c r="B776" s="255" t="s">
        <v>192</v>
      </c>
      <c r="C776" s="256">
        <v>2011</v>
      </c>
      <c r="D776" s="256">
        <v>300</v>
      </c>
      <c r="E776">
        <v>12.5882778679238</v>
      </c>
      <c r="F776" s="257"/>
      <c r="G776">
        <f t="shared" si="11"/>
        <v>300</v>
      </c>
      <c r="H776" s="4">
        <f>IF(B776="RTG Crane",IF(D776&lt;600,800000,1200000),VLOOKUP(B776,'$$$ Replace &amp; Retrofit'!$B$10:$C$14,2)*'CHE Model poplulation'!D776)*E776</f>
        <v>3304422.9403299973</v>
      </c>
      <c r="I776" s="4">
        <f>E776*VLOOKUP('CHE Model poplulation'!G776,'$$$ Replace &amp; Retrofit'!$I$10:$J$15,2)</f>
        <v>362076.63631509227</v>
      </c>
      <c r="J776" s="4">
        <f>IF(D776=50,VLOOKUP(0,'$$$ Replace &amp; Retrofit'!$E$10:$F$13,2),IF(D776&lt;175,VLOOKUP(50,'$$$ Replace &amp; Retrofit'!$E$10:$F$13,2),IF(D776&lt;400,VLOOKUP(175,'$$$ Replace &amp; Retrofit'!$E$10:$F$13,2),IF(D776&gt;=400,VLOOKUP(400,'$$$ Replace &amp; Retrofit'!$E$10:$F$13,2),NA))))*E776</f>
        <v>226589.00162262839</v>
      </c>
    </row>
    <row r="777" spans="1:10" x14ac:dyDescent="0.25">
      <c r="A777" s="255" t="s">
        <v>20</v>
      </c>
      <c r="B777" s="255" t="s">
        <v>192</v>
      </c>
      <c r="C777" s="256">
        <v>2011</v>
      </c>
      <c r="D777" s="256">
        <v>600</v>
      </c>
      <c r="E777">
        <v>1.2415976041654999</v>
      </c>
      <c r="F777" s="257"/>
      <c r="G777">
        <f t="shared" si="11"/>
        <v>400</v>
      </c>
      <c r="H777" s="4">
        <f>IF(B777="RTG Crane",IF(D777&lt;600,800000,1200000),VLOOKUP(B777,'$$$ Replace &amp; Retrofit'!$B$10:$C$14,2)*'CHE Model poplulation'!D777)*E777</f>
        <v>651838.74218688742</v>
      </c>
      <c r="I777" s="4">
        <f>E777*VLOOKUP('CHE Model poplulation'!G777,'$$$ Replace &amp; Retrofit'!$I$10:$J$15,2)</f>
        <v>64976.527418793106</v>
      </c>
      <c r="J777" s="4">
        <f>IF(D777=50,VLOOKUP(0,'$$$ Replace &amp; Retrofit'!$E$10:$F$13,2),IF(D777&lt;175,VLOOKUP(50,'$$$ Replace &amp; Retrofit'!$E$10:$F$13,2),IF(D777&lt;400,VLOOKUP(175,'$$$ Replace &amp; Retrofit'!$E$10:$F$13,2),IF(D777&gt;=400,VLOOKUP(400,'$$$ Replace &amp; Retrofit'!$E$10:$F$13,2),NA))))*E777</f>
        <v>37247.928124964994</v>
      </c>
    </row>
    <row r="778" spans="1:10" x14ac:dyDescent="0.25">
      <c r="A778" s="255" t="s">
        <v>20</v>
      </c>
      <c r="B778" s="255" t="s">
        <v>192</v>
      </c>
      <c r="C778" s="256">
        <v>2012</v>
      </c>
      <c r="D778" s="256">
        <v>50</v>
      </c>
      <c r="E778">
        <v>5.0889634536430899</v>
      </c>
      <c r="F778" s="257"/>
      <c r="G778">
        <f t="shared" si="11"/>
        <v>50</v>
      </c>
      <c r="H778" s="4">
        <f>IF(B778="RTG Crane",IF(D778&lt;600,800000,1200000),VLOOKUP(B778,'$$$ Replace &amp; Retrofit'!$B$10:$C$14,2)*'CHE Model poplulation'!D778)*E778</f>
        <v>222642.15109688518</v>
      </c>
      <c r="I778" s="4">
        <f>E778*VLOOKUP('CHE Model poplulation'!G778,'$$$ Replace &amp; Retrofit'!$I$10:$J$15,2)</f>
        <v>89504.689222674671</v>
      </c>
      <c r="J778" s="4">
        <f>IF(D778=50,VLOOKUP(0,'$$$ Replace &amp; Retrofit'!$E$10:$F$13,2),IF(D778&lt;175,VLOOKUP(50,'$$$ Replace &amp; Retrofit'!$E$10:$F$13,2),IF(D778&lt;400,VLOOKUP(175,'$$$ Replace &amp; Retrofit'!$E$10:$F$13,2),IF(D778&gt;=400,VLOOKUP(400,'$$$ Replace &amp; Retrofit'!$E$10:$F$13,2),NA))))*E778</f>
        <v>40711.707629144716</v>
      </c>
    </row>
    <row r="779" spans="1:10" x14ac:dyDescent="0.25">
      <c r="A779" s="255" t="s">
        <v>20</v>
      </c>
      <c r="B779" s="255" t="s">
        <v>192</v>
      </c>
      <c r="C779" s="256">
        <v>2012</v>
      </c>
      <c r="D779" s="256">
        <v>75</v>
      </c>
      <c r="E779">
        <v>9.0299520082595706</v>
      </c>
      <c r="F779" s="257"/>
      <c r="G779">
        <f t="shared" si="11"/>
        <v>50</v>
      </c>
      <c r="H779" s="4">
        <f>IF(B779="RTG Crane",IF(D779&lt;600,800000,1200000),VLOOKUP(B779,'$$$ Replace &amp; Retrofit'!$B$10:$C$14,2)*'CHE Model poplulation'!D779)*E779</f>
        <v>592590.60054203437</v>
      </c>
      <c r="I779" s="4">
        <f>E779*VLOOKUP('CHE Model poplulation'!G779,'$$$ Replace &amp; Retrofit'!$I$10:$J$15,2)</f>
        <v>158818.79592126934</v>
      </c>
      <c r="J779" s="4">
        <f>IF(D779=50,VLOOKUP(0,'$$$ Replace &amp; Retrofit'!$E$10:$F$13,2),IF(D779&lt;175,VLOOKUP(50,'$$$ Replace &amp; Retrofit'!$E$10:$F$13,2),IF(D779&lt;400,VLOOKUP(175,'$$$ Replace &amp; Retrofit'!$E$10:$F$13,2),IF(D779&gt;=400,VLOOKUP(400,'$$$ Replace &amp; Retrofit'!$E$10:$F$13,2),NA))))*E779</f>
        <v>108359.42409911484</v>
      </c>
    </row>
    <row r="780" spans="1:10" x14ac:dyDescent="0.25">
      <c r="A780" s="255" t="s">
        <v>20</v>
      </c>
      <c r="B780" s="255" t="s">
        <v>192</v>
      </c>
      <c r="C780" s="256">
        <v>2012</v>
      </c>
      <c r="D780" s="256">
        <v>100</v>
      </c>
      <c r="E780">
        <v>28.396836053130698</v>
      </c>
      <c r="F780" s="257"/>
      <c r="G780">
        <f t="shared" si="11"/>
        <v>125</v>
      </c>
      <c r="H780" s="4">
        <f>IF(B780="RTG Crane",IF(D780&lt;600,800000,1200000),VLOOKUP(B780,'$$$ Replace &amp; Retrofit'!$B$10:$C$14,2)*'CHE Model poplulation'!D780)*E780</f>
        <v>2484723.1546489359</v>
      </c>
      <c r="I780" s="4">
        <f>E780*VLOOKUP('CHE Model poplulation'!G780,'$$$ Replace &amp; Retrofit'!$I$10:$J$15,2)</f>
        <v>560354.76583642804</v>
      </c>
      <c r="J780" s="4">
        <f>IF(D780=50,VLOOKUP(0,'$$$ Replace &amp; Retrofit'!$E$10:$F$13,2),IF(D780&lt;175,VLOOKUP(50,'$$$ Replace &amp; Retrofit'!$E$10:$F$13,2),IF(D780&lt;400,VLOOKUP(175,'$$$ Replace &amp; Retrofit'!$E$10:$F$13,2),IF(D780&gt;=400,VLOOKUP(400,'$$$ Replace &amp; Retrofit'!$E$10:$F$13,2),NA))))*E780</f>
        <v>340762.03263756837</v>
      </c>
    </row>
    <row r="781" spans="1:10" x14ac:dyDescent="0.25">
      <c r="A781" s="255" t="s">
        <v>20</v>
      </c>
      <c r="B781" s="255" t="s">
        <v>192</v>
      </c>
      <c r="C781" s="256">
        <v>2012</v>
      </c>
      <c r="D781" s="256">
        <v>175</v>
      </c>
      <c r="E781">
        <v>40.253447240289603</v>
      </c>
      <c r="F781" s="257"/>
      <c r="G781">
        <f t="shared" si="11"/>
        <v>175</v>
      </c>
      <c r="H781" s="4">
        <f>IF(B781="RTG Crane",IF(D781&lt;600,800000,1200000),VLOOKUP(B781,'$$$ Replace &amp; Retrofit'!$B$10:$C$14,2)*'CHE Model poplulation'!D781)*E781</f>
        <v>6163809.1086693453</v>
      </c>
      <c r="I781" s="4">
        <f>E781*VLOOKUP('CHE Model poplulation'!G781,'$$$ Replace &amp; Retrofit'!$I$10:$J$15,2)</f>
        <v>998124.47777022095</v>
      </c>
      <c r="J781" s="4">
        <f>IF(D781=50,VLOOKUP(0,'$$$ Replace &amp; Retrofit'!$E$10:$F$13,2),IF(D781&lt;175,VLOOKUP(50,'$$$ Replace &amp; Retrofit'!$E$10:$F$13,2),IF(D781&lt;400,VLOOKUP(175,'$$$ Replace &amp; Retrofit'!$E$10:$F$13,2),IF(D781&gt;=400,VLOOKUP(400,'$$$ Replace &amp; Retrofit'!$E$10:$F$13,2),NA))))*E781</f>
        <v>724562.05032521288</v>
      </c>
    </row>
    <row r="782" spans="1:10" x14ac:dyDescent="0.25">
      <c r="A782" s="255" t="s">
        <v>20</v>
      </c>
      <c r="B782" s="255" t="s">
        <v>192</v>
      </c>
      <c r="C782" s="256">
        <v>2012</v>
      </c>
      <c r="D782" s="256">
        <v>300</v>
      </c>
      <c r="E782">
        <v>11.6820090250517</v>
      </c>
      <c r="F782" s="257"/>
      <c r="G782">
        <f t="shared" si="11"/>
        <v>300</v>
      </c>
      <c r="H782" s="4">
        <f>IF(B782="RTG Crane",IF(D782&lt;600,800000,1200000),VLOOKUP(B782,'$$$ Replace &amp; Retrofit'!$B$10:$C$14,2)*'CHE Model poplulation'!D782)*E782</f>
        <v>3066527.3690760713</v>
      </c>
      <c r="I782" s="4">
        <f>E782*VLOOKUP('CHE Model poplulation'!G782,'$$$ Replace &amp; Retrofit'!$I$10:$J$15,2)</f>
        <v>336009.62558756204</v>
      </c>
      <c r="J782" s="4">
        <f>IF(D782=50,VLOOKUP(0,'$$$ Replace &amp; Retrofit'!$E$10:$F$13,2),IF(D782&lt;175,VLOOKUP(50,'$$$ Replace &amp; Retrofit'!$E$10:$F$13,2),IF(D782&lt;400,VLOOKUP(175,'$$$ Replace &amp; Retrofit'!$E$10:$F$13,2),IF(D782&gt;=400,VLOOKUP(400,'$$$ Replace &amp; Retrofit'!$E$10:$F$13,2),NA))))*E782</f>
        <v>210276.1624509306</v>
      </c>
    </row>
    <row r="783" spans="1:10" x14ac:dyDescent="0.25">
      <c r="A783" s="255" t="s">
        <v>20</v>
      </c>
      <c r="B783" s="255" t="s">
        <v>192</v>
      </c>
      <c r="C783" s="256">
        <v>2012</v>
      </c>
      <c r="D783" s="256">
        <v>600</v>
      </c>
      <c r="E783">
        <v>1.23285858073903</v>
      </c>
      <c r="F783" s="257"/>
      <c r="G783">
        <f t="shared" si="11"/>
        <v>400</v>
      </c>
      <c r="H783" s="4">
        <f>IF(B783="RTG Crane",IF(D783&lt;600,800000,1200000),VLOOKUP(B783,'$$$ Replace &amp; Retrofit'!$B$10:$C$14,2)*'CHE Model poplulation'!D783)*E783</f>
        <v>647250.75488799077</v>
      </c>
      <c r="I783" s="4">
        <f>E783*VLOOKUP('CHE Model poplulation'!G783,'$$$ Replace &amp; Retrofit'!$I$10:$J$15,2)</f>
        <v>64519.188105815658</v>
      </c>
      <c r="J783" s="4">
        <f>IF(D783=50,VLOOKUP(0,'$$$ Replace &amp; Retrofit'!$E$10:$F$13,2),IF(D783&lt;175,VLOOKUP(50,'$$$ Replace &amp; Retrofit'!$E$10:$F$13,2),IF(D783&lt;400,VLOOKUP(175,'$$$ Replace &amp; Retrofit'!$E$10:$F$13,2),IF(D783&gt;=400,VLOOKUP(400,'$$$ Replace &amp; Retrofit'!$E$10:$F$13,2),NA))))*E783</f>
        <v>36985.7574221709</v>
      </c>
    </row>
    <row r="784" spans="1:10" x14ac:dyDescent="0.25">
      <c r="A784" s="255" t="s">
        <v>20</v>
      </c>
      <c r="B784" s="255" t="s">
        <v>192</v>
      </c>
      <c r="C784" s="256">
        <v>2013</v>
      </c>
      <c r="D784" s="256">
        <v>50</v>
      </c>
      <c r="E784">
        <v>1.7934560565836799</v>
      </c>
      <c r="F784" s="257"/>
      <c r="G784">
        <f t="shared" si="11"/>
        <v>50</v>
      </c>
      <c r="H784" s="4">
        <f>IF(B784="RTG Crane",IF(D784&lt;600,800000,1200000),VLOOKUP(B784,'$$$ Replace &amp; Retrofit'!$B$10:$C$14,2)*'CHE Model poplulation'!D784)*E784</f>
        <v>78463.702475535989</v>
      </c>
      <c r="I784" s="4">
        <f>E784*VLOOKUP('CHE Model poplulation'!G784,'$$$ Replace &amp; Retrofit'!$I$10:$J$15,2)</f>
        <v>31543.305123193761</v>
      </c>
      <c r="J784" s="4">
        <f>IF(D784=50,VLOOKUP(0,'$$$ Replace &amp; Retrofit'!$E$10:$F$13,2),IF(D784&lt;175,VLOOKUP(50,'$$$ Replace &amp; Retrofit'!$E$10:$F$13,2),IF(D784&lt;400,VLOOKUP(175,'$$$ Replace &amp; Retrofit'!$E$10:$F$13,2),IF(D784&gt;=400,VLOOKUP(400,'$$$ Replace &amp; Retrofit'!$E$10:$F$13,2),NA))))*E784</f>
        <v>14347.648452669438</v>
      </c>
    </row>
    <row r="785" spans="1:10" x14ac:dyDescent="0.25">
      <c r="A785" s="255" t="s">
        <v>20</v>
      </c>
      <c r="B785" s="255" t="s">
        <v>192</v>
      </c>
      <c r="C785" s="256">
        <v>2013</v>
      </c>
      <c r="D785" s="256">
        <v>75</v>
      </c>
      <c r="E785">
        <v>2.6879415076809798</v>
      </c>
      <c r="F785" s="257"/>
      <c r="G785">
        <f t="shared" si="11"/>
        <v>50</v>
      </c>
      <c r="H785" s="4">
        <f>IF(B785="RTG Crane",IF(D785&lt;600,800000,1200000),VLOOKUP(B785,'$$$ Replace &amp; Retrofit'!$B$10:$C$14,2)*'CHE Model poplulation'!D785)*E785</f>
        <v>176396.1614415643</v>
      </c>
      <c r="I785" s="4">
        <f>E785*VLOOKUP('CHE Model poplulation'!G785,'$$$ Replace &amp; Retrofit'!$I$10:$J$15,2)</f>
        <v>47275.515237093074</v>
      </c>
      <c r="J785" s="4">
        <f>IF(D785=50,VLOOKUP(0,'$$$ Replace &amp; Retrofit'!$E$10:$F$13,2),IF(D785&lt;175,VLOOKUP(50,'$$$ Replace &amp; Retrofit'!$E$10:$F$13,2),IF(D785&lt;400,VLOOKUP(175,'$$$ Replace &amp; Retrofit'!$E$10:$F$13,2),IF(D785&gt;=400,VLOOKUP(400,'$$$ Replace &amp; Retrofit'!$E$10:$F$13,2),NA))))*E785</f>
        <v>32255.298092171757</v>
      </c>
    </row>
    <row r="786" spans="1:10" x14ac:dyDescent="0.25">
      <c r="A786" s="255" t="s">
        <v>20</v>
      </c>
      <c r="B786" s="255" t="s">
        <v>192</v>
      </c>
      <c r="C786" s="256">
        <v>2013</v>
      </c>
      <c r="D786" s="256">
        <v>100</v>
      </c>
      <c r="E786">
        <v>15.6135408911386</v>
      </c>
      <c r="F786" s="257"/>
      <c r="G786">
        <f t="shared" si="11"/>
        <v>125</v>
      </c>
      <c r="H786" s="4">
        <f>IF(B786="RTG Crane",IF(D786&lt;600,800000,1200000),VLOOKUP(B786,'$$$ Replace &amp; Retrofit'!$B$10:$C$14,2)*'CHE Model poplulation'!D786)*E786</f>
        <v>1366184.8279746275</v>
      </c>
      <c r="I786" s="4">
        <f>E786*VLOOKUP('CHE Model poplulation'!G786,'$$$ Replace &amp; Retrofit'!$I$10:$J$15,2)</f>
        <v>308102.00240483799</v>
      </c>
      <c r="J786" s="4">
        <f>IF(D786=50,VLOOKUP(0,'$$$ Replace &amp; Retrofit'!$E$10:$F$13,2),IF(D786&lt;175,VLOOKUP(50,'$$$ Replace &amp; Retrofit'!$E$10:$F$13,2),IF(D786&lt;400,VLOOKUP(175,'$$$ Replace &amp; Retrofit'!$E$10:$F$13,2),IF(D786&gt;=400,VLOOKUP(400,'$$$ Replace &amp; Retrofit'!$E$10:$F$13,2),NA))))*E786</f>
        <v>187362.49069366319</v>
      </c>
    </row>
    <row r="787" spans="1:10" x14ac:dyDescent="0.25">
      <c r="A787" s="255" t="s">
        <v>20</v>
      </c>
      <c r="B787" s="255" t="s">
        <v>192</v>
      </c>
      <c r="C787" s="256">
        <v>2013</v>
      </c>
      <c r="D787" s="256">
        <v>175</v>
      </c>
      <c r="E787">
        <v>16.2911637676578</v>
      </c>
      <c r="F787" s="257"/>
      <c r="G787">
        <f t="shared" si="11"/>
        <v>175</v>
      </c>
      <c r="H787" s="4">
        <f>IF(B787="RTG Crane",IF(D787&lt;600,800000,1200000),VLOOKUP(B787,'$$$ Replace &amp; Retrofit'!$B$10:$C$14,2)*'CHE Model poplulation'!D787)*E787</f>
        <v>2494584.4519226006</v>
      </c>
      <c r="I787" s="4">
        <f>E787*VLOOKUP('CHE Model poplulation'!G787,'$$$ Replace &amp; Retrofit'!$I$10:$J$15,2)</f>
        <v>403955.6967828428</v>
      </c>
      <c r="J787" s="4">
        <f>IF(D787=50,VLOOKUP(0,'$$$ Replace &amp; Retrofit'!$E$10:$F$13,2),IF(D787&lt;175,VLOOKUP(50,'$$$ Replace &amp; Retrofit'!$E$10:$F$13,2),IF(D787&lt;400,VLOOKUP(175,'$$$ Replace &amp; Retrofit'!$E$10:$F$13,2),IF(D787&gt;=400,VLOOKUP(400,'$$$ Replace &amp; Retrofit'!$E$10:$F$13,2),NA))))*E787</f>
        <v>293240.94781784038</v>
      </c>
    </row>
    <row r="788" spans="1:10" x14ac:dyDescent="0.25">
      <c r="A788" s="255" t="s">
        <v>20</v>
      </c>
      <c r="B788" s="255" t="s">
        <v>192</v>
      </c>
      <c r="C788" s="256">
        <v>2013</v>
      </c>
      <c r="D788" s="256">
        <v>300</v>
      </c>
      <c r="E788">
        <v>5.6729189333761099</v>
      </c>
      <c r="F788" s="257"/>
      <c r="G788">
        <f t="shared" si="11"/>
        <v>300</v>
      </c>
      <c r="H788" s="4">
        <f>IF(B788="RTG Crane",IF(D788&lt;600,800000,1200000),VLOOKUP(B788,'$$$ Replace &amp; Retrofit'!$B$10:$C$14,2)*'CHE Model poplulation'!D788)*E788</f>
        <v>1489141.2200112289</v>
      </c>
      <c r="I788" s="4">
        <f>E788*VLOOKUP('CHE Model poplulation'!G788,'$$$ Replace &amp; Retrofit'!$I$10:$J$15,2)</f>
        <v>163170.16728069706</v>
      </c>
      <c r="J788" s="4">
        <f>IF(D788=50,VLOOKUP(0,'$$$ Replace &amp; Retrofit'!$E$10:$F$13,2),IF(D788&lt;175,VLOOKUP(50,'$$$ Replace &amp; Retrofit'!$E$10:$F$13,2),IF(D788&lt;400,VLOOKUP(175,'$$$ Replace &amp; Retrofit'!$E$10:$F$13,2),IF(D788&gt;=400,VLOOKUP(400,'$$$ Replace &amp; Retrofit'!$E$10:$F$13,2),NA))))*E788</f>
        <v>102112.54080076997</v>
      </c>
    </row>
    <row r="789" spans="1:10" x14ac:dyDescent="0.25">
      <c r="A789" s="255" t="s">
        <v>20</v>
      </c>
      <c r="B789" s="255" t="s">
        <v>192</v>
      </c>
      <c r="C789" s="256">
        <v>2013</v>
      </c>
      <c r="D789" s="256">
        <v>600</v>
      </c>
      <c r="E789">
        <v>0.93954878374362805</v>
      </c>
      <c r="F789" s="257"/>
      <c r="G789">
        <f t="shared" si="11"/>
        <v>400</v>
      </c>
      <c r="H789" s="4">
        <f>IF(B789="RTG Crane",IF(D789&lt;600,800000,1200000),VLOOKUP(B789,'$$$ Replace &amp; Retrofit'!$B$10:$C$14,2)*'CHE Model poplulation'!D789)*E789</f>
        <v>493263.11146540474</v>
      </c>
      <c r="I789" s="4">
        <f>E789*VLOOKUP('CHE Model poplulation'!G789,'$$$ Replace &amp; Retrofit'!$I$10:$J$15,2)</f>
        <v>49169.406499655284</v>
      </c>
      <c r="J789" s="4">
        <f>IF(D789=50,VLOOKUP(0,'$$$ Replace &amp; Retrofit'!$E$10:$F$13,2),IF(D789&lt;175,VLOOKUP(50,'$$$ Replace &amp; Retrofit'!$E$10:$F$13,2),IF(D789&lt;400,VLOOKUP(175,'$$$ Replace &amp; Retrofit'!$E$10:$F$13,2),IF(D789&gt;=400,VLOOKUP(400,'$$$ Replace &amp; Retrofit'!$E$10:$F$13,2),NA))))*E789</f>
        <v>28186.463512308841</v>
      </c>
    </row>
    <row r="790" spans="1:10" x14ac:dyDescent="0.25">
      <c r="A790" s="255" t="s">
        <v>20</v>
      </c>
      <c r="B790" s="255" t="s">
        <v>192</v>
      </c>
      <c r="C790" s="256">
        <v>2014</v>
      </c>
      <c r="D790" s="256">
        <v>50</v>
      </c>
      <c r="E790">
        <v>0.28110980319420598</v>
      </c>
      <c r="F790" s="257"/>
      <c r="G790">
        <f t="shared" si="11"/>
        <v>50</v>
      </c>
      <c r="H790" s="4">
        <f>IF(B790="RTG Crane",IF(D790&lt;600,800000,1200000),VLOOKUP(B790,'$$$ Replace &amp; Retrofit'!$B$10:$C$14,2)*'CHE Model poplulation'!D790)*E790</f>
        <v>12298.553889746512</v>
      </c>
      <c r="I790" s="4">
        <f>E790*VLOOKUP('CHE Model poplulation'!G790,'$$$ Replace &amp; Retrofit'!$I$10:$J$15,2)</f>
        <v>4944.1592185796944</v>
      </c>
      <c r="J790" s="4">
        <f>IF(D790=50,VLOOKUP(0,'$$$ Replace &amp; Retrofit'!$E$10:$F$13,2),IF(D790&lt;175,VLOOKUP(50,'$$$ Replace &amp; Retrofit'!$E$10:$F$13,2),IF(D790&lt;400,VLOOKUP(175,'$$$ Replace &amp; Retrofit'!$E$10:$F$13,2),IF(D790&gt;=400,VLOOKUP(400,'$$$ Replace &amp; Retrofit'!$E$10:$F$13,2),NA))))*E790</f>
        <v>2248.878425553648</v>
      </c>
    </row>
    <row r="791" spans="1:10" x14ac:dyDescent="0.25">
      <c r="A791" s="255" t="s">
        <v>20</v>
      </c>
      <c r="B791" s="255" t="s">
        <v>192</v>
      </c>
      <c r="C791" s="256">
        <v>2014</v>
      </c>
      <c r="D791" s="256">
        <v>75</v>
      </c>
      <c r="E791">
        <v>0.966954988824543</v>
      </c>
      <c r="F791" s="257"/>
      <c r="G791">
        <f t="shared" si="11"/>
        <v>50</v>
      </c>
      <c r="H791" s="4">
        <f>IF(B791="RTG Crane",IF(D791&lt;600,800000,1200000),VLOOKUP(B791,'$$$ Replace &amp; Retrofit'!$B$10:$C$14,2)*'CHE Model poplulation'!D791)*E791</f>
        <v>63456.421141610634</v>
      </c>
      <c r="I791" s="4">
        <f>E791*VLOOKUP('CHE Model poplulation'!G791,'$$$ Replace &amp; Retrofit'!$I$10:$J$15,2)</f>
        <v>17006.804343446063</v>
      </c>
      <c r="J791" s="4">
        <f>IF(D791=50,VLOOKUP(0,'$$$ Replace &amp; Retrofit'!$E$10:$F$13,2),IF(D791&lt;175,VLOOKUP(50,'$$$ Replace &amp; Retrofit'!$E$10:$F$13,2),IF(D791&lt;400,VLOOKUP(175,'$$$ Replace &amp; Retrofit'!$E$10:$F$13,2),IF(D791&gt;=400,VLOOKUP(400,'$$$ Replace &amp; Retrofit'!$E$10:$F$13,2),NA))))*E791</f>
        <v>11603.459865894516</v>
      </c>
    </row>
    <row r="792" spans="1:10" x14ac:dyDescent="0.25">
      <c r="A792" s="255" t="s">
        <v>20</v>
      </c>
      <c r="B792" s="255" t="s">
        <v>192</v>
      </c>
      <c r="C792" s="256">
        <v>2014</v>
      </c>
      <c r="D792" s="256">
        <v>100</v>
      </c>
      <c r="E792">
        <v>5.1217634862956603</v>
      </c>
      <c r="F792" s="257"/>
      <c r="G792">
        <f t="shared" si="11"/>
        <v>125</v>
      </c>
      <c r="H792" s="4">
        <f>IF(B792="RTG Crane",IF(D792&lt;600,800000,1200000),VLOOKUP(B792,'$$$ Replace &amp; Retrofit'!$B$10:$C$14,2)*'CHE Model poplulation'!D792)*E792</f>
        <v>448154.30505087029</v>
      </c>
      <c r="I792" s="4">
        <f>E792*VLOOKUP('CHE Model poplulation'!G792,'$$$ Replace &amp; Retrofit'!$I$10:$J$15,2)</f>
        <v>101067.75887507226</v>
      </c>
      <c r="J792" s="4">
        <f>IF(D792=50,VLOOKUP(0,'$$$ Replace &amp; Retrofit'!$E$10:$F$13,2),IF(D792&lt;175,VLOOKUP(50,'$$$ Replace &amp; Retrofit'!$E$10:$F$13,2),IF(D792&lt;400,VLOOKUP(175,'$$$ Replace &amp; Retrofit'!$E$10:$F$13,2),IF(D792&gt;=400,VLOOKUP(400,'$$$ Replace &amp; Retrofit'!$E$10:$F$13,2),NA))))*E792</f>
        <v>61461.161835547922</v>
      </c>
    </row>
    <row r="793" spans="1:10" x14ac:dyDescent="0.25">
      <c r="A793" s="255" t="s">
        <v>20</v>
      </c>
      <c r="B793" s="255" t="s">
        <v>192</v>
      </c>
      <c r="C793" s="256">
        <v>2014</v>
      </c>
      <c r="D793" s="256">
        <v>175</v>
      </c>
      <c r="E793">
        <v>5.8944926177822703</v>
      </c>
      <c r="F793" s="257"/>
      <c r="G793">
        <f t="shared" si="11"/>
        <v>175</v>
      </c>
      <c r="H793" s="4">
        <f>IF(B793="RTG Crane",IF(D793&lt;600,800000,1200000),VLOOKUP(B793,'$$$ Replace &amp; Retrofit'!$B$10:$C$14,2)*'CHE Model poplulation'!D793)*E793</f>
        <v>902594.18209791009</v>
      </c>
      <c r="I793" s="4">
        <f>E793*VLOOKUP('CHE Model poplulation'!G793,'$$$ Replace &amp; Retrofit'!$I$10:$J$15,2)</f>
        <v>146159.83895052917</v>
      </c>
      <c r="J793" s="4">
        <f>IF(D793=50,VLOOKUP(0,'$$$ Replace &amp; Retrofit'!$E$10:$F$13,2),IF(D793&lt;175,VLOOKUP(50,'$$$ Replace &amp; Retrofit'!$E$10:$F$13,2),IF(D793&lt;400,VLOOKUP(175,'$$$ Replace &amp; Retrofit'!$E$10:$F$13,2),IF(D793&gt;=400,VLOOKUP(400,'$$$ Replace &amp; Retrofit'!$E$10:$F$13,2),NA))))*E793</f>
        <v>106100.86712008086</v>
      </c>
    </row>
    <row r="794" spans="1:10" x14ac:dyDescent="0.25">
      <c r="A794" s="255" t="s">
        <v>20</v>
      </c>
      <c r="B794" s="255" t="s">
        <v>192</v>
      </c>
      <c r="C794" s="256">
        <v>2014</v>
      </c>
      <c r="D794" s="256">
        <v>300</v>
      </c>
      <c r="E794">
        <v>1.9075687427522201</v>
      </c>
      <c r="F794" s="257"/>
      <c r="G794">
        <f t="shared" si="11"/>
        <v>300</v>
      </c>
      <c r="H794" s="4">
        <f>IF(B794="RTG Crane",IF(D794&lt;600,800000,1200000),VLOOKUP(B794,'$$$ Replace &amp; Retrofit'!$B$10:$C$14,2)*'CHE Model poplulation'!D794)*E794</f>
        <v>500736.79497245775</v>
      </c>
      <c r="I794" s="4">
        <f>E794*VLOOKUP('CHE Model poplulation'!G794,'$$$ Replace &amp; Retrofit'!$I$10:$J$15,2)</f>
        <v>54867.39974778211</v>
      </c>
      <c r="J794" s="4">
        <f>IF(D794=50,VLOOKUP(0,'$$$ Replace &amp; Retrofit'!$E$10:$F$13,2),IF(D794&lt;175,VLOOKUP(50,'$$$ Replace &amp; Retrofit'!$E$10:$F$13,2),IF(D794&lt;400,VLOOKUP(175,'$$$ Replace &amp; Retrofit'!$E$10:$F$13,2),IF(D794&gt;=400,VLOOKUP(400,'$$$ Replace &amp; Retrofit'!$E$10:$F$13,2),NA))))*E794</f>
        <v>34336.237369539958</v>
      </c>
    </row>
    <row r="795" spans="1:10" x14ac:dyDescent="0.25">
      <c r="A795" s="255" t="s">
        <v>20</v>
      </c>
      <c r="B795" s="255" t="s">
        <v>192</v>
      </c>
      <c r="C795" s="256">
        <v>2014</v>
      </c>
      <c r="D795" s="256">
        <v>600</v>
      </c>
      <c r="E795">
        <v>0.62636585582908599</v>
      </c>
      <c r="F795" s="257"/>
      <c r="G795">
        <f t="shared" si="11"/>
        <v>400</v>
      </c>
      <c r="H795" s="4">
        <f>IF(B795="RTG Crane",IF(D795&lt;600,800000,1200000),VLOOKUP(B795,'$$$ Replace &amp; Retrofit'!$B$10:$C$14,2)*'CHE Model poplulation'!D795)*E795</f>
        <v>328842.07431027014</v>
      </c>
      <c r="I795" s="4">
        <f>E795*VLOOKUP('CHE Model poplulation'!G795,'$$$ Replace &amp; Retrofit'!$I$10:$J$15,2)</f>
        <v>32779.604333103554</v>
      </c>
      <c r="J795" s="4">
        <f>IF(D795=50,VLOOKUP(0,'$$$ Replace &amp; Retrofit'!$E$10:$F$13,2),IF(D795&lt;175,VLOOKUP(50,'$$$ Replace &amp; Retrofit'!$E$10:$F$13,2),IF(D795&lt;400,VLOOKUP(175,'$$$ Replace &amp; Retrofit'!$E$10:$F$13,2),IF(D795&gt;=400,VLOOKUP(400,'$$$ Replace &amp; Retrofit'!$E$10:$F$13,2),NA))))*E795</f>
        <v>18790.975674872581</v>
      </c>
    </row>
    <row r="796" spans="1:10" x14ac:dyDescent="0.25">
      <c r="A796" s="255" t="s">
        <v>20</v>
      </c>
      <c r="B796" s="255" t="s">
        <v>192</v>
      </c>
      <c r="C796" s="256">
        <v>2015</v>
      </c>
      <c r="D796" s="256">
        <v>50</v>
      </c>
      <c r="E796">
        <v>2.84711752649584E-2</v>
      </c>
      <c r="F796" s="257"/>
      <c r="G796">
        <f t="shared" si="11"/>
        <v>50</v>
      </c>
      <c r="H796" s="4">
        <f>IF(B796="RTG Crane",IF(D796&lt;600,800000,1200000),VLOOKUP(B796,'$$$ Replace &amp; Retrofit'!$B$10:$C$14,2)*'CHE Model poplulation'!D796)*E796</f>
        <v>1245.6139178419301</v>
      </c>
      <c r="I796" s="4">
        <f>E796*VLOOKUP('CHE Model poplulation'!G796,'$$$ Replace &amp; Retrofit'!$I$10:$J$15,2)</f>
        <v>500.75103056008834</v>
      </c>
      <c r="J796" s="4">
        <f>IF(D796=50,VLOOKUP(0,'$$$ Replace &amp; Retrofit'!$E$10:$F$13,2),IF(D796&lt;175,VLOOKUP(50,'$$$ Replace &amp; Retrofit'!$E$10:$F$13,2),IF(D796&lt;400,VLOOKUP(175,'$$$ Replace &amp; Retrofit'!$E$10:$F$13,2),IF(D796&gt;=400,VLOOKUP(400,'$$$ Replace &amp; Retrofit'!$E$10:$F$13,2),NA))))*E796</f>
        <v>227.76940211966721</v>
      </c>
    </row>
    <row r="797" spans="1:10" x14ac:dyDescent="0.25">
      <c r="A797" s="255" t="s">
        <v>20</v>
      </c>
      <c r="B797" s="255" t="s">
        <v>192</v>
      </c>
      <c r="C797" s="256">
        <v>2015</v>
      </c>
      <c r="D797" s="256">
        <v>75</v>
      </c>
      <c r="E797">
        <v>0.28471175264958398</v>
      </c>
      <c r="F797" s="257"/>
      <c r="G797">
        <f t="shared" si="11"/>
        <v>50</v>
      </c>
      <c r="H797" s="4">
        <f>IF(B797="RTG Crane",IF(D797&lt;600,800000,1200000),VLOOKUP(B797,'$$$ Replace &amp; Retrofit'!$B$10:$C$14,2)*'CHE Model poplulation'!D797)*E797</f>
        <v>18684.208767628948</v>
      </c>
      <c r="I797" s="4">
        <f>E797*VLOOKUP('CHE Model poplulation'!G797,'$$$ Replace &amp; Retrofit'!$I$10:$J$15,2)</f>
        <v>5007.5103056008829</v>
      </c>
      <c r="J797" s="4">
        <f>IF(D797=50,VLOOKUP(0,'$$$ Replace &amp; Retrofit'!$E$10:$F$13,2),IF(D797&lt;175,VLOOKUP(50,'$$$ Replace &amp; Retrofit'!$E$10:$F$13,2),IF(D797&lt;400,VLOOKUP(175,'$$$ Replace &amp; Retrofit'!$E$10:$F$13,2),IF(D797&gt;=400,VLOOKUP(400,'$$$ Replace &amp; Retrofit'!$E$10:$F$13,2),NA))))*E797</f>
        <v>3416.5410317950077</v>
      </c>
    </row>
    <row r="798" spans="1:10" x14ac:dyDescent="0.25">
      <c r="A798" s="255" t="s">
        <v>20</v>
      </c>
      <c r="B798" s="255" t="s">
        <v>192</v>
      </c>
      <c r="C798" s="256">
        <v>2015</v>
      </c>
      <c r="D798" s="256">
        <v>100</v>
      </c>
      <c r="E798">
        <v>1.9075687427522201</v>
      </c>
      <c r="F798" s="257"/>
      <c r="G798">
        <f t="shared" si="11"/>
        <v>125</v>
      </c>
      <c r="H798" s="4">
        <f>IF(B798="RTG Crane",IF(D798&lt;600,800000,1200000),VLOOKUP(B798,'$$$ Replace &amp; Retrofit'!$B$10:$C$14,2)*'CHE Model poplulation'!D798)*E798</f>
        <v>166912.26499081927</v>
      </c>
      <c r="I798" s="4">
        <f>E798*VLOOKUP('CHE Model poplulation'!G798,'$$$ Replace &amp; Retrofit'!$I$10:$J$15,2)</f>
        <v>37642.054000729557</v>
      </c>
      <c r="J798" s="4">
        <f>IF(D798=50,VLOOKUP(0,'$$$ Replace &amp; Retrofit'!$E$10:$F$13,2),IF(D798&lt;175,VLOOKUP(50,'$$$ Replace &amp; Retrofit'!$E$10:$F$13,2),IF(D798&lt;400,VLOOKUP(175,'$$$ Replace &amp; Retrofit'!$E$10:$F$13,2),IF(D798&gt;=400,VLOOKUP(400,'$$$ Replace &amp; Retrofit'!$E$10:$F$13,2),NA))))*E798</f>
        <v>22890.824913026641</v>
      </c>
    </row>
    <row r="799" spans="1:10" x14ac:dyDescent="0.25">
      <c r="A799" s="255" t="s">
        <v>20</v>
      </c>
      <c r="B799" s="255" t="s">
        <v>192</v>
      </c>
      <c r="C799" s="256">
        <v>2015</v>
      </c>
      <c r="D799" s="256">
        <v>175</v>
      </c>
      <c r="E799">
        <v>1.9054163238575399</v>
      </c>
      <c r="F799" s="257"/>
      <c r="G799">
        <f t="shared" si="11"/>
        <v>175</v>
      </c>
      <c r="H799" s="4">
        <f>IF(B799="RTG Crane",IF(D799&lt;600,800000,1200000),VLOOKUP(B799,'$$$ Replace &amp; Retrofit'!$B$10:$C$14,2)*'CHE Model poplulation'!D799)*E799</f>
        <v>291766.87459068582</v>
      </c>
      <c r="I799" s="4">
        <f>E799*VLOOKUP('CHE Model poplulation'!G799,'$$$ Replace &amp; Retrofit'!$I$10:$J$15,2)</f>
        <v>47246.703166371561</v>
      </c>
      <c r="J799" s="4">
        <f>IF(D799=50,VLOOKUP(0,'$$$ Replace &amp; Retrofit'!$E$10:$F$13,2),IF(D799&lt;175,VLOOKUP(50,'$$$ Replace &amp; Retrofit'!$E$10:$F$13,2),IF(D799&lt;400,VLOOKUP(175,'$$$ Replace &amp; Retrofit'!$E$10:$F$13,2),IF(D799&gt;=400,VLOOKUP(400,'$$$ Replace &amp; Retrofit'!$E$10:$F$13,2),NA))))*E799</f>
        <v>34297.49382943572</v>
      </c>
    </row>
    <row r="800" spans="1:10" x14ac:dyDescent="0.25">
      <c r="A800" s="255" t="s">
        <v>20</v>
      </c>
      <c r="B800" s="255" t="s">
        <v>192</v>
      </c>
      <c r="C800" s="256">
        <v>2015</v>
      </c>
      <c r="D800" s="256">
        <v>300</v>
      </c>
      <c r="E800">
        <v>0.62636585582908599</v>
      </c>
      <c r="F800" s="257"/>
      <c r="G800">
        <f t="shared" si="11"/>
        <v>300</v>
      </c>
      <c r="H800" s="4">
        <f>IF(B800="RTG Crane",IF(D800&lt;600,800000,1200000),VLOOKUP(B800,'$$$ Replace &amp; Retrofit'!$B$10:$C$14,2)*'CHE Model poplulation'!D800)*E800</f>
        <v>164421.03715513507</v>
      </c>
      <c r="I800" s="4">
        <f>E800*VLOOKUP('CHE Model poplulation'!G800,'$$$ Replace &amp; Retrofit'!$I$10:$J$15,2)</f>
        <v>18016.161111212001</v>
      </c>
      <c r="J800" s="4">
        <f>IF(D800=50,VLOOKUP(0,'$$$ Replace &amp; Retrofit'!$E$10:$F$13,2),IF(D800&lt;175,VLOOKUP(50,'$$$ Replace &amp; Retrofit'!$E$10:$F$13,2),IF(D800&lt;400,VLOOKUP(175,'$$$ Replace &amp; Retrofit'!$E$10:$F$13,2),IF(D800&gt;=400,VLOOKUP(400,'$$$ Replace &amp; Retrofit'!$E$10:$F$13,2),NA))))*E800</f>
        <v>11274.585404923548</v>
      </c>
    </row>
    <row r="801" spans="1:10" x14ac:dyDescent="0.25">
      <c r="A801" s="255" t="s">
        <v>20</v>
      </c>
      <c r="B801" s="255" t="s">
        <v>192</v>
      </c>
      <c r="C801" s="256">
        <v>2015</v>
      </c>
      <c r="D801" s="256">
        <v>600</v>
      </c>
      <c r="E801">
        <v>0.313182927914543</v>
      </c>
      <c r="F801" s="257"/>
      <c r="G801">
        <f t="shared" si="11"/>
        <v>400</v>
      </c>
      <c r="H801" s="4">
        <f>IF(B801="RTG Crane",IF(D801&lt;600,800000,1200000),VLOOKUP(B801,'$$$ Replace &amp; Retrofit'!$B$10:$C$14,2)*'CHE Model poplulation'!D801)*E801</f>
        <v>164421.03715513507</v>
      </c>
      <c r="I801" s="4">
        <f>E801*VLOOKUP('CHE Model poplulation'!G801,'$$$ Replace &amp; Retrofit'!$I$10:$J$15,2)</f>
        <v>16389.802166551777</v>
      </c>
      <c r="J801" s="4">
        <f>IF(D801=50,VLOOKUP(0,'$$$ Replace &amp; Retrofit'!$E$10:$F$13,2),IF(D801&lt;175,VLOOKUP(50,'$$$ Replace &amp; Retrofit'!$E$10:$F$13,2),IF(D801&lt;400,VLOOKUP(175,'$$$ Replace &amp; Retrofit'!$E$10:$F$13,2),IF(D801&gt;=400,VLOOKUP(400,'$$$ Replace &amp; Retrofit'!$E$10:$F$13,2),NA))))*E801</f>
        <v>9395.4878374362906</v>
      </c>
    </row>
    <row r="802" spans="1:10" x14ac:dyDescent="0.25">
      <c r="A802" s="255" t="s">
        <v>20</v>
      </c>
      <c r="B802" s="255" t="s">
        <v>192</v>
      </c>
      <c r="C802" s="256">
        <v>2016</v>
      </c>
      <c r="D802" s="256">
        <v>50</v>
      </c>
      <c r="E802">
        <v>0</v>
      </c>
      <c r="F802" s="257"/>
      <c r="I802" s="4"/>
    </row>
    <row r="803" spans="1:10" x14ac:dyDescent="0.25">
      <c r="A803" s="255" t="s">
        <v>20</v>
      </c>
      <c r="B803" s="255" t="s">
        <v>192</v>
      </c>
      <c r="C803" s="256">
        <v>2016</v>
      </c>
      <c r="D803" s="256">
        <v>75</v>
      </c>
      <c r="E803">
        <v>0</v>
      </c>
      <c r="F803" s="257"/>
      <c r="I803" s="4"/>
    </row>
    <row r="804" spans="1:10" x14ac:dyDescent="0.25">
      <c r="A804" s="255" t="s">
        <v>20</v>
      </c>
      <c r="B804" s="255" t="s">
        <v>192</v>
      </c>
      <c r="C804" s="256">
        <v>2016</v>
      </c>
      <c r="D804" s="256">
        <v>100</v>
      </c>
      <c r="E804">
        <v>0</v>
      </c>
      <c r="F804" s="257"/>
      <c r="I804" s="4"/>
    </row>
    <row r="805" spans="1:10" x14ac:dyDescent="0.25">
      <c r="A805" s="255" t="s">
        <v>20</v>
      </c>
      <c r="B805" s="255" t="s">
        <v>192</v>
      </c>
      <c r="C805" s="256">
        <v>2016</v>
      </c>
      <c r="D805" s="256">
        <v>175</v>
      </c>
      <c r="E805">
        <v>0</v>
      </c>
      <c r="F805" s="257"/>
      <c r="I805" s="4"/>
    </row>
    <row r="806" spans="1:10" x14ac:dyDescent="0.25">
      <c r="A806" s="255" t="s">
        <v>20</v>
      </c>
      <c r="B806" s="255" t="s">
        <v>192</v>
      </c>
      <c r="C806" s="256">
        <v>2016</v>
      </c>
      <c r="D806" s="256">
        <v>300</v>
      </c>
      <c r="E806">
        <v>0</v>
      </c>
      <c r="F806" s="257"/>
      <c r="I806" s="4"/>
    </row>
    <row r="807" spans="1:10" x14ac:dyDescent="0.25">
      <c r="A807" s="255" t="s">
        <v>20</v>
      </c>
      <c r="B807" s="255" t="s">
        <v>192</v>
      </c>
      <c r="C807" s="256">
        <v>2016</v>
      </c>
      <c r="D807" s="256">
        <v>600</v>
      </c>
      <c r="E807">
        <v>0</v>
      </c>
      <c r="F807" s="257"/>
      <c r="I807" s="4"/>
    </row>
    <row r="808" spans="1:10" x14ac:dyDescent="0.25">
      <c r="A808" s="255" t="s">
        <v>20</v>
      </c>
      <c r="B808" s="255" t="s">
        <v>192</v>
      </c>
      <c r="C808" s="256">
        <v>2017</v>
      </c>
      <c r="D808" s="256">
        <v>50</v>
      </c>
      <c r="E808">
        <v>0</v>
      </c>
      <c r="F808" s="257"/>
      <c r="I808" s="4"/>
    </row>
    <row r="809" spans="1:10" x14ac:dyDescent="0.25">
      <c r="A809" s="255" t="s">
        <v>20</v>
      </c>
      <c r="B809" s="255" t="s">
        <v>192</v>
      </c>
      <c r="C809" s="256">
        <v>2017</v>
      </c>
      <c r="D809" s="256">
        <v>75</v>
      </c>
      <c r="E809">
        <v>0</v>
      </c>
      <c r="F809" s="257"/>
      <c r="I809" s="4"/>
    </row>
    <row r="810" spans="1:10" x14ac:dyDescent="0.25">
      <c r="A810" s="255" t="s">
        <v>20</v>
      </c>
      <c r="B810" s="255" t="s">
        <v>192</v>
      </c>
      <c r="C810" s="256">
        <v>2017</v>
      </c>
      <c r="D810" s="256">
        <v>100</v>
      </c>
      <c r="E810">
        <v>0</v>
      </c>
      <c r="F810" s="257"/>
      <c r="I810" s="4"/>
    </row>
    <row r="811" spans="1:10" x14ac:dyDescent="0.25">
      <c r="A811" s="255" t="s">
        <v>20</v>
      </c>
      <c r="B811" s="255" t="s">
        <v>192</v>
      </c>
      <c r="C811" s="256">
        <v>2017</v>
      </c>
      <c r="D811" s="256">
        <v>175</v>
      </c>
      <c r="E811">
        <v>0</v>
      </c>
      <c r="F811" s="257"/>
      <c r="I811" s="4"/>
    </row>
    <row r="812" spans="1:10" x14ac:dyDescent="0.25">
      <c r="A812" s="255" t="s">
        <v>20</v>
      </c>
      <c r="B812" s="255" t="s">
        <v>192</v>
      </c>
      <c r="C812" s="256">
        <v>2017</v>
      </c>
      <c r="D812" s="256">
        <v>300</v>
      </c>
      <c r="E812">
        <v>0</v>
      </c>
      <c r="F812" s="257"/>
      <c r="I812" s="4"/>
    </row>
    <row r="813" spans="1:10" x14ac:dyDescent="0.25">
      <c r="A813" s="255" t="s">
        <v>20</v>
      </c>
      <c r="B813" s="255" t="s">
        <v>192</v>
      </c>
      <c r="C813" s="256">
        <v>2017</v>
      </c>
      <c r="D813" s="256">
        <v>600</v>
      </c>
      <c r="E813">
        <v>0</v>
      </c>
      <c r="F813" s="257"/>
      <c r="I813" s="4"/>
    </row>
    <row r="814" spans="1:10" x14ac:dyDescent="0.25">
      <c r="A814" s="255" t="s">
        <v>20</v>
      </c>
      <c r="B814" s="255" t="s">
        <v>192</v>
      </c>
      <c r="C814" s="256">
        <v>2018</v>
      </c>
      <c r="D814" s="256">
        <v>50</v>
      </c>
      <c r="E814">
        <v>0</v>
      </c>
      <c r="F814" s="257"/>
      <c r="I814" s="4"/>
    </row>
    <row r="815" spans="1:10" x14ac:dyDescent="0.25">
      <c r="A815" s="255" t="s">
        <v>20</v>
      </c>
      <c r="B815" s="255" t="s">
        <v>192</v>
      </c>
      <c r="C815" s="256">
        <v>2018</v>
      </c>
      <c r="D815" s="256">
        <v>75</v>
      </c>
      <c r="E815">
        <v>0</v>
      </c>
      <c r="F815" s="257"/>
      <c r="I815" s="4"/>
    </row>
    <row r="816" spans="1:10" x14ac:dyDescent="0.25">
      <c r="A816" s="255" t="s">
        <v>20</v>
      </c>
      <c r="B816" s="255" t="s">
        <v>192</v>
      </c>
      <c r="C816" s="256">
        <v>2018</v>
      </c>
      <c r="D816" s="256">
        <v>100</v>
      </c>
      <c r="E816">
        <v>0</v>
      </c>
      <c r="F816" s="257"/>
      <c r="I816" s="4"/>
    </row>
    <row r="817" spans="1:9" x14ac:dyDescent="0.25">
      <c r="A817" s="255" t="s">
        <v>20</v>
      </c>
      <c r="B817" s="255" t="s">
        <v>192</v>
      </c>
      <c r="C817" s="256">
        <v>2018</v>
      </c>
      <c r="D817" s="256">
        <v>175</v>
      </c>
      <c r="E817">
        <v>0</v>
      </c>
      <c r="F817" s="257"/>
      <c r="I817" s="4"/>
    </row>
    <row r="818" spans="1:9" x14ac:dyDescent="0.25">
      <c r="A818" s="255" t="s">
        <v>20</v>
      </c>
      <c r="B818" s="255" t="s">
        <v>192</v>
      </c>
      <c r="C818" s="256">
        <v>2018</v>
      </c>
      <c r="D818" s="256">
        <v>300</v>
      </c>
      <c r="E818">
        <v>0</v>
      </c>
      <c r="F818" s="257"/>
      <c r="I818" s="4"/>
    </row>
    <row r="819" spans="1:9" x14ac:dyDescent="0.25">
      <c r="A819" s="255" t="s">
        <v>20</v>
      </c>
      <c r="B819" s="255" t="s">
        <v>192</v>
      </c>
      <c r="C819" s="256">
        <v>2018</v>
      </c>
      <c r="D819" s="256">
        <v>600</v>
      </c>
      <c r="E819">
        <v>0</v>
      </c>
      <c r="F819" s="257"/>
      <c r="I819" s="4"/>
    </row>
    <row r="820" spans="1:9" x14ac:dyDescent="0.25">
      <c r="A820" s="255" t="s">
        <v>20</v>
      </c>
      <c r="B820" s="255" t="s">
        <v>192</v>
      </c>
      <c r="C820" s="256">
        <v>2019</v>
      </c>
      <c r="D820" s="256">
        <v>50</v>
      </c>
      <c r="E820">
        <v>0</v>
      </c>
      <c r="F820" s="257"/>
      <c r="I820" s="4"/>
    </row>
    <row r="821" spans="1:9" x14ac:dyDescent="0.25">
      <c r="A821" s="255" t="s">
        <v>20</v>
      </c>
      <c r="B821" s="255" t="s">
        <v>192</v>
      </c>
      <c r="C821" s="256">
        <v>2019</v>
      </c>
      <c r="D821" s="256">
        <v>75</v>
      </c>
      <c r="E821">
        <v>0</v>
      </c>
      <c r="F821" s="257"/>
      <c r="I821" s="4"/>
    </row>
    <row r="822" spans="1:9" x14ac:dyDescent="0.25">
      <c r="A822" s="255" t="s">
        <v>20</v>
      </c>
      <c r="B822" s="255" t="s">
        <v>192</v>
      </c>
      <c r="C822" s="256">
        <v>2019</v>
      </c>
      <c r="D822" s="256">
        <v>100</v>
      </c>
      <c r="E822">
        <v>0</v>
      </c>
      <c r="F822" s="257"/>
      <c r="I822" s="4"/>
    </row>
    <row r="823" spans="1:9" x14ac:dyDescent="0.25">
      <c r="A823" s="255" t="s">
        <v>20</v>
      </c>
      <c r="B823" s="255" t="s">
        <v>192</v>
      </c>
      <c r="C823" s="256">
        <v>2019</v>
      </c>
      <c r="D823" s="256">
        <v>175</v>
      </c>
      <c r="E823">
        <v>0</v>
      </c>
      <c r="F823" s="257"/>
      <c r="I823" s="4"/>
    </row>
    <row r="824" spans="1:9" x14ac:dyDescent="0.25">
      <c r="A824" s="255" t="s">
        <v>20</v>
      </c>
      <c r="B824" s="255" t="s">
        <v>192</v>
      </c>
      <c r="C824" s="256">
        <v>2019</v>
      </c>
      <c r="D824" s="256">
        <v>300</v>
      </c>
      <c r="E824">
        <v>0</v>
      </c>
      <c r="F824" s="257"/>
      <c r="I824" s="4"/>
    </row>
    <row r="825" spans="1:9" x14ac:dyDescent="0.25">
      <c r="A825" s="255" t="s">
        <v>20</v>
      </c>
      <c r="B825" s="255" t="s">
        <v>192</v>
      </c>
      <c r="C825" s="256">
        <v>2019</v>
      </c>
      <c r="D825" s="256">
        <v>600</v>
      </c>
      <c r="E825">
        <v>0</v>
      </c>
      <c r="F825" s="257"/>
      <c r="I825" s="4"/>
    </row>
    <row r="826" spans="1:9" x14ac:dyDescent="0.25">
      <c r="A826" s="255" t="s">
        <v>20</v>
      </c>
      <c r="B826" s="255" t="s">
        <v>192</v>
      </c>
      <c r="C826" s="256">
        <v>2020</v>
      </c>
      <c r="D826" s="256">
        <v>50</v>
      </c>
      <c r="E826">
        <v>0</v>
      </c>
      <c r="F826" s="257"/>
      <c r="I826" s="4"/>
    </row>
    <row r="827" spans="1:9" x14ac:dyDescent="0.25">
      <c r="A827" s="255" t="s">
        <v>20</v>
      </c>
      <c r="B827" s="255" t="s">
        <v>192</v>
      </c>
      <c r="C827" s="256">
        <v>2020</v>
      </c>
      <c r="D827" s="256">
        <v>75</v>
      </c>
      <c r="E827">
        <v>0</v>
      </c>
      <c r="F827" s="257"/>
      <c r="I827" s="4"/>
    </row>
    <row r="828" spans="1:9" x14ac:dyDescent="0.25">
      <c r="A828" s="255" t="s">
        <v>20</v>
      </c>
      <c r="B828" s="255" t="s">
        <v>192</v>
      </c>
      <c r="C828" s="256">
        <v>2020</v>
      </c>
      <c r="D828" s="256">
        <v>100</v>
      </c>
      <c r="E828">
        <v>0</v>
      </c>
      <c r="F828" s="257"/>
      <c r="I828" s="4"/>
    </row>
    <row r="829" spans="1:9" x14ac:dyDescent="0.25">
      <c r="A829" s="255" t="s">
        <v>20</v>
      </c>
      <c r="B829" s="255" t="s">
        <v>192</v>
      </c>
      <c r="C829" s="256">
        <v>2020</v>
      </c>
      <c r="D829" s="256">
        <v>175</v>
      </c>
      <c r="E829">
        <v>0</v>
      </c>
      <c r="F829" s="257"/>
      <c r="I829" s="4"/>
    </row>
    <row r="830" spans="1:9" x14ac:dyDescent="0.25">
      <c r="A830" s="255" t="s">
        <v>20</v>
      </c>
      <c r="B830" s="255" t="s">
        <v>192</v>
      </c>
      <c r="C830" s="256">
        <v>2020</v>
      </c>
      <c r="D830" s="256">
        <v>300</v>
      </c>
      <c r="E830">
        <v>0</v>
      </c>
      <c r="F830" s="257"/>
      <c r="I830" s="4"/>
    </row>
    <row r="831" spans="1:9" x14ac:dyDescent="0.25">
      <c r="A831" s="255" t="s">
        <v>20</v>
      </c>
      <c r="B831" s="255" t="s">
        <v>192</v>
      </c>
      <c r="C831" s="256">
        <v>2020</v>
      </c>
      <c r="D831" s="256">
        <v>600</v>
      </c>
      <c r="E831">
        <v>0</v>
      </c>
      <c r="F831" s="257"/>
      <c r="I831" s="4"/>
    </row>
    <row r="832" spans="1:9" x14ac:dyDescent="0.25">
      <c r="A832" s="255" t="s">
        <v>20</v>
      </c>
      <c r="B832" s="255" t="s">
        <v>192</v>
      </c>
      <c r="C832" s="256">
        <v>2021</v>
      </c>
      <c r="D832" s="256">
        <v>50</v>
      </c>
      <c r="E832">
        <v>0</v>
      </c>
      <c r="F832" s="257"/>
      <c r="I832" s="4"/>
    </row>
    <row r="833" spans="1:9" x14ac:dyDescent="0.25">
      <c r="A833" s="255" t="s">
        <v>20</v>
      </c>
      <c r="B833" s="255" t="s">
        <v>192</v>
      </c>
      <c r="C833" s="256">
        <v>2021</v>
      </c>
      <c r="D833" s="256">
        <v>75</v>
      </c>
      <c r="E833">
        <v>0</v>
      </c>
      <c r="F833" s="257"/>
      <c r="I833" s="4"/>
    </row>
    <row r="834" spans="1:9" x14ac:dyDescent="0.25">
      <c r="A834" s="255" t="s">
        <v>20</v>
      </c>
      <c r="B834" s="255" t="s">
        <v>192</v>
      </c>
      <c r="C834" s="256">
        <v>2021</v>
      </c>
      <c r="D834" s="256">
        <v>100</v>
      </c>
      <c r="E834">
        <v>0</v>
      </c>
      <c r="F834" s="257"/>
      <c r="I834" s="4"/>
    </row>
    <row r="835" spans="1:9" x14ac:dyDescent="0.25">
      <c r="A835" s="255" t="s">
        <v>20</v>
      </c>
      <c r="B835" s="255" t="s">
        <v>192</v>
      </c>
      <c r="C835" s="256">
        <v>2021</v>
      </c>
      <c r="D835" s="256">
        <v>175</v>
      </c>
      <c r="E835">
        <v>0</v>
      </c>
      <c r="F835" s="257"/>
      <c r="I835" s="4"/>
    </row>
    <row r="836" spans="1:9" x14ac:dyDescent="0.25">
      <c r="A836" s="255" t="s">
        <v>20</v>
      </c>
      <c r="B836" s="255" t="s">
        <v>192</v>
      </c>
      <c r="C836" s="256">
        <v>2021</v>
      </c>
      <c r="D836" s="256">
        <v>300</v>
      </c>
      <c r="E836">
        <v>0</v>
      </c>
      <c r="F836" s="257"/>
      <c r="I836" s="4"/>
    </row>
    <row r="837" spans="1:9" x14ac:dyDescent="0.25">
      <c r="A837" s="255" t="s">
        <v>20</v>
      </c>
      <c r="B837" s="255" t="s">
        <v>192</v>
      </c>
      <c r="C837" s="256">
        <v>2021</v>
      </c>
      <c r="D837" s="256">
        <v>600</v>
      </c>
      <c r="E837">
        <v>0</v>
      </c>
      <c r="F837" s="257"/>
      <c r="I837" s="4"/>
    </row>
    <row r="838" spans="1:9" x14ac:dyDescent="0.25">
      <c r="A838" s="255" t="s">
        <v>20</v>
      </c>
      <c r="B838" s="255" t="s">
        <v>192</v>
      </c>
      <c r="C838" s="256">
        <v>2022</v>
      </c>
      <c r="D838" s="256">
        <v>50</v>
      </c>
      <c r="E838">
        <v>0</v>
      </c>
      <c r="F838" s="257"/>
      <c r="I838" s="4"/>
    </row>
    <row r="839" spans="1:9" x14ac:dyDescent="0.25">
      <c r="A839" s="255" t="s">
        <v>20</v>
      </c>
      <c r="B839" s="255" t="s">
        <v>192</v>
      </c>
      <c r="C839" s="256">
        <v>2022</v>
      </c>
      <c r="D839" s="256">
        <v>75</v>
      </c>
      <c r="E839">
        <v>0</v>
      </c>
      <c r="F839" s="257"/>
      <c r="I839" s="4"/>
    </row>
    <row r="840" spans="1:9" x14ac:dyDescent="0.25">
      <c r="A840" s="255" t="s">
        <v>20</v>
      </c>
      <c r="B840" s="255" t="s">
        <v>192</v>
      </c>
      <c r="C840" s="256">
        <v>2022</v>
      </c>
      <c r="D840" s="256">
        <v>100</v>
      </c>
      <c r="E840">
        <v>0</v>
      </c>
      <c r="F840" s="257"/>
      <c r="I840" s="4"/>
    </row>
    <row r="841" spans="1:9" x14ac:dyDescent="0.25">
      <c r="A841" s="255" t="s">
        <v>20</v>
      </c>
      <c r="B841" s="255" t="s">
        <v>192</v>
      </c>
      <c r="C841" s="256">
        <v>2022</v>
      </c>
      <c r="D841" s="256">
        <v>175</v>
      </c>
      <c r="E841">
        <v>0</v>
      </c>
      <c r="F841" s="257"/>
      <c r="I841" s="4"/>
    </row>
    <row r="842" spans="1:9" x14ac:dyDescent="0.25">
      <c r="A842" s="255" t="s">
        <v>20</v>
      </c>
      <c r="B842" s="255" t="s">
        <v>192</v>
      </c>
      <c r="C842" s="256">
        <v>2022</v>
      </c>
      <c r="D842" s="256">
        <v>300</v>
      </c>
      <c r="E842">
        <v>0</v>
      </c>
      <c r="F842" s="257"/>
      <c r="I842" s="4"/>
    </row>
    <row r="843" spans="1:9" x14ac:dyDescent="0.25">
      <c r="A843" s="255" t="s">
        <v>20</v>
      </c>
      <c r="B843" s="255" t="s">
        <v>192</v>
      </c>
      <c r="C843" s="256">
        <v>2022</v>
      </c>
      <c r="D843" s="256">
        <v>600</v>
      </c>
      <c r="E843">
        <v>0</v>
      </c>
      <c r="F843" s="257"/>
      <c r="I843" s="4"/>
    </row>
    <row r="844" spans="1:9" x14ac:dyDescent="0.25">
      <c r="A844" s="255" t="s">
        <v>20</v>
      </c>
      <c r="B844" s="255" t="s">
        <v>192</v>
      </c>
      <c r="C844" s="256">
        <v>2023</v>
      </c>
      <c r="D844" s="256">
        <v>50</v>
      </c>
      <c r="E844">
        <v>0</v>
      </c>
      <c r="F844" s="257"/>
      <c r="I844" s="4"/>
    </row>
    <row r="845" spans="1:9" x14ac:dyDescent="0.25">
      <c r="A845" s="255" t="s">
        <v>20</v>
      </c>
      <c r="B845" s="255" t="s">
        <v>192</v>
      </c>
      <c r="C845" s="256">
        <v>2023</v>
      </c>
      <c r="D845" s="256">
        <v>75</v>
      </c>
      <c r="E845">
        <v>0</v>
      </c>
      <c r="F845" s="257"/>
      <c r="I845" s="4"/>
    </row>
    <row r="846" spans="1:9" x14ac:dyDescent="0.25">
      <c r="A846" s="255" t="s">
        <v>20</v>
      </c>
      <c r="B846" s="255" t="s">
        <v>192</v>
      </c>
      <c r="C846" s="256">
        <v>2023</v>
      </c>
      <c r="D846" s="256">
        <v>100</v>
      </c>
      <c r="E846">
        <v>0</v>
      </c>
      <c r="F846" s="257"/>
      <c r="I846" s="4"/>
    </row>
    <row r="847" spans="1:9" x14ac:dyDescent="0.25">
      <c r="A847" s="255" t="s">
        <v>20</v>
      </c>
      <c r="B847" s="255" t="s">
        <v>192</v>
      </c>
      <c r="C847" s="256">
        <v>2023</v>
      </c>
      <c r="D847" s="256">
        <v>175</v>
      </c>
      <c r="E847">
        <v>0</v>
      </c>
      <c r="F847" s="257"/>
      <c r="I847" s="4"/>
    </row>
    <row r="848" spans="1:9" x14ac:dyDescent="0.25">
      <c r="A848" s="255" t="s">
        <v>20</v>
      </c>
      <c r="B848" s="255" t="s">
        <v>192</v>
      </c>
      <c r="C848" s="256">
        <v>2023</v>
      </c>
      <c r="D848" s="256">
        <v>300</v>
      </c>
      <c r="E848">
        <v>0</v>
      </c>
      <c r="F848" s="257"/>
      <c r="I848" s="4"/>
    </row>
    <row r="849" spans="1:9" x14ac:dyDescent="0.25">
      <c r="A849" s="255" t="s">
        <v>20</v>
      </c>
      <c r="B849" s="255" t="s">
        <v>192</v>
      </c>
      <c r="C849" s="256">
        <v>2023</v>
      </c>
      <c r="D849" s="256">
        <v>600</v>
      </c>
      <c r="E849">
        <v>0</v>
      </c>
      <c r="F849" s="257"/>
      <c r="I849" s="4"/>
    </row>
    <row r="850" spans="1:9" x14ac:dyDescent="0.25">
      <c r="A850" s="255" t="s">
        <v>20</v>
      </c>
      <c r="B850" s="255" t="s">
        <v>192</v>
      </c>
      <c r="C850" s="256">
        <v>2024</v>
      </c>
      <c r="D850" s="256">
        <v>50</v>
      </c>
      <c r="E850">
        <v>0</v>
      </c>
      <c r="F850" s="257"/>
      <c r="I850" s="4"/>
    </row>
    <row r="851" spans="1:9" x14ac:dyDescent="0.25">
      <c r="A851" s="255" t="s">
        <v>20</v>
      </c>
      <c r="B851" s="255" t="s">
        <v>192</v>
      </c>
      <c r="C851" s="256">
        <v>2024</v>
      </c>
      <c r="D851" s="256">
        <v>75</v>
      </c>
      <c r="E851">
        <v>0</v>
      </c>
      <c r="F851" s="257"/>
      <c r="I851" s="4"/>
    </row>
    <row r="852" spans="1:9" x14ac:dyDescent="0.25">
      <c r="A852" s="255" t="s">
        <v>20</v>
      </c>
      <c r="B852" s="255" t="s">
        <v>192</v>
      </c>
      <c r="C852" s="256">
        <v>2024</v>
      </c>
      <c r="D852" s="256">
        <v>100</v>
      </c>
      <c r="E852">
        <v>0</v>
      </c>
      <c r="F852" s="257"/>
      <c r="I852" s="4"/>
    </row>
    <row r="853" spans="1:9" x14ac:dyDescent="0.25">
      <c r="A853" s="255" t="s">
        <v>20</v>
      </c>
      <c r="B853" s="255" t="s">
        <v>192</v>
      </c>
      <c r="C853" s="256">
        <v>2024</v>
      </c>
      <c r="D853" s="256">
        <v>175</v>
      </c>
      <c r="E853">
        <v>0</v>
      </c>
      <c r="F853" s="257"/>
      <c r="I853" s="4"/>
    </row>
    <row r="854" spans="1:9" x14ac:dyDescent="0.25">
      <c r="A854" s="255" t="s">
        <v>20</v>
      </c>
      <c r="B854" s="255" t="s">
        <v>192</v>
      </c>
      <c r="C854" s="256">
        <v>2024</v>
      </c>
      <c r="D854" s="256">
        <v>300</v>
      </c>
      <c r="E854">
        <v>0</v>
      </c>
      <c r="F854" s="257"/>
      <c r="I854" s="4"/>
    </row>
    <row r="855" spans="1:9" x14ac:dyDescent="0.25">
      <c r="A855" s="255" t="s">
        <v>20</v>
      </c>
      <c r="B855" s="255" t="s">
        <v>192</v>
      </c>
      <c r="C855" s="256">
        <v>2024</v>
      </c>
      <c r="D855" s="256">
        <v>600</v>
      </c>
      <c r="E855">
        <v>0</v>
      </c>
      <c r="F855" s="257"/>
      <c r="I855" s="4"/>
    </row>
    <row r="856" spans="1:9" x14ac:dyDescent="0.25">
      <c r="A856" s="255" t="s">
        <v>20</v>
      </c>
      <c r="B856" s="255" t="s">
        <v>192</v>
      </c>
      <c r="C856" s="256">
        <v>2025</v>
      </c>
      <c r="D856" s="256">
        <v>50</v>
      </c>
      <c r="E856">
        <v>0</v>
      </c>
      <c r="F856" s="257"/>
      <c r="I856" s="4"/>
    </row>
    <row r="857" spans="1:9" x14ac:dyDescent="0.25">
      <c r="A857" s="255" t="s">
        <v>20</v>
      </c>
      <c r="B857" s="255" t="s">
        <v>192</v>
      </c>
      <c r="C857" s="256">
        <v>2025</v>
      </c>
      <c r="D857" s="256">
        <v>75</v>
      </c>
      <c r="E857">
        <v>0</v>
      </c>
      <c r="F857" s="257"/>
      <c r="I857" s="4"/>
    </row>
    <row r="858" spans="1:9" x14ac:dyDescent="0.25">
      <c r="A858" s="255" t="s">
        <v>20</v>
      </c>
      <c r="B858" s="255" t="s">
        <v>192</v>
      </c>
      <c r="C858" s="256">
        <v>2025</v>
      </c>
      <c r="D858" s="256">
        <v>100</v>
      </c>
      <c r="E858">
        <v>0</v>
      </c>
      <c r="F858" s="257"/>
      <c r="I858" s="4"/>
    </row>
    <row r="859" spans="1:9" x14ac:dyDescent="0.25">
      <c r="A859" s="255" t="s">
        <v>20</v>
      </c>
      <c r="B859" s="255" t="s">
        <v>192</v>
      </c>
      <c r="C859" s="256">
        <v>2025</v>
      </c>
      <c r="D859" s="256">
        <v>175</v>
      </c>
      <c r="E859">
        <v>0</v>
      </c>
      <c r="F859" s="257"/>
      <c r="I859" s="4"/>
    </row>
    <row r="860" spans="1:9" x14ac:dyDescent="0.25">
      <c r="A860" s="255" t="s">
        <v>20</v>
      </c>
      <c r="B860" s="255" t="s">
        <v>192</v>
      </c>
      <c r="C860" s="256">
        <v>2025</v>
      </c>
      <c r="D860" s="256">
        <v>300</v>
      </c>
      <c r="E860">
        <v>0</v>
      </c>
      <c r="F860" s="257"/>
      <c r="I860" s="4"/>
    </row>
    <row r="861" spans="1:9" x14ac:dyDescent="0.25">
      <c r="A861" s="255" t="s">
        <v>20</v>
      </c>
      <c r="B861" s="255" t="s">
        <v>192</v>
      </c>
      <c r="C861" s="256">
        <v>2025</v>
      </c>
      <c r="D861" s="256">
        <v>600</v>
      </c>
      <c r="E861">
        <v>0</v>
      </c>
      <c r="F861" s="257"/>
      <c r="I861" s="4"/>
    </row>
    <row r="862" spans="1:9" ht="30" x14ac:dyDescent="0.25">
      <c r="A862" s="255" t="s">
        <v>20</v>
      </c>
      <c r="B862" s="255" t="s">
        <v>211</v>
      </c>
      <c r="C862" s="256">
        <v>2006</v>
      </c>
      <c r="D862" s="256">
        <v>50</v>
      </c>
      <c r="E862">
        <v>0</v>
      </c>
      <c r="F862" s="257"/>
      <c r="I862" s="4"/>
    </row>
    <row r="863" spans="1:9" ht="30" x14ac:dyDescent="0.25">
      <c r="A863" s="255" t="s">
        <v>20</v>
      </c>
      <c r="B863" s="255" t="s">
        <v>211</v>
      </c>
      <c r="C863" s="256">
        <v>2006</v>
      </c>
      <c r="D863" s="256">
        <v>75</v>
      </c>
      <c r="E863">
        <v>0</v>
      </c>
      <c r="F863" s="257"/>
      <c r="I863" s="4"/>
    </row>
    <row r="864" spans="1:9" ht="30" x14ac:dyDescent="0.25">
      <c r="A864" s="255" t="s">
        <v>20</v>
      </c>
      <c r="B864" s="255" t="s">
        <v>211</v>
      </c>
      <c r="C864" s="256">
        <v>2006</v>
      </c>
      <c r="D864" s="256">
        <v>100</v>
      </c>
      <c r="E864">
        <v>0</v>
      </c>
      <c r="F864" s="257"/>
      <c r="I864" s="4"/>
    </row>
    <row r="865" spans="1:9" ht="30" x14ac:dyDescent="0.25">
      <c r="A865" s="255" t="s">
        <v>20</v>
      </c>
      <c r="B865" s="255" t="s">
        <v>211</v>
      </c>
      <c r="C865" s="256">
        <v>2006</v>
      </c>
      <c r="D865" s="256">
        <v>175</v>
      </c>
      <c r="E865">
        <v>0</v>
      </c>
      <c r="F865" s="257"/>
      <c r="I865" s="4"/>
    </row>
    <row r="866" spans="1:9" ht="30" x14ac:dyDescent="0.25">
      <c r="A866" s="255" t="s">
        <v>20</v>
      </c>
      <c r="B866" s="255" t="s">
        <v>211</v>
      </c>
      <c r="C866" s="256">
        <v>2006</v>
      </c>
      <c r="D866" s="256">
        <v>300</v>
      </c>
      <c r="E866">
        <v>0</v>
      </c>
      <c r="F866" s="257"/>
      <c r="I866" s="4"/>
    </row>
    <row r="867" spans="1:9" ht="30" x14ac:dyDescent="0.25">
      <c r="A867" s="255" t="s">
        <v>20</v>
      </c>
      <c r="B867" s="255" t="s">
        <v>211</v>
      </c>
      <c r="C867" s="256">
        <v>2006</v>
      </c>
      <c r="D867" s="256">
        <v>600</v>
      </c>
      <c r="E867">
        <v>0</v>
      </c>
      <c r="F867" s="257"/>
      <c r="I867" s="4"/>
    </row>
    <row r="868" spans="1:9" ht="30" x14ac:dyDescent="0.25">
      <c r="A868" s="255" t="s">
        <v>20</v>
      </c>
      <c r="B868" s="255" t="s">
        <v>211</v>
      </c>
      <c r="C868" s="256">
        <v>2007</v>
      </c>
      <c r="D868" s="256">
        <v>50</v>
      </c>
      <c r="E868">
        <v>0</v>
      </c>
      <c r="F868" s="257"/>
      <c r="I868" s="4"/>
    </row>
    <row r="869" spans="1:9" ht="30" x14ac:dyDescent="0.25">
      <c r="A869" s="255" t="s">
        <v>20</v>
      </c>
      <c r="B869" s="255" t="s">
        <v>211</v>
      </c>
      <c r="C869" s="256">
        <v>2007</v>
      </c>
      <c r="D869" s="256">
        <v>75</v>
      </c>
      <c r="E869">
        <v>0</v>
      </c>
      <c r="F869" s="257"/>
      <c r="I869" s="4"/>
    </row>
    <row r="870" spans="1:9" ht="30" x14ac:dyDescent="0.25">
      <c r="A870" s="255" t="s">
        <v>20</v>
      </c>
      <c r="B870" s="255" t="s">
        <v>211</v>
      </c>
      <c r="C870" s="256">
        <v>2007</v>
      </c>
      <c r="D870" s="256">
        <v>100</v>
      </c>
      <c r="E870">
        <v>0</v>
      </c>
      <c r="F870" s="257"/>
      <c r="I870" s="4"/>
    </row>
    <row r="871" spans="1:9" ht="30" x14ac:dyDescent="0.25">
      <c r="A871" s="255" t="s">
        <v>20</v>
      </c>
      <c r="B871" s="255" t="s">
        <v>211</v>
      </c>
      <c r="C871" s="256">
        <v>2007</v>
      </c>
      <c r="D871" s="256">
        <v>175</v>
      </c>
      <c r="E871">
        <v>0</v>
      </c>
      <c r="F871" s="257"/>
      <c r="I871" s="4"/>
    </row>
    <row r="872" spans="1:9" ht="30" x14ac:dyDescent="0.25">
      <c r="A872" s="255" t="s">
        <v>20</v>
      </c>
      <c r="B872" s="255" t="s">
        <v>211</v>
      </c>
      <c r="C872" s="256">
        <v>2007</v>
      </c>
      <c r="D872" s="256">
        <v>300</v>
      </c>
      <c r="E872">
        <v>0</v>
      </c>
      <c r="F872" s="257"/>
      <c r="I872" s="4"/>
    </row>
    <row r="873" spans="1:9" ht="30" x14ac:dyDescent="0.25">
      <c r="A873" s="255" t="s">
        <v>20</v>
      </c>
      <c r="B873" s="255" t="s">
        <v>211</v>
      </c>
      <c r="C873" s="256">
        <v>2007</v>
      </c>
      <c r="D873" s="256">
        <v>600</v>
      </c>
      <c r="E873">
        <v>0</v>
      </c>
      <c r="F873" s="257"/>
      <c r="I873" s="4"/>
    </row>
    <row r="874" spans="1:9" ht="30" x14ac:dyDescent="0.25">
      <c r="A874" s="255" t="s">
        <v>20</v>
      </c>
      <c r="B874" s="255" t="s">
        <v>211</v>
      </c>
      <c r="C874" s="256">
        <v>2008</v>
      </c>
      <c r="D874" s="256">
        <v>50</v>
      </c>
      <c r="E874">
        <v>0</v>
      </c>
      <c r="F874" s="257"/>
      <c r="I874" s="4"/>
    </row>
    <row r="875" spans="1:9" ht="30" x14ac:dyDescent="0.25">
      <c r="A875" s="255" t="s">
        <v>20</v>
      </c>
      <c r="B875" s="255" t="s">
        <v>211</v>
      </c>
      <c r="C875" s="256">
        <v>2008</v>
      </c>
      <c r="D875" s="256">
        <v>75</v>
      </c>
      <c r="E875">
        <v>0</v>
      </c>
      <c r="F875" s="257"/>
      <c r="I875" s="4"/>
    </row>
    <row r="876" spans="1:9" ht="30" x14ac:dyDescent="0.25">
      <c r="A876" s="255" t="s">
        <v>20</v>
      </c>
      <c r="B876" s="255" t="s">
        <v>211</v>
      </c>
      <c r="C876" s="256">
        <v>2008</v>
      </c>
      <c r="D876" s="256">
        <v>100</v>
      </c>
      <c r="E876">
        <v>0</v>
      </c>
      <c r="F876" s="257"/>
      <c r="I876" s="4"/>
    </row>
    <row r="877" spans="1:9" ht="30" x14ac:dyDescent="0.25">
      <c r="A877" s="255" t="s">
        <v>20</v>
      </c>
      <c r="B877" s="255" t="s">
        <v>211</v>
      </c>
      <c r="C877" s="256">
        <v>2008</v>
      </c>
      <c r="D877" s="256">
        <v>175</v>
      </c>
      <c r="E877">
        <v>0</v>
      </c>
      <c r="F877" s="257"/>
      <c r="I877" s="4"/>
    </row>
    <row r="878" spans="1:9" ht="30" x14ac:dyDescent="0.25">
      <c r="A878" s="255" t="s">
        <v>20</v>
      </c>
      <c r="B878" s="255" t="s">
        <v>211</v>
      </c>
      <c r="C878" s="256">
        <v>2008</v>
      </c>
      <c r="D878" s="256">
        <v>300</v>
      </c>
      <c r="E878">
        <v>0</v>
      </c>
      <c r="F878" s="257"/>
      <c r="I878" s="4"/>
    </row>
    <row r="879" spans="1:9" ht="30" x14ac:dyDescent="0.25">
      <c r="A879" s="255" t="s">
        <v>20</v>
      </c>
      <c r="B879" s="255" t="s">
        <v>211</v>
      </c>
      <c r="C879" s="256">
        <v>2008</v>
      </c>
      <c r="D879" s="256">
        <v>600</v>
      </c>
      <c r="E879">
        <v>0</v>
      </c>
      <c r="F879" s="257"/>
      <c r="I879" s="4"/>
    </row>
    <row r="880" spans="1:9" ht="30" x14ac:dyDescent="0.25">
      <c r="A880" s="255" t="s">
        <v>20</v>
      </c>
      <c r="B880" s="255" t="s">
        <v>211</v>
      </c>
      <c r="C880" s="256">
        <v>2009</v>
      </c>
      <c r="D880" s="256">
        <v>50</v>
      </c>
      <c r="E880">
        <v>0</v>
      </c>
      <c r="F880" s="257"/>
      <c r="I880" s="4"/>
    </row>
    <row r="881" spans="1:10" ht="30" x14ac:dyDescent="0.25">
      <c r="A881" s="255" t="s">
        <v>20</v>
      </c>
      <c r="B881" s="255" t="s">
        <v>211</v>
      </c>
      <c r="C881" s="256">
        <v>2009</v>
      </c>
      <c r="D881" s="256">
        <v>75</v>
      </c>
      <c r="E881">
        <v>0</v>
      </c>
      <c r="F881" s="257"/>
      <c r="I881" s="4"/>
    </row>
    <row r="882" spans="1:10" ht="30" x14ac:dyDescent="0.25">
      <c r="A882" s="255" t="s">
        <v>20</v>
      </c>
      <c r="B882" s="255" t="s">
        <v>211</v>
      </c>
      <c r="C882" s="256">
        <v>2009</v>
      </c>
      <c r="D882" s="256">
        <v>100</v>
      </c>
      <c r="E882">
        <v>0</v>
      </c>
      <c r="F882" s="257"/>
      <c r="I882" s="4"/>
    </row>
    <row r="883" spans="1:10" ht="30" x14ac:dyDescent="0.25">
      <c r="A883" s="255" t="s">
        <v>20</v>
      </c>
      <c r="B883" s="255" t="s">
        <v>211</v>
      </c>
      <c r="C883" s="256">
        <v>2009</v>
      </c>
      <c r="D883" s="256">
        <v>175</v>
      </c>
      <c r="E883">
        <v>0</v>
      </c>
      <c r="F883" s="257"/>
      <c r="I883" s="4"/>
    </row>
    <row r="884" spans="1:10" ht="30" x14ac:dyDescent="0.25">
      <c r="A884" s="255" t="s">
        <v>20</v>
      </c>
      <c r="B884" s="255" t="s">
        <v>211</v>
      </c>
      <c r="C884" s="256">
        <v>2009</v>
      </c>
      <c r="D884" s="256">
        <v>300</v>
      </c>
      <c r="E884">
        <v>0</v>
      </c>
      <c r="F884" s="257"/>
      <c r="I884" s="4"/>
    </row>
    <row r="885" spans="1:10" ht="30" x14ac:dyDescent="0.25">
      <c r="A885" s="255" t="s">
        <v>20</v>
      </c>
      <c r="B885" s="255" t="s">
        <v>211</v>
      </c>
      <c r="C885" s="256">
        <v>2009</v>
      </c>
      <c r="D885" s="256">
        <v>600</v>
      </c>
      <c r="E885">
        <v>0</v>
      </c>
      <c r="F885" s="257"/>
      <c r="I885" s="4"/>
    </row>
    <row r="886" spans="1:10" ht="30" x14ac:dyDescent="0.25">
      <c r="A886" s="255" t="s">
        <v>20</v>
      </c>
      <c r="B886" s="255" t="s">
        <v>211</v>
      </c>
      <c r="C886" s="256">
        <v>2010</v>
      </c>
      <c r="D886" s="256">
        <v>50</v>
      </c>
      <c r="E886">
        <v>4.4376641515723598</v>
      </c>
      <c r="F886" s="257">
        <f>SUM(E886:E891)</f>
        <v>19.999999999999982</v>
      </c>
      <c r="G886">
        <f t="shared" ref="G886:G921" si="12">IF(OR(D886=50,D886=75),50,IF(OR(D886=100,D886=125),125,IF(D886&gt;=400,400,D886)))</f>
        <v>50</v>
      </c>
      <c r="H886" s="4">
        <f>IF(B886="RTG Crane",IF(D886&lt;600,800000,1200000),VLOOKUP(B886,'$$$ Replace &amp; Retrofit'!$B$10:$C$14,2)*'CHE Model poplulation'!D886)*E886</f>
        <v>221883.20757861799</v>
      </c>
      <c r="I886" s="4">
        <f>E886*VLOOKUP('CHE Model poplulation'!G886,'$$$ Replace &amp; Retrofit'!$I$10:$J$15,2)</f>
        <v>78049.637097854662</v>
      </c>
      <c r="J886" s="4">
        <f>IF(D886=50,VLOOKUP(0,'$$$ Replace &amp; Retrofit'!$E$10:$F$13,2),IF(D886&lt;175,VLOOKUP(50,'$$$ Replace &amp; Retrofit'!$E$10:$F$13,2),IF(D886&lt;400,VLOOKUP(175,'$$$ Replace &amp; Retrofit'!$E$10:$F$13,2),IF(D886&gt;=400,VLOOKUP(400,'$$$ Replace &amp; Retrofit'!$E$10:$F$13,2),NA))))*E886</f>
        <v>35501.313212578876</v>
      </c>
    </row>
    <row r="887" spans="1:10" ht="30" x14ac:dyDescent="0.25">
      <c r="A887" s="255" t="s">
        <v>20</v>
      </c>
      <c r="B887" s="255" t="s">
        <v>211</v>
      </c>
      <c r="C887" s="256">
        <v>2010</v>
      </c>
      <c r="D887" s="256">
        <v>75</v>
      </c>
      <c r="E887">
        <v>1.9960883815555599</v>
      </c>
      <c r="F887" s="257"/>
      <c r="G887">
        <f t="shared" si="12"/>
        <v>50</v>
      </c>
      <c r="H887" s="4">
        <f>IF(B887="RTG Crane",IF(D887&lt;600,800000,1200000),VLOOKUP(B887,'$$$ Replace &amp; Retrofit'!$B$10:$C$14,2)*'CHE Model poplulation'!D887)*E887</f>
        <v>149706.628616667</v>
      </c>
      <c r="I887" s="4">
        <f>E887*VLOOKUP('CHE Model poplulation'!G887,'$$$ Replace &amp; Retrofit'!$I$10:$J$15,2)</f>
        <v>35107.20245479919</v>
      </c>
      <c r="J887" s="4">
        <f>IF(D887=50,VLOOKUP(0,'$$$ Replace &amp; Retrofit'!$E$10:$F$13,2),IF(D887&lt;175,VLOOKUP(50,'$$$ Replace &amp; Retrofit'!$E$10:$F$13,2),IF(D887&lt;400,VLOOKUP(175,'$$$ Replace &amp; Retrofit'!$E$10:$F$13,2),IF(D887&gt;=400,VLOOKUP(400,'$$$ Replace &amp; Retrofit'!$E$10:$F$13,2),NA))))*E887</f>
        <v>23953.060578666718</v>
      </c>
    </row>
    <row r="888" spans="1:10" ht="30" x14ac:dyDescent="0.25">
      <c r="A888" s="255" t="s">
        <v>20</v>
      </c>
      <c r="B888" s="255" t="s">
        <v>211</v>
      </c>
      <c r="C888" s="256">
        <v>2010</v>
      </c>
      <c r="D888" s="256">
        <v>100</v>
      </c>
      <c r="E888">
        <v>2.3387585941765598</v>
      </c>
      <c r="F888" s="257"/>
      <c r="G888">
        <f t="shared" si="12"/>
        <v>125</v>
      </c>
      <c r="H888" s="4">
        <f>IF(B888="RTG Crane",IF(D888&lt;600,800000,1200000),VLOOKUP(B888,'$$$ Replace &amp; Retrofit'!$B$10:$C$14,2)*'CHE Model poplulation'!D888)*E888</f>
        <v>233875.85941765597</v>
      </c>
      <c r="I888" s="4">
        <f>E888*VLOOKUP('CHE Model poplulation'!G888,'$$$ Replace &amp; Retrofit'!$I$10:$J$15,2)</f>
        <v>46150.723338886055</v>
      </c>
      <c r="J888" s="4">
        <f>IF(D888=50,VLOOKUP(0,'$$$ Replace &amp; Retrofit'!$E$10:$F$13,2),IF(D888&lt;175,VLOOKUP(50,'$$$ Replace &amp; Retrofit'!$E$10:$F$13,2),IF(D888&lt;400,VLOOKUP(175,'$$$ Replace &amp; Retrofit'!$E$10:$F$13,2),IF(D888&gt;=400,VLOOKUP(400,'$$$ Replace &amp; Retrofit'!$E$10:$F$13,2),NA))))*E888</f>
        <v>28065.103130118718</v>
      </c>
    </row>
    <row r="889" spans="1:10" ht="30" x14ac:dyDescent="0.25">
      <c r="A889" s="255" t="s">
        <v>20</v>
      </c>
      <c r="B889" s="255" t="s">
        <v>211</v>
      </c>
      <c r="C889" s="256">
        <v>2010</v>
      </c>
      <c r="D889" s="256">
        <v>175</v>
      </c>
      <c r="E889">
        <v>4.6775989880116304</v>
      </c>
      <c r="F889" s="257"/>
      <c r="G889">
        <f t="shared" si="12"/>
        <v>175</v>
      </c>
      <c r="H889" s="4">
        <f>IF(B889="RTG Crane",IF(D889&lt;600,800000,1200000),VLOOKUP(B889,'$$$ Replace &amp; Retrofit'!$B$10:$C$14,2)*'CHE Model poplulation'!D889)*E889</f>
        <v>818579.82290203532</v>
      </c>
      <c r="I889" s="4">
        <f>E889*VLOOKUP('CHE Model poplulation'!G889,'$$$ Replace &amp; Retrofit'!$I$10:$J$15,2)</f>
        <v>115985.74450673639</v>
      </c>
      <c r="J889" s="4">
        <f>IF(D889=50,VLOOKUP(0,'$$$ Replace &amp; Retrofit'!$E$10:$F$13,2),IF(D889&lt;175,VLOOKUP(50,'$$$ Replace &amp; Retrofit'!$E$10:$F$13,2),IF(D889&lt;400,VLOOKUP(175,'$$$ Replace &amp; Retrofit'!$E$10:$F$13,2),IF(D889&gt;=400,VLOOKUP(400,'$$$ Replace &amp; Retrofit'!$E$10:$F$13,2),NA))))*E889</f>
        <v>84196.78178420935</v>
      </c>
    </row>
    <row r="890" spans="1:10" ht="30" x14ac:dyDescent="0.25">
      <c r="A890" s="255" t="s">
        <v>20</v>
      </c>
      <c r="B890" s="255" t="s">
        <v>211</v>
      </c>
      <c r="C890" s="256">
        <v>2010</v>
      </c>
      <c r="D890" s="256">
        <v>300</v>
      </c>
      <c r="E890">
        <v>3.5253129214195198</v>
      </c>
      <c r="F890" s="257"/>
      <c r="G890">
        <f t="shared" si="12"/>
        <v>300</v>
      </c>
      <c r="H890" s="4">
        <f>IF(B890="RTG Crane",IF(D890&lt;600,800000,1200000),VLOOKUP(B890,'$$$ Replace &amp; Retrofit'!$B$10:$C$14,2)*'CHE Model poplulation'!D890)*E890</f>
        <v>1057593.876425856</v>
      </c>
      <c r="I890" s="4">
        <f>E890*VLOOKUP('CHE Model poplulation'!G890,'$$$ Replace &amp; Retrofit'!$I$10:$J$15,2)</f>
        <v>101398.57555878964</v>
      </c>
      <c r="J890" s="4">
        <f>IF(D890=50,VLOOKUP(0,'$$$ Replace &amp; Retrofit'!$E$10:$F$13,2),IF(D890&lt;175,VLOOKUP(50,'$$$ Replace &amp; Retrofit'!$E$10:$F$13,2),IF(D890&lt;400,VLOOKUP(175,'$$$ Replace &amp; Retrofit'!$E$10:$F$13,2),IF(D890&gt;=400,VLOOKUP(400,'$$$ Replace &amp; Retrofit'!$E$10:$F$13,2),NA))))*E890</f>
        <v>63455.632585551357</v>
      </c>
    </row>
    <row r="891" spans="1:10" ht="30" x14ac:dyDescent="0.25">
      <c r="A891" s="255" t="s">
        <v>20</v>
      </c>
      <c r="B891" s="255" t="s">
        <v>211</v>
      </c>
      <c r="C891" s="256">
        <v>2010</v>
      </c>
      <c r="D891" s="256">
        <v>600</v>
      </c>
      <c r="E891">
        <v>3.0245769632643502</v>
      </c>
      <c r="F891" s="257"/>
      <c r="G891">
        <f t="shared" si="12"/>
        <v>400</v>
      </c>
      <c r="H891" s="4">
        <f>IF(B891="RTG Crane",IF(D891&lt;600,800000,1200000),VLOOKUP(B891,'$$$ Replace &amp; Retrofit'!$B$10:$C$14,2)*'CHE Model poplulation'!D891)*E891</f>
        <v>1814746.1779586102</v>
      </c>
      <c r="I891" s="4">
        <f>E891*VLOOKUP('CHE Model poplulation'!G891,'$$$ Replace &amp; Retrofit'!$I$10:$J$15,2)</f>
        <v>158285.18621851323</v>
      </c>
      <c r="J891" s="4">
        <f>IF(D891=50,VLOOKUP(0,'$$$ Replace &amp; Retrofit'!$E$10:$F$13,2),IF(D891&lt;175,VLOOKUP(50,'$$$ Replace &amp; Retrofit'!$E$10:$F$13,2),IF(D891&lt;400,VLOOKUP(175,'$$$ Replace &amp; Retrofit'!$E$10:$F$13,2),IF(D891&gt;=400,VLOOKUP(400,'$$$ Replace &amp; Retrofit'!$E$10:$F$13,2),NA))))*E891</f>
        <v>90737.308897930503</v>
      </c>
    </row>
    <row r="892" spans="1:10" ht="30" x14ac:dyDescent="0.25">
      <c r="A892" s="255" t="s">
        <v>20</v>
      </c>
      <c r="B892" s="255" t="s">
        <v>211</v>
      </c>
      <c r="C892" s="256">
        <v>2011</v>
      </c>
      <c r="D892" s="256">
        <v>50</v>
      </c>
      <c r="E892">
        <v>4.3006242540019004</v>
      </c>
      <c r="F892" s="257">
        <f>SUM(E892:E897)</f>
        <v>18.699737902493823</v>
      </c>
      <c r="G892">
        <f t="shared" si="12"/>
        <v>50</v>
      </c>
      <c r="H892" s="4">
        <f>IF(B892="RTG Crane",IF(D892&lt;600,800000,1200000),VLOOKUP(B892,'$$$ Replace &amp; Retrofit'!$B$10:$C$14,2)*'CHE Model poplulation'!D892)*E892</f>
        <v>215031.21270009503</v>
      </c>
      <c r="I892" s="4">
        <f>E892*VLOOKUP('CHE Model poplulation'!G892,'$$$ Replace &amp; Retrofit'!$I$10:$J$15,2)</f>
        <v>75639.379379385427</v>
      </c>
      <c r="J892" s="4">
        <f>IF(D892=50,VLOOKUP(0,'$$$ Replace &amp; Retrofit'!$E$10:$F$13,2),IF(D892&lt;175,VLOOKUP(50,'$$$ Replace &amp; Retrofit'!$E$10:$F$13,2),IF(D892&lt;400,VLOOKUP(175,'$$$ Replace &amp; Retrofit'!$E$10:$F$13,2),IF(D892&gt;=400,VLOOKUP(400,'$$$ Replace &amp; Retrofit'!$E$10:$F$13,2),NA))))*E892</f>
        <v>34404.994032015202</v>
      </c>
    </row>
    <row r="893" spans="1:10" ht="30" x14ac:dyDescent="0.25">
      <c r="A893" s="255" t="s">
        <v>20</v>
      </c>
      <c r="B893" s="255" t="s">
        <v>211</v>
      </c>
      <c r="C893" s="256">
        <v>2011</v>
      </c>
      <c r="D893" s="256">
        <v>75</v>
      </c>
      <c r="E893">
        <v>1.93120974290098</v>
      </c>
      <c r="F893" s="257"/>
      <c r="G893">
        <f t="shared" si="12"/>
        <v>50</v>
      </c>
      <c r="H893" s="4">
        <f>IF(B893="RTG Crane",IF(D893&lt;600,800000,1200000),VLOOKUP(B893,'$$$ Replace &amp; Retrofit'!$B$10:$C$14,2)*'CHE Model poplulation'!D893)*E893</f>
        <v>144840.73071757349</v>
      </c>
      <c r="I893" s="4">
        <f>E893*VLOOKUP('CHE Model poplulation'!G893,'$$$ Replace &amp; Retrofit'!$I$10:$J$15,2)</f>
        <v>33966.11695814244</v>
      </c>
      <c r="J893" s="4">
        <f>IF(D893=50,VLOOKUP(0,'$$$ Replace &amp; Retrofit'!$E$10:$F$13,2),IF(D893&lt;175,VLOOKUP(50,'$$$ Replace &amp; Retrofit'!$E$10:$F$13,2),IF(D893&lt;400,VLOOKUP(175,'$$$ Replace &amp; Retrofit'!$E$10:$F$13,2),IF(D893&gt;=400,VLOOKUP(400,'$$$ Replace &amp; Retrofit'!$E$10:$F$13,2),NA))))*E893</f>
        <v>23174.51691481176</v>
      </c>
    </row>
    <row r="894" spans="1:10" ht="30" x14ac:dyDescent="0.25">
      <c r="A894" s="255" t="s">
        <v>20</v>
      </c>
      <c r="B894" s="255" t="s">
        <v>211</v>
      </c>
      <c r="C894" s="256">
        <v>2011</v>
      </c>
      <c r="D894" s="256">
        <v>100</v>
      </c>
      <c r="E894">
        <v>2.28310459710345</v>
      </c>
      <c r="F894" s="257"/>
      <c r="G894">
        <f t="shared" si="12"/>
        <v>125</v>
      </c>
      <c r="H894" s="4">
        <f>IF(B894="RTG Crane",IF(D894&lt;600,800000,1200000),VLOOKUP(B894,'$$$ Replace &amp; Retrofit'!$B$10:$C$14,2)*'CHE Model poplulation'!D894)*E894</f>
        <v>228310.45971034499</v>
      </c>
      <c r="I894" s="4">
        <f>E894*VLOOKUP('CHE Model poplulation'!G894,'$$$ Replace &amp; Retrofit'!$I$10:$J$15,2)</f>
        <v>45052.503014642381</v>
      </c>
      <c r="J894" s="4">
        <f>IF(D894=50,VLOOKUP(0,'$$$ Replace &amp; Retrofit'!$E$10:$F$13,2),IF(D894&lt;175,VLOOKUP(50,'$$$ Replace &amp; Retrofit'!$E$10:$F$13,2),IF(D894&lt;400,VLOOKUP(175,'$$$ Replace &amp; Retrofit'!$E$10:$F$13,2),IF(D894&gt;=400,VLOOKUP(400,'$$$ Replace &amp; Retrofit'!$E$10:$F$13,2),NA))))*E894</f>
        <v>27397.2551652414</v>
      </c>
    </row>
    <row r="895" spans="1:10" ht="30" x14ac:dyDescent="0.25">
      <c r="A895" s="255" t="s">
        <v>20</v>
      </c>
      <c r="B895" s="255" t="s">
        <v>211</v>
      </c>
      <c r="C895" s="256">
        <v>2011</v>
      </c>
      <c r="D895" s="256">
        <v>175</v>
      </c>
      <c r="E895">
        <v>4.0817566371029903</v>
      </c>
      <c r="F895" s="257"/>
      <c r="G895">
        <f t="shared" si="12"/>
        <v>175</v>
      </c>
      <c r="H895" s="4">
        <f>IF(B895="RTG Crane",IF(D895&lt;600,800000,1200000),VLOOKUP(B895,'$$$ Replace &amp; Retrofit'!$B$10:$C$14,2)*'CHE Model poplulation'!D895)*E895</f>
        <v>714307.41149302328</v>
      </c>
      <c r="I895" s="4">
        <f>E895*VLOOKUP('CHE Model poplulation'!G895,'$$$ Replace &amp; Retrofit'!$I$10:$J$15,2)</f>
        <v>101211.23757360574</v>
      </c>
      <c r="J895" s="4">
        <f>IF(D895=50,VLOOKUP(0,'$$$ Replace &amp; Retrofit'!$E$10:$F$13,2),IF(D895&lt;175,VLOOKUP(50,'$$$ Replace &amp; Retrofit'!$E$10:$F$13,2),IF(D895&lt;400,VLOOKUP(175,'$$$ Replace &amp; Retrofit'!$E$10:$F$13,2),IF(D895&gt;=400,VLOOKUP(400,'$$$ Replace &amp; Retrofit'!$E$10:$F$13,2),NA))))*E895</f>
        <v>73471.61946785383</v>
      </c>
    </row>
    <row r="896" spans="1:10" ht="30" x14ac:dyDescent="0.25">
      <c r="A896" s="255" t="s">
        <v>20</v>
      </c>
      <c r="B896" s="255" t="s">
        <v>211</v>
      </c>
      <c r="C896" s="256">
        <v>2011</v>
      </c>
      <c r="D896" s="256">
        <v>300</v>
      </c>
      <c r="E896">
        <v>3.40370031287484</v>
      </c>
      <c r="F896" s="257"/>
      <c r="G896">
        <f t="shared" si="12"/>
        <v>300</v>
      </c>
      <c r="H896" s="4">
        <f>IF(B896="RTG Crane",IF(D896&lt;600,800000,1200000),VLOOKUP(B896,'$$$ Replace &amp; Retrofit'!$B$10:$C$14,2)*'CHE Model poplulation'!D896)*E896</f>
        <v>1021110.093862452</v>
      </c>
      <c r="I896" s="4">
        <f>E896*VLOOKUP('CHE Model poplulation'!G896,'$$$ Replace &amp; Retrofit'!$I$10:$J$15,2)</f>
        <v>97900.632099219016</v>
      </c>
      <c r="J896" s="4">
        <f>IF(D896=50,VLOOKUP(0,'$$$ Replace &amp; Retrofit'!$E$10:$F$13,2),IF(D896&lt;175,VLOOKUP(50,'$$$ Replace &amp; Retrofit'!$E$10:$F$13,2),IF(D896&lt;400,VLOOKUP(175,'$$$ Replace &amp; Retrofit'!$E$10:$F$13,2),IF(D896&gt;=400,VLOOKUP(400,'$$$ Replace &amp; Retrofit'!$E$10:$F$13,2),NA))))*E896</f>
        <v>61266.605631747123</v>
      </c>
    </row>
    <row r="897" spans="1:10" ht="30" x14ac:dyDescent="0.25">
      <c r="A897" s="255" t="s">
        <v>20</v>
      </c>
      <c r="B897" s="255" t="s">
        <v>211</v>
      </c>
      <c r="C897" s="256">
        <v>2011</v>
      </c>
      <c r="D897" s="256">
        <v>600</v>
      </c>
      <c r="E897">
        <v>2.6993423585096599</v>
      </c>
      <c r="F897" s="257"/>
      <c r="G897">
        <f t="shared" si="12"/>
        <v>400</v>
      </c>
      <c r="H897" s="4">
        <f>IF(B897="RTG Crane",IF(D897&lt;600,800000,1200000),VLOOKUP(B897,'$$$ Replace &amp; Retrofit'!$B$10:$C$14,2)*'CHE Model poplulation'!D897)*E897</f>
        <v>1619605.415105796</v>
      </c>
      <c r="I897" s="4">
        <f>E897*VLOOKUP('CHE Model poplulation'!G897,'$$$ Replace &amp; Retrofit'!$I$10:$J$15,2)</f>
        <v>141264.68364788604</v>
      </c>
      <c r="J897" s="4">
        <f>IF(D897=50,VLOOKUP(0,'$$$ Replace &amp; Retrofit'!$E$10:$F$13,2),IF(D897&lt;175,VLOOKUP(50,'$$$ Replace &amp; Retrofit'!$E$10:$F$13,2),IF(D897&lt;400,VLOOKUP(175,'$$$ Replace &amp; Retrofit'!$E$10:$F$13,2),IF(D897&gt;=400,VLOOKUP(400,'$$$ Replace &amp; Retrofit'!$E$10:$F$13,2),NA))))*E897</f>
        <v>80980.270755289792</v>
      </c>
    </row>
    <row r="898" spans="1:10" ht="30" x14ac:dyDescent="0.25">
      <c r="A898" s="255" t="s">
        <v>20</v>
      </c>
      <c r="B898" s="255" t="s">
        <v>211</v>
      </c>
      <c r="C898" s="256">
        <v>2012</v>
      </c>
      <c r="D898" s="256">
        <v>50</v>
      </c>
      <c r="E898">
        <v>4.2231000350836503</v>
      </c>
      <c r="F898" s="257"/>
      <c r="G898">
        <f t="shared" si="12"/>
        <v>50</v>
      </c>
      <c r="H898" s="4">
        <f>IF(B898="RTG Crane",IF(D898&lt;600,800000,1200000),VLOOKUP(B898,'$$$ Replace &amp; Retrofit'!$B$10:$C$14,2)*'CHE Model poplulation'!D898)*E898</f>
        <v>211155.00175418251</v>
      </c>
      <c r="I898" s="4">
        <f>E898*VLOOKUP('CHE Model poplulation'!G898,'$$$ Replace &amp; Retrofit'!$I$10:$J$15,2)</f>
        <v>74275.883417051242</v>
      </c>
      <c r="J898" s="4">
        <f>IF(D898=50,VLOOKUP(0,'$$$ Replace &amp; Retrofit'!$E$10:$F$13,2),IF(D898&lt;175,VLOOKUP(50,'$$$ Replace &amp; Retrofit'!$E$10:$F$13,2),IF(D898&lt;400,VLOOKUP(175,'$$$ Replace &amp; Retrofit'!$E$10:$F$13,2),IF(D898&gt;=400,VLOOKUP(400,'$$$ Replace &amp; Retrofit'!$E$10:$F$13,2),NA))))*E898</f>
        <v>33784.800280669202</v>
      </c>
    </row>
    <row r="899" spans="1:10" ht="30" x14ac:dyDescent="0.25">
      <c r="A899" s="255" t="s">
        <v>20</v>
      </c>
      <c r="B899" s="255" t="s">
        <v>211</v>
      </c>
      <c r="C899" s="256">
        <v>2012</v>
      </c>
      <c r="D899" s="256">
        <v>75</v>
      </c>
      <c r="E899">
        <v>1.9110629817418301</v>
      </c>
      <c r="F899" s="257"/>
      <c r="G899">
        <f t="shared" si="12"/>
        <v>50</v>
      </c>
      <c r="H899" s="4">
        <f>IF(B899="RTG Crane",IF(D899&lt;600,800000,1200000),VLOOKUP(B899,'$$$ Replace &amp; Retrofit'!$B$10:$C$14,2)*'CHE Model poplulation'!D899)*E899</f>
        <v>143329.72363063725</v>
      </c>
      <c r="I899" s="4">
        <f>E899*VLOOKUP('CHE Model poplulation'!G899,'$$$ Replace &amp; Retrofit'!$I$10:$J$15,2)</f>
        <v>33611.775722875311</v>
      </c>
      <c r="J899" s="4">
        <f>IF(D899=50,VLOOKUP(0,'$$$ Replace &amp; Retrofit'!$E$10:$F$13,2),IF(D899&lt;175,VLOOKUP(50,'$$$ Replace &amp; Retrofit'!$E$10:$F$13,2),IF(D899&lt;400,VLOOKUP(175,'$$$ Replace &amp; Retrofit'!$E$10:$F$13,2),IF(D899&gt;=400,VLOOKUP(400,'$$$ Replace &amp; Retrofit'!$E$10:$F$13,2),NA))))*E899</f>
        <v>22932.75578090196</v>
      </c>
    </row>
    <row r="900" spans="1:10" ht="30" x14ac:dyDescent="0.25">
      <c r="A900" s="255" t="s">
        <v>20</v>
      </c>
      <c r="B900" s="255" t="s">
        <v>211</v>
      </c>
      <c r="C900" s="256">
        <v>2012</v>
      </c>
      <c r="D900" s="256">
        <v>100</v>
      </c>
      <c r="E900">
        <v>2.2450696646569099</v>
      </c>
      <c r="F900" s="257"/>
      <c r="G900">
        <f t="shared" si="12"/>
        <v>125</v>
      </c>
      <c r="H900" s="4">
        <f>IF(B900="RTG Crane",IF(D900&lt;600,800000,1200000),VLOOKUP(B900,'$$$ Replace &amp; Retrofit'!$B$10:$C$14,2)*'CHE Model poplulation'!D900)*E900</f>
        <v>224506.96646569099</v>
      </c>
      <c r="I900" s="4">
        <f>E900*VLOOKUP('CHE Model poplulation'!G900,'$$$ Replace &amp; Retrofit'!$I$10:$J$15,2)</f>
        <v>44301.959692674805</v>
      </c>
      <c r="J900" s="4">
        <f>IF(D900=50,VLOOKUP(0,'$$$ Replace &amp; Retrofit'!$E$10:$F$13,2),IF(D900&lt;175,VLOOKUP(50,'$$$ Replace &amp; Retrofit'!$E$10:$F$13,2),IF(D900&lt;400,VLOOKUP(175,'$$$ Replace &amp; Retrofit'!$E$10:$F$13,2),IF(D900&gt;=400,VLOOKUP(400,'$$$ Replace &amp; Retrofit'!$E$10:$F$13,2),NA))))*E900</f>
        <v>26940.835975882917</v>
      </c>
    </row>
    <row r="901" spans="1:10" ht="30" x14ac:dyDescent="0.25">
      <c r="A901" s="255" t="s">
        <v>20</v>
      </c>
      <c r="B901" s="255" t="s">
        <v>211</v>
      </c>
      <c r="C901" s="256">
        <v>2012</v>
      </c>
      <c r="D901" s="256">
        <v>175</v>
      </c>
      <c r="E901">
        <v>3.9707069763432701</v>
      </c>
      <c r="F901" s="257"/>
      <c r="G901">
        <f t="shared" si="12"/>
        <v>175</v>
      </c>
      <c r="H901" s="4">
        <f>IF(B901="RTG Crane",IF(D901&lt;600,800000,1200000),VLOOKUP(B901,'$$$ Replace &amp; Retrofit'!$B$10:$C$14,2)*'CHE Model poplulation'!D901)*E901</f>
        <v>694873.7208600723</v>
      </c>
      <c r="I901" s="4">
        <f>E901*VLOOKUP('CHE Model poplulation'!G901,'$$$ Replace &amp; Retrofit'!$I$10:$J$15,2)</f>
        <v>98457.650185407721</v>
      </c>
      <c r="J901" s="4">
        <f>IF(D901=50,VLOOKUP(0,'$$$ Replace &amp; Retrofit'!$E$10:$F$13,2),IF(D901&lt;175,VLOOKUP(50,'$$$ Replace &amp; Retrofit'!$E$10:$F$13,2),IF(D901&lt;400,VLOOKUP(175,'$$$ Replace &amp; Retrofit'!$E$10:$F$13,2),IF(D901&gt;=400,VLOOKUP(400,'$$$ Replace &amp; Retrofit'!$E$10:$F$13,2),NA))))*E901</f>
        <v>71472.725574178869</v>
      </c>
    </row>
    <row r="902" spans="1:10" ht="30" x14ac:dyDescent="0.25">
      <c r="A902" s="255" t="s">
        <v>20</v>
      </c>
      <c r="B902" s="255" t="s">
        <v>211</v>
      </c>
      <c r="C902" s="256">
        <v>2012</v>
      </c>
      <c r="D902" s="256">
        <v>300</v>
      </c>
      <c r="E902">
        <v>3.3049618656119799</v>
      </c>
      <c r="F902" s="257"/>
      <c r="G902">
        <f t="shared" si="12"/>
        <v>300</v>
      </c>
      <c r="H902" s="4">
        <f>IF(B902="RTG Crane",IF(D902&lt;600,800000,1200000),VLOOKUP(B902,'$$$ Replace &amp; Retrofit'!$B$10:$C$14,2)*'CHE Model poplulation'!D902)*E902</f>
        <v>991488.55968359392</v>
      </c>
      <c r="I902" s="4">
        <f>E902*VLOOKUP('CHE Model poplulation'!G902,'$$$ Replace &amp; Retrofit'!$I$10:$J$15,2)</f>
        <v>95060.618140597377</v>
      </c>
      <c r="J902" s="4">
        <f>IF(D902=50,VLOOKUP(0,'$$$ Replace &amp; Retrofit'!$E$10:$F$13,2),IF(D902&lt;175,VLOOKUP(50,'$$$ Replace &amp; Retrofit'!$E$10:$F$13,2),IF(D902&lt;400,VLOOKUP(175,'$$$ Replace &amp; Retrofit'!$E$10:$F$13,2),IF(D902&gt;=400,VLOOKUP(400,'$$$ Replace &amp; Retrofit'!$E$10:$F$13,2),NA))))*E902</f>
        <v>59489.313581015638</v>
      </c>
    </row>
    <row r="903" spans="1:10" ht="30" x14ac:dyDescent="0.25">
      <c r="A903" s="255" t="s">
        <v>20</v>
      </c>
      <c r="B903" s="255" t="s">
        <v>211</v>
      </c>
      <c r="C903" s="256">
        <v>2012</v>
      </c>
      <c r="D903" s="256">
        <v>600</v>
      </c>
      <c r="E903">
        <v>2.5761562430093701</v>
      </c>
      <c r="F903" s="257"/>
      <c r="G903">
        <f t="shared" si="12"/>
        <v>400</v>
      </c>
      <c r="H903" s="4">
        <f>IF(B903="RTG Crane",IF(D903&lt;600,800000,1200000),VLOOKUP(B903,'$$$ Replace &amp; Retrofit'!$B$10:$C$14,2)*'CHE Model poplulation'!D903)*E903</f>
        <v>1545693.7458056221</v>
      </c>
      <c r="I903" s="4">
        <f>E903*VLOOKUP('CHE Model poplulation'!G903,'$$$ Replace &amp; Retrofit'!$I$10:$J$15,2)</f>
        <v>134817.98466540937</v>
      </c>
      <c r="J903" s="4">
        <f>IF(D903=50,VLOOKUP(0,'$$$ Replace &amp; Retrofit'!$E$10:$F$13,2),IF(D903&lt;175,VLOOKUP(50,'$$$ Replace &amp; Retrofit'!$E$10:$F$13,2),IF(D903&lt;400,VLOOKUP(175,'$$$ Replace &amp; Retrofit'!$E$10:$F$13,2),IF(D903&gt;=400,VLOOKUP(400,'$$$ Replace &amp; Retrofit'!$E$10:$F$13,2),NA))))*E903</f>
        <v>77284.687290281101</v>
      </c>
    </row>
    <row r="904" spans="1:10" ht="30" x14ac:dyDescent="0.25">
      <c r="A904" s="255" t="s">
        <v>20</v>
      </c>
      <c r="B904" s="255" t="s">
        <v>211</v>
      </c>
      <c r="C904" s="256">
        <v>2013</v>
      </c>
      <c r="D904" s="256">
        <v>50</v>
      </c>
      <c r="E904">
        <v>2.80083690756679</v>
      </c>
      <c r="F904" s="257"/>
      <c r="G904">
        <f t="shared" si="12"/>
        <v>50</v>
      </c>
      <c r="H904" s="4">
        <f>IF(B904="RTG Crane",IF(D904&lt;600,800000,1200000),VLOOKUP(B904,'$$$ Replace &amp; Retrofit'!$B$10:$C$14,2)*'CHE Model poplulation'!D904)*E904</f>
        <v>140041.84537833949</v>
      </c>
      <c r="I904" s="4">
        <f>E904*VLOOKUP('CHE Model poplulation'!G904,'$$$ Replace &amp; Retrofit'!$I$10:$J$15,2)</f>
        <v>49261.119530284705</v>
      </c>
      <c r="J904" s="4">
        <f>IF(D904=50,VLOOKUP(0,'$$$ Replace &amp; Retrofit'!$E$10:$F$13,2),IF(D904&lt;175,VLOOKUP(50,'$$$ Replace &amp; Retrofit'!$E$10:$F$13,2),IF(D904&lt;400,VLOOKUP(175,'$$$ Replace &amp; Retrofit'!$E$10:$F$13,2),IF(D904&gt;=400,VLOOKUP(400,'$$$ Replace &amp; Retrofit'!$E$10:$F$13,2),NA))))*E904</f>
        <v>22406.695260534321</v>
      </c>
    </row>
    <row r="905" spans="1:10" ht="30" x14ac:dyDescent="0.25">
      <c r="A905" s="255" t="s">
        <v>20</v>
      </c>
      <c r="B905" s="255" t="s">
        <v>211</v>
      </c>
      <c r="C905" s="256">
        <v>2013</v>
      </c>
      <c r="D905" s="256">
        <v>75</v>
      </c>
      <c r="E905">
        <v>1.2837036257838601</v>
      </c>
      <c r="F905" s="257"/>
      <c r="G905">
        <f t="shared" si="12"/>
        <v>50</v>
      </c>
      <c r="H905" s="4">
        <f>IF(B905="RTG Crane",IF(D905&lt;600,800000,1200000),VLOOKUP(B905,'$$$ Replace &amp; Retrofit'!$B$10:$C$14,2)*'CHE Model poplulation'!D905)*E905</f>
        <v>96277.771933789511</v>
      </c>
      <c r="I905" s="4">
        <f>E905*VLOOKUP('CHE Model poplulation'!G905,'$$$ Replace &amp; Retrofit'!$I$10:$J$15,2)</f>
        <v>22577.779370286531</v>
      </c>
      <c r="J905" s="4">
        <f>IF(D905=50,VLOOKUP(0,'$$$ Replace &amp; Retrofit'!$E$10:$F$13,2),IF(D905&lt;175,VLOOKUP(50,'$$$ Replace &amp; Retrofit'!$E$10:$F$13,2),IF(D905&lt;400,VLOOKUP(175,'$$$ Replace &amp; Retrofit'!$E$10:$F$13,2),IF(D905&gt;=400,VLOOKUP(400,'$$$ Replace &amp; Retrofit'!$E$10:$F$13,2),NA))))*E905</f>
        <v>15404.443509406321</v>
      </c>
    </row>
    <row r="906" spans="1:10" ht="30" x14ac:dyDescent="0.25">
      <c r="A906" s="255" t="s">
        <v>20</v>
      </c>
      <c r="B906" s="255" t="s">
        <v>211</v>
      </c>
      <c r="C906" s="256">
        <v>2013</v>
      </c>
      <c r="D906" s="256">
        <v>100</v>
      </c>
      <c r="E906">
        <v>1.55060347187184</v>
      </c>
      <c r="F906" s="257"/>
      <c r="G906">
        <f t="shared" si="12"/>
        <v>125</v>
      </c>
      <c r="H906" s="4">
        <f>IF(B906="RTG Crane",IF(D906&lt;600,800000,1200000),VLOOKUP(B906,'$$$ Replace &amp; Retrofit'!$B$10:$C$14,2)*'CHE Model poplulation'!D906)*E906</f>
        <v>155060.347187184</v>
      </c>
      <c r="I906" s="4">
        <f>E906*VLOOKUP('CHE Model poplulation'!G906,'$$$ Replace &amp; Retrofit'!$I$10:$J$15,2)</f>
        <v>30598.058310447017</v>
      </c>
      <c r="J906" s="4">
        <f>IF(D906=50,VLOOKUP(0,'$$$ Replace &amp; Retrofit'!$E$10:$F$13,2),IF(D906&lt;175,VLOOKUP(50,'$$$ Replace &amp; Retrofit'!$E$10:$F$13,2),IF(D906&lt;400,VLOOKUP(175,'$$$ Replace &amp; Retrofit'!$E$10:$F$13,2),IF(D906&gt;=400,VLOOKUP(400,'$$$ Replace &amp; Retrofit'!$E$10:$F$13,2),NA))))*E906</f>
        <v>18607.241662462078</v>
      </c>
    </row>
    <row r="907" spans="1:10" ht="30" x14ac:dyDescent="0.25">
      <c r="A907" s="255" t="s">
        <v>20</v>
      </c>
      <c r="B907" s="255" t="s">
        <v>211</v>
      </c>
      <c r="C907" s="256">
        <v>2013</v>
      </c>
      <c r="D907" s="256">
        <v>175</v>
      </c>
      <c r="E907">
        <v>2.2416038986502298</v>
      </c>
      <c r="F907" s="257"/>
      <c r="G907">
        <f t="shared" si="12"/>
        <v>175</v>
      </c>
      <c r="H907" s="4">
        <f>IF(B907="RTG Crane",IF(D907&lt;600,800000,1200000),VLOOKUP(B907,'$$$ Replace &amp; Retrofit'!$B$10:$C$14,2)*'CHE Model poplulation'!D907)*E907</f>
        <v>392280.68226379022</v>
      </c>
      <c r="I907" s="4">
        <f>E907*VLOOKUP('CHE Model poplulation'!G907,'$$$ Replace &amp; Retrofit'!$I$10:$J$15,2)</f>
        <v>55582.810270931099</v>
      </c>
      <c r="J907" s="4">
        <f>IF(D907=50,VLOOKUP(0,'$$$ Replace &amp; Retrofit'!$E$10:$F$13,2),IF(D907&lt;175,VLOOKUP(50,'$$$ Replace &amp; Retrofit'!$E$10:$F$13,2),IF(D907&lt;400,VLOOKUP(175,'$$$ Replace &amp; Retrofit'!$E$10:$F$13,2),IF(D907&gt;=400,VLOOKUP(400,'$$$ Replace &amp; Retrofit'!$E$10:$F$13,2),NA))))*E907</f>
        <v>40348.870175704134</v>
      </c>
    </row>
    <row r="908" spans="1:10" ht="30" x14ac:dyDescent="0.25">
      <c r="A908" s="255" t="s">
        <v>20</v>
      </c>
      <c r="B908" s="255" t="s">
        <v>211</v>
      </c>
      <c r="C908" s="256">
        <v>2013</v>
      </c>
      <c r="D908" s="256">
        <v>300</v>
      </c>
      <c r="E908">
        <v>2.0635888282901802</v>
      </c>
      <c r="F908" s="257"/>
      <c r="G908">
        <f t="shared" si="12"/>
        <v>300</v>
      </c>
      <c r="H908" s="4">
        <f>IF(B908="RTG Crane",IF(D908&lt;600,800000,1200000),VLOOKUP(B908,'$$$ Replace &amp; Retrofit'!$B$10:$C$14,2)*'CHE Model poplulation'!D908)*E908</f>
        <v>619076.64848705404</v>
      </c>
      <c r="I908" s="4">
        <f>E908*VLOOKUP('CHE Model poplulation'!G908,'$$$ Replace &amp; Retrofit'!$I$10:$J$15,2)</f>
        <v>59355.005468110452</v>
      </c>
      <c r="J908" s="4">
        <f>IF(D908=50,VLOOKUP(0,'$$$ Replace &amp; Retrofit'!$E$10:$F$13,2),IF(D908&lt;175,VLOOKUP(50,'$$$ Replace &amp; Retrofit'!$E$10:$F$13,2),IF(D908&lt;400,VLOOKUP(175,'$$$ Replace &amp; Retrofit'!$E$10:$F$13,2),IF(D908&gt;=400,VLOOKUP(400,'$$$ Replace &amp; Retrofit'!$E$10:$F$13,2),NA))))*E908</f>
        <v>37144.598909223241</v>
      </c>
    </row>
    <row r="909" spans="1:10" ht="30" x14ac:dyDescent="0.25">
      <c r="A909" s="255" t="s">
        <v>20</v>
      </c>
      <c r="B909" s="255" t="s">
        <v>211</v>
      </c>
      <c r="C909" s="256">
        <v>2013</v>
      </c>
      <c r="D909" s="256">
        <v>600</v>
      </c>
      <c r="E909">
        <v>1.09066368452856</v>
      </c>
      <c r="F909" s="257"/>
      <c r="G909">
        <f t="shared" si="12"/>
        <v>400</v>
      </c>
      <c r="H909" s="4">
        <f>IF(B909="RTG Crane",IF(D909&lt;600,800000,1200000),VLOOKUP(B909,'$$$ Replace &amp; Retrofit'!$B$10:$C$14,2)*'CHE Model poplulation'!D909)*E909</f>
        <v>654398.21071713604</v>
      </c>
      <c r="I909" s="4">
        <f>E909*VLOOKUP('CHE Model poplulation'!G909,'$$$ Replace &amp; Retrofit'!$I$10:$J$15,2)</f>
        <v>57077.702602433128</v>
      </c>
      <c r="J909" s="4">
        <f>IF(D909=50,VLOOKUP(0,'$$$ Replace &amp; Retrofit'!$E$10:$F$13,2),IF(D909&lt;175,VLOOKUP(50,'$$$ Replace &amp; Retrofit'!$E$10:$F$13,2),IF(D909&lt;400,VLOOKUP(175,'$$$ Replace &amp; Retrofit'!$E$10:$F$13,2),IF(D909&gt;=400,VLOOKUP(400,'$$$ Replace &amp; Retrofit'!$E$10:$F$13,2),NA))))*E909</f>
        <v>32719.910535856801</v>
      </c>
    </row>
    <row r="910" spans="1:10" ht="30" x14ac:dyDescent="0.25">
      <c r="A910" s="255" t="s">
        <v>20</v>
      </c>
      <c r="B910" s="255" t="s">
        <v>211</v>
      </c>
      <c r="C910" s="256">
        <v>2014</v>
      </c>
      <c r="D910" s="256">
        <v>50</v>
      </c>
      <c r="E910">
        <v>1.34671017159335</v>
      </c>
      <c r="F910" s="257"/>
      <c r="G910">
        <f t="shared" si="12"/>
        <v>50</v>
      </c>
      <c r="H910" s="4">
        <f>IF(B910="RTG Crane",IF(D910&lt;600,800000,1200000),VLOOKUP(B910,'$$$ Replace &amp; Retrofit'!$B$10:$C$14,2)*'CHE Model poplulation'!D910)*E910</f>
        <v>67335.508579667498</v>
      </c>
      <c r="I910" s="4">
        <f>E910*VLOOKUP('CHE Model poplulation'!G910,'$$$ Replace &amp; Retrofit'!$I$10:$J$15,2)</f>
        <v>23685.93849798384</v>
      </c>
      <c r="J910" s="4">
        <f>IF(D910=50,VLOOKUP(0,'$$$ Replace &amp; Retrofit'!$E$10:$F$13,2),IF(D910&lt;175,VLOOKUP(50,'$$$ Replace &amp; Retrofit'!$E$10:$F$13,2),IF(D910&lt;400,VLOOKUP(175,'$$$ Replace &amp; Retrofit'!$E$10:$F$13,2),IF(D910&gt;=400,VLOOKUP(400,'$$$ Replace &amp; Retrofit'!$E$10:$F$13,2),NA))))*E910</f>
        <v>10773.6813727468</v>
      </c>
    </row>
    <row r="911" spans="1:10" ht="30" x14ac:dyDescent="0.25">
      <c r="A911" s="255" t="s">
        <v>20</v>
      </c>
      <c r="B911" s="255" t="s">
        <v>211</v>
      </c>
      <c r="C911" s="256">
        <v>2014</v>
      </c>
      <c r="D911" s="256">
        <v>75</v>
      </c>
      <c r="E911">
        <v>0.66821497063792301</v>
      </c>
      <c r="F911" s="257"/>
      <c r="G911">
        <f t="shared" si="12"/>
        <v>50</v>
      </c>
      <c r="H911" s="4">
        <f>IF(B911="RTG Crane",IF(D911&lt;600,800000,1200000),VLOOKUP(B911,'$$$ Replace &amp; Retrofit'!$B$10:$C$14,2)*'CHE Model poplulation'!D911)*E911</f>
        <v>50116.122797844226</v>
      </c>
      <c r="I911" s="4">
        <f>E911*VLOOKUP('CHE Model poplulation'!G911,'$$$ Replace &amp; Retrofit'!$I$10:$J$15,2)</f>
        <v>11752.564903579791</v>
      </c>
      <c r="J911" s="4">
        <f>IF(D911=50,VLOOKUP(0,'$$$ Replace &amp; Retrofit'!$E$10:$F$13,2),IF(D911&lt;175,VLOOKUP(50,'$$$ Replace &amp; Retrofit'!$E$10:$F$13,2),IF(D911&lt;400,VLOOKUP(175,'$$$ Replace &amp; Retrofit'!$E$10:$F$13,2),IF(D911&gt;=400,VLOOKUP(400,'$$$ Replace &amp; Retrofit'!$E$10:$F$13,2),NA))))*E911</f>
        <v>8018.5796476550759</v>
      </c>
    </row>
    <row r="912" spans="1:10" ht="30" x14ac:dyDescent="0.25">
      <c r="A912" s="255" t="s">
        <v>20</v>
      </c>
      <c r="B912" s="255" t="s">
        <v>211</v>
      </c>
      <c r="C912" s="256">
        <v>2014</v>
      </c>
      <c r="D912" s="256">
        <v>100</v>
      </c>
      <c r="E912">
        <v>0.82241842540052001</v>
      </c>
      <c r="F912" s="257"/>
      <c r="G912">
        <f t="shared" si="12"/>
        <v>125</v>
      </c>
      <c r="H912" s="4">
        <f>IF(B912="RTG Crane",IF(D912&lt;600,800000,1200000),VLOOKUP(B912,'$$$ Replace &amp; Retrofit'!$B$10:$C$14,2)*'CHE Model poplulation'!D912)*E912</f>
        <v>82241.842540052006</v>
      </c>
      <c r="I912" s="4">
        <f>E912*VLOOKUP('CHE Model poplulation'!G912,'$$$ Replace &amp; Retrofit'!$I$10:$J$15,2)</f>
        <v>16228.782788428462</v>
      </c>
      <c r="J912" s="4">
        <f>IF(D912=50,VLOOKUP(0,'$$$ Replace &amp; Retrofit'!$E$10:$F$13,2),IF(D912&lt;175,VLOOKUP(50,'$$$ Replace &amp; Retrofit'!$E$10:$F$13,2),IF(D912&lt;400,VLOOKUP(175,'$$$ Replace &amp; Retrofit'!$E$10:$F$13,2),IF(D912&gt;=400,VLOOKUP(400,'$$$ Replace &amp; Retrofit'!$E$10:$F$13,2),NA))))*E912</f>
        <v>9869.0211048062411</v>
      </c>
    </row>
    <row r="913" spans="1:10" ht="30" x14ac:dyDescent="0.25">
      <c r="A913" s="255" t="s">
        <v>20</v>
      </c>
      <c r="B913" s="255" t="s">
        <v>211</v>
      </c>
      <c r="C913" s="256">
        <v>2014</v>
      </c>
      <c r="D913" s="256">
        <v>175</v>
      </c>
      <c r="E913">
        <v>0.75045681317797497</v>
      </c>
      <c r="F913" s="257"/>
      <c r="G913">
        <f t="shared" si="12"/>
        <v>175</v>
      </c>
      <c r="H913" s="4">
        <f>IF(B913="RTG Crane",IF(D913&lt;600,800000,1200000),VLOOKUP(B913,'$$$ Replace &amp; Retrofit'!$B$10:$C$14,2)*'CHE Model poplulation'!D913)*E913</f>
        <v>131329.94230614562</v>
      </c>
      <c r="I913" s="4">
        <f>E913*VLOOKUP('CHE Model poplulation'!G913,'$$$ Replace &amp; Retrofit'!$I$10:$J$15,2)</f>
        <v>18608.327139561068</v>
      </c>
      <c r="J913" s="4">
        <f>IF(D913=50,VLOOKUP(0,'$$$ Replace &amp; Retrofit'!$E$10:$F$13,2),IF(D913&lt;175,VLOOKUP(50,'$$$ Replace &amp; Retrofit'!$E$10:$F$13,2),IF(D913&lt;400,VLOOKUP(175,'$$$ Replace &amp; Retrofit'!$E$10:$F$13,2),IF(D913&gt;=400,VLOOKUP(400,'$$$ Replace &amp; Retrofit'!$E$10:$F$13,2),NA))))*E913</f>
        <v>13508.222637203549</v>
      </c>
    </row>
    <row r="914" spans="1:10" ht="30" x14ac:dyDescent="0.25">
      <c r="A914" s="255" t="s">
        <v>20</v>
      </c>
      <c r="B914" s="255" t="s">
        <v>211</v>
      </c>
      <c r="C914" s="256">
        <v>2014</v>
      </c>
      <c r="D914" s="256">
        <v>300</v>
      </c>
      <c r="E914">
        <v>0.82241842540052001</v>
      </c>
      <c r="F914" s="257"/>
      <c r="G914">
        <f t="shared" si="12"/>
        <v>300</v>
      </c>
      <c r="H914" s="4">
        <f>IF(B914="RTG Crane",IF(D914&lt;600,800000,1200000),VLOOKUP(B914,'$$$ Replace &amp; Retrofit'!$B$10:$C$14,2)*'CHE Model poplulation'!D914)*E914</f>
        <v>246725.527620156</v>
      </c>
      <c r="I914" s="4">
        <f>E914*VLOOKUP('CHE Model poplulation'!G914,'$$$ Replace &amp; Retrofit'!$I$10:$J$15,2)</f>
        <v>23655.221169795157</v>
      </c>
      <c r="J914" s="4">
        <f>IF(D914=50,VLOOKUP(0,'$$$ Replace &amp; Retrofit'!$E$10:$F$13,2),IF(D914&lt;175,VLOOKUP(50,'$$$ Replace &amp; Retrofit'!$E$10:$F$13,2),IF(D914&lt;400,VLOOKUP(175,'$$$ Replace &amp; Retrofit'!$E$10:$F$13,2),IF(D914&gt;=400,VLOOKUP(400,'$$$ Replace &amp; Retrofit'!$E$10:$F$13,2),NA))))*E914</f>
        <v>14803.53165720936</v>
      </c>
    </row>
    <row r="915" spans="1:10" ht="30" x14ac:dyDescent="0.25">
      <c r="A915" s="255" t="s">
        <v>20</v>
      </c>
      <c r="B915" s="255" t="s">
        <v>211</v>
      </c>
      <c r="C915" s="256">
        <v>2014</v>
      </c>
      <c r="D915" s="256">
        <v>600</v>
      </c>
      <c r="E915">
        <v>0.20560460635013</v>
      </c>
      <c r="F915" s="257"/>
      <c r="G915">
        <f t="shared" si="12"/>
        <v>400</v>
      </c>
      <c r="H915" s="4">
        <f>IF(B915="RTG Crane",IF(D915&lt;600,800000,1200000),VLOOKUP(B915,'$$$ Replace &amp; Retrofit'!$B$10:$C$14,2)*'CHE Model poplulation'!D915)*E915</f>
        <v>123362.763810078</v>
      </c>
      <c r="I915" s="4">
        <f>E915*VLOOKUP('CHE Model poplulation'!G915,'$$$ Replace &amp; Retrofit'!$I$10:$J$15,2)</f>
        <v>10759.905864121354</v>
      </c>
      <c r="J915" s="4">
        <f>IF(D915=50,VLOOKUP(0,'$$$ Replace &amp; Retrofit'!$E$10:$F$13,2),IF(D915&lt;175,VLOOKUP(50,'$$$ Replace &amp; Retrofit'!$E$10:$F$13,2),IF(D915&lt;400,VLOOKUP(175,'$$$ Replace &amp; Retrofit'!$E$10:$F$13,2),IF(D915&gt;=400,VLOOKUP(400,'$$$ Replace &amp; Retrofit'!$E$10:$F$13,2),NA))))*E915</f>
        <v>6168.1381905038998</v>
      </c>
    </row>
    <row r="916" spans="1:10" ht="30" x14ac:dyDescent="0.25">
      <c r="A916" s="255" t="s">
        <v>20</v>
      </c>
      <c r="B916" s="255" t="s">
        <v>211</v>
      </c>
      <c r="C916" s="256">
        <v>2015</v>
      </c>
      <c r="D916" s="256">
        <v>50</v>
      </c>
      <c r="E916">
        <v>0.257005757937663</v>
      </c>
      <c r="F916" s="257"/>
      <c r="G916">
        <f t="shared" si="12"/>
        <v>50</v>
      </c>
      <c r="H916" s="4">
        <f>IF(B916="RTG Crane",IF(D916&lt;600,800000,1200000),VLOOKUP(B916,'$$$ Replace &amp; Retrofit'!$B$10:$C$14,2)*'CHE Model poplulation'!D916)*E916</f>
        <v>12850.28789688315</v>
      </c>
      <c r="I916" s="4">
        <f>E916*VLOOKUP('CHE Model poplulation'!G916,'$$$ Replace &amp; Retrofit'!$I$10:$J$15,2)</f>
        <v>4520.2172706076171</v>
      </c>
      <c r="J916" s="4">
        <f>IF(D916=50,VLOOKUP(0,'$$$ Replace &amp; Retrofit'!$E$10:$F$13,2),IF(D916&lt;175,VLOOKUP(50,'$$$ Replace &amp; Retrofit'!$E$10:$F$13,2),IF(D916&lt;400,VLOOKUP(175,'$$$ Replace &amp; Retrofit'!$E$10:$F$13,2),IF(D916&gt;=400,VLOOKUP(400,'$$$ Replace &amp; Retrofit'!$E$10:$F$13,2),NA))))*E916</f>
        <v>2056.0460635013042</v>
      </c>
    </row>
    <row r="917" spans="1:10" ht="30" x14ac:dyDescent="0.25">
      <c r="A917" s="255" t="s">
        <v>20</v>
      </c>
      <c r="B917" s="255" t="s">
        <v>211</v>
      </c>
      <c r="C917" s="256">
        <v>2015</v>
      </c>
      <c r="D917" s="256">
        <v>75</v>
      </c>
      <c r="E917">
        <v>0.154203454762598</v>
      </c>
      <c r="F917" s="257"/>
      <c r="G917">
        <f t="shared" si="12"/>
        <v>50</v>
      </c>
      <c r="H917" s="4">
        <f>IF(B917="RTG Crane",IF(D917&lt;600,800000,1200000),VLOOKUP(B917,'$$$ Replace &amp; Retrofit'!$B$10:$C$14,2)*'CHE Model poplulation'!D917)*E917</f>
        <v>11565.25910719485</v>
      </c>
      <c r="I917" s="4">
        <f>E917*VLOOKUP('CHE Model poplulation'!G917,'$$$ Replace &amp; Retrofit'!$I$10:$J$15,2)</f>
        <v>2712.1303623645736</v>
      </c>
      <c r="J917" s="4">
        <f>IF(D917=50,VLOOKUP(0,'$$$ Replace &amp; Retrofit'!$E$10:$F$13,2),IF(D917&lt;175,VLOOKUP(50,'$$$ Replace &amp; Retrofit'!$E$10:$F$13,2),IF(D917&lt;400,VLOOKUP(175,'$$$ Replace &amp; Retrofit'!$E$10:$F$13,2),IF(D917&gt;=400,VLOOKUP(400,'$$$ Replace &amp; Retrofit'!$E$10:$F$13,2),NA))))*E917</f>
        <v>1850.4414571511761</v>
      </c>
    </row>
    <row r="918" spans="1:10" ht="30" x14ac:dyDescent="0.25">
      <c r="A918" s="255" t="s">
        <v>20</v>
      </c>
      <c r="B918" s="255" t="s">
        <v>211</v>
      </c>
      <c r="C918" s="256">
        <v>2015</v>
      </c>
      <c r="D918" s="256">
        <v>100</v>
      </c>
      <c r="E918">
        <v>0.154203454762598</v>
      </c>
      <c r="F918" s="257"/>
      <c r="G918">
        <f t="shared" si="12"/>
        <v>125</v>
      </c>
      <c r="H918" s="4">
        <f>IF(B918="RTG Crane",IF(D918&lt;600,800000,1200000),VLOOKUP(B918,'$$$ Replace &amp; Retrofit'!$B$10:$C$14,2)*'CHE Model poplulation'!D918)*E918</f>
        <v>15420.345476259799</v>
      </c>
      <c r="I918" s="4">
        <f>E918*VLOOKUP('CHE Model poplulation'!G918,'$$$ Replace &amp; Retrofit'!$I$10:$J$15,2)</f>
        <v>3042.8967728303464</v>
      </c>
      <c r="J918" s="4">
        <f>IF(D918=50,VLOOKUP(0,'$$$ Replace &amp; Retrofit'!$E$10:$F$13,2),IF(D918&lt;175,VLOOKUP(50,'$$$ Replace &amp; Retrofit'!$E$10:$F$13,2),IF(D918&lt;400,VLOOKUP(175,'$$$ Replace &amp; Retrofit'!$E$10:$F$13,2),IF(D918&gt;=400,VLOOKUP(400,'$$$ Replace &amp; Retrofit'!$E$10:$F$13,2),NA))))*E918</f>
        <v>1850.4414571511761</v>
      </c>
    </row>
    <row r="919" spans="1:10" ht="30" x14ac:dyDescent="0.25">
      <c r="A919" s="255" t="s">
        <v>20</v>
      </c>
      <c r="B919" s="255" t="s">
        <v>211</v>
      </c>
      <c r="C919" s="256">
        <v>2015</v>
      </c>
      <c r="D919" s="256">
        <v>175</v>
      </c>
      <c r="E919">
        <v>0.154203454762598</v>
      </c>
      <c r="F919" s="257"/>
      <c r="G919">
        <f t="shared" si="12"/>
        <v>175</v>
      </c>
      <c r="H919" s="4">
        <f>IF(B919="RTG Crane",IF(D919&lt;600,800000,1200000),VLOOKUP(B919,'$$$ Replace &amp; Retrofit'!$B$10:$C$14,2)*'CHE Model poplulation'!D919)*E919</f>
        <v>26985.604583454649</v>
      </c>
      <c r="I919" s="4">
        <f>E919*VLOOKUP('CHE Model poplulation'!G919,'$$$ Replace &amp; Retrofit'!$I$10:$J$15,2)</f>
        <v>3823.62886429338</v>
      </c>
      <c r="J919" s="4">
        <f>IF(D919=50,VLOOKUP(0,'$$$ Replace &amp; Retrofit'!$E$10:$F$13,2),IF(D919&lt;175,VLOOKUP(50,'$$$ Replace &amp; Retrofit'!$E$10:$F$13,2),IF(D919&lt;400,VLOOKUP(175,'$$$ Replace &amp; Retrofit'!$E$10:$F$13,2),IF(D919&gt;=400,VLOOKUP(400,'$$$ Replace &amp; Retrofit'!$E$10:$F$13,2),NA))))*E919</f>
        <v>2775.6621857267642</v>
      </c>
    </row>
    <row r="920" spans="1:10" ht="30" x14ac:dyDescent="0.25">
      <c r="A920" s="255" t="s">
        <v>20</v>
      </c>
      <c r="B920" s="255" t="s">
        <v>211</v>
      </c>
      <c r="C920" s="256">
        <v>2015</v>
      </c>
      <c r="D920" s="256">
        <v>300</v>
      </c>
      <c r="E920">
        <v>0.20560460635013</v>
      </c>
      <c r="F920" s="257"/>
      <c r="G920">
        <f t="shared" si="12"/>
        <v>300</v>
      </c>
      <c r="H920" s="4">
        <f>IF(B920="RTG Crane",IF(D920&lt;600,800000,1200000),VLOOKUP(B920,'$$$ Replace &amp; Retrofit'!$B$10:$C$14,2)*'CHE Model poplulation'!D920)*E920</f>
        <v>61681.381905039001</v>
      </c>
      <c r="I920" s="4">
        <f>E920*VLOOKUP('CHE Model poplulation'!G920,'$$$ Replace &amp; Retrofit'!$I$10:$J$15,2)</f>
        <v>5913.8052924487893</v>
      </c>
      <c r="J920" s="4">
        <f>IF(D920=50,VLOOKUP(0,'$$$ Replace &amp; Retrofit'!$E$10:$F$13,2),IF(D920&lt;175,VLOOKUP(50,'$$$ Replace &amp; Retrofit'!$E$10:$F$13,2),IF(D920&lt;400,VLOOKUP(175,'$$$ Replace &amp; Retrofit'!$E$10:$F$13,2),IF(D920&gt;=400,VLOOKUP(400,'$$$ Replace &amp; Retrofit'!$E$10:$F$13,2),NA))))*E920</f>
        <v>3700.8829143023399</v>
      </c>
    </row>
    <row r="921" spans="1:10" ht="30" x14ac:dyDescent="0.25">
      <c r="A921" s="255" t="s">
        <v>20</v>
      </c>
      <c r="B921" s="255" t="s">
        <v>211</v>
      </c>
      <c r="C921" s="256">
        <v>2015</v>
      </c>
      <c r="D921" s="256">
        <v>600</v>
      </c>
      <c r="E921">
        <v>5.1401151587532501E-2</v>
      </c>
      <c r="F921" s="257"/>
      <c r="G921">
        <f t="shared" si="12"/>
        <v>400</v>
      </c>
      <c r="H921" s="4">
        <f>IF(B921="RTG Crane",IF(D921&lt;600,800000,1200000),VLOOKUP(B921,'$$$ Replace &amp; Retrofit'!$B$10:$C$14,2)*'CHE Model poplulation'!D921)*E921</f>
        <v>30840.690952519501</v>
      </c>
      <c r="I921" s="4">
        <f>E921*VLOOKUP('CHE Model poplulation'!G921,'$$$ Replace &amp; Retrofit'!$I$10:$J$15,2)</f>
        <v>2689.9764660303385</v>
      </c>
      <c r="J921" s="4">
        <f>IF(D921=50,VLOOKUP(0,'$$$ Replace &amp; Retrofit'!$E$10:$F$13,2),IF(D921&lt;175,VLOOKUP(50,'$$$ Replace &amp; Retrofit'!$E$10:$F$13,2),IF(D921&lt;400,VLOOKUP(175,'$$$ Replace &amp; Retrofit'!$E$10:$F$13,2),IF(D921&gt;=400,VLOOKUP(400,'$$$ Replace &amp; Retrofit'!$E$10:$F$13,2),NA))))*E921</f>
        <v>1542.0345476259749</v>
      </c>
    </row>
    <row r="922" spans="1:10" ht="30" x14ac:dyDescent="0.25">
      <c r="A922" s="255" t="s">
        <v>20</v>
      </c>
      <c r="B922" s="255" t="s">
        <v>211</v>
      </c>
      <c r="C922" s="256">
        <v>2016</v>
      </c>
      <c r="D922" s="256">
        <v>50</v>
      </c>
      <c r="E922">
        <v>0</v>
      </c>
      <c r="F922" s="257"/>
      <c r="I922" s="4"/>
    </row>
    <row r="923" spans="1:10" ht="30" x14ac:dyDescent="0.25">
      <c r="A923" s="255" t="s">
        <v>20</v>
      </c>
      <c r="B923" s="255" t="s">
        <v>211</v>
      </c>
      <c r="C923" s="256">
        <v>2016</v>
      </c>
      <c r="D923" s="256">
        <v>75</v>
      </c>
      <c r="E923">
        <v>0</v>
      </c>
      <c r="F923" s="257"/>
      <c r="I923" s="4"/>
    </row>
    <row r="924" spans="1:10" ht="30" x14ac:dyDescent="0.25">
      <c r="A924" s="255" t="s">
        <v>20</v>
      </c>
      <c r="B924" s="255" t="s">
        <v>211</v>
      </c>
      <c r="C924" s="256">
        <v>2016</v>
      </c>
      <c r="D924" s="256">
        <v>100</v>
      </c>
      <c r="E924">
        <v>0</v>
      </c>
      <c r="F924" s="257"/>
      <c r="I924" s="4"/>
    </row>
    <row r="925" spans="1:10" ht="30" x14ac:dyDescent="0.25">
      <c r="A925" s="255" t="s">
        <v>20</v>
      </c>
      <c r="B925" s="255" t="s">
        <v>211</v>
      </c>
      <c r="C925" s="256">
        <v>2016</v>
      </c>
      <c r="D925" s="256">
        <v>175</v>
      </c>
      <c r="E925">
        <v>0</v>
      </c>
      <c r="F925" s="257"/>
      <c r="I925" s="4"/>
    </row>
    <row r="926" spans="1:10" ht="30" x14ac:dyDescent="0.25">
      <c r="A926" s="255" t="s">
        <v>20</v>
      </c>
      <c r="B926" s="255" t="s">
        <v>211</v>
      </c>
      <c r="C926" s="256">
        <v>2016</v>
      </c>
      <c r="D926" s="256">
        <v>300</v>
      </c>
      <c r="E926">
        <v>0</v>
      </c>
      <c r="F926" s="257"/>
      <c r="I926" s="4"/>
    </row>
    <row r="927" spans="1:10" ht="30" x14ac:dyDescent="0.25">
      <c r="A927" s="255" t="s">
        <v>20</v>
      </c>
      <c r="B927" s="255" t="s">
        <v>211</v>
      </c>
      <c r="C927" s="256">
        <v>2016</v>
      </c>
      <c r="D927" s="256">
        <v>600</v>
      </c>
      <c r="E927">
        <v>0</v>
      </c>
      <c r="F927" s="257"/>
      <c r="I927" s="4"/>
    </row>
    <row r="928" spans="1:10" ht="30" x14ac:dyDescent="0.25">
      <c r="A928" s="255" t="s">
        <v>20</v>
      </c>
      <c r="B928" s="255" t="s">
        <v>211</v>
      </c>
      <c r="C928" s="256">
        <v>2017</v>
      </c>
      <c r="D928" s="256">
        <v>50</v>
      </c>
      <c r="E928">
        <v>0</v>
      </c>
      <c r="F928" s="257"/>
      <c r="I928" s="4"/>
    </row>
    <row r="929" spans="1:9" ht="30" x14ac:dyDescent="0.25">
      <c r="A929" s="255" t="s">
        <v>20</v>
      </c>
      <c r="B929" s="255" t="s">
        <v>211</v>
      </c>
      <c r="C929" s="256">
        <v>2017</v>
      </c>
      <c r="D929" s="256">
        <v>75</v>
      </c>
      <c r="E929">
        <v>0</v>
      </c>
      <c r="F929" s="257"/>
      <c r="I929" s="4"/>
    </row>
    <row r="930" spans="1:9" ht="30" x14ac:dyDescent="0.25">
      <c r="A930" s="255" t="s">
        <v>20</v>
      </c>
      <c r="B930" s="255" t="s">
        <v>211</v>
      </c>
      <c r="C930" s="256">
        <v>2017</v>
      </c>
      <c r="D930" s="256">
        <v>100</v>
      </c>
      <c r="E930">
        <v>0</v>
      </c>
      <c r="F930" s="257"/>
      <c r="I930" s="4"/>
    </row>
    <row r="931" spans="1:9" ht="30" x14ac:dyDescent="0.25">
      <c r="A931" s="255" t="s">
        <v>20</v>
      </c>
      <c r="B931" s="255" t="s">
        <v>211</v>
      </c>
      <c r="C931" s="256">
        <v>2017</v>
      </c>
      <c r="D931" s="256">
        <v>175</v>
      </c>
      <c r="E931">
        <v>0</v>
      </c>
      <c r="F931" s="257"/>
      <c r="I931" s="4"/>
    </row>
    <row r="932" spans="1:9" ht="30" x14ac:dyDescent="0.25">
      <c r="A932" s="255" t="s">
        <v>20</v>
      </c>
      <c r="B932" s="255" t="s">
        <v>211</v>
      </c>
      <c r="C932" s="256">
        <v>2017</v>
      </c>
      <c r="D932" s="256">
        <v>300</v>
      </c>
      <c r="E932">
        <v>0</v>
      </c>
      <c r="F932" s="257"/>
      <c r="I932" s="4"/>
    </row>
    <row r="933" spans="1:9" ht="30" x14ac:dyDescent="0.25">
      <c r="A933" s="255" t="s">
        <v>20</v>
      </c>
      <c r="B933" s="255" t="s">
        <v>211</v>
      </c>
      <c r="C933" s="256">
        <v>2017</v>
      </c>
      <c r="D933" s="256">
        <v>600</v>
      </c>
      <c r="E933">
        <v>0</v>
      </c>
      <c r="F933" s="257"/>
      <c r="I933" s="4"/>
    </row>
    <row r="934" spans="1:9" ht="30" x14ac:dyDescent="0.25">
      <c r="A934" s="255" t="s">
        <v>20</v>
      </c>
      <c r="B934" s="255" t="s">
        <v>211</v>
      </c>
      <c r="C934" s="256">
        <v>2018</v>
      </c>
      <c r="D934" s="256">
        <v>50</v>
      </c>
      <c r="E934">
        <v>0</v>
      </c>
      <c r="F934" s="257"/>
      <c r="I934" s="4"/>
    </row>
    <row r="935" spans="1:9" ht="30" x14ac:dyDescent="0.25">
      <c r="A935" s="255" t="s">
        <v>20</v>
      </c>
      <c r="B935" s="255" t="s">
        <v>211</v>
      </c>
      <c r="C935" s="256">
        <v>2018</v>
      </c>
      <c r="D935" s="256">
        <v>75</v>
      </c>
      <c r="E935">
        <v>0</v>
      </c>
      <c r="F935" s="257"/>
      <c r="I935" s="4"/>
    </row>
    <row r="936" spans="1:9" ht="30" x14ac:dyDescent="0.25">
      <c r="A936" s="255" t="s">
        <v>20</v>
      </c>
      <c r="B936" s="255" t="s">
        <v>211</v>
      </c>
      <c r="C936" s="256">
        <v>2018</v>
      </c>
      <c r="D936" s="256">
        <v>100</v>
      </c>
      <c r="E936">
        <v>0</v>
      </c>
      <c r="F936" s="257"/>
      <c r="I936" s="4"/>
    </row>
    <row r="937" spans="1:9" ht="30" x14ac:dyDescent="0.25">
      <c r="A937" s="255" t="s">
        <v>20</v>
      </c>
      <c r="B937" s="255" t="s">
        <v>211</v>
      </c>
      <c r="C937" s="256">
        <v>2018</v>
      </c>
      <c r="D937" s="256">
        <v>175</v>
      </c>
      <c r="E937">
        <v>0</v>
      </c>
      <c r="F937" s="257"/>
      <c r="I937" s="4"/>
    </row>
    <row r="938" spans="1:9" ht="30" x14ac:dyDescent="0.25">
      <c r="A938" s="255" t="s">
        <v>20</v>
      </c>
      <c r="B938" s="255" t="s">
        <v>211</v>
      </c>
      <c r="C938" s="256">
        <v>2018</v>
      </c>
      <c r="D938" s="256">
        <v>300</v>
      </c>
      <c r="E938">
        <v>0</v>
      </c>
      <c r="F938" s="257"/>
      <c r="I938" s="4"/>
    </row>
    <row r="939" spans="1:9" ht="30" x14ac:dyDescent="0.25">
      <c r="A939" s="255" t="s">
        <v>20</v>
      </c>
      <c r="B939" s="255" t="s">
        <v>211</v>
      </c>
      <c r="C939" s="256">
        <v>2018</v>
      </c>
      <c r="D939" s="256">
        <v>600</v>
      </c>
      <c r="E939">
        <v>0</v>
      </c>
      <c r="F939" s="257"/>
      <c r="I939" s="4"/>
    </row>
    <row r="940" spans="1:9" ht="30" x14ac:dyDescent="0.25">
      <c r="A940" s="255" t="s">
        <v>20</v>
      </c>
      <c r="B940" s="255" t="s">
        <v>211</v>
      </c>
      <c r="C940" s="256">
        <v>2019</v>
      </c>
      <c r="D940" s="256">
        <v>50</v>
      </c>
      <c r="E940">
        <v>0</v>
      </c>
      <c r="F940" s="257"/>
      <c r="I940" s="4"/>
    </row>
    <row r="941" spans="1:9" ht="30" x14ac:dyDescent="0.25">
      <c r="A941" s="255" t="s">
        <v>20</v>
      </c>
      <c r="B941" s="255" t="s">
        <v>211</v>
      </c>
      <c r="C941" s="256">
        <v>2019</v>
      </c>
      <c r="D941" s="256">
        <v>75</v>
      </c>
      <c r="E941">
        <v>0</v>
      </c>
      <c r="F941" s="257"/>
      <c r="I941" s="4"/>
    </row>
    <row r="942" spans="1:9" ht="30" x14ac:dyDescent="0.25">
      <c r="A942" s="255" t="s">
        <v>20</v>
      </c>
      <c r="B942" s="255" t="s">
        <v>211</v>
      </c>
      <c r="C942" s="256">
        <v>2019</v>
      </c>
      <c r="D942" s="256">
        <v>100</v>
      </c>
      <c r="E942">
        <v>0</v>
      </c>
      <c r="F942" s="257"/>
      <c r="I942" s="4"/>
    </row>
    <row r="943" spans="1:9" ht="30" x14ac:dyDescent="0.25">
      <c r="A943" s="255" t="s">
        <v>20</v>
      </c>
      <c r="B943" s="255" t="s">
        <v>211</v>
      </c>
      <c r="C943" s="256">
        <v>2019</v>
      </c>
      <c r="D943" s="256">
        <v>175</v>
      </c>
      <c r="E943">
        <v>0</v>
      </c>
      <c r="F943" s="257"/>
      <c r="I943" s="4"/>
    </row>
    <row r="944" spans="1:9" ht="30" x14ac:dyDescent="0.25">
      <c r="A944" s="255" t="s">
        <v>20</v>
      </c>
      <c r="B944" s="255" t="s">
        <v>211</v>
      </c>
      <c r="C944" s="256">
        <v>2019</v>
      </c>
      <c r="D944" s="256">
        <v>300</v>
      </c>
      <c r="E944">
        <v>0</v>
      </c>
      <c r="F944" s="257"/>
      <c r="I944" s="4"/>
    </row>
    <row r="945" spans="1:9" ht="30" x14ac:dyDescent="0.25">
      <c r="A945" s="255" t="s">
        <v>20</v>
      </c>
      <c r="B945" s="255" t="s">
        <v>211</v>
      </c>
      <c r="C945" s="256">
        <v>2019</v>
      </c>
      <c r="D945" s="256">
        <v>600</v>
      </c>
      <c r="E945">
        <v>0</v>
      </c>
      <c r="F945" s="257"/>
      <c r="I945" s="4"/>
    </row>
    <row r="946" spans="1:9" ht="30" x14ac:dyDescent="0.25">
      <c r="A946" s="255" t="s">
        <v>20</v>
      </c>
      <c r="B946" s="255" t="s">
        <v>211</v>
      </c>
      <c r="C946" s="256">
        <v>2020</v>
      </c>
      <c r="D946" s="256">
        <v>50</v>
      </c>
      <c r="E946">
        <v>0</v>
      </c>
      <c r="F946" s="257"/>
      <c r="I946" s="4"/>
    </row>
    <row r="947" spans="1:9" ht="30" x14ac:dyDescent="0.25">
      <c r="A947" s="255" t="s">
        <v>20</v>
      </c>
      <c r="B947" s="255" t="s">
        <v>211</v>
      </c>
      <c r="C947" s="256">
        <v>2020</v>
      </c>
      <c r="D947" s="256">
        <v>75</v>
      </c>
      <c r="E947">
        <v>0</v>
      </c>
      <c r="F947" s="257"/>
      <c r="I947" s="4"/>
    </row>
    <row r="948" spans="1:9" ht="30" x14ac:dyDescent="0.25">
      <c r="A948" s="255" t="s">
        <v>20</v>
      </c>
      <c r="B948" s="255" t="s">
        <v>211</v>
      </c>
      <c r="C948" s="256">
        <v>2020</v>
      </c>
      <c r="D948" s="256">
        <v>100</v>
      </c>
      <c r="E948">
        <v>0</v>
      </c>
      <c r="F948" s="257"/>
      <c r="I948" s="4"/>
    </row>
    <row r="949" spans="1:9" ht="30" x14ac:dyDescent="0.25">
      <c r="A949" s="255" t="s">
        <v>20</v>
      </c>
      <c r="B949" s="255" t="s">
        <v>211</v>
      </c>
      <c r="C949" s="256">
        <v>2020</v>
      </c>
      <c r="D949" s="256">
        <v>175</v>
      </c>
      <c r="E949">
        <v>0</v>
      </c>
      <c r="F949" s="257"/>
      <c r="I949" s="4"/>
    </row>
    <row r="950" spans="1:9" ht="30" x14ac:dyDescent="0.25">
      <c r="A950" s="255" t="s">
        <v>20</v>
      </c>
      <c r="B950" s="255" t="s">
        <v>211</v>
      </c>
      <c r="C950" s="256">
        <v>2020</v>
      </c>
      <c r="D950" s="256">
        <v>300</v>
      </c>
      <c r="E950">
        <v>0</v>
      </c>
      <c r="F950" s="257"/>
      <c r="I950" s="4"/>
    </row>
    <row r="951" spans="1:9" ht="30" x14ac:dyDescent="0.25">
      <c r="A951" s="255" t="s">
        <v>20</v>
      </c>
      <c r="B951" s="255" t="s">
        <v>211</v>
      </c>
      <c r="C951" s="256">
        <v>2020</v>
      </c>
      <c r="D951" s="256">
        <v>600</v>
      </c>
      <c r="E951">
        <v>0</v>
      </c>
      <c r="F951" s="257"/>
      <c r="I951" s="4"/>
    </row>
    <row r="952" spans="1:9" ht="30" x14ac:dyDescent="0.25">
      <c r="A952" s="255" t="s">
        <v>20</v>
      </c>
      <c r="B952" s="255" t="s">
        <v>211</v>
      </c>
      <c r="C952" s="256">
        <v>2021</v>
      </c>
      <c r="D952" s="256">
        <v>50</v>
      </c>
      <c r="E952">
        <v>0</v>
      </c>
      <c r="F952" s="257"/>
      <c r="I952" s="4"/>
    </row>
    <row r="953" spans="1:9" ht="30" x14ac:dyDescent="0.25">
      <c r="A953" s="255" t="s">
        <v>20</v>
      </c>
      <c r="B953" s="255" t="s">
        <v>211</v>
      </c>
      <c r="C953" s="256">
        <v>2021</v>
      </c>
      <c r="D953" s="256">
        <v>75</v>
      </c>
      <c r="E953">
        <v>0</v>
      </c>
      <c r="F953" s="257"/>
      <c r="I953" s="4"/>
    </row>
    <row r="954" spans="1:9" ht="30" x14ac:dyDescent="0.25">
      <c r="A954" s="255" t="s">
        <v>20</v>
      </c>
      <c r="B954" s="255" t="s">
        <v>211</v>
      </c>
      <c r="C954" s="256">
        <v>2021</v>
      </c>
      <c r="D954" s="256">
        <v>100</v>
      </c>
      <c r="E954">
        <v>0</v>
      </c>
      <c r="F954" s="257"/>
      <c r="I954" s="4"/>
    </row>
    <row r="955" spans="1:9" ht="30" x14ac:dyDescent="0.25">
      <c r="A955" s="255" t="s">
        <v>20</v>
      </c>
      <c r="B955" s="255" t="s">
        <v>211</v>
      </c>
      <c r="C955" s="256">
        <v>2021</v>
      </c>
      <c r="D955" s="256">
        <v>175</v>
      </c>
      <c r="E955">
        <v>0</v>
      </c>
      <c r="F955" s="257"/>
      <c r="I955" s="4"/>
    </row>
    <row r="956" spans="1:9" ht="30" x14ac:dyDescent="0.25">
      <c r="A956" s="255" t="s">
        <v>20</v>
      </c>
      <c r="B956" s="255" t="s">
        <v>211</v>
      </c>
      <c r="C956" s="256">
        <v>2021</v>
      </c>
      <c r="D956" s="256">
        <v>300</v>
      </c>
      <c r="E956">
        <v>0</v>
      </c>
      <c r="F956" s="257"/>
      <c r="I956" s="4"/>
    </row>
    <row r="957" spans="1:9" ht="30" x14ac:dyDescent="0.25">
      <c r="A957" s="255" t="s">
        <v>20</v>
      </c>
      <c r="B957" s="255" t="s">
        <v>211</v>
      </c>
      <c r="C957" s="256">
        <v>2021</v>
      </c>
      <c r="D957" s="256">
        <v>600</v>
      </c>
      <c r="E957">
        <v>0</v>
      </c>
      <c r="F957" s="257"/>
      <c r="I957" s="4"/>
    </row>
    <row r="958" spans="1:9" ht="30" x14ac:dyDescent="0.25">
      <c r="A958" s="255" t="s">
        <v>20</v>
      </c>
      <c r="B958" s="255" t="s">
        <v>211</v>
      </c>
      <c r="C958" s="256">
        <v>2022</v>
      </c>
      <c r="D958" s="256">
        <v>50</v>
      </c>
      <c r="E958">
        <v>0</v>
      </c>
      <c r="F958" s="257"/>
      <c r="I958" s="4"/>
    </row>
    <row r="959" spans="1:9" ht="30" x14ac:dyDescent="0.25">
      <c r="A959" s="255" t="s">
        <v>20</v>
      </c>
      <c r="B959" s="255" t="s">
        <v>211</v>
      </c>
      <c r="C959" s="256">
        <v>2022</v>
      </c>
      <c r="D959" s="256">
        <v>75</v>
      </c>
      <c r="E959">
        <v>0</v>
      </c>
      <c r="F959" s="257"/>
      <c r="I959" s="4"/>
    </row>
    <row r="960" spans="1:9" ht="30" x14ac:dyDescent="0.25">
      <c r="A960" s="255" t="s">
        <v>20</v>
      </c>
      <c r="B960" s="255" t="s">
        <v>211</v>
      </c>
      <c r="C960" s="256">
        <v>2022</v>
      </c>
      <c r="D960" s="256">
        <v>100</v>
      </c>
      <c r="E960">
        <v>0</v>
      </c>
      <c r="F960" s="257"/>
      <c r="I960" s="4"/>
    </row>
    <row r="961" spans="1:9" ht="30" x14ac:dyDescent="0.25">
      <c r="A961" s="255" t="s">
        <v>20</v>
      </c>
      <c r="B961" s="255" t="s">
        <v>211</v>
      </c>
      <c r="C961" s="256">
        <v>2022</v>
      </c>
      <c r="D961" s="256">
        <v>175</v>
      </c>
      <c r="E961">
        <v>0</v>
      </c>
      <c r="F961" s="257"/>
      <c r="I961" s="4"/>
    </row>
    <row r="962" spans="1:9" ht="30" x14ac:dyDescent="0.25">
      <c r="A962" s="255" t="s">
        <v>20</v>
      </c>
      <c r="B962" s="255" t="s">
        <v>211</v>
      </c>
      <c r="C962" s="256">
        <v>2022</v>
      </c>
      <c r="D962" s="256">
        <v>300</v>
      </c>
      <c r="E962">
        <v>0</v>
      </c>
      <c r="F962" s="257"/>
      <c r="I962" s="4"/>
    </row>
    <row r="963" spans="1:9" ht="30" x14ac:dyDescent="0.25">
      <c r="A963" s="255" t="s">
        <v>20</v>
      </c>
      <c r="B963" s="255" t="s">
        <v>211</v>
      </c>
      <c r="C963" s="256">
        <v>2022</v>
      </c>
      <c r="D963" s="256">
        <v>600</v>
      </c>
      <c r="E963">
        <v>0</v>
      </c>
      <c r="F963" s="257"/>
      <c r="I963" s="4"/>
    </row>
    <row r="964" spans="1:9" ht="30" x14ac:dyDescent="0.25">
      <c r="A964" s="255" t="s">
        <v>20</v>
      </c>
      <c r="B964" s="255" t="s">
        <v>211</v>
      </c>
      <c r="C964" s="256">
        <v>2023</v>
      </c>
      <c r="D964" s="256">
        <v>50</v>
      </c>
      <c r="E964">
        <v>0</v>
      </c>
      <c r="F964" s="257"/>
      <c r="I964" s="4"/>
    </row>
    <row r="965" spans="1:9" ht="30" x14ac:dyDescent="0.25">
      <c r="A965" s="255" t="s">
        <v>20</v>
      </c>
      <c r="B965" s="255" t="s">
        <v>211</v>
      </c>
      <c r="C965" s="256">
        <v>2023</v>
      </c>
      <c r="D965" s="256">
        <v>75</v>
      </c>
      <c r="E965">
        <v>0</v>
      </c>
      <c r="F965" s="257"/>
      <c r="I965" s="4"/>
    </row>
    <row r="966" spans="1:9" ht="30" x14ac:dyDescent="0.25">
      <c r="A966" s="255" t="s">
        <v>20</v>
      </c>
      <c r="B966" s="255" t="s">
        <v>211</v>
      </c>
      <c r="C966" s="256">
        <v>2023</v>
      </c>
      <c r="D966" s="256">
        <v>100</v>
      </c>
      <c r="E966">
        <v>0</v>
      </c>
      <c r="F966" s="257"/>
      <c r="I966" s="4"/>
    </row>
    <row r="967" spans="1:9" ht="30" x14ac:dyDescent="0.25">
      <c r="A967" s="255" t="s">
        <v>20</v>
      </c>
      <c r="B967" s="255" t="s">
        <v>211</v>
      </c>
      <c r="C967" s="256">
        <v>2023</v>
      </c>
      <c r="D967" s="256">
        <v>175</v>
      </c>
      <c r="E967">
        <v>0</v>
      </c>
      <c r="F967" s="257"/>
      <c r="I967" s="4"/>
    </row>
    <row r="968" spans="1:9" ht="30" x14ac:dyDescent="0.25">
      <c r="A968" s="255" t="s">
        <v>20</v>
      </c>
      <c r="B968" s="255" t="s">
        <v>211</v>
      </c>
      <c r="C968" s="256">
        <v>2023</v>
      </c>
      <c r="D968" s="256">
        <v>300</v>
      </c>
      <c r="E968">
        <v>0</v>
      </c>
      <c r="F968" s="257"/>
      <c r="I968" s="4"/>
    </row>
    <row r="969" spans="1:9" ht="30" x14ac:dyDescent="0.25">
      <c r="A969" s="255" t="s">
        <v>20</v>
      </c>
      <c r="B969" s="255" t="s">
        <v>211</v>
      </c>
      <c r="C969" s="256">
        <v>2023</v>
      </c>
      <c r="D969" s="256">
        <v>600</v>
      </c>
      <c r="E969">
        <v>0</v>
      </c>
      <c r="F969" s="257"/>
      <c r="I969" s="4"/>
    </row>
    <row r="970" spans="1:9" ht="30" x14ac:dyDescent="0.25">
      <c r="A970" s="255" t="s">
        <v>20</v>
      </c>
      <c r="B970" s="255" t="s">
        <v>211</v>
      </c>
      <c r="C970" s="256">
        <v>2024</v>
      </c>
      <c r="D970" s="256">
        <v>50</v>
      </c>
      <c r="E970">
        <v>0</v>
      </c>
      <c r="F970" s="257"/>
      <c r="I970" s="4"/>
    </row>
    <row r="971" spans="1:9" ht="30" x14ac:dyDescent="0.25">
      <c r="A971" s="255" t="s">
        <v>20</v>
      </c>
      <c r="B971" s="255" t="s">
        <v>211</v>
      </c>
      <c r="C971" s="256">
        <v>2024</v>
      </c>
      <c r="D971" s="256">
        <v>75</v>
      </c>
      <c r="E971">
        <v>0</v>
      </c>
      <c r="F971" s="257"/>
      <c r="I971" s="4"/>
    </row>
    <row r="972" spans="1:9" ht="30" x14ac:dyDescent="0.25">
      <c r="A972" s="255" t="s">
        <v>20</v>
      </c>
      <c r="B972" s="255" t="s">
        <v>211</v>
      </c>
      <c r="C972" s="256">
        <v>2024</v>
      </c>
      <c r="D972" s="256">
        <v>100</v>
      </c>
      <c r="E972">
        <v>0</v>
      </c>
      <c r="F972" s="257"/>
      <c r="I972" s="4"/>
    </row>
    <row r="973" spans="1:9" ht="30" x14ac:dyDescent="0.25">
      <c r="A973" s="255" t="s">
        <v>20</v>
      </c>
      <c r="B973" s="255" t="s">
        <v>211</v>
      </c>
      <c r="C973" s="256">
        <v>2024</v>
      </c>
      <c r="D973" s="256">
        <v>175</v>
      </c>
      <c r="E973">
        <v>0</v>
      </c>
      <c r="F973" s="257"/>
      <c r="I973" s="4"/>
    </row>
    <row r="974" spans="1:9" ht="30" x14ac:dyDescent="0.25">
      <c r="A974" s="255" t="s">
        <v>20</v>
      </c>
      <c r="B974" s="255" t="s">
        <v>211</v>
      </c>
      <c r="C974" s="256">
        <v>2024</v>
      </c>
      <c r="D974" s="256">
        <v>300</v>
      </c>
      <c r="E974">
        <v>0</v>
      </c>
      <c r="F974" s="257"/>
      <c r="I974" s="4"/>
    </row>
    <row r="975" spans="1:9" ht="30" x14ac:dyDescent="0.25">
      <c r="A975" s="255" t="s">
        <v>20</v>
      </c>
      <c r="B975" s="255" t="s">
        <v>211</v>
      </c>
      <c r="C975" s="256">
        <v>2024</v>
      </c>
      <c r="D975" s="256">
        <v>600</v>
      </c>
      <c r="E975">
        <v>0</v>
      </c>
      <c r="F975" s="257"/>
      <c r="I975" s="4"/>
    </row>
    <row r="976" spans="1:9" ht="30" x14ac:dyDescent="0.25">
      <c r="A976" s="255" t="s">
        <v>20</v>
      </c>
      <c r="B976" s="255" t="s">
        <v>211</v>
      </c>
      <c r="C976" s="256">
        <v>2025</v>
      </c>
      <c r="D976" s="256">
        <v>50</v>
      </c>
      <c r="E976">
        <v>0</v>
      </c>
      <c r="F976" s="257"/>
      <c r="I976" s="4"/>
    </row>
    <row r="977" spans="1:9" ht="30" x14ac:dyDescent="0.25">
      <c r="A977" s="255" t="s">
        <v>20</v>
      </c>
      <c r="B977" s="255" t="s">
        <v>211</v>
      </c>
      <c r="C977" s="256">
        <v>2025</v>
      </c>
      <c r="D977" s="256">
        <v>75</v>
      </c>
      <c r="E977">
        <v>0</v>
      </c>
      <c r="F977" s="257"/>
      <c r="I977" s="4"/>
    </row>
    <row r="978" spans="1:9" ht="30" x14ac:dyDescent="0.25">
      <c r="A978" s="255" t="s">
        <v>20</v>
      </c>
      <c r="B978" s="255" t="s">
        <v>211</v>
      </c>
      <c r="C978" s="256">
        <v>2025</v>
      </c>
      <c r="D978" s="256">
        <v>100</v>
      </c>
      <c r="E978">
        <v>0</v>
      </c>
      <c r="F978" s="257"/>
      <c r="I978" s="4"/>
    </row>
    <row r="979" spans="1:9" ht="30" x14ac:dyDescent="0.25">
      <c r="A979" s="255" t="s">
        <v>20</v>
      </c>
      <c r="B979" s="255" t="s">
        <v>211</v>
      </c>
      <c r="C979" s="256">
        <v>2025</v>
      </c>
      <c r="D979" s="256">
        <v>175</v>
      </c>
      <c r="E979">
        <v>0</v>
      </c>
      <c r="F979" s="257"/>
      <c r="I979" s="4"/>
    </row>
    <row r="980" spans="1:9" ht="30" x14ac:dyDescent="0.25">
      <c r="A980" s="255" t="s">
        <v>20</v>
      </c>
      <c r="B980" s="255" t="s">
        <v>211</v>
      </c>
      <c r="C980" s="256">
        <v>2025</v>
      </c>
      <c r="D980" s="256">
        <v>300</v>
      </c>
      <c r="E980">
        <v>0</v>
      </c>
      <c r="F980" s="257"/>
      <c r="I980" s="4"/>
    </row>
    <row r="981" spans="1:9" ht="30" x14ac:dyDescent="0.25">
      <c r="A981" s="255" t="s">
        <v>20</v>
      </c>
      <c r="B981" s="255" t="s">
        <v>211</v>
      </c>
      <c r="C981" s="256">
        <v>2025</v>
      </c>
      <c r="D981" s="256">
        <v>600</v>
      </c>
      <c r="E981">
        <v>0</v>
      </c>
      <c r="F981" s="257"/>
      <c r="I981" s="4"/>
    </row>
    <row r="982" spans="1:9" x14ac:dyDescent="0.25">
      <c r="A982" s="255" t="s">
        <v>20</v>
      </c>
      <c r="B982" s="255" t="s">
        <v>212</v>
      </c>
      <c r="C982" s="256">
        <v>2006</v>
      </c>
      <c r="D982" s="256">
        <v>100</v>
      </c>
      <c r="E982">
        <v>0</v>
      </c>
      <c r="F982" s="257"/>
      <c r="I982" s="4"/>
    </row>
    <row r="983" spans="1:9" x14ac:dyDescent="0.25">
      <c r="A983" s="255" t="s">
        <v>20</v>
      </c>
      <c r="B983" s="255" t="s">
        <v>212</v>
      </c>
      <c r="C983" s="256">
        <v>2006</v>
      </c>
      <c r="D983" s="256">
        <v>300</v>
      </c>
      <c r="E983">
        <v>0</v>
      </c>
      <c r="F983" s="257"/>
      <c r="I983" s="4"/>
    </row>
    <row r="984" spans="1:9" x14ac:dyDescent="0.25">
      <c r="A984" s="255" t="s">
        <v>20</v>
      </c>
      <c r="B984" s="255" t="s">
        <v>212</v>
      </c>
      <c r="C984" s="256">
        <v>2006</v>
      </c>
      <c r="D984" s="256">
        <v>600</v>
      </c>
      <c r="E984">
        <v>0</v>
      </c>
      <c r="F984" s="257"/>
      <c r="I984" s="4"/>
    </row>
    <row r="985" spans="1:9" x14ac:dyDescent="0.25">
      <c r="A985" s="255" t="s">
        <v>20</v>
      </c>
      <c r="B985" s="255" t="s">
        <v>212</v>
      </c>
      <c r="C985" s="256">
        <v>2006</v>
      </c>
      <c r="D985" s="256">
        <v>750</v>
      </c>
      <c r="E985">
        <v>0</v>
      </c>
      <c r="F985" s="257"/>
      <c r="I985" s="4"/>
    </row>
    <row r="986" spans="1:9" x14ac:dyDescent="0.25">
      <c r="A986" s="255" t="s">
        <v>20</v>
      </c>
      <c r="B986" s="255" t="s">
        <v>212</v>
      </c>
      <c r="C986" s="256">
        <v>2006</v>
      </c>
      <c r="D986" s="256">
        <v>9999</v>
      </c>
      <c r="E986">
        <v>0</v>
      </c>
      <c r="F986" s="257"/>
      <c r="I986" s="4"/>
    </row>
    <row r="987" spans="1:9" x14ac:dyDescent="0.25">
      <c r="A987" s="255" t="s">
        <v>20</v>
      </c>
      <c r="B987" s="255" t="s">
        <v>212</v>
      </c>
      <c r="C987" s="256">
        <v>2007</v>
      </c>
      <c r="D987" s="256">
        <v>100</v>
      </c>
      <c r="E987">
        <v>0</v>
      </c>
      <c r="F987" s="257"/>
      <c r="I987" s="4"/>
    </row>
    <row r="988" spans="1:9" x14ac:dyDescent="0.25">
      <c r="A988" s="255" t="s">
        <v>20</v>
      </c>
      <c r="B988" s="255" t="s">
        <v>212</v>
      </c>
      <c r="C988" s="256">
        <v>2007</v>
      </c>
      <c r="D988" s="256">
        <v>300</v>
      </c>
      <c r="E988">
        <v>0</v>
      </c>
      <c r="F988" s="257"/>
      <c r="I988" s="4"/>
    </row>
    <row r="989" spans="1:9" x14ac:dyDescent="0.25">
      <c r="A989" s="255" t="s">
        <v>20</v>
      </c>
      <c r="B989" s="255" t="s">
        <v>212</v>
      </c>
      <c r="C989" s="256">
        <v>2007</v>
      </c>
      <c r="D989" s="256">
        <v>600</v>
      </c>
      <c r="E989">
        <v>0</v>
      </c>
      <c r="F989" s="257"/>
      <c r="I989" s="4"/>
    </row>
    <row r="990" spans="1:9" x14ac:dyDescent="0.25">
      <c r="A990" s="255" t="s">
        <v>20</v>
      </c>
      <c r="B990" s="255" t="s">
        <v>212</v>
      </c>
      <c r="C990" s="256">
        <v>2007</v>
      </c>
      <c r="D990" s="256">
        <v>750</v>
      </c>
      <c r="E990">
        <v>0</v>
      </c>
      <c r="F990" s="257"/>
      <c r="I990" s="4"/>
    </row>
    <row r="991" spans="1:9" x14ac:dyDescent="0.25">
      <c r="A991" s="255" t="s">
        <v>20</v>
      </c>
      <c r="B991" s="255" t="s">
        <v>212</v>
      </c>
      <c r="C991" s="256">
        <v>2007</v>
      </c>
      <c r="D991" s="256">
        <v>9999</v>
      </c>
      <c r="E991">
        <v>0</v>
      </c>
      <c r="F991" s="257"/>
      <c r="I991" s="4"/>
    </row>
    <row r="992" spans="1:9" x14ac:dyDescent="0.25">
      <c r="A992" s="255" t="s">
        <v>20</v>
      </c>
      <c r="B992" s="255" t="s">
        <v>212</v>
      </c>
      <c r="C992" s="256">
        <v>2008</v>
      </c>
      <c r="D992" s="256">
        <v>100</v>
      </c>
      <c r="E992">
        <v>0</v>
      </c>
      <c r="F992" s="257"/>
      <c r="I992" s="4"/>
    </row>
    <row r="993" spans="1:10" x14ac:dyDescent="0.25">
      <c r="A993" s="255" t="s">
        <v>20</v>
      </c>
      <c r="B993" s="255" t="s">
        <v>212</v>
      </c>
      <c r="C993" s="256">
        <v>2008</v>
      </c>
      <c r="D993" s="256">
        <v>300</v>
      </c>
      <c r="E993">
        <v>0</v>
      </c>
      <c r="F993" s="257"/>
      <c r="I993" s="4"/>
    </row>
    <row r="994" spans="1:10" x14ac:dyDescent="0.25">
      <c r="A994" s="255" t="s">
        <v>20</v>
      </c>
      <c r="B994" s="255" t="s">
        <v>212</v>
      </c>
      <c r="C994" s="256">
        <v>2008</v>
      </c>
      <c r="D994" s="256">
        <v>600</v>
      </c>
      <c r="E994">
        <v>0</v>
      </c>
      <c r="F994" s="257"/>
      <c r="I994" s="4"/>
    </row>
    <row r="995" spans="1:10" x14ac:dyDescent="0.25">
      <c r="A995" s="255" t="s">
        <v>20</v>
      </c>
      <c r="B995" s="255" t="s">
        <v>212</v>
      </c>
      <c r="C995" s="256">
        <v>2008</v>
      </c>
      <c r="D995" s="256">
        <v>750</v>
      </c>
      <c r="E995">
        <v>0</v>
      </c>
      <c r="F995" s="257"/>
      <c r="I995" s="4"/>
    </row>
    <row r="996" spans="1:10" x14ac:dyDescent="0.25">
      <c r="A996" s="255" t="s">
        <v>20</v>
      </c>
      <c r="B996" s="255" t="s">
        <v>212</v>
      </c>
      <c r="C996" s="256">
        <v>2008</v>
      </c>
      <c r="D996" s="256">
        <v>9999</v>
      </c>
      <c r="E996">
        <v>0</v>
      </c>
      <c r="F996" s="257"/>
      <c r="I996" s="4"/>
    </row>
    <row r="997" spans="1:10" x14ac:dyDescent="0.25">
      <c r="A997" s="255" t="s">
        <v>20</v>
      </c>
      <c r="B997" s="255" t="s">
        <v>212</v>
      </c>
      <c r="C997" s="256">
        <v>2009</v>
      </c>
      <c r="D997" s="256">
        <v>100</v>
      </c>
      <c r="E997">
        <v>0</v>
      </c>
      <c r="F997" s="257"/>
      <c r="I997" s="4"/>
    </row>
    <row r="998" spans="1:10" x14ac:dyDescent="0.25">
      <c r="A998" s="255" t="s">
        <v>20</v>
      </c>
      <c r="B998" s="255" t="s">
        <v>212</v>
      </c>
      <c r="C998" s="256">
        <v>2009</v>
      </c>
      <c r="D998" s="256">
        <v>300</v>
      </c>
      <c r="E998">
        <v>0</v>
      </c>
      <c r="F998" s="257"/>
      <c r="I998" s="4"/>
    </row>
    <row r="999" spans="1:10" x14ac:dyDescent="0.25">
      <c r="A999" s="255" t="s">
        <v>20</v>
      </c>
      <c r="B999" s="255" t="s">
        <v>212</v>
      </c>
      <c r="C999" s="256">
        <v>2009</v>
      </c>
      <c r="D999" s="256">
        <v>600</v>
      </c>
      <c r="E999">
        <v>0</v>
      </c>
      <c r="F999" s="257"/>
      <c r="I999" s="4"/>
    </row>
    <row r="1000" spans="1:10" x14ac:dyDescent="0.25">
      <c r="A1000" s="255" t="s">
        <v>20</v>
      </c>
      <c r="B1000" s="255" t="s">
        <v>212</v>
      </c>
      <c r="C1000" s="256">
        <v>2009</v>
      </c>
      <c r="D1000" s="256">
        <v>750</v>
      </c>
      <c r="E1000">
        <v>0</v>
      </c>
      <c r="F1000" s="257"/>
      <c r="I1000" s="4"/>
    </row>
    <row r="1001" spans="1:10" x14ac:dyDescent="0.25">
      <c r="A1001" s="255" t="s">
        <v>20</v>
      </c>
      <c r="B1001" s="255" t="s">
        <v>212</v>
      </c>
      <c r="C1001" s="256">
        <v>2009</v>
      </c>
      <c r="D1001" s="256">
        <v>9999</v>
      </c>
      <c r="E1001">
        <v>0</v>
      </c>
      <c r="F1001" s="257"/>
      <c r="I1001" s="4"/>
    </row>
    <row r="1002" spans="1:10" x14ac:dyDescent="0.25">
      <c r="A1002" s="255" t="s">
        <v>20</v>
      </c>
      <c r="B1002" s="255" t="s">
        <v>212</v>
      </c>
      <c r="C1002" s="256">
        <v>2010</v>
      </c>
      <c r="D1002" s="256">
        <v>100</v>
      </c>
      <c r="E1002">
        <v>4.7326076668244302E-2</v>
      </c>
      <c r="F1002" s="257">
        <f>SUM(E1002:E1006)</f>
        <v>25.000000000000036</v>
      </c>
      <c r="G1002">
        <f t="shared" ref="G1002:G1031" si="13">IF(OR(D1002=50,D1002=75),50,IF(OR(D1002=100,D1002=125),125,IF(D1002&gt;=400,400,D1002)))</f>
        <v>125</v>
      </c>
      <c r="H1002" s="4">
        <f>IF(B1002="RTG Crane",IF(D1002&lt;600,800000,1200000),VLOOKUP(B1002,'$$$ Replace &amp; Retrofit'!$B$10:$C$14,2)*'CHE Model poplulation'!D1002)*E1002</f>
        <v>37860.861334595444</v>
      </c>
      <c r="I1002" s="4">
        <f>E1002*VLOOKUP('CHE Model poplulation'!G1002,'$$$ Replace &amp; Retrofit'!$I$10:$J$15,2)</f>
        <v>933.88547089446479</v>
      </c>
      <c r="J1002" s="4">
        <f>IF(D1002=50,VLOOKUP(0,'$$$ Replace &amp; Retrofit'!$E$10:$F$13,2),IF(D1002&lt;175,VLOOKUP(50,'$$$ Replace &amp; Retrofit'!$E$10:$F$13,2),IF(D1002&lt;400,VLOOKUP(175,'$$$ Replace &amp; Retrofit'!$E$10:$F$13,2),IF(D1002&gt;=400,VLOOKUP(400,'$$$ Replace &amp; Retrofit'!$E$10:$F$13,2),NA))))*E1002</f>
        <v>567.91292001893157</v>
      </c>
    </row>
    <row r="1003" spans="1:10" x14ac:dyDescent="0.25">
      <c r="A1003" s="255" t="s">
        <v>20</v>
      </c>
      <c r="B1003" s="255" t="s">
        <v>212</v>
      </c>
      <c r="C1003" s="256">
        <v>2010</v>
      </c>
      <c r="D1003" s="256">
        <v>300</v>
      </c>
      <c r="E1003">
        <v>5.26502602934218</v>
      </c>
      <c r="F1003" s="257"/>
      <c r="G1003">
        <f t="shared" si="13"/>
        <v>300</v>
      </c>
      <c r="H1003" s="4">
        <f>IF(B1003="RTG Crane",IF(D1003&lt;600,800000,1200000),VLOOKUP(B1003,'$$$ Replace &amp; Retrofit'!$B$10:$C$14,2)*'CHE Model poplulation'!D1003)*E1003</f>
        <v>4212020.8234737441</v>
      </c>
      <c r="I1003" s="4">
        <f>E1003*VLOOKUP('CHE Model poplulation'!G1003,'$$$ Replace &amp; Retrofit'!$I$10:$J$15,2)</f>
        <v>151437.94368196913</v>
      </c>
      <c r="J1003" s="4">
        <f>IF(D1003=50,VLOOKUP(0,'$$$ Replace &amp; Retrofit'!$E$10:$F$13,2),IF(D1003&lt;175,VLOOKUP(50,'$$$ Replace &amp; Retrofit'!$E$10:$F$13,2),IF(D1003&lt;400,VLOOKUP(175,'$$$ Replace &amp; Retrofit'!$E$10:$F$13,2),IF(D1003&gt;=400,VLOOKUP(400,'$$$ Replace &amp; Retrofit'!$E$10:$F$13,2),NA))))*E1003</f>
        <v>94770.468528159239</v>
      </c>
    </row>
    <row r="1004" spans="1:10" x14ac:dyDescent="0.25">
      <c r="A1004" s="255" t="s">
        <v>20</v>
      </c>
      <c r="B1004" s="255" t="s">
        <v>212</v>
      </c>
      <c r="C1004" s="256">
        <v>2010</v>
      </c>
      <c r="D1004" s="256">
        <v>600</v>
      </c>
      <c r="E1004">
        <v>10.3880738286796</v>
      </c>
      <c r="F1004" s="257"/>
      <c r="G1004">
        <f t="shared" si="13"/>
        <v>400</v>
      </c>
      <c r="H1004" s="4">
        <f>IF(B1004="RTG Crane",IF(D1004&lt;600,800000,1200000),VLOOKUP(B1004,'$$$ Replace &amp; Retrofit'!$B$10:$C$14,2)*'CHE Model poplulation'!D1004)*E1004</f>
        <v>12465688.594415519</v>
      </c>
      <c r="I1004" s="4">
        <f>E1004*VLOOKUP('CHE Model poplulation'!G1004,'$$$ Replace &amp; Retrofit'!$I$10:$J$15,2)</f>
        <v>543639.06767628947</v>
      </c>
      <c r="J1004" s="4">
        <f>IF(D1004=50,VLOOKUP(0,'$$$ Replace &amp; Retrofit'!$E$10:$F$13,2),IF(D1004&lt;175,VLOOKUP(50,'$$$ Replace &amp; Retrofit'!$E$10:$F$13,2),IF(D1004&lt;400,VLOOKUP(175,'$$$ Replace &amp; Retrofit'!$E$10:$F$13,2),IF(D1004&gt;=400,VLOOKUP(400,'$$$ Replace &amp; Retrofit'!$E$10:$F$13,2),NA))))*E1004</f>
        <v>311642.21486038802</v>
      </c>
    </row>
    <row r="1005" spans="1:10" x14ac:dyDescent="0.25">
      <c r="A1005" s="255" t="s">
        <v>20</v>
      </c>
      <c r="B1005" s="255" t="s">
        <v>212</v>
      </c>
      <c r="C1005" s="256">
        <v>2010</v>
      </c>
      <c r="D1005" s="256">
        <v>750</v>
      </c>
      <c r="E1005">
        <v>6.60198769522008</v>
      </c>
      <c r="F1005" s="257"/>
      <c r="G1005">
        <f t="shared" si="13"/>
        <v>400</v>
      </c>
      <c r="H1005" s="4">
        <f>IF(B1005="RTG Crane",IF(D1005&lt;600,800000,1200000),VLOOKUP(B1005,'$$$ Replace &amp; Retrofit'!$B$10:$C$14,2)*'CHE Model poplulation'!D1005)*E1005</f>
        <v>7922385.2342640962</v>
      </c>
      <c r="I1005" s="4">
        <f>E1005*VLOOKUP('CHE Model poplulation'!G1005,'$$$ Replace &amp; Retrofit'!$I$10:$J$15,2)</f>
        <v>345501.82205395243</v>
      </c>
      <c r="J1005" s="4">
        <f>IF(D1005=50,VLOOKUP(0,'$$$ Replace &amp; Retrofit'!$E$10:$F$13,2),IF(D1005&lt;175,VLOOKUP(50,'$$$ Replace &amp; Retrofit'!$E$10:$F$13,2),IF(D1005&lt;400,VLOOKUP(175,'$$$ Replace &amp; Retrofit'!$E$10:$F$13,2),IF(D1005&gt;=400,VLOOKUP(400,'$$$ Replace &amp; Retrofit'!$E$10:$F$13,2),NA))))*E1005</f>
        <v>198059.63085660239</v>
      </c>
    </row>
    <row r="1006" spans="1:10" x14ac:dyDescent="0.25">
      <c r="A1006" s="255" t="s">
        <v>20</v>
      </c>
      <c r="B1006" s="255" t="s">
        <v>212</v>
      </c>
      <c r="C1006" s="256">
        <v>2010</v>
      </c>
      <c r="D1006" s="256">
        <v>9999</v>
      </c>
      <c r="E1006">
        <v>2.6975863700899301</v>
      </c>
      <c r="F1006" s="257"/>
      <c r="G1006">
        <f t="shared" si="13"/>
        <v>400</v>
      </c>
      <c r="H1006" s="4">
        <f>IF(B1006="RTG Crane",IF(D1006&lt;600,800000,1200000),VLOOKUP(B1006,'$$$ Replace &amp; Retrofit'!$B$10:$C$14,2)*'CHE Model poplulation'!D1006)*E1006</f>
        <v>3237103.6441079159</v>
      </c>
      <c r="I1006" s="4">
        <f>E1006*VLOOKUP('CHE Model poplulation'!G1006,'$$$ Replace &amp; Retrofit'!$I$10:$J$15,2)</f>
        <v>141172.78750591632</v>
      </c>
      <c r="J1006" s="4">
        <f>IF(D1006=50,VLOOKUP(0,'$$$ Replace &amp; Retrofit'!$E$10:$F$13,2),IF(D1006&lt;175,VLOOKUP(50,'$$$ Replace &amp; Retrofit'!$E$10:$F$13,2),IF(D1006&lt;400,VLOOKUP(175,'$$$ Replace &amp; Retrofit'!$E$10:$F$13,2),IF(D1006&gt;=400,VLOOKUP(400,'$$$ Replace &amp; Retrofit'!$E$10:$F$13,2),NA))))*E1006</f>
        <v>80927.591102697901</v>
      </c>
    </row>
    <row r="1007" spans="1:10" x14ac:dyDescent="0.25">
      <c r="A1007" s="255" t="s">
        <v>20</v>
      </c>
      <c r="B1007" s="255" t="s">
        <v>212</v>
      </c>
      <c r="C1007" s="256">
        <v>2011</v>
      </c>
      <c r="D1007" s="256">
        <v>100</v>
      </c>
      <c r="E1007">
        <v>4.7326076668244302E-2</v>
      </c>
      <c r="F1007" s="257">
        <f>SUM(E1007:E1011)</f>
        <v>23.377835197086323</v>
      </c>
      <c r="G1007">
        <f t="shared" si="13"/>
        <v>125</v>
      </c>
      <c r="H1007" s="4">
        <f>IF(B1007="RTG Crane",IF(D1007&lt;600,800000,1200000),VLOOKUP(B1007,'$$$ Replace &amp; Retrofit'!$B$10:$C$14,2)*'CHE Model poplulation'!D1007)*E1007</f>
        <v>37860.861334595444</v>
      </c>
      <c r="I1007" s="4">
        <f>E1007*VLOOKUP('CHE Model poplulation'!G1007,'$$$ Replace &amp; Retrofit'!$I$10:$J$15,2)</f>
        <v>933.88547089446479</v>
      </c>
      <c r="J1007" s="4">
        <f>IF(D1007=50,VLOOKUP(0,'$$$ Replace &amp; Retrofit'!$E$10:$F$13,2),IF(D1007&lt;175,VLOOKUP(50,'$$$ Replace &amp; Retrofit'!$E$10:$F$13,2),IF(D1007&lt;400,VLOOKUP(175,'$$$ Replace &amp; Retrofit'!$E$10:$F$13,2),IF(D1007&gt;=400,VLOOKUP(400,'$$$ Replace &amp; Retrofit'!$E$10:$F$13,2),NA))))*E1007</f>
        <v>567.91292001893157</v>
      </c>
    </row>
    <row r="1008" spans="1:10" x14ac:dyDescent="0.25">
      <c r="A1008" s="255" t="s">
        <v>20</v>
      </c>
      <c r="B1008" s="255" t="s">
        <v>212</v>
      </c>
      <c r="C1008" s="256">
        <v>2011</v>
      </c>
      <c r="D1008" s="256">
        <v>300</v>
      </c>
      <c r="E1008">
        <v>4.9837043226310902</v>
      </c>
      <c r="F1008" s="257"/>
      <c r="G1008">
        <f t="shared" si="13"/>
        <v>300</v>
      </c>
      <c r="H1008" s="4">
        <f>IF(B1008="RTG Crane",IF(D1008&lt;600,800000,1200000),VLOOKUP(B1008,'$$$ Replace &amp; Retrofit'!$B$10:$C$14,2)*'CHE Model poplulation'!D1008)*E1008</f>
        <v>3986963.4581048721</v>
      </c>
      <c r="I1008" s="4">
        <f>E1008*VLOOKUP('CHE Model poplulation'!G1008,'$$$ Replace &amp; Retrofit'!$I$10:$J$15,2)</f>
        <v>143346.28743183805</v>
      </c>
      <c r="J1008" s="4">
        <f>IF(D1008=50,VLOOKUP(0,'$$$ Replace &amp; Retrofit'!$E$10:$F$13,2),IF(D1008&lt;175,VLOOKUP(50,'$$$ Replace &amp; Retrofit'!$E$10:$F$13,2),IF(D1008&lt;400,VLOOKUP(175,'$$$ Replace &amp; Retrofit'!$E$10:$F$13,2),IF(D1008&gt;=400,VLOOKUP(400,'$$$ Replace &amp; Retrofit'!$E$10:$F$13,2),NA))))*E1008</f>
        <v>89706.677807359622</v>
      </c>
    </row>
    <row r="1009" spans="1:10" x14ac:dyDescent="0.25">
      <c r="A1009" s="255" t="s">
        <v>20</v>
      </c>
      <c r="B1009" s="255" t="s">
        <v>212</v>
      </c>
      <c r="C1009" s="256">
        <v>2011</v>
      </c>
      <c r="D1009" s="256">
        <v>600</v>
      </c>
      <c r="E1009">
        <v>9.5129982515340306</v>
      </c>
      <c r="F1009" s="257"/>
      <c r="G1009">
        <f t="shared" si="13"/>
        <v>400</v>
      </c>
      <c r="H1009" s="4">
        <f>IF(B1009="RTG Crane",IF(D1009&lt;600,800000,1200000),VLOOKUP(B1009,'$$$ Replace &amp; Retrofit'!$B$10:$C$14,2)*'CHE Model poplulation'!D1009)*E1009</f>
        <v>11415597.901840836</v>
      </c>
      <c r="I1009" s="4">
        <f>E1009*VLOOKUP('CHE Model poplulation'!G1009,'$$$ Replace &amp; Retrofit'!$I$10:$J$15,2)</f>
        <v>497843.73749753041</v>
      </c>
      <c r="J1009" s="4">
        <f>IF(D1009=50,VLOOKUP(0,'$$$ Replace &amp; Retrofit'!$E$10:$F$13,2),IF(D1009&lt;175,VLOOKUP(50,'$$$ Replace &amp; Retrofit'!$E$10:$F$13,2),IF(D1009&lt;400,VLOOKUP(175,'$$$ Replace &amp; Retrofit'!$E$10:$F$13,2),IF(D1009&gt;=400,VLOOKUP(400,'$$$ Replace &amp; Retrofit'!$E$10:$F$13,2),NA))))*E1009</f>
        <v>285389.94754602091</v>
      </c>
    </row>
    <row r="1010" spans="1:10" x14ac:dyDescent="0.25">
      <c r="A1010" s="255" t="s">
        <v>20</v>
      </c>
      <c r="B1010" s="255" t="s">
        <v>212</v>
      </c>
      <c r="C1010" s="256">
        <v>2011</v>
      </c>
      <c r="D1010" s="256">
        <v>750</v>
      </c>
      <c r="E1010">
        <v>6.2132436155816801</v>
      </c>
      <c r="F1010" s="257"/>
      <c r="G1010">
        <f t="shared" si="13"/>
        <v>400</v>
      </c>
      <c r="H1010" s="4">
        <f>IF(B1010="RTG Crane",IF(D1010&lt;600,800000,1200000),VLOOKUP(B1010,'$$$ Replace &amp; Retrofit'!$B$10:$C$14,2)*'CHE Model poplulation'!D1010)*E1010</f>
        <v>7455892.3386980165</v>
      </c>
      <c r="I1010" s="4">
        <f>E1010*VLOOKUP('CHE Model poplulation'!G1010,'$$$ Replace &amp; Retrofit'!$I$10:$J$15,2)</f>
        <v>325157.67813423608</v>
      </c>
      <c r="J1010" s="4">
        <f>IF(D1010=50,VLOOKUP(0,'$$$ Replace &amp; Retrofit'!$E$10:$F$13,2),IF(D1010&lt;175,VLOOKUP(50,'$$$ Replace &amp; Retrofit'!$E$10:$F$13,2),IF(D1010&lt;400,VLOOKUP(175,'$$$ Replace &amp; Retrofit'!$E$10:$F$13,2),IF(D1010&gt;=400,VLOOKUP(400,'$$$ Replace &amp; Retrofit'!$E$10:$F$13,2),NA))))*E1010</f>
        <v>186397.30846745041</v>
      </c>
    </row>
    <row r="1011" spans="1:10" x14ac:dyDescent="0.25">
      <c r="A1011" s="255" t="s">
        <v>20</v>
      </c>
      <c r="B1011" s="255" t="s">
        <v>212</v>
      </c>
      <c r="C1011" s="256">
        <v>2011</v>
      </c>
      <c r="D1011" s="256">
        <v>9999</v>
      </c>
      <c r="E1011">
        <v>2.6205629306712801</v>
      </c>
      <c r="F1011" s="257"/>
      <c r="G1011">
        <f t="shared" si="13"/>
        <v>400</v>
      </c>
      <c r="H1011" s="4">
        <f>IF(B1011="RTG Crane",IF(D1011&lt;600,800000,1200000),VLOOKUP(B1011,'$$$ Replace &amp; Retrofit'!$B$10:$C$14,2)*'CHE Model poplulation'!D1011)*E1011</f>
        <v>3144675.5168055361</v>
      </c>
      <c r="I1011" s="4">
        <f>E1011*VLOOKUP('CHE Model poplulation'!G1011,'$$$ Replace &amp; Retrofit'!$I$10:$J$15,2)</f>
        <v>137141.91985082009</v>
      </c>
      <c r="J1011" s="4">
        <f>IF(D1011=50,VLOOKUP(0,'$$$ Replace &amp; Retrofit'!$E$10:$F$13,2),IF(D1011&lt;175,VLOOKUP(50,'$$$ Replace &amp; Retrofit'!$E$10:$F$13,2),IF(D1011&lt;400,VLOOKUP(175,'$$$ Replace &amp; Retrofit'!$E$10:$F$13,2),IF(D1011&gt;=400,VLOOKUP(400,'$$$ Replace &amp; Retrofit'!$E$10:$F$13,2),NA))))*E1011</f>
        <v>78616.887920138397</v>
      </c>
    </row>
    <row r="1012" spans="1:10" x14ac:dyDescent="0.25">
      <c r="A1012" s="255" t="s">
        <v>20</v>
      </c>
      <c r="B1012" s="255" t="s">
        <v>212</v>
      </c>
      <c r="C1012" s="256">
        <v>2012</v>
      </c>
      <c r="D1012" s="256">
        <v>100</v>
      </c>
      <c r="E1012">
        <v>4.2395742826264002E-2</v>
      </c>
      <c r="F1012" s="257"/>
      <c r="G1012">
        <f t="shared" si="13"/>
        <v>125</v>
      </c>
      <c r="H1012" s="4">
        <f>IF(B1012="RTG Crane",IF(D1012&lt;600,800000,1200000),VLOOKUP(B1012,'$$$ Replace &amp; Retrofit'!$B$10:$C$14,2)*'CHE Model poplulation'!D1012)*E1012</f>
        <v>33916.594261011203</v>
      </c>
      <c r="I1012" s="4">
        <f>E1012*VLOOKUP('CHE Model poplulation'!G1012,'$$$ Replace &amp; Retrofit'!$I$10:$J$15,2)</f>
        <v>836.5951931906676</v>
      </c>
      <c r="J1012" s="4">
        <f>IF(D1012=50,VLOOKUP(0,'$$$ Replace &amp; Retrofit'!$E$10:$F$13,2),IF(D1012&lt;175,VLOOKUP(50,'$$$ Replace &amp; Retrofit'!$E$10:$F$13,2),IF(D1012&lt;400,VLOOKUP(175,'$$$ Replace &amp; Retrofit'!$E$10:$F$13,2),IF(D1012&gt;=400,VLOOKUP(400,'$$$ Replace &amp; Retrofit'!$E$10:$F$13,2),NA))))*E1012</f>
        <v>508.74891391516803</v>
      </c>
    </row>
    <row r="1013" spans="1:10" x14ac:dyDescent="0.25">
      <c r="A1013" s="255" t="s">
        <v>20</v>
      </c>
      <c r="B1013" s="255" t="s">
        <v>212</v>
      </c>
      <c r="C1013" s="256">
        <v>2012</v>
      </c>
      <c r="D1013" s="256">
        <v>300</v>
      </c>
      <c r="E1013">
        <v>4.3289392163139997</v>
      </c>
      <c r="F1013" s="257"/>
      <c r="G1013">
        <f t="shared" si="13"/>
        <v>300</v>
      </c>
      <c r="H1013" s="4">
        <f>IF(B1013="RTG Crane",IF(D1013&lt;600,800000,1200000),VLOOKUP(B1013,'$$$ Replace &amp; Retrofit'!$B$10:$C$14,2)*'CHE Model poplulation'!D1013)*E1013</f>
        <v>3463151.3730511996</v>
      </c>
      <c r="I1013" s="4">
        <f>E1013*VLOOKUP('CHE Model poplulation'!G1013,'$$$ Replace &amp; Retrofit'!$I$10:$J$15,2)</f>
        <v>124513.27867883958</v>
      </c>
      <c r="J1013" s="4">
        <f>IF(D1013=50,VLOOKUP(0,'$$$ Replace &amp; Retrofit'!$E$10:$F$13,2),IF(D1013&lt;175,VLOOKUP(50,'$$$ Replace &amp; Retrofit'!$E$10:$F$13,2),IF(D1013&lt;400,VLOOKUP(175,'$$$ Replace &amp; Retrofit'!$E$10:$F$13,2),IF(D1013&gt;=400,VLOOKUP(400,'$$$ Replace &amp; Retrofit'!$E$10:$F$13,2),NA))))*E1013</f>
        <v>77920.905893652001</v>
      </c>
    </row>
    <row r="1014" spans="1:10" x14ac:dyDescent="0.25">
      <c r="A1014" s="255" t="s">
        <v>20</v>
      </c>
      <c r="B1014" s="255" t="s">
        <v>212</v>
      </c>
      <c r="C1014" s="256">
        <v>2012</v>
      </c>
      <c r="D1014" s="256">
        <v>600</v>
      </c>
      <c r="E1014">
        <v>8.4432356790381906</v>
      </c>
      <c r="F1014" s="257"/>
      <c r="G1014">
        <f t="shared" si="13"/>
        <v>400</v>
      </c>
      <c r="H1014" s="4">
        <f>IF(B1014="RTG Crane",IF(D1014&lt;600,800000,1200000),VLOOKUP(B1014,'$$$ Replace &amp; Retrofit'!$B$10:$C$14,2)*'CHE Model poplulation'!D1014)*E1014</f>
        <v>10131882.814845828</v>
      </c>
      <c r="I1014" s="4">
        <f>E1014*VLOOKUP('CHE Model poplulation'!G1014,'$$$ Replace &amp; Retrofit'!$I$10:$J$15,2)</f>
        <v>441859.85279110563</v>
      </c>
      <c r="J1014" s="4">
        <f>IF(D1014=50,VLOOKUP(0,'$$$ Replace &amp; Retrofit'!$E$10:$F$13,2),IF(D1014&lt;175,VLOOKUP(50,'$$$ Replace &amp; Retrofit'!$E$10:$F$13,2),IF(D1014&lt;400,VLOOKUP(175,'$$$ Replace &amp; Retrofit'!$E$10:$F$13,2),IF(D1014&gt;=400,VLOOKUP(400,'$$$ Replace &amp; Retrofit'!$E$10:$F$13,2),NA))))*E1014</f>
        <v>253297.07037114573</v>
      </c>
    </row>
    <row r="1015" spans="1:10" x14ac:dyDescent="0.25">
      <c r="A1015" s="255" t="s">
        <v>20</v>
      </c>
      <c r="B1015" s="255" t="s">
        <v>212</v>
      </c>
      <c r="C1015" s="256">
        <v>2012</v>
      </c>
      <c r="D1015" s="256">
        <v>750</v>
      </c>
      <c r="E1015">
        <v>5.8297336801186201</v>
      </c>
      <c r="F1015" s="257"/>
      <c r="G1015">
        <f t="shared" si="13"/>
        <v>400</v>
      </c>
      <c r="H1015" s="4">
        <f>IF(B1015="RTG Crane",IF(D1015&lt;600,800000,1200000),VLOOKUP(B1015,'$$$ Replace &amp; Retrofit'!$B$10:$C$14,2)*'CHE Model poplulation'!D1015)*E1015</f>
        <v>6995680.4161423445</v>
      </c>
      <c r="I1015" s="4">
        <f>E1015*VLOOKUP('CHE Model poplulation'!G1015,'$$$ Replace &amp; Retrofit'!$I$10:$J$15,2)</f>
        <v>305087.45268164773</v>
      </c>
      <c r="J1015" s="4">
        <f>IF(D1015=50,VLOOKUP(0,'$$$ Replace &amp; Retrofit'!$E$10:$F$13,2),IF(D1015&lt;175,VLOOKUP(50,'$$$ Replace &amp; Retrofit'!$E$10:$F$13,2),IF(D1015&lt;400,VLOOKUP(175,'$$$ Replace &amp; Retrofit'!$E$10:$F$13,2),IF(D1015&gt;=400,VLOOKUP(400,'$$$ Replace &amp; Retrofit'!$E$10:$F$13,2),NA))))*E1015</f>
        <v>174892.01040355861</v>
      </c>
    </row>
    <row r="1016" spans="1:10" x14ac:dyDescent="0.25">
      <c r="A1016" s="255" t="s">
        <v>20</v>
      </c>
      <c r="B1016" s="255" t="s">
        <v>212</v>
      </c>
      <c r="C1016" s="256">
        <v>2012</v>
      </c>
      <c r="D1016" s="256">
        <v>9999</v>
      </c>
      <c r="E1016">
        <v>2.5203972440473099</v>
      </c>
      <c r="F1016" s="257"/>
      <c r="G1016">
        <f t="shared" si="13"/>
        <v>400</v>
      </c>
      <c r="H1016" s="4">
        <f>IF(B1016="RTG Crane",IF(D1016&lt;600,800000,1200000),VLOOKUP(B1016,'$$$ Replace &amp; Retrofit'!$B$10:$C$14,2)*'CHE Model poplulation'!D1016)*E1016</f>
        <v>3024476.6928567719</v>
      </c>
      <c r="I1016" s="4">
        <f>E1016*VLOOKUP('CHE Model poplulation'!G1016,'$$$ Replace &amp; Retrofit'!$I$10:$J$15,2)</f>
        <v>131899.94897272787</v>
      </c>
      <c r="J1016" s="4">
        <f>IF(D1016=50,VLOOKUP(0,'$$$ Replace &amp; Retrofit'!$E$10:$F$13,2),IF(D1016&lt;175,VLOOKUP(50,'$$$ Replace &amp; Retrofit'!$E$10:$F$13,2),IF(D1016&lt;400,VLOOKUP(175,'$$$ Replace &amp; Retrofit'!$E$10:$F$13,2),IF(D1016&gt;=400,VLOOKUP(400,'$$$ Replace &amp; Retrofit'!$E$10:$F$13,2),NA))))*E1016</f>
        <v>75611.9173214193</v>
      </c>
    </row>
    <row r="1017" spans="1:10" x14ac:dyDescent="0.25">
      <c r="A1017" s="255" t="s">
        <v>20</v>
      </c>
      <c r="B1017" s="255" t="s">
        <v>212</v>
      </c>
      <c r="C1017" s="256">
        <v>2013</v>
      </c>
      <c r="D1017" s="256">
        <v>100</v>
      </c>
      <c r="E1017">
        <v>2.3663038334122199E-2</v>
      </c>
      <c r="F1017" s="257"/>
      <c r="G1017">
        <f t="shared" si="13"/>
        <v>125</v>
      </c>
      <c r="H1017" s="4">
        <f>IF(B1017="RTG Crane",IF(D1017&lt;600,800000,1200000),VLOOKUP(B1017,'$$$ Replace &amp; Retrofit'!$B$10:$C$14,2)*'CHE Model poplulation'!D1017)*E1017</f>
        <v>18930.430667297758</v>
      </c>
      <c r="I1017" s="4">
        <f>E1017*VLOOKUP('CHE Model poplulation'!G1017,'$$$ Replace &amp; Retrofit'!$I$10:$J$15,2)</f>
        <v>466.94273544723336</v>
      </c>
      <c r="J1017" s="4">
        <f>IF(D1017=50,VLOOKUP(0,'$$$ Replace &amp; Retrofit'!$E$10:$F$13,2),IF(D1017&lt;175,VLOOKUP(50,'$$$ Replace &amp; Retrofit'!$E$10:$F$13,2),IF(D1017&lt;400,VLOOKUP(175,'$$$ Replace &amp; Retrofit'!$E$10:$F$13,2),IF(D1017&gt;=400,VLOOKUP(400,'$$$ Replace &amp; Retrofit'!$E$10:$F$13,2),NA))))*E1017</f>
        <v>283.95646000946641</v>
      </c>
    </row>
    <row r="1018" spans="1:10" x14ac:dyDescent="0.25">
      <c r="A1018" s="255" t="s">
        <v>20</v>
      </c>
      <c r="B1018" s="255" t="s">
        <v>212</v>
      </c>
      <c r="C1018" s="256">
        <v>2013</v>
      </c>
      <c r="D1018" s="256">
        <v>300</v>
      </c>
      <c r="E1018">
        <v>2.9903658858445699</v>
      </c>
      <c r="F1018" s="257"/>
      <c r="G1018">
        <f t="shared" si="13"/>
        <v>300</v>
      </c>
      <c r="H1018" s="4">
        <f>IF(B1018="RTG Crane",IF(D1018&lt;600,800000,1200000),VLOOKUP(B1018,'$$$ Replace &amp; Retrofit'!$B$10:$C$14,2)*'CHE Model poplulation'!D1018)*E1018</f>
        <v>2392292.708675656</v>
      </c>
      <c r="I1018" s="4">
        <f>E1018*VLOOKUP('CHE Model poplulation'!G1018,'$$$ Replace &amp; Retrofit'!$I$10:$J$15,2)</f>
        <v>86011.893974547362</v>
      </c>
      <c r="J1018" s="4">
        <f>IF(D1018=50,VLOOKUP(0,'$$$ Replace &amp; Retrofit'!$E$10:$F$13,2),IF(D1018&lt;175,VLOOKUP(50,'$$$ Replace &amp; Retrofit'!$E$10:$F$13,2),IF(D1018&lt;400,VLOOKUP(175,'$$$ Replace &amp; Retrofit'!$E$10:$F$13,2),IF(D1018&gt;=400,VLOOKUP(400,'$$$ Replace &amp; Retrofit'!$E$10:$F$13,2),NA))))*E1018</f>
        <v>53826.585945202256</v>
      </c>
    </row>
    <row r="1019" spans="1:10" x14ac:dyDescent="0.25">
      <c r="A1019" s="255" t="s">
        <v>20</v>
      </c>
      <c r="B1019" s="255" t="s">
        <v>212</v>
      </c>
      <c r="C1019" s="256">
        <v>2013</v>
      </c>
      <c r="D1019" s="256">
        <v>600</v>
      </c>
      <c r="E1019">
        <v>6.4440920769860002</v>
      </c>
      <c r="F1019" s="257"/>
      <c r="G1019">
        <f t="shared" si="13"/>
        <v>400</v>
      </c>
      <c r="H1019" s="4">
        <f>IF(B1019="RTG Crane",IF(D1019&lt;600,800000,1200000),VLOOKUP(B1019,'$$$ Replace &amp; Retrofit'!$B$10:$C$14,2)*'CHE Model poplulation'!D1019)*E1019</f>
        <v>7732910.4923831997</v>
      </c>
      <c r="I1019" s="4">
        <f>E1019*VLOOKUP('CHE Model poplulation'!G1019,'$$$ Replace &amp; Retrofit'!$I$10:$J$15,2)</f>
        <v>337238.67066490836</v>
      </c>
      <c r="J1019" s="4">
        <f>IF(D1019=50,VLOOKUP(0,'$$$ Replace &amp; Retrofit'!$E$10:$F$13,2),IF(D1019&lt;175,VLOOKUP(50,'$$$ Replace &amp; Retrofit'!$E$10:$F$13,2),IF(D1019&lt;400,VLOOKUP(175,'$$$ Replace &amp; Retrofit'!$E$10:$F$13,2),IF(D1019&gt;=400,VLOOKUP(400,'$$$ Replace &amp; Retrofit'!$E$10:$F$13,2),NA))))*E1019</f>
        <v>193322.76230957999</v>
      </c>
    </row>
    <row r="1020" spans="1:10" x14ac:dyDescent="0.25">
      <c r="A1020" s="255" t="s">
        <v>20</v>
      </c>
      <c r="B1020" s="255" t="s">
        <v>212</v>
      </c>
      <c r="C1020" s="256">
        <v>2013</v>
      </c>
      <c r="D1020" s="256">
        <v>750</v>
      </c>
      <c r="E1020">
        <v>4.70345751363645</v>
      </c>
      <c r="F1020" s="257"/>
      <c r="G1020">
        <f t="shared" si="13"/>
        <v>400</v>
      </c>
      <c r="H1020" s="4">
        <f>IF(B1020="RTG Crane",IF(D1020&lt;600,800000,1200000),VLOOKUP(B1020,'$$$ Replace &amp; Retrofit'!$B$10:$C$14,2)*'CHE Model poplulation'!D1020)*E1020</f>
        <v>5644149.01636374</v>
      </c>
      <c r="I1020" s="4">
        <f>E1020*VLOOKUP('CHE Model poplulation'!G1020,'$$$ Replace &amp; Retrofit'!$I$10:$J$15,2)</f>
        <v>246146.04206113634</v>
      </c>
      <c r="J1020" s="4">
        <f>IF(D1020=50,VLOOKUP(0,'$$$ Replace &amp; Retrofit'!$E$10:$F$13,2),IF(D1020&lt;175,VLOOKUP(50,'$$$ Replace &amp; Retrofit'!$E$10:$F$13,2),IF(D1020&lt;400,VLOOKUP(175,'$$$ Replace &amp; Retrofit'!$E$10:$F$13,2),IF(D1020&gt;=400,VLOOKUP(400,'$$$ Replace &amp; Retrofit'!$E$10:$F$13,2),NA))))*E1020</f>
        <v>141103.72540909349</v>
      </c>
    </row>
    <row r="1021" spans="1:10" x14ac:dyDescent="0.25">
      <c r="A1021" s="255" t="s">
        <v>20</v>
      </c>
      <c r="B1021" s="255" t="s">
        <v>212</v>
      </c>
      <c r="C1021" s="256">
        <v>2013</v>
      </c>
      <c r="D1021" s="256">
        <v>9999</v>
      </c>
      <c r="E1021">
        <v>1.9096643648001399</v>
      </c>
      <c r="F1021" s="257"/>
      <c r="G1021">
        <f t="shared" si="13"/>
        <v>400</v>
      </c>
      <c r="H1021" s="4">
        <f>IF(B1021="RTG Crane",IF(D1021&lt;600,800000,1200000),VLOOKUP(B1021,'$$$ Replace &amp; Retrofit'!$B$10:$C$14,2)*'CHE Model poplulation'!D1021)*E1021</f>
        <v>2291597.237760168</v>
      </c>
      <c r="I1021" s="4">
        <f>E1021*VLOOKUP('CHE Model poplulation'!G1021,'$$$ Replace &amp; Retrofit'!$I$10:$J$15,2)</f>
        <v>99938.465203085725</v>
      </c>
      <c r="J1021" s="4">
        <f>IF(D1021=50,VLOOKUP(0,'$$$ Replace &amp; Retrofit'!$E$10:$F$13,2),IF(D1021&lt;175,VLOOKUP(50,'$$$ Replace &amp; Retrofit'!$E$10:$F$13,2),IF(D1021&lt;400,VLOOKUP(175,'$$$ Replace &amp; Retrofit'!$E$10:$F$13,2),IF(D1021&gt;=400,VLOOKUP(400,'$$$ Replace &amp; Retrofit'!$E$10:$F$13,2),NA))))*E1021</f>
        <v>57289.930944004198</v>
      </c>
    </row>
    <row r="1022" spans="1:10" x14ac:dyDescent="0.25">
      <c r="A1022" s="255" t="s">
        <v>20</v>
      </c>
      <c r="B1022" s="255" t="s">
        <v>212</v>
      </c>
      <c r="C1022" s="256">
        <v>2014</v>
      </c>
      <c r="D1022" s="256">
        <v>100</v>
      </c>
      <c r="E1022">
        <v>0</v>
      </c>
      <c r="F1022" s="257"/>
      <c r="G1022">
        <f t="shared" si="13"/>
        <v>125</v>
      </c>
      <c r="H1022" s="4">
        <f>IF(B1022="RTG Crane",IF(D1022&lt;600,800000,1200000),VLOOKUP(B1022,'$$$ Replace &amp; Retrofit'!$B$10:$C$14,2)*'CHE Model poplulation'!D1022)*E1022</f>
        <v>0</v>
      </c>
      <c r="I1022" s="4">
        <f>E1022*VLOOKUP('CHE Model poplulation'!G1022,'$$$ Replace &amp; Retrofit'!$I$10:$J$15,2)</f>
        <v>0</v>
      </c>
      <c r="J1022" s="4">
        <f>IF(D1022=50,VLOOKUP(0,'$$$ Replace &amp; Retrofit'!$E$10:$F$13,2),IF(D1022&lt;175,VLOOKUP(50,'$$$ Replace &amp; Retrofit'!$E$10:$F$13,2),IF(D1022&lt;400,VLOOKUP(175,'$$$ Replace &amp; Retrofit'!$E$10:$F$13,2),IF(D1022&gt;=400,VLOOKUP(400,'$$$ Replace &amp; Retrofit'!$E$10:$F$13,2),NA))))*E1022</f>
        <v>0</v>
      </c>
    </row>
    <row r="1023" spans="1:10" x14ac:dyDescent="0.25">
      <c r="A1023" s="255" t="s">
        <v>20</v>
      </c>
      <c r="B1023" s="255" t="s">
        <v>212</v>
      </c>
      <c r="C1023" s="256">
        <v>2014</v>
      </c>
      <c r="D1023" s="256">
        <v>300</v>
      </c>
      <c r="E1023">
        <v>1.63141281246446</v>
      </c>
      <c r="F1023" s="257"/>
      <c r="G1023">
        <f t="shared" si="13"/>
        <v>300</v>
      </c>
      <c r="H1023" s="4">
        <f>IF(B1023="RTG Crane",IF(D1023&lt;600,800000,1200000),VLOOKUP(B1023,'$$$ Replace &amp; Retrofit'!$B$10:$C$14,2)*'CHE Model poplulation'!D1023)*E1023</f>
        <v>1305130.2499715681</v>
      </c>
      <c r="I1023" s="4">
        <f>E1023*VLOOKUP('CHE Model poplulation'!G1023,'$$$ Replace &amp; Retrofit'!$I$10:$J$15,2)</f>
        <v>46924.326724915263</v>
      </c>
      <c r="J1023" s="4">
        <f>IF(D1023=50,VLOOKUP(0,'$$$ Replace &amp; Retrofit'!$E$10:$F$13,2),IF(D1023&lt;175,VLOOKUP(50,'$$$ Replace &amp; Retrofit'!$E$10:$F$13,2),IF(D1023&lt;400,VLOOKUP(175,'$$$ Replace &amp; Retrofit'!$E$10:$F$13,2),IF(D1023&gt;=400,VLOOKUP(400,'$$$ Replace &amp; Retrofit'!$E$10:$F$13,2),NA))))*E1023</f>
        <v>29365.43062436028</v>
      </c>
    </row>
    <row r="1024" spans="1:10" x14ac:dyDescent="0.25">
      <c r="A1024" s="255" t="s">
        <v>20</v>
      </c>
      <c r="B1024" s="255" t="s">
        <v>212</v>
      </c>
      <c r="C1024" s="256">
        <v>2014</v>
      </c>
      <c r="D1024" s="256">
        <v>600</v>
      </c>
      <c r="E1024">
        <v>3.9933061998214399</v>
      </c>
      <c r="F1024" s="257"/>
      <c r="G1024">
        <f t="shared" si="13"/>
        <v>400</v>
      </c>
      <c r="H1024" s="4">
        <f>IF(B1024="RTG Crane",IF(D1024&lt;600,800000,1200000),VLOOKUP(B1024,'$$$ Replace &amp; Retrofit'!$B$10:$C$14,2)*'CHE Model poplulation'!D1024)*E1024</f>
        <v>4791967.4397857282</v>
      </c>
      <c r="I1024" s="4">
        <f>E1024*VLOOKUP('CHE Model poplulation'!G1024,'$$$ Replace &amp; Retrofit'!$I$10:$J$15,2)</f>
        <v>208981.69335525541</v>
      </c>
      <c r="J1024" s="4">
        <f>IF(D1024=50,VLOOKUP(0,'$$$ Replace &amp; Retrofit'!$E$10:$F$13,2),IF(D1024&lt;175,VLOOKUP(50,'$$$ Replace &amp; Retrofit'!$E$10:$F$13,2),IF(D1024&lt;400,VLOOKUP(175,'$$$ Replace &amp; Retrofit'!$E$10:$F$13,2),IF(D1024&gt;=400,VLOOKUP(400,'$$$ Replace &amp; Retrofit'!$E$10:$F$13,2),NA))))*E1024</f>
        <v>119799.18599464319</v>
      </c>
    </row>
    <row r="1025" spans="1:10" x14ac:dyDescent="0.25">
      <c r="A1025" s="255" t="s">
        <v>20</v>
      </c>
      <c r="B1025" s="255" t="s">
        <v>212</v>
      </c>
      <c r="C1025" s="256">
        <v>2014</v>
      </c>
      <c r="D1025" s="256">
        <v>750</v>
      </c>
      <c r="E1025">
        <v>3.0498582799218199</v>
      </c>
      <c r="F1025" s="257"/>
      <c r="G1025">
        <f t="shared" si="13"/>
        <v>400</v>
      </c>
      <c r="H1025" s="4">
        <f>IF(B1025="RTG Crane",IF(D1025&lt;600,800000,1200000),VLOOKUP(B1025,'$$$ Replace &amp; Retrofit'!$B$10:$C$14,2)*'CHE Model poplulation'!D1025)*E1025</f>
        <v>3659829.9359061839</v>
      </c>
      <c r="I1025" s="4">
        <f>E1025*VLOOKUP('CHE Model poplulation'!G1025,'$$$ Replace &amp; Retrofit'!$I$10:$J$15,2)</f>
        <v>159608.23336314861</v>
      </c>
      <c r="J1025" s="4">
        <f>IF(D1025=50,VLOOKUP(0,'$$$ Replace &amp; Retrofit'!$E$10:$F$13,2),IF(D1025&lt;175,VLOOKUP(50,'$$$ Replace &amp; Retrofit'!$E$10:$F$13,2),IF(D1025&lt;400,VLOOKUP(175,'$$$ Replace &amp; Retrofit'!$E$10:$F$13,2),IF(D1025&gt;=400,VLOOKUP(400,'$$$ Replace &amp; Retrofit'!$E$10:$F$13,2),NA))))*E1025</f>
        <v>91495.748397654592</v>
      </c>
    </row>
    <row r="1026" spans="1:10" x14ac:dyDescent="0.25">
      <c r="A1026" s="255" t="s">
        <v>20</v>
      </c>
      <c r="B1026" s="255" t="s">
        <v>212</v>
      </c>
      <c r="C1026" s="256">
        <v>2014</v>
      </c>
      <c r="D1026" s="256">
        <v>9999</v>
      </c>
      <c r="E1026">
        <v>1.18315191670611</v>
      </c>
      <c r="F1026" s="257"/>
      <c r="G1026">
        <f t="shared" si="13"/>
        <v>400</v>
      </c>
      <c r="H1026" s="4">
        <f>IF(B1026="RTG Crane",IF(D1026&lt;600,800000,1200000),VLOOKUP(B1026,'$$$ Replace &amp; Retrofit'!$B$10:$C$14,2)*'CHE Model poplulation'!D1026)*E1026</f>
        <v>1419782.300047332</v>
      </c>
      <c r="I1026" s="4">
        <f>E1026*VLOOKUP('CHE Model poplulation'!G1026,'$$$ Replace &amp; Retrofit'!$I$10:$J$15,2)</f>
        <v>61917.889256980852</v>
      </c>
      <c r="J1026" s="4">
        <f>IF(D1026=50,VLOOKUP(0,'$$$ Replace &amp; Retrofit'!$E$10:$F$13,2),IF(D1026&lt;175,VLOOKUP(50,'$$$ Replace &amp; Retrofit'!$E$10:$F$13,2),IF(D1026&lt;400,VLOOKUP(175,'$$$ Replace &amp; Retrofit'!$E$10:$F$13,2),IF(D1026&gt;=400,VLOOKUP(400,'$$$ Replace &amp; Retrofit'!$E$10:$F$13,2),NA))))*E1026</f>
        <v>35494.557501183299</v>
      </c>
    </row>
    <row r="1027" spans="1:10" x14ac:dyDescent="0.25">
      <c r="A1027" s="255" t="s">
        <v>20</v>
      </c>
      <c r="B1027" s="255" t="s">
        <v>212</v>
      </c>
      <c r="C1027" s="256">
        <v>2015</v>
      </c>
      <c r="D1027" s="256">
        <v>100</v>
      </c>
      <c r="E1027">
        <v>0</v>
      </c>
      <c r="F1027" s="257"/>
      <c r="G1027">
        <f t="shared" si="13"/>
        <v>125</v>
      </c>
      <c r="H1027" s="4">
        <f>IF(B1027="RTG Crane",IF(D1027&lt;600,800000,1200000),VLOOKUP(B1027,'$$$ Replace &amp; Retrofit'!$B$10:$C$14,2)*'CHE Model poplulation'!D1027)*E1027</f>
        <v>0</v>
      </c>
      <c r="I1027" s="4">
        <f>E1027*VLOOKUP('CHE Model poplulation'!G1027,'$$$ Replace &amp; Retrofit'!$I$10:$J$15,2)</f>
        <v>0</v>
      </c>
      <c r="J1027" s="4">
        <f>IF(D1027=50,VLOOKUP(0,'$$$ Replace &amp; Retrofit'!$E$10:$F$13,2),IF(D1027&lt;175,VLOOKUP(50,'$$$ Replace &amp; Retrofit'!$E$10:$F$13,2),IF(D1027&lt;400,VLOOKUP(175,'$$$ Replace &amp; Retrofit'!$E$10:$F$13,2),IF(D1027&gt;=400,VLOOKUP(400,'$$$ Replace &amp; Retrofit'!$E$10:$F$13,2),NA))))*E1027</f>
        <v>0</v>
      </c>
    </row>
    <row r="1028" spans="1:10" x14ac:dyDescent="0.25">
      <c r="A1028" s="255" t="s">
        <v>20</v>
      </c>
      <c r="B1028" s="255" t="s">
        <v>212</v>
      </c>
      <c r="C1028" s="256">
        <v>2015</v>
      </c>
      <c r="D1028" s="256">
        <v>300</v>
      </c>
      <c r="E1028">
        <v>0.52058684335068695</v>
      </c>
      <c r="F1028" s="257"/>
      <c r="G1028">
        <f t="shared" si="13"/>
        <v>300</v>
      </c>
      <c r="H1028" s="4">
        <f>IF(B1028="RTG Crane",IF(D1028&lt;600,800000,1200000),VLOOKUP(B1028,'$$$ Replace &amp; Retrofit'!$B$10:$C$14,2)*'CHE Model poplulation'!D1028)*E1028</f>
        <v>416469.47468054958</v>
      </c>
      <c r="I1028" s="4">
        <f>E1028*VLOOKUP('CHE Model poplulation'!G1028,'$$$ Replace &amp; Retrofit'!$I$10:$J$15,2)</f>
        <v>14973.639375295808</v>
      </c>
      <c r="J1028" s="4">
        <f>IF(D1028=50,VLOOKUP(0,'$$$ Replace &amp; Retrofit'!$E$10:$F$13,2),IF(D1028&lt;175,VLOOKUP(50,'$$$ Replace &amp; Retrofit'!$E$10:$F$13,2),IF(D1028&lt;400,VLOOKUP(175,'$$$ Replace &amp; Retrofit'!$E$10:$F$13,2),IF(D1028&gt;=400,VLOOKUP(400,'$$$ Replace &amp; Retrofit'!$E$10:$F$13,2),NA))))*E1028</f>
        <v>9370.5631803123651</v>
      </c>
    </row>
    <row r="1029" spans="1:10" x14ac:dyDescent="0.25">
      <c r="A1029" s="255" t="s">
        <v>20</v>
      </c>
      <c r="B1029" s="255" t="s">
        <v>212</v>
      </c>
      <c r="C1029" s="256">
        <v>2015</v>
      </c>
      <c r="D1029" s="256">
        <v>600</v>
      </c>
      <c r="E1029">
        <v>1.41978230004733</v>
      </c>
      <c r="F1029" s="257"/>
      <c r="G1029">
        <f t="shared" si="13"/>
        <v>400</v>
      </c>
      <c r="H1029" s="4">
        <f>IF(B1029="RTG Crane",IF(D1029&lt;600,800000,1200000),VLOOKUP(B1029,'$$$ Replace &amp; Retrofit'!$B$10:$C$14,2)*'CHE Model poplulation'!D1029)*E1029</f>
        <v>1703738.760056796</v>
      </c>
      <c r="I1029" s="4">
        <f>E1029*VLOOKUP('CHE Model poplulation'!G1029,'$$$ Replace &amp; Retrofit'!$I$10:$J$15,2)</f>
        <v>74301.467108376921</v>
      </c>
      <c r="J1029" s="4">
        <f>IF(D1029=50,VLOOKUP(0,'$$$ Replace &amp; Retrofit'!$E$10:$F$13,2),IF(D1029&lt;175,VLOOKUP(50,'$$$ Replace &amp; Retrofit'!$E$10:$F$13,2),IF(D1029&lt;400,VLOOKUP(175,'$$$ Replace &amp; Retrofit'!$E$10:$F$13,2),IF(D1029&gt;=400,VLOOKUP(400,'$$$ Replace &amp; Retrofit'!$E$10:$F$13,2),NA))))*E1029</f>
        <v>42593.4690014199</v>
      </c>
    </row>
    <row r="1030" spans="1:10" x14ac:dyDescent="0.25">
      <c r="A1030" s="255" t="s">
        <v>20</v>
      </c>
      <c r="B1030" s="255" t="s">
        <v>212</v>
      </c>
      <c r="C1030" s="256">
        <v>2015</v>
      </c>
      <c r="D1030" s="256">
        <v>750</v>
      </c>
      <c r="E1030">
        <v>1.2778040700426001</v>
      </c>
      <c r="F1030" s="257"/>
      <c r="G1030">
        <f t="shared" si="13"/>
        <v>400</v>
      </c>
      <c r="H1030" s="4">
        <f>IF(B1030="RTG Crane",IF(D1030&lt;600,800000,1200000),VLOOKUP(B1030,'$$$ Replace &amp; Retrofit'!$B$10:$C$14,2)*'CHE Model poplulation'!D1030)*E1030</f>
        <v>1533364.8840511201</v>
      </c>
      <c r="I1030" s="4">
        <f>E1030*VLOOKUP('CHE Model poplulation'!G1030,'$$$ Replace &amp; Retrofit'!$I$10:$J$15,2)</f>
        <v>66871.320397539384</v>
      </c>
      <c r="J1030" s="4">
        <f>IF(D1030=50,VLOOKUP(0,'$$$ Replace &amp; Retrofit'!$E$10:$F$13,2),IF(D1030&lt;175,VLOOKUP(50,'$$$ Replace &amp; Retrofit'!$E$10:$F$13,2),IF(D1030&lt;400,VLOOKUP(175,'$$$ Replace &amp; Retrofit'!$E$10:$F$13,2),IF(D1030&gt;=400,VLOOKUP(400,'$$$ Replace &amp; Retrofit'!$E$10:$F$13,2),NA))))*E1030</f>
        <v>38334.122101278001</v>
      </c>
    </row>
    <row r="1031" spans="1:10" x14ac:dyDescent="0.25">
      <c r="A1031" s="255" t="s">
        <v>20</v>
      </c>
      <c r="B1031" s="255" t="s">
        <v>212</v>
      </c>
      <c r="C1031" s="256">
        <v>2015</v>
      </c>
      <c r="D1031" s="256">
        <v>9999</v>
      </c>
      <c r="E1031">
        <v>0.42593469001419898</v>
      </c>
      <c r="F1031" s="257"/>
      <c r="G1031">
        <f t="shared" si="13"/>
        <v>400</v>
      </c>
      <c r="H1031" s="4">
        <f>IF(B1031="RTG Crane",IF(D1031&lt;600,800000,1200000),VLOOKUP(B1031,'$$$ Replace &amp; Retrofit'!$B$10:$C$14,2)*'CHE Model poplulation'!D1031)*E1031</f>
        <v>511121.62801703875</v>
      </c>
      <c r="I1031" s="4">
        <f>E1031*VLOOKUP('CHE Model poplulation'!G1031,'$$$ Replace &amp; Retrofit'!$I$10:$J$15,2)</f>
        <v>22290.440132513075</v>
      </c>
      <c r="J1031" s="4">
        <f>IF(D1031=50,VLOOKUP(0,'$$$ Replace &amp; Retrofit'!$E$10:$F$13,2),IF(D1031&lt;175,VLOOKUP(50,'$$$ Replace &amp; Retrofit'!$E$10:$F$13,2),IF(D1031&lt;400,VLOOKUP(175,'$$$ Replace &amp; Retrofit'!$E$10:$F$13,2),IF(D1031&gt;=400,VLOOKUP(400,'$$$ Replace &amp; Retrofit'!$E$10:$F$13,2),NA))))*E1031</f>
        <v>12778.040700425969</v>
      </c>
    </row>
    <row r="1032" spans="1:10" x14ac:dyDescent="0.25">
      <c r="A1032" s="255" t="s">
        <v>20</v>
      </c>
      <c r="B1032" s="255" t="s">
        <v>212</v>
      </c>
      <c r="C1032" s="256">
        <v>2016</v>
      </c>
      <c r="D1032" s="256">
        <v>100</v>
      </c>
      <c r="E1032">
        <v>0</v>
      </c>
      <c r="F1032" s="257"/>
      <c r="I1032" s="4"/>
    </row>
    <row r="1033" spans="1:10" x14ac:dyDescent="0.25">
      <c r="A1033" s="255" t="s">
        <v>20</v>
      </c>
      <c r="B1033" s="255" t="s">
        <v>212</v>
      </c>
      <c r="C1033" s="256">
        <v>2016</v>
      </c>
      <c r="D1033" s="256">
        <v>300</v>
      </c>
      <c r="E1033">
        <v>0</v>
      </c>
      <c r="F1033" s="257"/>
      <c r="I1033" s="4"/>
    </row>
    <row r="1034" spans="1:10" x14ac:dyDescent="0.25">
      <c r="A1034" s="255" t="s">
        <v>20</v>
      </c>
      <c r="B1034" s="255" t="s">
        <v>212</v>
      </c>
      <c r="C1034" s="256">
        <v>2016</v>
      </c>
      <c r="D1034" s="256">
        <v>600</v>
      </c>
      <c r="E1034">
        <v>0</v>
      </c>
      <c r="F1034" s="257"/>
      <c r="I1034" s="4"/>
    </row>
    <row r="1035" spans="1:10" x14ac:dyDescent="0.25">
      <c r="A1035" s="255" t="s">
        <v>20</v>
      </c>
      <c r="B1035" s="255" t="s">
        <v>212</v>
      </c>
      <c r="C1035" s="256">
        <v>2016</v>
      </c>
      <c r="D1035" s="256">
        <v>750</v>
      </c>
      <c r="E1035">
        <v>0</v>
      </c>
      <c r="F1035" s="257"/>
      <c r="I1035" s="4"/>
    </row>
    <row r="1036" spans="1:10" x14ac:dyDescent="0.25">
      <c r="A1036" s="255" t="s">
        <v>20</v>
      </c>
      <c r="B1036" s="255" t="s">
        <v>212</v>
      </c>
      <c r="C1036" s="256">
        <v>2016</v>
      </c>
      <c r="D1036" s="256">
        <v>9999</v>
      </c>
      <c r="E1036">
        <v>0</v>
      </c>
      <c r="F1036" s="257"/>
      <c r="I1036" s="4"/>
    </row>
    <row r="1037" spans="1:10" x14ac:dyDescent="0.25">
      <c r="A1037" s="255" t="s">
        <v>20</v>
      </c>
      <c r="B1037" s="255" t="s">
        <v>212</v>
      </c>
      <c r="C1037" s="256">
        <v>2017</v>
      </c>
      <c r="D1037" s="256">
        <v>100</v>
      </c>
      <c r="E1037">
        <v>0</v>
      </c>
      <c r="F1037" s="257"/>
      <c r="I1037" s="4"/>
    </row>
    <row r="1038" spans="1:10" x14ac:dyDescent="0.25">
      <c r="A1038" s="255" t="s">
        <v>20</v>
      </c>
      <c r="B1038" s="255" t="s">
        <v>212</v>
      </c>
      <c r="C1038" s="256">
        <v>2017</v>
      </c>
      <c r="D1038" s="256">
        <v>300</v>
      </c>
      <c r="E1038">
        <v>0</v>
      </c>
      <c r="F1038" s="257"/>
      <c r="I1038" s="4"/>
    </row>
    <row r="1039" spans="1:10" x14ac:dyDescent="0.25">
      <c r="A1039" s="255" t="s">
        <v>20</v>
      </c>
      <c r="B1039" s="255" t="s">
        <v>212</v>
      </c>
      <c r="C1039" s="256">
        <v>2017</v>
      </c>
      <c r="D1039" s="256">
        <v>600</v>
      </c>
      <c r="E1039">
        <v>0</v>
      </c>
      <c r="F1039" s="257"/>
      <c r="I1039" s="4"/>
    </row>
    <row r="1040" spans="1:10" x14ac:dyDescent="0.25">
      <c r="A1040" s="255" t="s">
        <v>20</v>
      </c>
      <c r="B1040" s="255" t="s">
        <v>212</v>
      </c>
      <c r="C1040" s="256">
        <v>2017</v>
      </c>
      <c r="D1040" s="256">
        <v>750</v>
      </c>
      <c r="E1040">
        <v>0</v>
      </c>
      <c r="F1040" s="257"/>
      <c r="I1040" s="4"/>
    </row>
    <row r="1041" spans="1:9" x14ac:dyDescent="0.25">
      <c r="A1041" s="255" t="s">
        <v>20</v>
      </c>
      <c r="B1041" s="255" t="s">
        <v>212</v>
      </c>
      <c r="C1041" s="256">
        <v>2017</v>
      </c>
      <c r="D1041" s="256">
        <v>9999</v>
      </c>
      <c r="E1041">
        <v>0</v>
      </c>
      <c r="F1041" s="257"/>
      <c r="I1041" s="4"/>
    </row>
    <row r="1042" spans="1:9" x14ac:dyDescent="0.25">
      <c r="A1042" s="255" t="s">
        <v>20</v>
      </c>
      <c r="B1042" s="255" t="s">
        <v>212</v>
      </c>
      <c r="C1042" s="256">
        <v>2018</v>
      </c>
      <c r="D1042" s="256">
        <v>100</v>
      </c>
      <c r="E1042">
        <v>0</v>
      </c>
      <c r="F1042" s="257"/>
      <c r="I1042" s="4"/>
    </row>
    <row r="1043" spans="1:9" x14ac:dyDescent="0.25">
      <c r="A1043" s="255" t="s">
        <v>20</v>
      </c>
      <c r="B1043" s="255" t="s">
        <v>212</v>
      </c>
      <c r="C1043" s="256">
        <v>2018</v>
      </c>
      <c r="D1043" s="256">
        <v>300</v>
      </c>
      <c r="E1043">
        <v>0</v>
      </c>
      <c r="F1043" s="257"/>
      <c r="I1043" s="4"/>
    </row>
    <row r="1044" spans="1:9" x14ac:dyDescent="0.25">
      <c r="A1044" s="255" t="s">
        <v>20</v>
      </c>
      <c r="B1044" s="255" t="s">
        <v>212</v>
      </c>
      <c r="C1044" s="256">
        <v>2018</v>
      </c>
      <c r="D1044" s="256">
        <v>600</v>
      </c>
      <c r="E1044">
        <v>0</v>
      </c>
      <c r="F1044" s="257"/>
      <c r="I1044" s="4"/>
    </row>
    <row r="1045" spans="1:9" x14ac:dyDescent="0.25">
      <c r="A1045" s="255" t="s">
        <v>20</v>
      </c>
      <c r="B1045" s="255" t="s">
        <v>212</v>
      </c>
      <c r="C1045" s="256">
        <v>2018</v>
      </c>
      <c r="D1045" s="256">
        <v>750</v>
      </c>
      <c r="E1045">
        <v>0</v>
      </c>
      <c r="F1045" s="257"/>
      <c r="I1045" s="4"/>
    </row>
    <row r="1046" spans="1:9" x14ac:dyDescent="0.25">
      <c r="A1046" s="255" t="s">
        <v>20</v>
      </c>
      <c r="B1046" s="255" t="s">
        <v>212</v>
      </c>
      <c r="C1046" s="256">
        <v>2018</v>
      </c>
      <c r="D1046" s="256">
        <v>9999</v>
      </c>
      <c r="E1046">
        <v>0</v>
      </c>
      <c r="F1046" s="257"/>
      <c r="I1046" s="4"/>
    </row>
    <row r="1047" spans="1:9" x14ac:dyDescent="0.25">
      <c r="A1047" s="255" t="s">
        <v>20</v>
      </c>
      <c r="B1047" s="255" t="s">
        <v>212</v>
      </c>
      <c r="C1047" s="256">
        <v>2019</v>
      </c>
      <c r="D1047" s="256">
        <v>100</v>
      </c>
      <c r="E1047">
        <v>0</v>
      </c>
      <c r="F1047" s="257"/>
      <c r="I1047" s="4"/>
    </row>
    <row r="1048" spans="1:9" x14ac:dyDescent="0.25">
      <c r="A1048" s="255" t="s">
        <v>20</v>
      </c>
      <c r="B1048" s="255" t="s">
        <v>212</v>
      </c>
      <c r="C1048" s="256">
        <v>2019</v>
      </c>
      <c r="D1048" s="256">
        <v>300</v>
      </c>
      <c r="E1048">
        <v>0</v>
      </c>
      <c r="F1048" s="257"/>
      <c r="I1048" s="4"/>
    </row>
    <row r="1049" spans="1:9" x14ac:dyDescent="0.25">
      <c r="A1049" s="255" t="s">
        <v>20</v>
      </c>
      <c r="B1049" s="255" t="s">
        <v>212</v>
      </c>
      <c r="C1049" s="256">
        <v>2019</v>
      </c>
      <c r="D1049" s="256">
        <v>600</v>
      </c>
      <c r="E1049">
        <v>0</v>
      </c>
      <c r="F1049" s="257"/>
      <c r="I1049" s="4"/>
    </row>
    <row r="1050" spans="1:9" x14ac:dyDescent="0.25">
      <c r="A1050" s="255" t="s">
        <v>20</v>
      </c>
      <c r="B1050" s="255" t="s">
        <v>212</v>
      </c>
      <c r="C1050" s="256">
        <v>2019</v>
      </c>
      <c r="D1050" s="256">
        <v>750</v>
      </c>
      <c r="E1050">
        <v>0</v>
      </c>
      <c r="F1050" s="257"/>
      <c r="I1050" s="4"/>
    </row>
    <row r="1051" spans="1:9" x14ac:dyDescent="0.25">
      <c r="A1051" s="255" t="s">
        <v>20</v>
      </c>
      <c r="B1051" s="255" t="s">
        <v>212</v>
      </c>
      <c r="C1051" s="256">
        <v>2019</v>
      </c>
      <c r="D1051" s="256">
        <v>9999</v>
      </c>
      <c r="E1051">
        <v>0</v>
      </c>
      <c r="F1051" s="257"/>
      <c r="I1051" s="4"/>
    </row>
    <row r="1052" spans="1:9" x14ac:dyDescent="0.25">
      <c r="A1052" s="255" t="s">
        <v>20</v>
      </c>
      <c r="B1052" s="255" t="s">
        <v>212</v>
      </c>
      <c r="C1052" s="256">
        <v>2020</v>
      </c>
      <c r="D1052" s="256">
        <v>100</v>
      </c>
      <c r="E1052">
        <v>0</v>
      </c>
      <c r="F1052" s="257"/>
      <c r="I1052" s="4"/>
    </row>
    <row r="1053" spans="1:9" x14ac:dyDescent="0.25">
      <c r="A1053" s="255" t="s">
        <v>20</v>
      </c>
      <c r="B1053" s="255" t="s">
        <v>212</v>
      </c>
      <c r="C1053" s="256">
        <v>2020</v>
      </c>
      <c r="D1053" s="256">
        <v>300</v>
      </c>
      <c r="E1053">
        <v>0</v>
      </c>
      <c r="F1053" s="257"/>
      <c r="I1053" s="4"/>
    </row>
    <row r="1054" spans="1:9" x14ac:dyDescent="0.25">
      <c r="A1054" s="255" t="s">
        <v>20</v>
      </c>
      <c r="B1054" s="255" t="s">
        <v>212</v>
      </c>
      <c r="C1054" s="256">
        <v>2020</v>
      </c>
      <c r="D1054" s="256">
        <v>600</v>
      </c>
      <c r="E1054">
        <v>0</v>
      </c>
      <c r="F1054" s="257"/>
      <c r="I1054" s="4"/>
    </row>
    <row r="1055" spans="1:9" x14ac:dyDescent="0.25">
      <c r="A1055" s="255" t="s">
        <v>20</v>
      </c>
      <c r="B1055" s="255" t="s">
        <v>212</v>
      </c>
      <c r="C1055" s="256">
        <v>2020</v>
      </c>
      <c r="D1055" s="256">
        <v>750</v>
      </c>
      <c r="E1055">
        <v>0</v>
      </c>
      <c r="F1055" s="257"/>
      <c r="I1055" s="4"/>
    </row>
    <row r="1056" spans="1:9" x14ac:dyDescent="0.25">
      <c r="A1056" s="255" t="s">
        <v>20</v>
      </c>
      <c r="B1056" s="255" t="s">
        <v>212</v>
      </c>
      <c r="C1056" s="256">
        <v>2020</v>
      </c>
      <c r="D1056" s="256">
        <v>9999</v>
      </c>
      <c r="E1056">
        <v>0</v>
      </c>
      <c r="F1056" s="257"/>
      <c r="I1056" s="4"/>
    </row>
    <row r="1057" spans="1:9" x14ac:dyDescent="0.25">
      <c r="A1057" s="255" t="s">
        <v>20</v>
      </c>
      <c r="B1057" s="255" t="s">
        <v>212</v>
      </c>
      <c r="C1057" s="256">
        <v>2021</v>
      </c>
      <c r="D1057" s="256">
        <v>100</v>
      </c>
      <c r="E1057">
        <v>0</v>
      </c>
      <c r="F1057" s="257"/>
      <c r="I1057" s="4"/>
    </row>
    <row r="1058" spans="1:9" x14ac:dyDescent="0.25">
      <c r="A1058" s="255" t="s">
        <v>20</v>
      </c>
      <c r="B1058" s="255" t="s">
        <v>212</v>
      </c>
      <c r="C1058" s="256">
        <v>2021</v>
      </c>
      <c r="D1058" s="256">
        <v>300</v>
      </c>
      <c r="E1058">
        <v>0</v>
      </c>
      <c r="F1058" s="257"/>
      <c r="I1058" s="4"/>
    </row>
    <row r="1059" spans="1:9" x14ac:dyDescent="0.25">
      <c r="A1059" s="255" t="s">
        <v>20</v>
      </c>
      <c r="B1059" s="255" t="s">
        <v>212</v>
      </c>
      <c r="C1059" s="256">
        <v>2021</v>
      </c>
      <c r="D1059" s="256">
        <v>600</v>
      </c>
      <c r="E1059">
        <v>0</v>
      </c>
      <c r="F1059" s="257"/>
      <c r="I1059" s="4"/>
    </row>
    <row r="1060" spans="1:9" x14ac:dyDescent="0.25">
      <c r="A1060" s="255" t="s">
        <v>20</v>
      </c>
      <c r="B1060" s="255" t="s">
        <v>212</v>
      </c>
      <c r="C1060" s="256">
        <v>2021</v>
      </c>
      <c r="D1060" s="256">
        <v>750</v>
      </c>
      <c r="E1060">
        <v>0</v>
      </c>
      <c r="F1060" s="257"/>
      <c r="I1060" s="4"/>
    </row>
    <row r="1061" spans="1:9" x14ac:dyDescent="0.25">
      <c r="A1061" s="255" t="s">
        <v>20</v>
      </c>
      <c r="B1061" s="255" t="s">
        <v>212</v>
      </c>
      <c r="C1061" s="256">
        <v>2021</v>
      </c>
      <c r="D1061" s="256">
        <v>9999</v>
      </c>
      <c r="E1061">
        <v>0</v>
      </c>
      <c r="F1061" s="257"/>
      <c r="I1061" s="4"/>
    </row>
    <row r="1062" spans="1:9" x14ac:dyDescent="0.25">
      <c r="A1062" s="255" t="s">
        <v>20</v>
      </c>
      <c r="B1062" s="255" t="s">
        <v>212</v>
      </c>
      <c r="C1062" s="256">
        <v>2022</v>
      </c>
      <c r="D1062" s="256">
        <v>100</v>
      </c>
      <c r="E1062">
        <v>0</v>
      </c>
      <c r="F1062" s="257"/>
      <c r="I1062" s="4"/>
    </row>
    <row r="1063" spans="1:9" x14ac:dyDescent="0.25">
      <c r="A1063" s="255" t="s">
        <v>20</v>
      </c>
      <c r="B1063" s="255" t="s">
        <v>212</v>
      </c>
      <c r="C1063" s="256">
        <v>2022</v>
      </c>
      <c r="D1063" s="256">
        <v>300</v>
      </c>
      <c r="E1063">
        <v>0</v>
      </c>
      <c r="F1063" s="257"/>
      <c r="I1063" s="4"/>
    </row>
    <row r="1064" spans="1:9" x14ac:dyDescent="0.25">
      <c r="A1064" s="255" t="s">
        <v>20</v>
      </c>
      <c r="B1064" s="255" t="s">
        <v>212</v>
      </c>
      <c r="C1064" s="256">
        <v>2022</v>
      </c>
      <c r="D1064" s="256">
        <v>600</v>
      </c>
      <c r="E1064">
        <v>0</v>
      </c>
      <c r="F1064" s="257"/>
      <c r="I1064" s="4"/>
    </row>
    <row r="1065" spans="1:9" x14ac:dyDescent="0.25">
      <c r="A1065" s="255" t="s">
        <v>20</v>
      </c>
      <c r="B1065" s="255" t="s">
        <v>212</v>
      </c>
      <c r="C1065" s="256">
        <v>2022</v>
      </c>
      <c r="D1065" s="256">
        <v>750</v>
      </c>
      <c r="E1065">
        <v>0</v>
      </c>
      <c r="F1065" s="257"/>
      <c r="I1065" s="4"/>
    </row>
    <row r="1066" spans="1:9" x14ac:dyDescent="0.25">
      <c r="A1066" s="255" t="s">
        <v>20</v>
      </c>
      <c r="B1066" s="255" t="s">
        <v>212</v>
      </c>
      <c r="C1066" s="256">
        <v>2022</v>
      </c>
      <c r="D1066" s="256">
        <v>9999</v>
      </c>
      <c r="E1066">
        <v>0</v>
      </c>
      <c r="F1066" s="257"/>
      <c r="I1066" s="4"/>
    </row>
    <row r="1067" spans="1:9" x14ac:dyDescent="0.25">
      <c r="A1067" s="255" t="s">
        <v>20</v>
      </c>
      <c r="B1067" s="255" t="s">
        <v>212</v>
      </c>
      <c r="C1067" s="256">
        <v>2023</v>
      </c>
      <c r="D1067" s="256">
        <v>100</v>
      </c>
      <c r="E1067">
        <v>0</v>
      </c>
      <c r="F1067" s="257"/>
      <c r="I1067" s="4"/>
    </row>
    <row r="1068" spans="1:9" x14ac:dyDescent="0.25">
      <c r="A1068" s="255" t="s">
        <v>20</v>
      </c>
      <c r="B1068" s="255" t="s">
        <v>212</v>
      </c>
      <c r="C1068" s="256">
        <v>2023</v>
      </c>
      <c r="D1068" s="256">
        <v>300</v>
      </c>
      <c r="E1068">
        <v>0</v>
      </c>
      <c r="F1068" s="257"/>
      <c r="I1068" s="4"/>
    </row>
    <row r="1069" spans="1:9" x14ac:dyDescent="0.25">
      <c r="A1069" s="255" t="s">
        <v>20</v>
      </c>
      <c r="B1069" s="255" t="s">
        <v>212</v>
      </c>
      <c r="C1069" s="256">
        <v>2023</v>
      </c>
      <c r="D1069" s="256">
        <v>600</v>
      </c>
      <c r="E1069">
        <v>0</v>
      </c>
      <c r="F1069" s="257"/>
      <c r="I1069" s="4"/>
    </row>
    <row r="1070" spans="1:9" x14ac:dyDescent="0.25">
      <c r="A1070" s="255" t="s">
        <v>20</v>
      </c>
      <c r="B1070" s="255" t="s">
        <v>212</v>
      </c>
      <c r="C1070" s="256">
        <v>2023</v>
      </c>
      <c r="D1070" s="256">
        <v>750</v>
      </c>
      <c r="E1070">
        <v>0</v>
      </c>
      <c r="F1070" s="257"/>
      <c r="I1070" s="4"/>
    </row>
    <row r="1071" spans="1:9" x14ac:dyDescent="0.25">
      <c r="A1071" s="255" t="s">
        <v>20</v>
      </c>
      <c r="B1071" s="255" t="s">
        <v>212</v>
      </c>
      <c r="C1071" s="256">
        <v>2023</v>
      </c>
      <c r="D1071" s="256">
        <v>9999</v>
      </c>
      <c r="E1071">
        <v>0</v>
      </c>
      <c r="F1071" s="257"/>
      <c r="I1071" s="4"/>
    </row>
    <row r="1072" spans="1:9" x14ac:dyDescent="0.25">
      <c r="A1072" s="255" t="s">
        <v>20</v>
      </c>
      <c r="B1072" s="255" t="s">
        <v>212</v>
      </c>
      <c r="C1072" s="256">
        <v>2024</v>
      </c>
      <c r="D1072" s="256">
        <v>100</v>
      </c>
      <c r="E1072">
        <v>0</v>
      </c>
      <c r="F1072" s="257"/>
      <c r="I1072" s="4"/>
    </row>
    <row r="1073" spans="1:10" x14ac:dyDescent="0.25">
      <c r="A1073" s="255" t="s">
        <v>20</v>
      </c>
      <c r="B1073" s="255" t="s">
        <v>212</v>
      </c>
      <c r="C1073" s="256">
        <v>2024</v>
      </c>
      <c r="D1073" s="256">
        <v>300</v>
      </c>
      <c r="E1073">
        <v>0</v>
      </c>
      <c r="F1073" s="257"/>
      <c r="I1073" s="4"/>
    </row>
    <row r="1074" spans="1:10" x14ac:dyDescent="0.25">
      <c r="A1074" s="255" t="s">
        <v>20</v>
      </c>
      <c r="B1074" s="255" t="s">
        <v>212</v>
      </c>
      <c r="C1074" s="256">
        <v>2024</v>
      </c>
      <c r="D1074" s="256">
        <v>600</v>
      </c>
      <c r="E1074">
        <v>0</v>
      </c>
      <c r="F1074" s="257"/>
      <c r="I1074" s="4"/>
    </row>
    <row r="1075" spans="1:10" x14ac:dyDescent="0.25">
      <c r="A1075" s="255" t="s">
        <v>20</v>
      </c>
      <c r="B1075" s="255" t="s">
        <v>212</v>
      </c>
      <c r="C1075" s="256">
        <v>2024</v>
      </c>
      <c r="D1075" s="256">
        <v>750</v>
      </c>
      <c r="E1075">
        <v>0</v>
      </c>
      <c r="F1075" s="257"/>
      <c r="I1075" s="4"/>
    </row>
    <row r="1076" spans="1:10" x14ac:dyDescent="0.25">
      <c r="A1076" s="255" t="s">
        <v>20</v>
      </c>
      <c r="B1076" s="255" t="s">
        <v>212</v>
      </c>
      <c r="C1076" s="256">
        <v>2024</v>
      </c>
      <c r="D1076" s="256">
        <v>9999</v>
      </c>
      <c r="E1076">
        <v>0</v>
      </c>
      <c r="F1076" s="257"/>
      <c r="I1076" s="4"/>
    </row>
    <row r="1077" spans="1:10" x14ac:dyDescent="0.25">
      <c r="A1077" s="255" t="s">
        <v>20</v>
      </c>
      <c r="B1077" s="255" t="s">
        <v>212</v>
      </c>
      <c r="C1077" s="256">
        <v>2025</v>
      </c>
      <c r="D1077" s="256">
        <v>100</v>
      </c>
      <c r="E1077">
        <v>0</v>
      </c>
      <c r="F1077" s="257"/>
      <c r="I1077" s="4"/>
    </row>
    <row r="1078" spans="1:10" x14ac:dyDescent="0.25">
      <c r="A1078" s="255" t="s">
        <v>20</v>
      </c>
      <c r="B1078" s="255" t="s">
        <v>212</v>
      </c>
      <c r="C1078" s="256">
        <v>2025</v>
      </c>
      <c r="D1078" s="256">
        <v>300</v>
      </c>
      <c r="E1078">
        <v>0</v>
      </c>
      <c r="F1078" s="257"/>
      <c r="I1078" s="4"/>
    </row>
    <row r="1079" spans="1:10" x14ac:dyDescent="0.25">
      <c r="A1079" s="255" t="s">
        <v>20</v>
      </c>
      <c r="B1079" s="255" t="s">
        <v>212</v>
      </c>
      <c r="C1079" s="256">
        <v>2025</v>
      </c>
      <c r="D1079" s="256">
        <v>600</v>
      </c>
      <c r="E1079">
        <v>0</v>
      </c>
      <c r="F1079" s="257"/>
      <c r="I1079" s="4"/>
    </row>
    <row r="1080" spans="1:10" x14ac:dyDescent="0.25">
      <c r="A1080" s="255" t="s">
        <v>20</v>
      </c>
      <c r="B1080" s="255" t="s">
        <v>212</v>
      </c>
      <c r="C1080" s="256">
        <v>2025</v>
      </c>
      <c r="D1080" s="256">
        <v>750</v>
      </c>
      <c r="E1080">
        <v>0</v>
      </c>
      <c r="F1080" s="257"/>
      <c r="I1080" s="4"/>
    </row>
    <row r="1081" spans="1:10" x14ac:dyDescent="0.25">
      <c r="A1081" s="255" t="s">
        <v>20</v>
      </c>
      <c r="B1081" s="255" t="s">
        <v>212</v>
      </c>
      <c r="C1081" s="256">
        <v>2025</v>
      </c>
      <c r="D1081" s="256">
        <v>9999</v>
      </c>
      <c r="E1081">
        <v>0</v>
      </c>
      <c r="F1081" s="257"/>
      <c r="I1081" s="4"/>
    </row>
    <row r="1082" spans="1:10" x14ac:dyDescent="0.25">
      <c r="A1082" s="255" t="s">
        <v>249</v>
      </c>
      <c r="B1082" s="255" t="s">
        <v>206</v>
      </c>
      <c r="C1082" s="256">
        <v>2006</v>
      </c>
      <c r="D1082" s="256">
        <v>50</v>
      </c>
      <c r="E1082">
        <v>0</v>
      </c>
      <c r="F1082" s="257"/>
      <c r="I1082" s="4"/>
    </row>
    <row r="1083" spans="1:10" x14ac:dyDescent="0.25">
      <c r="A1083" s="255" t="s">
        <v>249</v>
      </c>
      <c r="B1083" s="255" t="s">
        <v>206</v>
      </c>
      <c r="C1083" s="256">
        <v>2006</v>
      </c>
      <c r="D1083" s="256">
        <v>75</v>
      </c>
      <c r="E1083">
        <v>0</v>
      </c>
      <c r="F1083" s="257"/>
      <c r="I1083" s="4"/>
    </row>
    <row r="1084" spans="1:10" x14ac:dyDescent="0.25">
      <c r="A1084" s="255" t="s">
        <v>249</v>
      </c>
      <c r="B1084" s="255" t="s">
        <v>206</v>
      </c>
      <c r="C1084" s="256">
        <v>2006</v>
      </c>
      <c r="D1084" s="256">
        <v>100</v>
      </c>
      <c r="E1084">
        <v>0</v>
      </c>
      <c r="F1084" s="257"/>
      <c r="I1084" s="4"/>
    </row>
    <row r="1085" spans="1:10" x14ac:dyDescent="0.25">
      <c r="A1085" s="255" t="s">
        <v>249</v>
      </c>
      <c r="B1085" s="255" t="s">
        <v>206</v>
      </c>
      <c r="C1085" s="256">
        <v>2006</v>
      </c>
      <c r="D1085" s="256">
        <v>175</v>
      </c>
      <c r="E1085">
        <v>0</v>
      </c>
      <c r="F1085" s="257"/>
      <c r="I1085" s="4"/>
    </row>
    <row r="1086" spans="1:10" x14ac:dyDescent="0.25">
      <c r="A1086" s="255" t="s">
        <v>249</v>
      </c>
      <c r="B1086" s="255" t="s">
        <v>206</v>
      </c>
      <c r="C1086" s="256">
        <v>2006</v>
      </c>
      <c r="D1086" s="256">
        <v>300</v>
      </c>
      <c r="E1086">
        <v>0</v>
      </c>
      <c r="F1086" s="257"/>
      <c r="I1086" s="4"/>
    </row>
    <row r="1087" spans="1:10" x14ac:dyDescent="0.25">
      <c r="A1087" s="255" t="s">
        <v>249</v>
      </c>
      <c r="B1087" s="255" t="s">
        <v>206</v>
      </c>
      <c r="C1087" s="256">
        <v>2006</v>
      </c>
      <c r="D1087" s="256">
        <v>600</v>
      </c>
      <c r="E1087">
        <v>0</v>
      </c>
      <c r="F1087" s="257"/>
      <c r="I1087" s="4"/>
    </row>
    <row r="1088" spans="1:10" x14ac:dyDescent="0.25">
      <c r="A1088" s="255" t="s">
        <v>249</v>
      </c>
      <c r="B1088" s="255" t="s">
        <v>206</v>
      </c>
      <c r="C1088" s="256">
        <v>2007</v>
      </c>
      <c r="D1088" s="256">
        <v>50</v>
      </c>
      <c r="E1088">
        <v>3.9024390243902599E-2</v>
      </c>
      <c r="F1088" s="257"/>
      <c r="G1088">
        <f t="shared" ref="G1088:G1151" si="14">IF(OR(D1088=50,D1088=75),50,IF(OR(D1088=100,D1088=125),125,IF(D1088&gt;=400,400,D1088)))</f>
        <v>50</v>
      </c>
      <c r="H1088" s="4">
        <f>IF(B1088="RTG Crane",IF(D1088&lt;600,800000,1200000),VLOOKUP(B1088,'$$$ Replace &amp; Retrofit'!$B$10:$C$14,2)*'CHE Model poplulation'!D1088)*E1088</f>
        <v>1951.2195121951299</v>
      </c>
      <c r="I1088" s="4">
        <f>E1088*VLOOKUP('CHE Model poplulation'!G1088,'$$$ Replace &amp; Retrofit'!$I$10:$J$15,2)</f>
        <v>686.36097560975895</v>
      </c>
      <c r="J1088" s="4">
        <f>IF(D1088=50,VLOOKUP(0,'$$$ Replace &amp; Retrofit'!$E$10:$F$13,2),IF(D1088&lt;175,VLOOKUP(50,'$$$ Replace &amp; Retrofit'!$E$10:$F$13,2),IF(D1088&lt;400,VLOOKUP(175,'$$$ Replace &amp; Retrofit'!$E$10:$F$13,2),IF(D1088&gt;=400,VLOOKUP(400,'$$$ Replace &amp; Retrofit'!$E$10:$F$13,2),NA))))*E1088</f>
        <v>312.19512195122081</v>
      </c>
    </row>
    <row r="1089" spans="1:10" x14ac:dyDescent="0.25">
      <c r="A1089" s="255" t="s">
        <v>249</v>
      </c>
      <c r="B1089" s="255" t="s">
        <v>206</v>
      </c>
      <c r="C1089" s="256">
        <v>2007</v>
      </c>
      <c r="D1089" s="256">
        <v>75</v>
      </c>
      <c r="E1089">
        <v>9.4773519163763406E-2</v>
      </c>
      <c r="F1089" s="257"/>
      <c r="G1089">
        <f t="shared" si="14"/>
        <v>50</v>
      </c>
      <c r="H1089" s="4">
        <f>IF(B1089="RTG Crane",IF(D1089&lt;600,800000,1200000),VLOOKUP(B1089,'$$$ Replace &amp; Retrofit'!$B$10:$C$14,2)*'CHE Model poplulation'!D1089)*E1089</f>
        <v>7108.013937282255</v>
      </c>
      <c r="I1089" s="4">
        <f>E1089*VLOOKUP('CHE Model poplulation'!G1089,'$$$ Replace &amp; Retrofit'!$I$10:$J$15,2)</f>
        <v>1666.8766550522707</v>
      </c>
      <c r="J1089" s="4">
        <f>IF(D1089=50,VLOOKUP(0,'$$$ Replace &amp; Retrofit'!$E$10:$F$13,2),IF(D1089&lt;175,VLOOKUP(50,'$$$ Replace &amp; Retrofit'!$E$10:$F$13,2),IF(D1089&lt;400,VLOOKUP(175,'$$$ Replace &amp; Retrofit'!$E$10:$F$13,2),IF(D1089&gt;=400,VLOOKUP(400,'$$$ Replace &amp; Retrofit'!$E$10:$F$13,2),NA))))*E1089</f>
        <v>1137.2822299651609</v>
      </c>
    </row>
    <row r="1090" spans="1:10" x14ac:dyDescent="0.25">
      <c r="A1090" s="255" t="s">
        <v>249</v>
      </c>
      <c r="B1090" s="255" t="s">
        <v>206</v>
      </c>
      <c r="C1090" s="256">
        <v>2007</v>
      </c>
      <c r="D1090" s="256">
        <v>100</v>
      </c>
      <c r="E1090">
        <v>9.4773519163763503E-2</v>
      </c>
      <c r="F1090" s="257"/>
      <c r="G1090">
        <f t="shared" si="14"/>
        <v>125</v>
      </c>
      <c r="H1090" s="4">
        <f>IF(B1090="RTG Crane",IF(D1090&lt;600,800000,1200000),VLOOKUP(B1090,'$$$ Replace &amp; Retrofit'!$B$10:$C$14,2)*'CHE Model poplulation'!D1090)*E1090</f>
        <v>9477.3519163763503</v>
      </c>
      <c r="I1090" s="4">
        <f>E1090*VLOOKUP('CHE Model poplulation'!G1090,'$$$ Replace &amp; Retrofit'!$I$10:$J$15,2)</f>
        <v>1870.1658536585453</v>
      </c>
      <c r="J1090" s="4">
        <f>IF(D1090=50,VLOOKUP(0,'$$$ Replace &amp; Retrofit'!$E$10:$F$13,2),IF(D1090&lt;175,VLOOKUP(50,'$$$ Replace &amp; Retrofit'!$E$10:$F$13,2),IF(D1090&lt;400,VLOOKUP(175,'$$$ Replace &amp; Retrofit'!$E$10:$F$13,2),IF(D1090&gt;=400,VLOOKUP(400,'$$$ Replace &amp; Retrofit'!$E$10:$F$13,2),NA))))*E1090</f>
        <v>1137.2822299651621</v>
      </c>
    </row>
    <row r="1091" spans="1:10" x14ac:dyDescent="0.25">
      <c r="A1091" s="255" t="s">
        <v>249</v>
      </c>
      <c r="B1091" s="255" t="s">
        <v>206</v>
      </c>
      <c r="C1091" s="256">
        <v>2007</v>
      </c>
      <c r="D1091" s="256">
        <v>175</v>
      </c>
      <c r="E1091">
        <v>0.25644599303136001</v>
      </c>
      <c r="F1091" s="257"/>
      <c r="G1091">
        <f t="shared" si="14"/>
        <v>175</v>
      </c>
      <c r="H1091" s="4">
        <f>IF(B1091="RTG Crane",IF(D1091&lt;600,800000,1200000),VLOOKUP(B1091,'$$$ Replace &amp; Retrofit'!$B$10:$C$14,2)*'CHE Model poplulation'!D1091)*E1091</f>
        <v>44878.048780488003</v>
      </c>
      <c r="I1091" s="4">
        <f>E1091*VLOOKUP('CHE Model poplulation'!G1091,'$$$ Replace &amp; Retrofit'!$I$10:$J$15,2)</f>
        <v>6358.8348432056027</v>
      </c>
      <c r="J1091" s="4">
        <f>IF(D1091=50,VLOOKUP(0,'$$$ Replace &amp; Retrofit'!$E$10:$F$13,2),IF(D1091&lt;175,VLOOKUP(50,'$$$ Replace &amp; Retrofit'!$E$10:$F$13,2),IF(D1091&lt;400,VLOOKUP(175,'$$$ Replace &amp; Retrofit'!$E$10:$F$13,2),IF(D1091&gt;=400,VLOOKUP(400,'$$$ Replace &amp; Retrofit'!$E$10:$F$13,2),NA))))*E1091</f>
        <v>4616.02787456448</v>
      </c>
    </row>
    <row r="1092" spans="1:10" x14ac:dyDescent="0.25">
      <c r="A1092" s="255" t="s">
        <v>249</v>
      </c>
      <c r="B1092" s="255" t="s">
        <v>206</v>
      </c>
      <c r="C1092" s="256">
        <v>2007</v>
      </c>
      <c r="D1092" s="256">
        <v>300</v>
      </c>
      <c r="E1092">
        <v>0.22857142857143001</v>
      </c>
      <c r="F1092" s="257"/>
      <c r="G1092">
        <f t="shared" si="14"/>
        <v>300</v>
      </c>
      <c r="H1092" s="4">
        <f>IF(B1092="RTG Crane",IF(D1092&lt;600,800000,1200000),VLOOKUP(B1092,'$$$ Replace &amp; Retrofit'!$B$10:$C$14,2)*'CHE Model poplulation'!D1092)*E1092</f>
        <v>68571.428571429002</v>
      </c>
      <c r="I1092" s="4">
        <f>E1092*VLOOKUP('CHE Model poplulation'!G1092,'$$$ Replace &amp; Retrofit'!$I$10:$J$15,2)</f>
        <v>6574.4000000000415</v>
      </c>
      <c r="J1092" s="4">
        <f>IF(D1092=50,VLOOKUP(0,'$$$ Replace &amp; Retrofit'!$E$10:$F$13,2),IF(D1092&lt;175,VLOOKUP(50,'$$$ Replace &amp; Retrofit'!$E$10:$F$13,2),IF(D1092&lt;400,VLOOKUP(175,'$$$ Replace &amp; Retrofit'!$E$10:$F$13,2),IF(D1092&gt;=400,VLOOKUP(400,'$$$ Replace &amp; Retrofit'!$E$10:$F$13,2),NA))))*E1092</f>
        <v>4114.2857142857401</v>
      </c>
    </row>
    <row r="1093" spans="1:10" x14ac:dyDescent="0.25">
      <c r="A1093" s="255" t="s">
        <v>249</v>
      </c>
      <c r="B1093" s="255" t="s">
        <v>206</v>
      </c>
      <c r="C1093" s="256">
        <v>2007</v>
      </c>
      <c r="D1093" s="256">
        <v>600</v>
      </c>
      <c r="E1093">
        <v>0.39581881533101199</v>
      </c>
      <c r="F1093" s="257"/>
      <c r="G1093">
        <f t="shared" si="14"/>
        <v>400</v>
      </c>
      <c r="H1093" s="4">
        <f>IF(B1093="RTG Crane",IF(D1093&lt;600,800000,1200000),VLOOKUP(B1093,'$$$ Replace &amp; Retrofit'!$B$10:$C$14,2)*'CHE Model poplulation'!D1093)*E1093</f>
        <v>237491.28919860718</v>
      </c>
      <c r="I1093" s="4">
        <f>E1093*VLOOKUP('CHE Model poplulation'!G1093,'$$$ Replace &amp; Retrofit'!$I$10:$J$15,2)</f>
        <v>20714.386062717851</v>
      </c>
      <c r="J1093" s="4">
        <f>IF(D1093=50,VLOOKUP(0,'$$$ Replace &amp; Retrofit'!$E$10:$F$13,2),IF(D1093&lt;175,VLOOKUP(50,'$$$ Replace &amp; Retrofit'!$E$10:$F$13,2),IF(D1093&lt;400,VLOOKUP(175,'$$$ Replace &amp; Retrofit'!$E$10:$F$13,2),IF(D1093&gt;=400,VLOOKUP(400,'$$$ Replace &amp; Retrofit'!$E$10:$F$13,2),NA))))*E1093</f>
        <v>11874.56445993036</v>
      </c>
    </row>
    <row r="1094" spans="1:10" x14ac:dyDescent="0.25">
      <c r="A1094" s="255" t="s">
        <v>249</v>
      </c>
      <c r="B1094" s="255" t="s">
        <v>206</v>
      </c>
      <c r="C1094" s="256">
        <v>2008</v>
      </c>
      <c r="D1094" s="256">
        <v>50</v>
      </c>
      <c r="E1094">
        <v>8.0526078113594496E-2</v>
      </c>
      <c r="F1094" s="257"/>
      <c r="G1094">
        <f t="shared" si="14"/>
        <v>50</v>
      </c>
      <c r="H1094" s="4">
        <f>IF(B1094="RTG Crane",IF(D1094&lt;600,800000,1200000),VLOOKUP(B1094,'$$$ Replace &amp; Retrofit'!$B$10:$C$14,2)*'CHE Model poplulation'!D1094)*E1094</f>
        <v>4026.3039056797247</v>
      </c>
      <c r="I1094" s="4">
        <f>E1094*VLOOKUP('CHE Model poplulation'!G1094,'$$$ Replace &amp; Retrofit'!$I$10:$J$15,2)</f>
        <v>1416.2926618618999</v>
      </c>
      <c r="J1094" s="4">
        <f>IF(D1094=50,VLOOKUP(0,'$$$ Replace &amp; Retrofit'!$E$10:$F$13,2),IF(D1094&lt;175,VLOOKUP(50,'$$$ Replace &amp; Retrofit'!$E$10:$F$13,2),IF(D1094&lt;400,VLOOKUP(175,'$$$ Replace &amp; Retrofit'!$E$10:$F$13,2),IF(D1094&gt;=400,VLOOKUP(400,'$$$ Replace &amp; Retrofit'!$E$10:$F$13,2),NA))))*E1094</f>
        <v>644.20862490875595</v>
      </c>
    </row>
    <row r="1095" spans="1:10" x14ac:dyDescent="0.25">
      <c r="A1095" s="255" t="s">
        <v>249</v>
      </c>
      <c r="B1095" s="255" t="s">
        <v>206</v>
      </c>
      <c r="C1095" s="256">
        <v>2008</v>
      </c>
      <c r="D1095" s="256">
        <v>75</v>
      </c>
      <c r="E1095">
        <v>0.18815231687056999</v>
      </c>
      <c r="F1095" s="257"/>
      <c r="G1095">
        <f t="shared" si="14"/>
        <v>50</v>
      </c>
      <c r="H1095" s="4">
        <f>IF(B1095="RTG Crane",IF(D1095&lt;600,800000,1200000),VLOOKUP(B1095,'$$$ Replace &amp; Retrofit'!$B$10:$C$14,2)*'CHE Model poplulation'!D1095)*E1095</f>
        <v>14111.42376529275</v>
      </c>
      <c r="I1095" s="4">
        <f>E1095*VLOOKUP('CHE Model poplulation'!G1095,'$$$ Replace &amp; Retrofit'!$I$10:$J$15,2)</f>
        <v>3309.2229491195849</v>
      </c>
      <c r="J1095" s="4">
        <f>IF(D1095=50,VLOOKUP(0,'$$$ Replace &amp; Retrofit'!$E$10:$F$13,2),IF(D1095&lt;175,VLOOKUP(50,'$$$ Replace &amp; Retrofit'!$E$10:$F$13,2),IF(D1095&lt;400,VLOOKUP(175,'$$$ Replace &amp; Retrofit'!$E$10:$F$13,2),IF(D1095&gt;=400,VLOOKUP(400,'$$$ Replace &amp; Retrofit'!$E$10:$F$13,2),NA))))*E1095</f>
        <v>2257.82780244684</v>
      </c>
    </row>
    <row r="1096" spans="1:10" x14ac:dyDescent="0.25">
      <c r="A1096" s="255" t="s">
        <v>249</v>
      </c>
      <c r="B1096" s="255" t="s">
        <v>206</v>
      </c>
      <c r="C1096" s="256">
        <v>2008</v>
      </c>
      <c r="D1096" s="256">
        <v>100</v>
      </c>
      <c r="E1096">
        <v>0.191116723146977</v>
      </c>
      <c r="F1096" s="257"/>
      <c r="G1096">
        <f t="shared" si="14"/>
        <v>125</v>
      </c>
      <c r="H1096" s="4">
        <f>IF(B1096="RTG Crane",IF(D1096&lt;600,800000,1200000),VLOOKUP(B1096,'$$$ Replace &amp; Retrofit'!$B$10:$C$14,2)*'CHE Model poplulation'!D1096)*E1096</f>
        <v>19111.672314697702</v>
      </c>
      <c r="I1096" s="4">
        <f>E1096*VLOOKUP('CHE Model poplulation'!G1096,'$$$ Replace &amp; Retrofit'!$I$10:$J$15,2)</f>
        <v>3771.306297859297</v>
      </c>
      <c r="J1096" s="4">
        <f>IF(D1096=50,VLOOKUP(0,'$$$ Replace &amp; Retrofit'!$E$10:$F$13,2),IF(D1096&lt;175,VLOOKUP(50,'$$$ Replace &amp; Retrofit'!$E$10:$F$13,2),IF(D1096&lt;400,VLOOKUP(175,'$$$ Replace &amp; Retrofit'!$E$10:$F$13,2),IF(D1096&gt;=400,VLOOKUP(400,'$$$ Replace &amp; Retrofit'!$E$10:$F$13,2),NA))))*E1096</f>
        <v>2293.4006777637242</v>
      </c>
    </row>
    <row r="1097" spans="1:10" x14ac:dyDescent="0.25">
      <c r="A1097" s="255" t="s">
        <v>249</v>
      </c>
      <c r="B1097" s="255" t="s">
        <v>206</v>
      </c>
      <c r="C1097" s="256">
        <v>2008</v>
      </c>
      <c r="D1097" s="256">
        <v>175</v>
      </c>
      <c r="E1097">
        <v>0.495080698282089</v>
      </c>
      <c r="F1097" s="257"/>
      <c r="G1097">
        <f t="shared" si="14"/>
        <v>175</v>
      </c>
      <c r="H1097" s="4">
        <f>IF(B1097="RTG Crane",IF(D1097&lt;600,800000,1200000),VLOOKUP(B1097,'$$$ Replace &amp; Retrofit'!$B$10:$C$14,2)*'CHE Model poplulation'!D1097)*E1097</f>
        <v>86639.122199365578</v>
      </c>
      <c r="I1097" s="4">
        <f>E1097*VLOOKUP('CHE Model poplulation'!G1097,'$$$ Replace &amp; Retrofit'!$I$10:$J$15,2)</f>
        <v>12276.020994602679</v>
      </c>
      <c r="J1097" s="4">
        <f>IF(D1097=50,VLOOKUP(0,'$$$ Replace &amp; Retrofit'!$E$10:$F$13,2),IF(D1097&lt;175,VLOOKUP(50,'$$$ Replace &amp; Retrofit'!$E$10:$F$13,2),IF(D1097&lt;400,VLOOKUP(175,'$$$ Replace &amp; Retrofit'!$E$10:$F$13,2),IF(D1097&gt;=400,VLOOKUP(400,'$$$ Replace &amp; Retrofit'!$E$10:$F$13,2),NA))))*E1097</f>
        <v>8911.4525690776027</v>
      </c>
    </row>
    <row r="1098" spans="1:10" x14ac:dyDescent="0.25">
      <c r="A1098" s="255" t="s">
        <v>249</v>
      </c>
      <c r="B1098" s="255" t="s">
        <v>206</v>
      </c>
      <c r="C1098" s="256">
        <v>2008</v>
      </c>
      <c r="D1098" s="256">
        <v>300</v>
      </c>
      <c r="E1098">
        <v>0.44679215423690399</v>
      </c>
      <c r="F1098" s="257"/>
      <c r="G1098">
        <f t="shared" si="14"/>
        <v>300</v>
      </c>
      <c r="H1098" s="4">
        <f>IF(B1098="RTG Crane",IF(D1098&lt;600,800000,1200000),VLOOKUP(B1098,'$$$ Replace &amp; Retrofit'!$B$10:$C$14,2)*'CHE Model poplulation'!D1098)*E1098</f>
        <v>134037.64627107119</v>
      </c>
      <c r="I1098" s="4">
        <f>E1098*VLOOKUP('CHE Model poplulation'!G1098,'$$$ Replace &amp; Retrofit'!$I$10:$J$15,2)</f>
        <v>12851.08273231607</v>
      </c>
      <c r="J1098" s="4">
        <f>IF(D1098=50,VLOOKUP(0,'$$$ Replace &amp; Retrofit'!$E$10:$F$13,2),IF(D1098&lt;175,VLOOKUP(50,'$$$ Replace &amp; Retrofit'!$E$10:$F$13,2),IF(D1098&lt;400,VLOOKUP(175,'$$$ Replace &amp; Retrofit'!$E$10:$F$13,2),IF(D1098&gt;=400,VLOOKUP(400,'$$$ Replace &amp; Retrofit'!$E$10:$F$13,2),NA))))*E1098</f>
        <v>8042.2587762642715</v>
      </c>
    </row>
    <row r="1099" spans="1:10" x14ac:dyDescent="0.25">
      <c r="A1099" s="255" t="s">
        <v>249</v>
      </c>
      <c r="B1099" s="255" t="s">
        <v>206</v>
      </c>
      <c r="C1099" s="256">
        <v>2008</v>
      </c>
      <c r="D1099" s="256">
        <v>600</v>
      </c>
      <c r="E1099">
        <v>0.79540730681663396</v>
      </c>
      <c r="F1099" s="257"/>
      <c r="G1099">
        <f t="shared" si="14"/>
        <v>400</v>
      </c>
      <c r="H1099" s="4">
        <f>IF(B1099="RTG Crane",IF(D1099&lt;600,800000,1200000),VLOOKUP(B1099,'$$$ Replace &amp; Retrofit'!$B$10:$C$14,2)*'CHE Model poplulation'!D1099)*E1099</f>
        <v>477244.38408998039</v>
      </c>
      <c r="I1099" s="4">
        <f>E1099*VLOOKUP('CHE Model poplulation'!G1099,'$$$ Replace &amp; Retrofit'!$I$10:$J$15,2)</f>
        <v>41626.050587634905</v>
      </c>
      <c r="J1099" s="4">
        <f>IF(D1099=50,VLOOKUP(0,'$$$ Replace &amp; Retrofit'!$E$10:$F$13,2),IF(D1099&lt;175,VLOOKUP(50,'$$$ Replace &amp; Retrofit'!$E$10:$F$13,2),IF(D1099&lt;400,VLOOKUP(175,'$$$ Replace &amp; Retrofit'!$E$10:$F$13,2),IF(D1099&gt;=400,VLOOKUP(400,'$$$ Replace &amp; Retrofit'!$E$10:$F$13,2),NA))))*E1099</f>
        <v>23862.219204499019</v>
      </c>
    </row>
    <row r="1100" spans="1:10" x14ac:dyDescent="0.25">
      <c r="A1100" s="255" t="s">
        <v>249</v>
      </c>
      <c r="B1100" s="255" t="s">
        <v>206</v>
      </c>
      <c r="C1100" s="256">
        <v>2009</v>
      </c>
      <c r="D1100" s="256">
        <v>50</v>
      </c>
      <c r="E1100">
        <v>1.3071204993391601</v>
      </c>
      <c r="F1100" s="257"/>
      <c r="G1100">
        <f t="shared" si="14"/>
        <v>50</v>
      </c>
      <c r="H1100" s="4">
        <f>IF(B1100="RTG Crane",IF(D1100&lt;600,800000,1200000),VLOOKUP(B1100,'$$$ Replace &amp; Retrofit'!$B$10:$C$14,2)*'CHE Model poplulation'!D1100)*E1100</f>
        <v>65356.024966958001</v>
      </c>
      <c r="I1100" s="4">
        <f>E1100*VLOOKUP('CHE Model poplulation'!G1100,'$$$ Replace &amp; Retrofit'!$I$10:$J$15,2)</f>
        <v>22989.635342377147</v>
      </c>
      <c r="J1100" s="4">
        <f>IF(D1100=50,VLOOKUP(0,'$$$ Replace &amp; Retrofit'!$E$10:$F$13,2),IF(D1100&lt;175,VLOOKUP(50,'$$$ Replace &amp; Retrofit'!$E$10:$F$13,2),IF(D1100&lt;400,VLOOKUP(175,'$$$ Replace &amp; Retrofit'!$E$10:$F$13,2),IF(D1100&gt;=400,VLOOKUP(400,'$$$ Replace &amp; Retrofit'!$E$10:$F$13,2),NA))))*E1100</f>
        <v>10456.96399471328</v>
      </c>
    </row>
    <row r="1101" spans="1:10" x14ac:dyDescent="0.25">
      <c r="A1101" s="255" t="s">
        <v>249</v>
      </c>
      <c r="B1101" s="255" t="s">
        <v>206</v>
      </c>
      <c r="C1101" s="256">
        <v>2009</v>
      </c>
      <c r="D1101" s="256">
        <v>75</v>
      </c>
      <c r="E1101">
        <v>2.2572685382494</v>
      </c>
      <c r="F1101" s="257"/>
      <c r="G1101">
        <f t="shared" si="14"/>
        <v>50</v>
      </c>
      <c r="H1101" s="4">
        <f>IF(B1101="RTG Crane",IF(D1101&lt;600,800000,1200000),VLOOKUP(B1101,'$$$ Replace &amp; Retrofit'!$B$10:$C$14,2)*'CHE Model poplulation'!D1101)*E1101</f>
        <v>169295.140368705</v>
      </c>
      <c r="I1101" s="4">
        <f>E1101*VLOOKUP('CHE Model poplulation'!G1101,'$$$ Replace &amp; Retrofit'!$I$10:$J$15,2)</f>
        <v>39700.83905073045</v>
      </c>
      <c r="J1101" s="4">
        <f>IF(D1101=50,VLOOKUP(0,'$$$ Replace &amp; Retrofit'!$E$10:$F$13,2),IF(D1101&lt;175,VLOOKUP(50,'$$$ Replace &amp; Retrofit'!$E$10:$F$13,2),IF(D1101&lt;400,VLOOKUP(175,'$$$ Replace &amp; Retrofit'!$E$10:$F$13,2),IF(D1101&gt;=400,VLOOKUP(400,'$$$ Replace &amp; Retrofit'!$E$10:$F$13,2),NA))))*E1101</f>
        <v>27087.222458992801</v>
      </c>
    </row>
    <row r="1102" spans="1:10" x14ac:dyDescent="0.25">
      <c r="A1102" s="255" t="s">
        <v>249</v>
      </c>
      <c r="B1102" s="255" t="s">
        <v>206</v>
      </c>
      <c r="C1102" s="256">
        <v>2009</v>
      </c>
      <c r="D1102" s="256">
        <v>100</v>
      </c>
      <c r="E1102">
        <v>2.2647406147081499</v>
      </c>
      <c r="F1102" s="257"/>
      <c r="G1102">
        <f t="shared" si="14"/>
        <v>125</v>
      </c>
      <c r="H1102" s="4">
        <f>IF(B1102="RTG Crane",IF(D1102&lt;600,800000,1200000),VLOOKUP(B1102,'$$$ Replace &amp; Retrofit'!$B$10:$C$14,2)*'CHE Model poplulation'!D1102)*E1102</f>
        <v>226474.06147081498</v>
      </c>
      <c r="I1102" s="4">
        <f>E1102*VLOOKUP('CHE Model poplulation'!G1102,'$$$ Replace &amp; Retrofit'!$I$10:$J$15,2)</f>
        <v>44690.126550035922</v>
      </c>
      <c r="J1102" s="4">
        <f>IF(D1102=50,VLOOKUP(0,'$$$ Replace &amp; Retrofit'!$E$10:$F$13,2),IF(D1102&lt;175,VLOOKUP(50,'$$$ Replace &amp; Retrofit'!$E$10:$F$13,2),IF(D1102&lt;400,VLOOKUP(175,'$$$ Replace &amp; Retrofit'!$E$10:$F$13,2),IF(D1102&gt;=400,VLOOKUP(400,'$$$ Replace &amp; Retrofit'!$E$10:$F$13,2),NA))))*E1102</f>
        <v>27176.887376497798</v>
      </c>
    </row>
    <row r="1103" spans="1:10" x14ac:dyDescent="0.25">
      <c r="A1103" s="255" t="s">
        <v>249</v>
      </c>
      <c r="B1103" s="255" t="s">
        <v>206</v>
      </c>
      <c r="C1103" s="256">
        <v>2009</v>
      </c>
      <c r="D1103" s="256">
        <v>175</v>
      </c>
      <c r="E1103">
        <v>3.89897542526273</v>
      </c>
      <c r="F1103" s="257"/>
      <c r="G1103">
        <f t="shared" si="14"/>
        <v>175</v>
      </c>
      <c r="H1103" s="4">
        <f>IF(B1103="RTG Crane",IF(D1103&lt;600,800000,1200000),VLOOKUP(B1103,'$$$ Replace &amp; Retrofit'!$B$10:$C$14,2)*'CHE Model poplulation'!D1103)*E1103</f>
        <v>682320.69942097773</v>
      </c>
      <c r="I1103" s="4">
        <f>E1103*VLOOKUP('CHE Model poplulation'!G1103,'$$$ Replace &amp; Retrofit'!$I$10:$J$15,2)</f>
        <v>96678.994644814651</v>
      </c>
      <c r="J1103" s="4">
        <f>IF(D1103=50,VLOOKUP(0,'$$$ Replace &amp; Retrofit'!$E$10:$F$13,2),IF(D1103&lt;175,VLOOKUP(50,'$$$ Replace &amp; Retrofit'!$E$10:$F$13,2),IF(D1103&lt;400,VLOOKUP(175,'$$$ Replace &amp; Retrofit'!$E$10:$F$13,2),IF(D1103&gt;=400,VLOOKUP(400,'$$$ Replace &amp; Retrofit'!$E$10:$F$13,2),NA))))*E1103</f>
        <v>70181.557654729142</v>
      </c>
    </row>
    <row r="1104" spans="1:10" x14ac:dyDescent="0.25">
      <c r="A1104" s="255" t="s">
        <v>249</v>
      </c>
      <c r="B1104" s="255" t="s">
        <v>206</v>
      </c>
      <c r="C1104" s="256">
        <v>2009</v>
      </c>
      <c r="D1104" s="256">
        <v>300</v>
      </c>
      <c r="E1104">
        <v>4.02745858136349</v>
      </c>
      <c r="F1104" s="257"/>
      <c r="G1104">
        <f t="shared" si="14"/>
        <v>300</v>
      </c>
      <c r="H1104" s="4">
        <f>IF(B1104="RTG Crane",IF(D1104&lt;600,800000,1200000),VLOOKUP(B1104,'$$$ Replace &amp; Retrofit'!$B$10:$C$14,2)*'CHE Model poplulation'!D1104)*E1104</f>
        <v>1208237.5744090469</v>
      </c>
      <c r="I1104" s="4">
        <f>E1104*VLOOKUP('CHE Model poplulation'!G1104,'$$$ Replace &amp; Retrofit'!$I$10:$J$15,2)</f>
        <v>115841.79117575806</v>
      </c>
      <c r="J1104" s="4">
        <f>IF(D1104=50,VLOOKUP(0,'$$$ Replace &amp; Retrofit'!$E$10:$F$13,2),IF(D1104&lt;175,VLOOKUP(50,'$$$ Replace &amp; Retrofit'!$E$10:$F$13,2),IF(D1104&lt;400,VLOOKUP(175,'$$$ Replace &amp; Retrofit'!$E$10:$F$13,2),IF(D1104&gt;=400,VLOOKUP(400,'$$$ Replace &amp; Retrofit'!$E$10:$F$13,2),NA))))*E1104</f>
        <v>72494.254464542813</v>
      </c>
    </row>
    <row r="1105" spans="1:10" x14ac:dyDescent="0.25">
      <c r="A1105" s="255" t="s">
        <v>249</v>
      </c>
      <c r="B1105" s="255" t="s">
        <v>206</v>
      </c>
      <c r="C1105" s="256">
        <v>2009</v>
      </c>
      <c r="D1105" s="256">
        <v>600</v>
      </c>
      <c r="E1105">
        <v>9.6943896374086407</v>
      </c>
      <c r="F1105" s="257"/>
      <c r="G1105">
        <f t="shared" si="14"/>
        <v>400</v>
      </c>
      <c r="H1105" s="4">
        <f>IF(B1105="RTG Crane",IF(D1105&lt;600,800000,1200000),VLOOKUP(B1105,'$$$ Replace &amp; Retrofit'!$B$10:$C$14,2)*'CHE Model poplulation'!D1105)*E1105</f>
        <v>5816633.782445184</v>
      </c>
      <c r="I1105" s="4">
        <f>E1105*VLOOKUP('CHE Model poplulation'!G1105,'$$$ Replace &amp; Retrofit'!$I$10:$J$15,2)</f>
        <v>507336.49289450637</v>
      </c>
      <c r="J1105" s="4">
        <f>IF(D1105=50,VLOOKUP(0,'$$$ Replace &amp; Retrofit'!$E$10:$F$13,2),IF(D1105&lt;175,VLOOKUP(50,'$$$ Replace &amp; Retrofit'!$E$10:$F$13,2),IF(D1105&lt;400,VLOOKUP(175,'$$$ Replace &amp; Retrofit'!$E$10:$F$13,2),IF(D1105&gt;=400,VLOOKUP(400,'$$$ Replace &amp; Retrofit'!$E$10:$F$13,2),NA))))*E1105</f>
        <v>290831.68912225921</v>
      </c>
    </row>
    <row r="1106" spans="1:10" x14ac:dyDescent="0.25">
      <c r="A1106" s="255" t="s">
        <v>249</v>
      </c>
      <c r="B1106" s="255" t="s">
        <v>206</v>
      </c>
      <c r="C1106" s="256">
        <v>2010</v>
      </c>
      <c r="D1106" s="256">
        <v>50</v>
      </c>
      <c r="E1106">
        <v>1.3639180365491801</v>
      </c>
      <c r="F1106" s="257"/>
      <c r="G1106">
        <f t="shared" si="14"/>
        <v>50</v>
      </c>
      <c r="H1106" s="4">
        <f>IF(B1106="RTG Crane",IF(D1106&lt;600,800000,1200000),VLOOKUP(B1106,'$$$ Replace &amp; Retrofit'!$B$10:$C$14,2)*'CHE Model poplulation'!D1106)*E1106</f>
        <v>68195.901827459005</v>
      </c>
      <c r="I1106" s="4">
        <f>E1106*VLOOKUP('CHE Model poplulation'!G1106,'$$$ Replace &amp; Retrofit'!$I$10:$J$15,2)</f>
        <v>23988.590426826981</v>
      </c>
      <c r="J1106" s="4">
        <f>IF(D1106=50,VLOOKUP(0,'$$$ Replace &amp; Retrofit'!$E$10:$F$13,2),IF(D1106&lt;175,VLOOKUP(50,'$$$ Replace &amp; Retrofit'!$E$10:$F$13,2),IF(D1106&lt;400,VLOOKUP(175,'$$$ Replace &amp; Retrofit'!$E$10:$F$13,2),IF(D1106&gt;=400,VLOOKUP(400,'$$$ Replace &amp; Retrofit'!$E$10:$F$13,2),NA))))*E1106</f>
        <v>10911.34429239344</v>
      </c>
    </row>
    <row r="1107" spans="1:10" x14ac:dyDescent="0.25">
      <c r="A1107" s="255" t="s">
        <v>249</v>
      </c>
      <c r="B1107" s="255" t="s">
        <v>206</v>
      </c>
      <c r="C1107" s="256">
        <v>2010</v>
      </c>
      <c r="D1107" s="256">
        <v>75</v>
      </c>
      <c r="E1107">
        <v>2.37903728828748</v>
      </c>
      <c r="F1107" s="257"/>
      <c r="G1107">
        <f t="shared" si="14"/>
        <v>50</v>
      </c>
      <c r="H1107" s="4">
        <f>IF(B1107="RTG Crane",IF(D1107&lt;600,800000,1200000),VLOOKUP(B1107,'$$$ Replace &amp; Retrofit'!$B$10:$C$14,2)*'CHE Model poplulation'!D1107)*E1107</f>
        <v>178427.79662156099</v>
      </c>
      <c r="I1107" s="4">
        <f>E1107*VLOOKUP('CHE Model poplulation'!G1107,'$$$ Replace &amp; Retrofit'!$I$10:$J$15,2)</f>
        <v>41842.5078264002</v>
      </c>
      <c r="J1107" s="4">
        <f>IF(D1107=50,VLOOKUP(0,'$$$ Replace &amp; Retrofit'!$E$10:$F$13,2),IF(D1107&lt;175,VLOOKUP(50,'$$$ Replace &amp; Retrofit'!$E$10:$F$13,2),IF(D1107&lt;400,VLOOKUP(175,'$$$ Replace &amp; Retrofit'!$E$10:$F$13,2),IF(D1107&gt;=400,VLOOKUP(400,'$$$ Replace &amp; Retrofit'!$E$10:$F$13,2),NA))))*E1107</f>
        <v>28548.447459449759</v>
      </c>
    </row>
    <row r="1108" spans="1:10" x14ac:dyDescent="0.25">
      <c r="A1108" s="255" t="s">
        <v>249</v>
      </c>
      <c r="B1108" s="255" t="s">
        <v>206</v>
      </c>
      <c r="C1108" s="256">
        <v>2010</v>
      </c>
      <c r="D1108" s="256">
        <v>100</v>
      </c>
      <c r="E1108">
        <v>2.39280872557624</v>
      </c>
      <c r="F1108" s="257"/>
      <c r="G1108">
        <f t="shared" si="14"/>
        <v>125</v>
      </c>
      <c r="H1108" s="4">
        <f>IF(B1108="RTG Crane",IF(D1108&lt;600,800000,1200000),VLOOKUP(B1108,'$$$ Replace &amp; Retrofit'!$B$10:$C$14,2)*'CHE Model poplulation'!D1108)*E1108</f>
        <v>239280.87255762401</v>
      </c>
      <c r="I1108" s="4">
        <f>E1108*VLOOKUP('CHE Model poplulation'!G1108,'$$$ Replace &amp; Retrofit'!$I$10:$J$15,2)</f>
        <v>47217.294581795948</v>
      </c>
      <c r="J1108" s="4">
        <f>IF(D1108=50,VLOOKUP(0,'$$$ Replace &amp; Retrofit'!$E$10:$F$13,2),IF(D1108&lt;175,VLOOKUP(50,'$$$ Replace &amp; Retrofit'!$E$10:$F$13,2),IF(D1108&lt;400,VLOOKUP(175,'$$$ Replace &amp; Retrofit'!$E$10:$F$13,2),IF(D1108&gt;=400,VLOOKUP(400,'$$$ Replace &amp; Retrofit'!$E$10:$F$13,2),NA))))*E1108</f>
        <v>28713.704706914879</v>
      </c>
    </row>
    <row r="1109" spans="1:10" x14ac:dyDescent="0.25">
      <c r="A1109" s="255" t="s">
        <v>249</v>
      </c>
      <c r="B1109" s="255" t="s">
        <v>206</v>
      </c>
      <c r="C1109" s="256">
        <v>2010</v>
      </c>
      <c r="D1109" s="256">
        <v>175</v>
      </c>
      <c r="E1109">
        <v>4.1594334033009899</v>
      </c>
      <c r="F1109" s="257"/>
      <c r="G1109">
        <f t="shared" si="14"/>
        <v>175</v>
      </c>
      <c r="H1109" s="4">
        <f>IF(B1109="RTG Crane",IF(D1109&lt;600,800000,1200000),VLOOKUP(B1109,'$$$ Replace &amp; Retrofit'!$B$10:$C$14,2)*'CHE Model poplulation'!D1109)*E1109</f>
        <v>727900.84557767317</v>
      </c>
      <c r="I1109" s="4">
        <f>E1109*VLOOKUP('CHE Model poplulation'!G1109,'$$$ Replace &amp; Retrofit'!$I$10:$J$15,2)</f>
        <v>103137.31066825135</v>
      </c>
      <c r="J1109" s="4">
        <f>IF(D1109=50,VLOOKUP(0,'$$$ Replace &amp; Retrofit'!$E$10:$F$13,2),IF(D1109&lt;175,VLOOKUP(50,'$$$ Replace &amp; Retrofit'!$E$10:$F$13,2),IF(D1109&lt;400,VLOOKUP(175,'$$$ Replace &amp; Retrofit'!$E$10:$F$13,2),IF(D1109&gt;=400,VLOOKUP(400,'$$$ Replace &amp; Retrofit'!$E$10:$F$13,2),NA))))*E1109</f>
        <v>74869.801259417814</v>
      </c>
    </row>
    <row r="1110" spans="1:10" x14ac:dyDescent="0.25">
      <c r="A1110" s="255" t="s">
        <v>249</v>
      </c>
      <c r="B1110" s="255" t="s">
        <v>206</v>
      </c>
      <c r="C1110" s="256">
        <v>2010</v>
      </c>
      <c r="D1110" s="256">
        <v>300</v>
      </c>
      <c r="E1110">
        <v>4.2596346780936596</v>
      </c>
      <c r="F1110" s="257"/>
      <c r="G1110">
        <f t="shared" si="14"/>
        <v>300</v>
      </c>
      <c r="H1110" s="4">
        <f>IF(B1110="RTG Crane",IF(D1110&lt;600,800000,1200000),VLOOKUP(B1110,'$$$ Replace &amp; Retrofit'!$B$10:$C$14,2)*'CHE Model poplulation'!D1110)*E1110</f>
        <v>1277890.403428098</v>
      </c>
      <c r="I1110" s="4">
        <f>E1110*VLOOKUP('CHE Model poplulation'!G1110,'$$$ Replace &amp; Retrofit'!$I$10:$J$15,2)</f>
        <v>122519.87224600793</v>
      </c>
      <c r="J1110" s="4">
        <f>IF(D1110=50,VLOOKUP(0,'$$$ Replace &amp; Retrofit'!$E$10:$F$13,2),IF(D1110&lt;175,VLOOKUP(50,'$$$ Replace &amp; Retrofit'!$E$10:$F$13,2),IF(D1110&lt;400,VLOOKUP(175,'$$$ Replace &amp; Retrofit'!$E$10:$F$13,2),IF(D1110&gt;=400,VLOOKUP(400,'$$$ Replace &amp; Retrofit'!$E$10:$F$13,2),NA))))*E1110</f>
        <v>76673.424205685878</v>
      </c>
    </row>
    <row r="1111" spans="1:10" x14ac:dyDescent="0.25">
      <c r="A1111" s="255" t="s">
        <v>249</v>
      </c>
      <c r="B1111" s="255" t="s">
        <v>206</v>
      </c>
      <c r="C1111" s="256">
        <v>2010</v>
      </c>
      <c r="D1111" s="256">
        <v>600</v>
      </c>
      <c r="E1111">
        <v>10.191499487969701</v>
      </c>
      <c r="F1111" s="257"/>
      <c r="G1111">
        <f t="shared" si="14"/>
        <v>400</v>
      </c>
      <c r="H1111" s="4">
        <f>IF(B1111="RTG Crane",IF(D1111&lt;600,800000,1200000),VLOOKUP(B1111,'$$$ Replace &amp; Retrofit'!$B$10:$C$14,2)*'CHE Model poplulation'!D1111)*E1111</f>
        <v>6114899.69278182</v>
      </c>
      <c r="I1111" s="4">
        <f>E1111*VLOOKUP('CHE Model poplulation'!G1111,'$$$ Replace &amp; Retrofit'!$I$10:$J$15,2)</f>
        <v>533351.74270391837</v>
      </c>
      <c r="J1111" s="4">
        <f>IF(D1111=50,VLOOKUP(0,'$$$ Replace &amp; Retrofit'!$E$10:$F$13,2),IF(D1111&lt;175,VLOOKUP(50,'$$$ Replace &amp; Retrofit'!$E$10:$F$13,2),IF(D1111&lt;400,VLOOKUP(175,'$$$ Replace &amp; Retrofit'!$E$10:$F$13,2),IF(D1111&gt;=400,VLOOKUP(400,'$$$ Replace &amp; Retrofit'!$E$10:$F$13,2),NA))))*E1111</f>
        <v>305744.98463909101</v>
      </c>
    </row>
    <row r="1112" spans="1:10" x14ac:dyDescent="0.25">
      <c r="A1112" s="255" t="s">
        <v>249</v>
      </c>
      <c r="B1112" s="255" t="s">
        <v>206</v>
      </c>
      <c r="C1112" s="256">
        <v>2011</v>
      </c>
      <c r="D1112" s="256">
        <v>50</v>
      </c>
      <c r="E1112">
        <v>1.42069526538524</v>
      </c>
      <c r="F1112" s="257"/>
      <c r="G1112">
        <f t="shared" si="14"/>
        <v>50</v>
      </c>
      <c r="H1112" s="4">
        <f>IF(B1112="RTG Crane",IF(D1112&lt;600,800000,1200000),VLOOKUP(B1112,'$$$ Replace &amp; Retrofit'!$B$10:$C$14,2)*'CHE Model poplulation'!D1112)*E1112</f>
        <v>71034.763269261995</v>
      </c>
      <c r="I1112" s="4">
        <f>E1112*VLOOKUP('CHE Model poplulation'!G1112,'$$$ Replace &amp; Retrofit'!$I$10:$J$15,2)</f>
        <v>24987.188327595602</v>
      </c>
      <c r="J1112" s="4">
        <f>IF(D1112=50,VLOOKUP(0,'$$$ Replace &amp; Retrofit'!$E$10:$F$13,2),IF(D1112&lt;175,VLOOKUP(50,'$$$ Replace &amp; Retrofit'!$E$10:$F$13,2),IF(D1112&lt;400,VLOOKUP(175,'$$$ Replace &amp; Retrofit'!$E$10:$F$13,2),IF(D1112&gt;=400,VLOOKUP(400,'$$$ Replace &amp; Retrofit'!$E$10:$F$13,2),NA))))*E1112</f>
        <v>11365.56212308192</v>
      </c>
    </row>
    <row r="1113" spans="1:10" x14ac:dyDescent="0.25">
      <c r="A1113" s="255" t="s">
        <v>249</v>
      </c>
      <c r="B1113" s="255" t="s">
        <v>206</v>
      </c>
      <c r="C1113" s="256">
        <v>2011</v>
      </c>
      <c r="D1113" s="256">
        <v>75</v>
      </c>
      <c r="E1113">
        <v>2.48784949157809</v>
      </c>
      <c r="F1113" s="257"/>
      <c r="G1113">
        <f t="shared" si="14"/>
        <v>50</v>
      </c>
      <c r="H1113" s="4">
        <f>IF(B1113="RTG Crane",IF(D1113&lt;600,800000,1200000),VLOOKUP(B1113,'$$$ Replace &amp; Retrofit'!$B$10:$C$14,2)*'CHE Model poplulation'!D1113)*E1113</f>
        <v>186588.71186835674</v>
      </c>
      <c r="I1113" s="4">
        <f>E1113*VLOOKUP('CHE Model poplulation'!G1113,'$$$ Replace &amp; Retrofit'!$I$10:$J$15,2)</f>
        <v>43756.296857875444</v>
      </c>
      <c r="J1113" s="4">
        <f>IF(D1113=50,VLOOKUP(0,'$$$ Replace &amp; Retrofit'!$E$10:$F$13,2),IF(D1113&lt;175,VLOOKUP(50,'$$$ Replace &amp; Retrofit'!$E$10:$F$13,2),IF(D1113&lt;400,VLOOKUP(175,'$$$ Replace &amp; Retrofit'!$E$10:$F$13,2),IF(D1113&gt;=400,VLOOKUP(400,'$$$ Replace &amp; Retrofit'!$E$10:$F$13,2),NA))))*E1113</f>
        <v>29854.193898937079</v>
      </c>
    </row>
    <row r="1114" spans="1:10" x14ac:dyDescent="0.25">
      <c r="A1114" s="255" t="s">
        <v>249</v>
      </c>
      <c r="B1114" s="255" t="s">
        <v>206</v>
      </c>
      <c r="C1114" s="256">
        <v>2011</v>
      </c>
      <c r="D1114" s="256">
        <v>100</v>
      </c>
      <c r="E1114">
        <v>2.5115143004350702</v>
      </c>
      <c r="F1114" s="257"/>
      <c r="G1114">
        <f t="shared" si="14"/>
        <v>125</v>
      </c>
      <c r="H1114" s="4">
        <f>IF(B1114="RTG Crane",IF(D1114&lt;600,800000,1200000),VLOOKUP(B1114,'$$$ Replace &amp; Retrofit'!$B$10:$C$14,2)*'CHE Model poplulation'!D1114)*E1114</f>
        <v>251151.43004350702</v>
      </c>
      <c r="I1114" s="4">
        <f>E1114*VLOOKUP('CHE Model poplulation'!G1114,'$$$ Replace &amp; Retrofit'!$I$10:$J$15,2)</f>
        <v>49559.711690485237</v>
      </c>
      <c r="J1114" s="4">
        <f>IF(D1114=50,VLOOKUP(0,'$$$ Replace &amp; Retrofit'!$E$10:$F$13,2),IF(D1114&lt;175,VLOOKUP(50,'$$$ Replace &amp; Retrofit'!$E$10:$F$13,2),IF(D1114&lt;400,VLOOKUP(175,'$$$ Replace &amp; Retrofit'!$E$10:$F$13,2),IF(D1114&gt;=400,VLOOKUP(400,'$$$ Replace &amp; Retrofit'!$E$10:$F$13,2),NA))))*E1114</f>
        <v>30138.171605220843</v>
      </c>
    </row>
    <row r="1115" spans="1:10" x14ac:dyDescent="0.25">
      <c r="A1115" s="255" t="s">
        <v>249</v>
      </c>
      <c r="B1115" s="255" t="s">
        <v>206</v>
      </c>
      <c r="C1115" s="256">
        <v>2011</v>
      </c>
      <c r="D1115" s="256">
        <v>175</v>
      </c>
      <c r="E1115">
        <v>4.3422379851237496</v>
      </c>
      <c r="F1115" s="257"/>
      <c r="G1115">
        <f t="shared" si="14"/>
        <v>175</v>
      </c>
      <c r="H1115" s="4">
        <f>IF(B1115="RTG Crane",IF(D1115&lt;600,800000,1200000),VLOOKUP(B1115,'$$$ Replace &amp; Retrofit'!$B$10:$C$14,2)*'CHE Model poplulation'!D1115)*E1115</f>
        <v>759891.64739665622</v>
      </c>
      <c r="I1115" s="4">
        <f>E1115*VLOOKUP('CHE Model poplulation'!G1115,'$$$ Replace &amp; Retrofit'!$I$10:$J$15,2)</f>
        <v>107670.1330791285</v>
      </c>
      <c r="J1115" s="4">
        <f>IF(D1115=50,VLOOKUP(0,'$$$ Replace &amp; Retrofit'!$E$10:$F$13,2),IF(D1115&lt;175,VLOOKUP(50,'$$$ Replace &amp; Retrofit'!$E$10:$F$13,2),IF(D1115&lt;400,VLOOKUP(175,'$$$ Replace &amp; Retrofit'!$E$10:$F$13,2),IF(D1115&gt;=400,VLOOKUP(400,'$$$ Replace &amp; Retrofit'!$E$10:$F$13,2),NA))))*E1115</f>
        <v>78160.283732227486</v>
      </c>
    </row>
    <row r="1116" spans="1:10" x14ac:dyDescent="0.25">
      <c r="A1116" s="255" t="s">
        <v>249</v>
      </c>
      <c r="B1116" s="255" t="s">
        <v>206</v>
      </c>
      <c r="C1116" s="256">
        <v>2011</v>
      </c>
      <c r="D1116" s="256">
        <v>300</v>
      </c>
      <c r="E1116">
        <v>4.4183294440108103</v>
      </c>
      <c r="F1116" s="257"/>
      <c r="G1116">
        <f t="shared" si="14"/>
        <v>300</v>
      </c>
      <c r="H1116" s="4">
        <f>IF(B1116="RTG Crane",IF(D1116&lt;600,800000,1200000),VLOOKUP(B1116,'$$$ Replace &amp; Retrofit'!$B$10:$C$14,2)*'CHE Model poplulation'!D1116)*E1116</f>
        <v>1325498.8332032431</v>
      </c>
      <c r="I1116" s="4">
        <f>E1116*VLOOKUP('CHE Model poplulation'!G1116,'$$$ Replace &amp; Retrofit'!$I$10:$J$15,2)</f>
        <v>127084.40979808294</v>
      </c>
      <c r="J1116" s="4">
        <f>IF(D1116=50,VLOOKUP(0,'$$$ Replace &amp; Retrofit'!$E$10:$F$13,2),IF(D1116&lt;175,VLOOKUP(50,'$$$ Replace &amp; Retrofit'!$E$10:$F$13,2),IF(D1116&lt;400,VLOOKUP(175,'$$$ Replace &amp; Retrofit'!$E$10:$F$13,2),IF(D1116&gt;=400,VLOOKUP(400,'$$$ Replace &amp; Retrofit'!$E$10:$F$13,2),NA))))*E1116</f>
        <v>79529.929992194579</v>
      </c>
    </row>
    <row r="1117" spans="1:10" x14ac:dyDescent="0.25">
      <c r="A1117" s="255" t="s">
        <v>249</v>
      </c>
      <c r="B1117" s="255" t="s">
        <v>206</v>
      </c>
      <c r="C1117" s="256">
        <v>2011</v>
      </c>
      <c r="D1117" s="256">
        <v>600</v>
      </c>
      <c r="E1117">
        <v>10.6120924715195</v>
      </c>
      <c r="F1117" s="257"/>
      <c r="G1117">
        <f t="shared" si="14"/>
        <v>400</v>
      </c>
      <c r="H1117" s="4">
        <f>IF(B1117="RTG Crane",IF(D1117&lt;600,800000,1200000),VLOOKUP(B1117,'$$$ Replace &amp; Retrofit'!$B$10:$C$14,2)*'CHE Model poplulation'!D1117)*E1117</f>
        <v>6367255.4829116995</v>
      </c>
      <c r="I1117" s="4">
        <f>E1117*VLOOKUP('CHE Model poplulation'!G1117,'$$$ Replace &amp; Retrofit'!$I$10:$J$15,2)</f>
        <v>555362.63531202998</v>
      </c>
      <c r="J1117" s="4">
        <f>IF(D1117=50,VLOOKUP(0,'$$$ Replace &amp; Retrofit'!$E$10:$F$13,2),IF(D1117&lt;175,VLOOKUP(50,'$$$ Replace &amp; Retrofit'!$E$10:$F$13,2),IF(D1117&lt;400,VLOOKUP(175,'$$$ Replace &amp; Retrofit'!$E$10:$F$13,2),IF(D1117&gt;=400,VLOOKUP(400,'$$$ Replace &amp; Retrofit'!$E$10:$F$13,2),NA))))*E1117</f>
        <v>318362.77414558496</v>
      </c>
    </row>
    <row r="1118" spans="1:10" x14ac:dyDescent="0.25">
      <c r="A1118" s="255" t="s">
        <v>249</v>
      </c>
      <c r="B1118" s="255" t="s">
        <v>206</v>
      </c>
      <c r="C1118" s="256">
        <v>2012</v>
      </c>
      <c r="D1118" s="256">
        <v>50</v>
      </c>
      <c r="E1118">
        <v>1.4705922128881199</v>
      </c>
      <c r="F1118" s="257"/>
      <c r="G1118">
        <f t="shared" si="14"/>
        <v>50</v>
      </c>
      <c r="H1118" s="4">
        <f>IF(B1118="RTG Crane",IF(D1118&lt;600,800000,1200000),VLOOKUP(B1118,'$$$ Replace &amp; Retrofit'!$B$10:$C$14,2)*'CHE Model poplulation'!D1118)*E1118</f>
        <v>73529.610644405999</v>
      </c>
      <c r="I1118" s="4">
        <f>E1118*VLOOKUP('CHE Model poplulation'!G1118,'$$$ Replace &amp; Retrofit'!$I$10:$J$15,2)</f>
        <v>25864.775840276252</v>
      </c>
      <c r="J1118" s="4">
        <f>IF(D1118=50,VLOOKUP(0,'$$$ Replace &amp; Retrofit'!$E$10:$F$13,2),IF(D1118&lt;175,VLOOKUP(50,'$$$ Replace &amp; Retrofit'!$E$10:$F$13,2),IF(D1118&lt;400,VLOOKUP(175,'$$$ Replace &amp; Retrofit'!$E$10:$F$13,2),IF(D1118&gt;=400,VLOOKUP(400,'$$$ Replace &amp; Retrofit'!$E$10:$F$13,2),NA))))*E1118</f>
        <v>11764.73770310496</v>
      </c>
    </row>
    <row r="1119" spans="1:10" x14ac:dyDescent="0.25">
      <c r="A1119" s="255" t="s">
        <v>249</v>
      </c>
      <c r="B1119" s="255" t="s">
        <v>206</v>
      </c>
      <c r="C1119" s="256">
        <v>2012</v>
      </c>
      <c r="D1119" s="256">
        <v>75</v>
      </c>
      <c r="E1119">
        <v>2.55752906544092</v>
      </c>
      <c r="F1119" s="257"/>
      <c r="G1119">
        <f t="shared" si="14"/>
        <v>50</v>
      </c>
      <c r="H1119" s="4">
        <f>IF(B1119="RTG Crane",IF(D1119&lt;600,800000,1200000),VLOOKUP(B1119,'$$$ Replace &amp; Retrofit'!$B$10:$C$14,2)*'CHE Model poplulation'!D1119)*E1119</f>
        <v>191814.679908069</v>
      </c>
      <c r="I1119" s="4">
        <f>E1119*VLOOKUP('CHE Model poplulation'!G1119,'$$$ Replace &amp; Retrofit'!$I$10:$J$15,2)</f>
        <v>44981.821202974897</v>
      </c>
      <c r="J1119" s="4">
        <f>IF(D1119=50,VLOOKUP(0,'$$$ Replace &amp; Retrofit'!$E$10:$F$13,2),IF(D1119&lt;175,VLOOKUP(50,'$$$ Replace &amp; Retrofit'!$E$10:$F$13,2),IF(D1119&lt;400,VLOOKUP(175,'$$$ Replace &amp; Retrofit'!$E$10:$F$13,2),IF(D1119&gt;=400,VLOOKUP(400,'$$$ Replace &amp; Retrofit'!$E$10:$F$13,2),NA))))*E1119</f>
        <v>30690.34878529104</v>
      </c>
    </row>
    <row r="1120" spans="1:10" x14ac:dyDescent="0.25">
      <c r="A1120" s="255" t="s">
        <v>249</v>
      </c>
      <c r="B1120" s="255" t="s">
        <v>206</v>
      </c>
      <c r="C1120" s="256">
        <v>2012</v>
      </c>
      <c r="D1120" s="256">
        <v>100</v>
      </c>
      <c r="E1120">
        <v>2.5735114017265501</v>
      </c>
      <c r="F1120" s="257"/>
      <c r="G1120">
        <f t="shared" si="14"/>
        <v>125</v>
      </c>
      <c r="H1120" s="4">
        <f>IF(B1120="RTG Crane",IF(D1120&lt;600,800000,1200000),VLOOKUP(B1120,'$$$ Replace &amp; Retrofit'!$B$10:$C$14,2)*'CHE Model poplulation'!D1120)*E1120</f>
        <v>257351.14017265502</v>
      </c>
      <c r="I1120" s="4">
        <f>E1120*VLOOKUP('CHE Model poplulation'!G1120,'$$$ Replace &amp; Retrofit'!$I$10:$J$15,2)</f>
        <v>50783.100490270015</v>
      </c>
      <c r="J1120" s="4">
        <f>IF(D1120=50,VLOOKUP(0,'$$$ Replace &amp; Retrofit'!$E$10:$F$13,2),IF(D1120&lt;175,VLOOKUP(50,'$$$ Replace &amp; Retrofit'!$E$10:$F$13,2),IF(D1120&lt;400,VLOOKUP(175,'$$$ Replace &amp; Retrofit'!$E$10:$F$13,2),IF(D1120&gt;=400,VLOOKUP(400,'$$$ Replace &amp; Retrofit'!$E$10:$F$13,2),NA))))*E1120</f>
        <v>30882.136820718602</v>
      </c>
    </row>
    <row r="1121" spans="1:10" x14ac:dyDescent="0.25">
      <c r="A1121" s="255" t="s">
        <v>249</v>
      </c>
      <c r="B1121" s="255" t="s">
        <v>206</v>
      </c>
      <c r="C1121" s="256">
        <v>2012</v>
      </c>
      <c r="D1121" s="256">
        <v>175</v>
      </c>
      <c r="E1121">
        <v>4.3466826053932097</v>
      </c>
      <c r="F1121" s="257"/>
      <c r="G1121">
        <f t="shared" si="14"/>
        <v>175</v>
      </c>
      <c r="H1121" s="4">
        <f>IF(B1121="RTG Crane",IF(D1121&lt;600,800000,1200000),VLOOKUP(B1121,'$$$ Replace &amp; Retrofit'!$B$10:$C$14,2)*'CHE Model poplulation'!D1121)*E1121</f>
        <v>760669.45594381168</v>
      </c>
      <c r="I1121" s="4">
        <f>E1121*VLOOKUP('CHE Model poplulation'!G1121,'$$$ Replace &amp; Retrofit'!$I$10:$J$15,2)</f>
        <v>107780.34188333002</v>
      </c>
      <c r="J1121" s="4">
        <f>IF(D1121=50,VLOOKUP(0,'$$$ Replace &amp; Retrofit'!$E$10:$F$13,2),IF(D1121&lt;175,VLOOKUP(50,'$$$ Replace &amp; Retrofit'!$E$10:$F$13,2),IF(D1121&lt;400,VLOOKUP(175,'$$$ Replace &amp; Retrofit'!$E$10:$F$13,2),IF(D1121&gt;=400,VLOOKUP(400,'$$$ Replace &amp; Retrofit'!$E$10:$F$13,2),NA))))*E1121</f>
        <v>78240.286897077778</v>
      </c>
    </row>
    <row r="1122" spans="1:10" x14ac:dyDescent="0.25">
      <c r="A1122" s="255" t="s">
        <v>249</v>
      </c>
      <c r="B1122" s="255" t="s">
        <v>206</v>
      </c>
      <c r="C1122" s="256">
        <v>2012</v>
      </c>
      <c r="D1122" s="256">
        <v>300</v>
      </c>
      <c r="E1122">
        <v>4.3478736544794501</v>
      </c>
      <c r="F1122" s="257"/>
      <c r="G1122">
        <f t="shared" si="14"/>
        <v>300</v>
      </c>
      <c r="H1122" s="4">
        <f>IF(B1122="RTG Crane",IF(D1122&lt;600,800000,1200000),VLOOKUP(B1122,'$$$ Replace &amp; Retrofit'!$B$10:$C$14,2)*'CHE Model poplulation'!D1122)*E1122</f>
        <v>1304362.0963438351</v>
      </c>
      <c r="I1122" s="4">
        <f>E1122*VLOOKUP('CHE Model poplulation'!G1122,'$$$ Replace &amp; Retrofit'!$I$10:$J$15,2)</f>
        <v>125057.88992379242</v>
      </c>
      <c r="J1122" s="4">
        <f>IF(D1122=50,VLOOKUP(0,'$$$ Replace &amp; Retrofit'!$E$10:$F$13,2),IF(D1122&lt;175,VLOOKUP(50,'$$$ Replace &amp; Retrofit'!$E$10:$F$13,2),IF(D1122&lt;400,VLOOKUP(175,'$$$ Replace &amp; Retrofit'!$E$10:$F$13,2),IF(D1122&gt;=400,VLOOKUP(400,'$$$ Replace &amp; Retrofit'!$E$10:$F$13,2),NA))))*E1122</f>
        <v>78261.725780630106</v>
      </c>
    </row>
    <row r="1123" spans="1:10" x14ac:dyDescent="0.25">
      <c r="A1123" s="255" t="s">
        <v>249</v>
      </c>
      <c r="B1123" s="255" t="s">
        <v>206</v>
      </c>
      <c r="C1123" s="256">
        <v>2012</v>
      </c>
      <c r="D1123" s="256">
        <v>600</v>
      </c>
      <c r="E1123">
        <v>10.677345807350299</v>
      </c>
      <c r="F1123" s="257"/>
      <c r="G1123">
        <f t="shared" si="14"/>
        <v>400</v>
      </c>
      <c r="H1123" s="4">
        <f>IF(B1123="RTG Crane",IF(D1123&lt;600,800000,1200000),VLOOKUP(B1123,'$$$ Replace &amp; Retrofit'!$B$10:$C$14,2)*'CHE Model poplulation'!D1123)*E1123</f>
        <v>6406407.4844101798</v>
      </c>
      <c r="I1123" s="4">
        <f>E1123*VLOOKUP('CHE Model poplulation'!G1123,'$$$ Replace &amp; Retrofit'!$I$10:$J$15,2)</f>
        <v>558777.53813606326</v>
      </c>
      <c r="J1123" s="4">
        <f>IF(D1123=50,VLOOKUP(0,'$$$ Replace &amp; Retrofit'!$E$10:$F$13,2),IF(D1123&lt;175,VLOOKUP(50,'$$$ Replace &amp; Retrofit'!$E$10:$F$13,2),IF(D1123&lt;400,VLOOKUP(175,'$$$ Replace &amp; Retrofit'!$E$10:$F$13,2),IF(D1123&gt;=400,VLOOKUP(400,'$$$ Replace &amp; Retrofit'!$E$10:$F$13,2),NA))))*E1123</f>
        <v>320320.37422050897</v>
      </c>
    </row>
    <row r="1124" spans="1:10" x14ac:dyDescent="0.25">
      <c r="A1124" s="255" t="s">
        <v>249</v>
      </c>
      <c r="B1124" s="255" t="s">
        <v>206</v>
      </c>
      <c r="C1124" s="256">
        <v>2013</v>
      </c>
      <c r="D1124" s="256">
        <v>50</v>
      </c>
      <c r="E1124">
        <v>1.4439278383933301</v>
      </c>
      <c r="F1124" s="257"/>
      <c r="G1124">
        <f t="shared" si="14"/>
        <v>50</v>
      </c>
      <c r="H1124" s="4">
        <f>IF(B1124="RTG Crane",IF(D1124&lt;600,800000,1200000),VLOOKUP(B1124,'$$$ Replace &amp; Retrofit'!$B$10:$C$14,2)*'CHE Model poplulation'!D1124)*E1124</f>
        <v>72196.391919666508</v>
      </c>
      <c r="I1124" s="4">
        <f>E1124*VLOOKUP('CHE Model poplulation'!G1124,'$$$ Replace &amp; Retrofit'!$I$10:$J$15,2)</f>
        <v>25395.802821661888</v>
      </c>
      <c r="J1124" s="4">
        <f>IF(D1124=50,VLOOKUP(0,'$$$ Replace &amp; Retrofit'!$E$10:$F$13,2),IF(D1124&lt;175,VLOOKUP(50,'$$$ Replace &amp; Retrofit'!$E$10:$F$13,2),IF(D1124&lt;400,VLOOKUP(175,'$$$ Replace &amp; Retrofit'!$E$10:$F$13,2),IF(D1124&gt;=400,VLOOKUP(400,'$$$ Replace &amp; Retrofit'!$E$10:$F$13,2),NA))))*E1124</f>
        <v>11551.422707146641</v>
      </c>
    </row>
    <row r="1125" spans="1:10" x14ac:dyDescent="0.25">
      <c r="A1125" s="255" t="s">
        <v>249</v>
      </c>
      <c r="B1125" s="255" t="s">
        <v>206</v>
      </c>
      <c r="C1125" s="256">
        <v>2013</v>
      </c>
      <c r="D1125" s="256">
        <v>75</v>
      </c>
      <c r="E1125">
        <v>2.4824475971390298</v>
      </c>
      <c r="F1125" s="257"/>
      <c r="G1125">
        <f t="shared" si="14"/>
        <v>50</v>
      </c>
      <c r="H1125" s="4">
        <f>IF(B1125="RTG Crane",IF(D1125&lt;600,800000,1200000),VLOOKUP(B1125,'$$$ Replace &amp; Retrofit'!$B$10:$C$14,2)*'CHE Model poplulation'!D1125)*E1125</f>
        <v>186183.56978542724</v>
      </c>
      <c r="I1125" s="4">
        <f>E1125*VLOOKUP('CHE Model poplulation'!G1125,'$$$ Replace &amp; Retrofit'!$I$10:$J$15,2)</f>
        <v>43661.288338481259</v>
      </c>
      <c r="J1125" s="4">
        <f>IF(D1125=50,VLOOKUP(0,'$$$ Replace &amp; Retrofit'!$E$10:$F$13,2),IF(D1125&lt;175,VLOOKUP(50,'$$$ Replace &amp; Retrofit'!$E$10:$F$13,2),IF(D1125&lt;400,VLOOKUP(175,'$$$ Replace &amp; Retrofit'!$E$10:$F$13,2),IF(D1125&gt;=400,VLOOKUP(400,'$$$ Replace &amp; Retrofit'!$E$10:$F$13,2),NA))))*E1125</f>
        <v>29789.371165668359</v>
      </c>
    </row>
    <row r="1126" spans="1:10" x14ac:dyDescent="0.25">
      <c r="A1126" s="255" t="s">
        <v>249</v>
      </c>
      <c r="B1126" s="255" t="s">
        <v>206</v>
      </c>
      <c r="C1126" s="256">
        <v>2013</v>
      </c>
      <c r="D1126" s="256">
        <v>100</v>
      </c>
      <c r="E1126">
        <v>2.4371513985230902</v>
      </c>
      <c r="F1126" s="257"/>
      <c r="G1126">
        <f t="shared" si="14"/>
        <v>125</v>
      </c>
      <c r="H1126" s="4">
        <f>IF(B1126="RTG Crane",IF(D1126&lt;600,800000,1200000),VLOOKUP(B1126,'$$$ Replace &amp; Retrofit'!$B$10:$C$14,2)*'CHE Model poplulation'!D1126)*E1126</f>
        <v>243715.13985230902</v>
      </c>
      <c r="I1126" s="4">
        <f>E1126*VLOOKUP('CHE Model poplulation'!G1126,'$$$ Replace &amp; Retrofit'!$I$10:$J$15,2)</f>
        <v>48092.308547056135</v>
      </c>
      <c r="J1126" s="4">
        <f>IF(D1126=50,VLOOKUP(0,'$$$ Replace &amp; Retrofit'!$E$10:$F$13,2),IF(D1126&lt;175,VLOOKUP(50,'$$$ Replace &amp; Retrofit'!$E$10:$F$13,2),IF(D1126&lt;400,VLOOKUP(175,'$$$ Replace &amp; Retrofit'!$E$10:$F$13,2),IF(D1126&gt;=400,VLOOKUP(400,'$$$ Replace &amp; Retrofit'!$E$10:$F$13,2),NA))))*E1126</f>
        <v>29245.816782277081</v>
      </c>
    </row>
    <row r="1127" spans="1:10" x14ac:dyDescent="0.25">
      <c r="A1127" s="255" t="s">
        <v>249</v>
      </c>
      <c r="B1127" s="255" t="s">
        <v>206</v>
      </c>
      <c r="C1127" s="256">
        <v>2013</v>
      </c>
      <c r="D1127" s="256">
        <v>175</v>
      </c>
      <c r="E1127">
        <v>4.0629324097128396</v>
      </c>
      <c r="F1127" s="257"/>
      <c r="G1127">
        <f t="shared" si="14"/>
        <v>175</v>
      </c>
      <c r="H1127" s="4">
        <f>IF(B1127="RTG Crane",IF(D1127&lt;600,800000,1200000),VLOOKUP(B1127,'$$$ Replace &amp; Retrofit'!$B$10:$C$14,2)*'CHE Model poplulation'!D1127)*E1127</f>
        <v>711013.17169974698</v>
      </c>
      <c r="I1127" s="4">
        <f>E1127*VLOOKUP('CHE Model poplulation'!G1127,'$$$ Replace &amp; Retrofit'!$I$10:$J$15,2)</f>
        <v>100744.47203123957</v>
      </c>
      <c r="J1127" s="4">
        <f>IF(D1127=50,VLOOKUP(0,'$$$ Replace &amp; Retrofit'!$E$10:$F$13,2),IF(D1127&lt;175,VLOOKUP(50,'$$$ Replace &amp; Retrofit'!$E$10:$F$13,2),IF(D1127&lt;400,VLOOKUP(175,'$$$ Replace &amp; Retrofit'!$E$10:$F$13,2),IF(D1127&gt;=400,VLOOKUP(400,'$$$ Replace &amp; Retrofit'!$E$10:$F$13,2),NA))))*E1127</f>
        <v>73132.78337483111</v>
      </c>
    </row>
    <row r="1128" spans="1:10" x14ac:dyDescent="0.25">
      <c r="A1128" s="255" t="s">
        <v>249</v>
      </c>
      <c r="B1128" s="255" t="s">
        <v>206</v>
      </c>
      <c r="C1128" s="256">
        <v>2013</v>
      </c>
      <c r="D1128" s="256">
        <v>300</v>
      </c>
      <c r="E1128">
        <v>4.0993701455135101</v>
      </c>
      <c r="F1128" s="257"/>
      <c r="G1128">
        <f t="shared" si="14"/>
        <v>300</v>
      </c>
      <c r="H1128" s="4">
        <f>IF(B1128="RTG Crane",IF(D1128&lt;600,800000,1200000),VLOOKUP(B1128,'$$$ Replace &amp; Retrofit'!$B$10:$C$14,2)*'CHE Model poplulation'!D1128)*E1128</f>
        <v>1229811.043654053</v>
      </c>
      <c r="I1128" s="4">
        <f>E1128*VLOOKUP('CHE Model poplulation'!G1128,'$$$ Replace &amp; Retrofit'!$I$10:$J$15,2)</f>
        <v>117910.18349540509</v>
      </c>
      <c r="J1128" s="4">
        <f>IF(D1128=50,VLOOKUP(0,'$$$ Replace &amp; Retrofit'!$E$10:$F$13,2),IF(D1128&lt;175,VLOOKUP(50,'$$$ Replace &amp; Retrofit'!$E$10:$F$13,2),IF(D1128&lt;400,VLOOKUP(175,'$$$ Replace &amp; Retrofit'!$E$10:$F$13,2),IF(D1128&gt;=400,VLOOKUP(400,'$$$ Replace &amp; Retrofit'!$E$10:$F$13,2),NA))))*E1128</f>
        <v>73788.662619243187</v>
      </c>
    </row>
    <row r="1129" spans="1:10" x14ac:dyDescent="0.25">
      <c r="A1129" s="255" t="s">
        <v>249</v>
      </c>
      <c r="B1129" s="255" t="s">
        <v>206</v>
      </c>
      <c r="C1129" s="256">
        <v>2013</v>
      </c>
      <c r="D1129" s="256">
        <v>600</v>
      </c>
      <c r="E1129">
        <v>10.1246243414651</v>
      </c>
      <c r="F1129" s="257"/>
      <c r="G1129">
        <f t="shared" si="14"/>
        <v>400</v>
      </c>
      <c r="H1129" s="4">
        <f>IF(B1129="RTG Crane",IF(D1129&lt;600,800000,1200000),VLOOKUP(B1129,'$$$ Replace &amp; Retrofit'!$B$10:$C$14,2)*'CHE Model poplulation'!D1129)*E1129</f>
        <v>6074774.6048790598</v>
      </c>
      <c r="I1129" s="4">
        <f>E1129*VLOOKUP('CHE Model poplulation'!G1129,'$$$ Replace &amp; Retrofit'!$I$10:$J$15,2)</f>
        <v>529851.96566189313</v>
      </c>
      <c r="J1129" s="4">
        <f>IF(D1129=50,VLOOKUP(0,'$$$ Replace &amp; Retrofit'!$E$10:$F$13,2),IF(D1129&lt;175,VLOOKUP(50,'$$$ Replace &amp; Retrofit'!$E$10:$F$13,2),IF(D1129&lt;400,VLOOKUP(175,'$$$ Replace &amp; Retrofit'!$E$10:$F$13,2),IF(D1129&gt;=400,VLOOKUP(400,'$$$ Replace &amp; Retrofit'!$E$10:$F$13,2),NA))))*E1129</f>
        <v>303738.730243953</v>
      </c>
    </row>
    <row r="1130" spans="1:10" x14ac:dyDescent="0.25">
      <c r="A1130" s="255" t="s">
        <v>249</v>
      </c>
      <c r="B1130" s="255" t="s">
        <v>206</v>
      </c>
      <c r="C1130" s="256">
        <v>2014</v>
      </c>
      <c r="D1130" s="256">
        <v>50</v>
      </c>
      <c r="E1130">
        <v>1.2204464758583899</v>
      </c>
      <c r="F1130" s="257"/>
      <c r="G1130">
        <f t="shared" si="14"/>
        <v>50</v>
      </c>
      <c r="H1130" s="4">
        <f>IF(B1130="RTG Crane",IF(D1130&lt;600,800000,1200000),VLOOKUP(B1130,'$$$ Replace &amp; Retrofit'!$B$10:$C$14,2)*'CHE Model poplulation'!D1130)*E1130</f>
        <v>61022.323792919495</v>
      </c>
      <c r="I1130" s="4">
        <f>E1130*VLOOKUP('CHE Model poplulation'!G1130,'$$$ Replace &amp; Retrofit'!$I$10:$J$15,2)</f>
        <v>21465.212617397363</v>
      </c>
      <c r="J1130" s="4">
        <f>IF(D1130=50,VLOOKUP(0,'$$$ Replace &amp; Retrofit'!$E$10:$F$13,2),IF(D1130&lt;175,VLOOKUP(50,'$$$ Replace &amp; Retrofit'!$E$10:$F$13,2),IF(D1130&lt;400,VLOOKUP(175,'$$$ Replace &amp; Retrofit'!$E$10:$F$13,2),IF(D1130&gt;=400,VLOOKUP(400,'$$$ Replace &amp; Retrofit'!$E$10:$F$13,2),NA))))*E1130</f>
        <v>9763.5718068671194</v>
      </c>
    </row>
    <row r="1131" spans="1:10" x14ac:dyDescent="0.25">
      <c r="A1131" s="255" t="s">
        <v>249</v>
      </c>
      <c r="B1131" s="255" t="s">
        <v>206</v>
      </c>
      <c r="C1131" s="256">
        <v>2014</v>
      </c>
      <c r="D1131" s="256">
        <v>75</v>
      </c>
      <c r="E1131">
        <v>2.2626692132008599</v>
      </c>
      <c r="F1131" s="257"/>
      <c r="G1131">
        <f t="shared" si="14"/>
        <v>50</v>
      </c>
      <c r="H1131" s="4">
        <f>IF(B1131="RTG Crane",IF(D1131&lt;600,800000,1200000),VLOOKUP(B1131,'$$$ Replace &amp; Retrofit'!$B$10:$C$14,2)*'CHE Model poplulation'!D1131)*E1131</f>
        <v>169700.1909900645</v>
      </c>
      <c r="I1131" s="4">
        <f>E1131*VLOOKUP('CHE Model poplulation'!G1131,'$$$ Replace &amp; Retrofit'!$I$10:$J$15,2)</f>
        <v>39795.826121776721</v>
      </c>
      <c r="J1131" s="4">
        <f>IF(D1131=50,VLOOKUP(0,'$$$ Replace &amp; Retrofit'!$E$10:$F$13,2),IF(D1131&lt;175,VLOOKUP(50,'$$$ Replace &amp; Retrofit'!$E$10:$F$13,2),IF(D1131&lt;400,VLOOKUP(175,'$$$ Replace &amp; Retrofit'!$E$10:$F$13,2),IF(D1131&gt;=400,VLOOKUP(400,'$$$ Replace &amp; Retrofit'!$E$10:$F$13,2),NA))))*E1131</f>
        <v>27152.030558410319</v>
      </c>
    </row>
    <row r="1132" spans="1:10" x14ac:dyDescent="0.25">
      <c r="A1132" s="255" t="s">
        <v>249</v>
      </c>
      <c r="B1132" s="255" t="s">
        <v>206</v>
      </c>
      <c r="C1132" s="256">
        <v>2014</v>
      </c>
      <c r="D1132" s="256">
        <v>100</v>
      </c>
      <c r="E1132">
        <v>2.1981625362121799</v>
      </c>
      <c r="F1132" s="257"/>
      <c r="G1132">
        <f t="shared" si="14"/>
        <v>125</v>
      </c>
      <c r="H1132" s="4">
        <f>IF(B1132="RTG Crane",IF(D1132&lt;600,800000,1200000),VLOOKUP(B1132,'$$$ Replace &amp; Retrofit'!$B$10:$C$14,2)*'CHE Model poplulation'!D1132)*E1132</f>
        <v>219816.253621218</v>
      </c>
      <c r="I1132" s="4">
        <f>E1132*VLOOKUP('CHE Model poplulation'!G1132,'$$$ Replace &amp; Retrofit'!$I$10:$J$15,2)</f>
        <v>43376.341327074944</v>
      </c>
      <c r="J1132" s="4">
        <f>IF(D1132=50,VLOOKUP(0,'$$$ Replace &amp; Retrofit'!$E$10:$F$13,2),IF(D1132&lt;175,VLOOKUP(50,'$$$ Replace &amp; Retrofit'!$E$10:$F$13,2),IF(D1132&lt;400,VLOOKUP(175,'$$$ Replace &amp; Retrofit'!$E$10:$F$13,2),IF(D1132&gt;=400,VLOOKUP(400,'$$$ Replace &amp; Retrofit'!$E$10:$F$13,2),NA))))*E1132</f>
        <v>26377.950434546161</v>
      </c>
    </row>
    <row r="1133" spans="1:10" x14ac:dyDescent="0.25">
      <c r="A1133" s="255" t="s">
        <v>249</v>
      </c>
      <c r="B1133" s="255" t="s">
        <v>206</v>
      </c>
      <c r="C1133" s="256">
        <v>2014</v>
      </c>
      <c r="D1133" s="256">
        <v>175</v>
      </c>
      <c r="E1133">
        <v>3.5241499127928102</v>
      </c>
      <c r="F1133" s="257"/>
      <c r="G1133">
        <f t="shared" si="14"/>
        <v>175</v>
      </c>
      <c r="H1133" s="4">
        <f>IF(B1133="RTG Crane",IF(D1133&lt;600,800000,1200000),VLOOKUP(B1133,'$$$ Replace &amp; Retrofit'!$B$10:$C$14,2)*'CHE Model poplulation'!D1133)*E1133</f>
        <v>616726.23473874177</v>
      </c>
      <c r="I1133" s="4">
        <f>E1133*VLOOKUP('CHE Model poplulation'!G1133,'$$$ Replace &amp; Retrofit'!$I$10:$J$15,2)</f>
        <v>87384.821237610522</v>
      </c>
      <c r="J1133" s="4">
        <f>IF(D1133=50,VLOOKUP(0,'$$$ Replace &amp; Retrofit'!$E$10:$F$13,2),IF(D1133&lt;175,VLOOKUP(50,'$$$ Replace &amp; Retrofit'!$E$10:$F$13,2),IF(D1133&lt;400,VLOOKUP(175,'$$$ Replace &amp; Retrofit'!$E$10:$F$13,2),IF(D1133&gt;=400,VLOOKUP(400,'$$$ Replace &amp; Retrofit'!$E$10:$F$13,2),NA))))*E1133</f>
        <v>63434.698430270582</v>
      </c>
    </row>
    <row r="1134" spans="1:10" x14ac:dyDescent="0.25">
      <c r="A1134" s="255" t="s">
        <v>249</v>
      </c>
      <c r="B1134" s="255" t="s">
        <v>206</v>
      </c>
      <c r="C1134" s="256">
        <v>2014</v>
      </c>
      <c r="D1134" s="256">
        <v>300</v>
      </c>
      <c r="E1134">
        <v>3.2575093327283899</v>
      </c>
      <c r="F1134" s="257"/>
      <c r="G1134">
        <f t="shared" si="14"/>
        <v>300</v>
      </c>
      <c r="H1134" s="4">
        <f>IF(B1134="RTG Crane",IF(D1134&lt;600,800000,1200000),VLOOKUP(B1134,'$$$ Replace &amp; Retrofit'!$B$10:$C$14,2)*'CHE Model poplulation'!D1134)*E1134</f>
        <v>977252.79981851694</v>
      </c>
      <c r="I1134" s="4">
        <f>E1134*VLOOKUP('CHE Model poplulation'!G1134,'$$$ Replace &amp; Retrofit'!$I$10:$J$15,2)</f>
        <v>93695.740937266673</v>
      </c>
      <c r="J1134" s="4">
        <f>IF(D1134=50,VLOOKUP(0,'$$$ Replace &amp; Retrofit'!$E$10:$F$13,2),IF(D1134&lt;175,VLOOKUP(50,'$$$ Replace &amp; Retrofit'!$E$10:$F$13,2),IF(D1134&lt;400,VLOOKUP(175,'$$$ Replace &amp; Retrofit'!$E$10:$F$13,2),IF(D1134&gt;=400,VLOOKUP(400,'$$$ Replace &amp; Retrofit'!$E$10:$F$13,2),NA))))*E1134</f>
        <v>58635.167989111018</v>
      </c>
    </row>
    <row r="1135" spans="1:10" x14ac:dyDescent="0.25">
      <c r="A1135" s="255" t="s">
        <v>249</v>
      </c>
      <c r="B1135" s="255" t="s">
        <v>206</v>
      </c>
      <c r="C1135" s="256">
        <v>2014</v>
      </c>
      <c r="D1135" s="256">
        <v>600</v>
      </c>
      <c r="E1135">
        <v>8.5980015050706395</v>
      </c>
      <c r="F1135" s="257"/>
      <c r="G1135">
        <f t="shared" si="14"/>
        <v>400</v>
      </c>
      <c r="H1135" s="4">
        <f>IF(B1135="RTG Crane",IF(D1135&lt;600,800000,1200000),VLOOKUP(B1135,'$$$ Replace &amp; Retrofit'!$B$10:$C$14,2)*'CHE Model poplulation'!D1135)*E1135</f>
        <v>5158800.9030423835</v>
      </c>
      <c r="I1135" s="4">
        <f>E1135*VLOOKUP('CHE Model poplulation'!G1135,'$$$ Replace &amp; Retrofit'!$I$10:$J$15,2)</f>
        <v>449959.21276486176</v>
      </c>
      <c r="J1135" s="4">
        <f>IF(D1135=50,VLOOKUP(0,'$$$ Replace &amp; Retrofit'!$E$10:$F$13,2),IF(D1135&lt;175,VLOOKUP(50,'$$$ Replace &amp; Retrofit'!$E$10:$F$13,2),IF(D1135&lt;400,VLOOKUP(175,'$$$ Replace &amp; Retrofit'!$E$10:$F$13,2),IF(D1135&gt;=400,VLOOKUP(400,'$$$ Replace &amp; Retrofit'!$E$10:$F$13,2),NA))))*E1135</f>
        <v>257940.04515211919</v>
      </c>
    </row>
    <row r="1136" spans="1:10" x14ac:dyDescent="0.25">
      <c r="A1136" s="255" t="s">
        <v>249</v>
      </c>
      <c r="B1136" s="255" t="s">
        <v>206</v>
      </c>
      <c r="C1136" s="256">
        <v>2015</v>
      </c>
      <c r="D1136" s="256">
        <v>50</v>
      </c>
      <c r="E1136">
        <v>0.86646579332384899</v>
      </c>
      <c r="F1136" s="257"/>
      <c r="G1136">
        <f t="shared" si="14"/>
        <v>50</v>
      </c>
      <c r="H1136" s="4">
        <f>IF(B1136="RTG Crane",IF(D1136&lt;600,800000,1200000),VLOOKUP(B1136,'$$$ Replace &amp; Retrofit'!$B$10:$C$14,2)*'CHE Model poplulation'!D1136)*E1136</f>
        <v>43323.289666192446</v>
      </c>
      <c r="I1136" s="4">
        <f>E1136*VLOOKUP('CHE Model poplulation'!G1136,'$$$ Replace &amp; Retrofit'!$I$10:$J$15,2)</f>
        <v>15239.400372979855</v>
      </c>
      <c r="J1136" s="4">
        <f>IF(D1136=50,VLOOKUP(0,'$$$ Replace &amp; Retrofit'!$E$10:$F$13,2),IF(D1136&lt;175,VLOOKUP(50,'$$$ Replace &amp; Retrofit'!$E$10:$F$13,2),IF(D1136&lt;400,VLOOKUP(175,'$$$ Replace &amp; Retrofit'!$E$10:$F$13,2),IF(D1136&gt;=400,VLOOKUP(400,'$$$ Replace &amp; Retrofit'!$E$10:$F$13,2),NA))))*E1136</f>
        <v>6931.7263465907918</v>
      </c>
    </row>
    <row r="1137" spans="1:10" x14ac:dyDescent="0.25">
      <c r="A1137" s="255" t="s">
        <v>249</v>
      </c>
      <c r="B1137" s="255" t="s">
        <v>206</v>
      </c>
      <c r="C1137" s="256">
        <v>2015</v>
      </c>
      <c r="D1137" s="256">
        <v>75</v>
      </c>
      <c r="E1137">
        <v>1.70681267300793</v>
      </c>
      <c r="F1137" s="257"/>
      <c r="G1137">
        <f t="shared" si="14"/>
        <v>50</v>
      </c>
      <c r="H1137" s="4">
        <f>IF(B1137="RTG Crane",IF(D1137&lt;600,800000,1200000),VLOOKUP(B1137,'$$$ Replace &amp; Retrofit'!$B$10:$C$14,2)*'CHE Model poplulation'!D1137)*E1137</f>
        <v>128010.95047559476</v>
      </c>
      <c r="I1137" s="4">
        <f>E1137*VLOOKUP('CHE Model poplulation'!G1137,'$$$ Replace &amp; Retrofit'!$I$10:$J$15,2)</f>
        <v>30019.421292863473</v>
      </c>
      <c r="J1137" s="4">
        <f>IF(D1137=50,VLOOKUP(0,'$$$ Replace &amp; Retrofit'!$E$10:$F$13,2),IF(D1137&lt;175,VLOOKUP(50,'$$$ Replace &amp; Retrofit'!$E$10:$F$13,2),IF(D1137&lt;400,VLOOKUP(175,'$$$ Replace &amp; Retrofit'!$E$10:$F$13,2),IF(D1137&gt;=400,VLOOKUP(400,'$$$ Replace &amp; Retrofit'!$E$10:$F$13,2),NA))))*E1137</f>
        <v>20481.752076095159</v>
      </c>
    </row>
    <row r="1138" spans="1:10" x14ac:dyDescent="0.25">
      <c r="A1138" s="255" t="s">
        <v>249</v>
      </c>
      <c r="B1138" s="255" t="s">
        <v>206</v>
      </c>
      <c r="C1138" s="256">
        <v>2015</v>
      </c>
      <c r="D1138" s="256">
        <v>100</v>
      </c>
      <c r="E1138">
        <v>1.67784490757908</v>
      </c>
      <c r="F1138" s="257"/>
      <c r="G1138">
        <f t="shared" si="14"/>
        <v>125</v>
      </c>
      <c r="H1138" s="4">
        <f>IF(B1138="RTG Crane",IF(D1138&lt;600,800000,1200000),VLOOKUP(B1138,'$$$ Replace &amp; Retrofit'!$B$10:$C$14,2)*'CHE Model poplulation'!D1138)*E1138</f>
        <v>167784.490757908</v>
      </c>
      <c r="I1138" s="4">
        <f>E1138*VLOOKUP('CHE Model poplulation'!G1138,'$$$ Replace &amp; Retrofit'!$I$10:$J$15,2)</f>
        <v>33108.913561257985</v>
      </c>
      <c r="J1138" s="4">
        <f>IF(D1138=50,VLOOKUP(0,'$$$ Replace &amp; Retrofit'!$E$10:$F$13,2),IF(D1138&lt;175,VLOOKUP(50,'$$$ Replace &amp; Retrofit'!$E$10:$F$13,2),IF(D1138&lt;400,VLOOKUP(175,'$$$ Replace &amp; Retrofit'!$E$10:$F$13,2),IF(D1138&gt;=400,VLOOKUP(400,'$$$ Replace &amp; Retrofit'!$E$10:$F$13,2),NA))))*E1138</f>
        <v>20134.138890948961</v>
      </c>
    </row>
    <row r="1139" spans="1:10" x14ac:dyDescent="0.25">
      <c r="A1139" s="255" t="s">
        <v>249</v>
      </c>
      <c r="B1139" s="255" t="s">
        <v>206</v>
      </c>
      <c r="C1139" s="256">
        <v>2015</v>
      </c>
      <c r="D1139" s="256">
        <v>175</v>
      </c>
      <c r="E1139">
        <v>2.5592222737607502</v>
      </c>
      <c r="F1139" s="257"/>
      <c r="G1139">
        <f t="shared" si="14"/>
        <v>175</v>
      </c>
      <c r="H1139" s="4">
        <f>IF(B1139="RTG Crane",IF(D1139&lt;600,800000,1200000),VLOOKUP(B1139,'$$$ Replace &amp; Retrofit'!$B$10:$C$14,2)*'CHE Model poplulation'!D1139)*E1139</f>
        <v>447863.8979081313</v>
      </c>
      <c r="I1139" s="4">
        <f>E1139*VLOOKUP('CHE Model poplulation'!G1139,'$$$ Replace &amp; Retrofit'!$I$10:$J$15,2)</f>
        <v>63458.47550017156</v>
      </c>
      <c r="J1139" s="4">
        <f>IF(D1139=50,VLOOKUP(0,'$$$ Replace &amp; Retrofit'!$E$10:$F$13,2),IF(D1139&lt;175,VLOOKUP(50,'$$$ Replace &amp; Retrofit'!$E$10:$F$13,2),IF(D1139&lt;400,VLOOKUP(175,'$$$ Replace &amp; Retrofit'!$E$10:$F$13,2),IF(D1139&gt;=400,VLOOKUP(400,'$$$ Replace &amp; Retrofit'!$E$10:$F$13,2),NA))))*E1139</f>
        <v>46066.000927693502</v>
      </c>
    </row>
    <row r="1140" spans="1:10" x14ac:dyDescent="0.25">
      <c r="A1140" s="255" t="s">
        <v>249</v>
      </c>
      <c r="B1140" s="255" t="s">
        <v>206</v>
      </c>
      <c r="C1140" s="256">
        <v>2015</v>
      </c>
      <c r="D1140" s="256">
        <v>300</v>
      </c>
      <c r="E1140">
        <v>2.1836495945084802</v>
      </c>
      <c r="F1140" s="257"/>
      <c r="G1140">
        <f t="shared" si="14"/>
        <v>300</v>
      </c>
      <c r="H1140" s="4">
        <f>IF(B1140="RTG Crane",IF(D1140&lt;600,800000,1200000),VLOOKUP(B1140,'$$$ Replace &amp; Retrofit'!$B$10:$C$14,2)*'CHE Model poplulation'!D1140)*E1140</f>
        <v>655094.87835254404</v>
      </c>
      <c r="I1140" s="4">
        <f>E1140*VLOOKUP('CHE Model poplulation'!G1140,'$$$ Replace &amp; Retrofit'!$I$10:$J$15,2)</f>
        <v>62808.313286847413</v>
      </c>
      <c r="J1140" s="4">
        <f>IF(D1140=50,VLOOKUP(0,'$$$ Replace &amp; Retrofit'!$E$10:$F$13,2),IF(D1140&lt;175,VLOOKUP(50,'$$$ Replace &amp; Retrofit'!$E$10:$F$13,2),IF(D1140&lt;400,VLOOKUP(175,'$$$ Replace &amp; Retrofit'!$E$10:$F$13,2),IF(D1140&gt;=400,VLOOKUP(400,'$$$ Replace &amp; Retrofit'!$E$10:$F$13,2),NA))))*E1140</f>
        <v>39305.692701152642</v>
      </c>
    </row>
    <row r="1141" spans="1:10" x14ac:dyDescent="0.25">
      <c r="A1141" s="255" t="s">
        <v>249</v>
      </c>
      <c r="B1141" s="255" t="s">
        <v>206</v>
      </c>
      <c r="C1141" s="256">
        <v>2015</v>
      </c>
      <c r="D1141" s="256">
        <v>600</v>
      </c>
      <c r="E1141">
        <v>6.1842222330761096</v>
      </c>
      <c r="F1141" s="257"/>
      <c r="G1141">
        <f t="shared" si="14"/>
        <v>400</v>
      </c>
      <c r="H1141" s="4">
        <f>IF(B1141="RTG Crane",IF(D1141&lt;600,800000,1200000),VLOOKUP(B1141,'$$$ Replace &amp; Retrofit'!$B$10:$C$14,2)*'CHE Model poplulation'!D1141)*E1141</f>
        <v>3710533.3398456657</v>
      </c>
      <c r="I1141" s="4">
        <f>E1141*VLOOKUP('CHE Model poplulation'!G1141,'$$$ Replace &amp; Retrofit'!$I$10:$J$15,2)</f>
        <v>323638.90212357207</v>
      </c>
      <c r="J1141" s="4">
        <f>IF(D1141=50,VLOOKUP(0,'$$$ Replace &amp; Retrofit'!$E$10:$F$13,2),IF(D1141&lt;175,VLOOKUP(50,'$$$ Replace &amp; Retrofit'!$E$10:$F$13,2),IF(D1141&lt;400,VLOOKUP(175,'$$$ Replace &amp; Retrofit'!$E$10:$F$13,2),IF(D1141&gt;=400,VLOOKUP(400,'$$$ Replace &amp; Retrofit'!$E$10:$F$13,2),NA))))*E1141</f>
        <v>185526.66699228328</v>
      </c>
    </row>
    <row r="1142" spans="1:10" x14ac:dyDescent="0.25">
      <c r="A1142" s="255" t="s">
        <v>249</v>
      </c>
      <c r="B1142" s="255" t="s">
        <v>206</v>
      </c>
      <c r="C1142" s="256">
        <v>2016</v>
      </c>
      <c r="D1142" s="256">
        <v>50</v>
      </c>
      <c r="E1142">
        <v>0.49299855465831099</v>
      </c>
      <c r="F1142" s="257"/>
      <c r="G1142">
        <f t="shared" si="14"/>
        <v>50</v>
      </c>
      <c r="H1142" s="4">
        <f>IF(B1142="RTG Crane",IF(D1142&lt;600,800000,1200000),VLOOKUP(B1142,'$$$ Replace &amp; Retrofit'!$B$10:$C$14,2)*'CHE Model poplulation'!D1142)*E1142</f>
        <v>24649.927732915548</v>
      </c>
      <c r="I1142" s="4">
        <f>E1142*VLOOKUP('CHE Model poplulation'!G1142,'$$$ Replace &amp; Retrofit'!$I$10:$J$15,2)</f>
        <v>8670.8585793303737</v>
      </c>
      <c r="J1142" s="4">
        <f>IF(D1142=50,VLOOKUP(0,'$$$ Replace &amp; Retrofit'!$E$10:$F$13,2),IF(D1142&lt;175,VLOOKUP(50,'$$$ Replace &amp; Retrofit'!$E$10:$F$13,2),IF(D1142&lt;400,VLOOKUP(175,'$$$ Replace &amp; Retrofit'!$E$10:$F$13,2),IF(D1142&gt;=400,VLOOKUP(400,'$$$ Replace &amp; Retrofit'!$E$10:$F$13,2),NA))))*E1142</f>
        <v>3943.9884372664878</v>
      </c>
    </row>
    <row r="1143" spans="1:10" x14ac:dyDescent="0.25">
      <c r="A1143" s="255" t="s">
        <v>249</v>
      </c>
      <c r="B1143" s="255" t="s">
        <v>206</v>
      </c>
      <c r="C1143" s="256">
        <v>2016</v>
      </c>
      <c r="D1143" s="256">
        <v>75</v>
      </c>
      <c r="E1143">
        <v>1.068177979313</v>
      </c>
      <c r="F1143" s="257"/>
      <c r="G1143">
        <f t="shared" si="14"/>
        <v>50</v>
      </c>
      <c r="H1143" s="4">
        <f>IF(B1143="RTG Crane",IF(D1143&lt;600,800000,1200000),VLOOKUP(B1143,'$$$ Replace &amp; Retrofit'!$B$10:$C$14,2)*'CHE Model poplulation'!D1143)*E1143</f>
        <v>80113.348448474993</v>
      </c>
      <c r="I1143" s="4">
        <f>E1143*VLOOKUP('CHE Model poplulation'!G1143,'$$$ Replace &amp; Retrofit'!$I$10:$J$15,2)</f>
        <v>18787.114300157042</v>
      </c>
      <c r="J1143" s="4">
        <f>IF(D1143=50,VLOOKUP(0,'$$$ Replace &amp; Retrofit'!$E$10:$F$13,2),IF(D1143&lt;175,VLOOKUP(50,'$$$ Replace &amp; Retrofit'!$E$10:$F$13,2),IF(D1143&lt;400,VLOOKUP(175,'$$$ Replace &amp; Retrofit'!$E$10:$F$13,2),IF(D1143&gt;=400,VLOOKUP(400,'$$$ Replace &amp; Retrofit'!$E$10:$F$13,2),NA))))*E1143</f>
        <v>12818.135751755999</v>
      </c>
    </row>
    <row r="1144" spans="1:10" x14ac:dyDescent="0.25">
      <c r="A1144" s="255" t="s">
        <v>249</v>
      </c>
      <c r="B1144" s="255" t="s">
        <v>206</v>
      </c>
      <c r="C1144" s="256">
        <v>2016</v>
      </c>
      <c r="D1144" s="256">
        <v>100</v>
      </c>
      <c r="E1144">
        <v>1.068177979313</v>
      </c>
      <c r="F1144" s="257"/>
      <c r="G1144">
        <f t="shared" si="14"/>
        <v>125</v>
      </c>
      <c r="H1144" s="4">
        <f>IF(B1144="RTG Crane",IF(D1144&lt;600,800000,1200000),VLOOKUP(B1144,'$$$ Replace &amp; Retrofit'!$B$10:$C$14,2)*'CHE Model poplulation'!D1144)*E1144</f>
        <v>106817.7979313</v>
      </c>
      <c r="I1144" s="4">
        <f>E1144*VLOOKUP('CHE Model poplulation'!G1144,'$$$ Replace &amp; Retrofit'!$I$10:$J$15,2)</f>
        <v>21078.356065783428</v>
      </c>
      <c r="J1144" s="4">
        <f>IF(D1144=50,VLOOKUP(0,'$$$ Replace &amp; Retrofit'!$E$10:$F$13,2),IF(D1144&lt;175,VLOOKUP(50,'$$$ Replace &amp; Retrofit'!$E$10:$F$13,2),IF(D1144&lt;400,VLOOKUP(175,'$$$ Replace &amp; Retrofit'!$E$10:$F$13,2),IF(D1144&gt;=400,VLOOKUP(400,'$$$ Replace &amp; Retrofit'!$E$10:$F$13,2),NA))))*E1144</f>
        <v>12818.135751755999</v>
      </c>
    </row>
    <row r="1145" spans="1:10" x14ac:dyDescent="0.25">
      <c r="A1145" s="255" t="s">
        <v>249</v>
      </c>
      <c r="B1145" s="255" t="s">
        <v>206</v>
      </c>
      <c r="C1145" s="256">
        <v>2016</v>
      </c>
      <c r="D1145" s="256">
        <v>175</v>
      </c>
      <c r="E1145">
        <v>1.56117653397131</v>
      </c>
      <c r="F1145" s="257"/>
      <c r="G1145">
        <f t="shared" si="14"/>
        <v>175</v>
      </c>
      <c r="H1145" s="4">
        <f>IF(B1145="RTG Crane",IF(D1145&lt;600,800000,1200000),VLOOKUP(B1145,'$$$ Replace &amp; Retrofit'!$B$10:$C$14,2)*'CHE Model poplulation'!D1145)*E1145</f>
        <v>273205.89344497921</v>
      </c>
      <c r="I1145" s="4">
        <f>E1145*VLOOKUP('CHE Model poplulation'!G1145,'$$$ Replace &amp; Retrofit'!$I$10:$J$15,2)</f>
        <v>38710.933336352602</v>
      </c>
      <c r="J1145" s="4">
        <f>IF(D1145=50,VLOOKUP(0,'$$$ Replace &amp; Retrofit'!$E$10:$F$13,2),IF(D1145&lt;175,VLOOKUP(50,'$$$ Replace &amp; Retrofit'!$E$10:$F$13,2),IF(D1145&lt;400,VLOOKUP(175,'$$$ Replace &amp; Retrofit'!$E$10:$F$13,2),IF(D1145&gt;=400,VLOOKUP(400,'$$$ Replace &amp; Retrofit'!$E$10:$F$13,2),NA))))*E1145</f>
        <v>28101.177611483577</v>
      </c>
    </row>
    <row r="1146" spans="1:10" x14ac:dyDescent="0.25">
      <c r="A1146" s="255" t="s">
        <v>249</v>
      </c>
      <c r="B1146" s="255" t="s">
        <v>206</v>
      </c>
      <c r="C1146" s="256">
        <v>2016</v>
      </c>
      <c r="D1146" s="256">
        <v>300</v>
      </c>
      <c r="E1146">
        <v>1.1503155166493999</v>
      </c>
      <c r="F1146" s="257"/>
      <c r="G1146">
        <f t="shared" si="14"/>
        <v>300</v>
      </c>
      <c r="H1146" s="4">
        <f>IF(B1146="RTG Crane",IF(D1146&lt;600,800000,1200000),VLOOKUP(B1146,'$$$ Replace &amp; Retrofit'!$B$10:$C$14,2)*'CHE Model poplulation'!D1146)*E1146</f>
        <v>345094.65499481995</v>
      </c>
      <c r="I1146" s="4">
        <f>E1146*VLOOKUP('CHE Model poplulation'!G1146,'$$$ Replace &amp; Retrofit'!$I$10:$J$15,2)</f>
        <v>33086.525205386686</v>
      </c>
      <c r="J1146" s="4">
        <f>IF(D1146=50,VLOOKUP(0,'$$$ Replace &amp; Retrofit'!$E$10:$F$13,2),IF(D1146&lt;175,VLOOKUP(50,'$$$ Replace &amp; Retrofit'!$E$10:$F$13,2),IF(D1146&lt;400,VLOOKUP(175,'$$$ Replace &amp; Retrofit'!$E$10:$F$13,2),IF(D1146&gt;=400,VLOOKUP(400,'$$$ Replace &amp; Retrofit'!$E$10:$F$13,2),NA))))*E1146</f>
        <v>20705.6792996892</v>
      </c>
    </row>
    <row r="1147" spans="1:10" x14ac:dyDescent="0.25">
      <c r="A1147" s="255" t="s">
        <v>249</v>
      </c>
      <c r="B1147" s="255" t="s">
        <v>206</v>
      </c>
      <c r="C1147" s="256">
        <v>2016</v>
      </c>
      <c r="D1147" s="256">
        <v>600</v>
      </c>
      <c r="E1147">
        <v>3.64520799999781</v>
      </c>
      <c r="F1147" s="257"/>
      <c r="G1147">
        <f t="shared" si="14"/>
        <v>400</v>
      </c>
      <c r="H1147" s="4">
        <f>IF(B1147="RTG Crane",IF(D1147&lt;600,800000,1200000),VLOOKUP(B1147,'$$$ Replace &amp; Retrofit'!$B$10:$C$14,2)*'CHE Model poplulation'!D1147)*E1147</f>
        <v>2187124.7999986862</v>
      </c>
      <c r="I1147" s="4">
        <f>E1147*VLOOKUP('CHE Model poplulation'!G1147,'$$$ Replace &amp; Retrofit'!$I$10:$J$15,2)</f>
        <v>190764.6702638854</v>
      </c>
      <c r="J1147" s="4">
        <f>IF(D1147=50,VLOOKUP(0,'$$$ Replace &amp; Retrofit'!$E$10:$F$13,2),IF(D1147&lt;175,VLOOKUP(50,'$$$ Replace &amp; Retrofit'!$E$10:$F$13,2),IF(D1147&lt;400,VLOOKUP(175,'$$$ Replace &amp; Retrofit'!$E$10:$F$13,2),IF(D1147&gt;=400,VLOOKUP(400,'$$$ Replace &amp; Retrofit'!$E$10:$F$13,2),NA))))*E1147</f>
        <v>109356.2399999343</v>
      </c>
    </row>
    <row r="1148" spans="1:10" x14ac:dyDescent="0.25">
      <c r="A1148" s="255" t="s">
        <v>249</v>
      </c>
      <c r="B1148" s="255" t="s">
        <v>206</v>
      </c>
      <c r="C1148" s="256">
        <v>2017</v>
      </c>
      <c r="D1148" s="256">
        <v>50</v>
      </c>
      <c r="E1148">
        <v>0.12698710242168501</v>
      </c>
      <c r="F1148" s="257"/>
      <c r="G1148">
        <f t="shared" si="14"/>
        <v>50</v>
      </c>
      <c r="H1148" s="4">
        <f>IF(B1148="RTG Crane",IF(D1148&lt;600,800000,1200000),VLOOKUP(B1148,'$$$ Replace &amp; Retrofit'!$B$10:$C$14,2)*'CHE Model poplulation'!D1148)*E1148</f>
        <v>6349.3551210842506</v>
      </c>
      <c r="I1148" s="4">
        <f>E1148*VLOOKUP('CHE Model poplulation'!G1148,'$$$ Replace &amp; Retrofit'!$I$10:$J$15,2)</f>
        <v>2233.4491573925961</v>
      </c>
      <c r="J1148" s="4">
        <f>IF(D1148=50,VLOOKUP(0,'$$$ Replace &amp; Retrofit'!$E$10:$F$13,2),IF(D1148&lt;175,VLOOKUP(50,'$$$ Replace &amp; Retrofit'!$E$10:$F$13,2),IF(D1148&lt;400,VLOOKUP(175,'$$$ Replace &amp; Retrofit'!$E$10:$F$13,2),IF(D1148&gt;=400,VLOOKUP(400,'$$$ Replace &amp; Retrofit'!$E$10:$F$13,2),NA))))*E1148</f>
        <v>1015.8968193734801</v>
      </c>
    </row>
    <row r="1149" spans="1:10" x14ac:dyDescent="0.25">
      <c r="A1149" s="255" t="s">
        <v>249</v>
      </c>
      <c r="B1149" s="255" t="s">
        <v>206</v>
      </c>
      <c r="C1149" s="256">
        <v>2017</v>
      </c>
      <c r="D1149" s="256">
        <v>75</v>
      </c>
      <c r="E1149">
        <v>0.444454858475899</v>
      </c>
      <c r="F1149" s="257"/>
      <c r="G1149">
        <f t="shared" si="14"/>
        <v>50</v>
      </c>
      <c r="H1149" s="4">
        <f>IF(B1149="RTG Crane",IF(D1149&lt;600,800000,1200000),VLOOKUP(B1149,'$$$ Replace &amp; Retrofit'!$B$10:$C$14,2)*'CHE Model poplulation'!D1149)*E1149</f>
        <v>33334.114385692425</v>
      </c>
      <c r="I1149" s="4">
        <f>E1149*VLOOKUP('CHE Model poplulation'!G1149,'$$$ Replace &amp; Retrofit'!$I$10:$J$15,2)</f>
        <v>7817.0720508741115</v>
      </c>
      <c r="J1149" s="4">
        <f>IF(D1149=50,VLOOKUP(0,'$$$ Replace &amp; Retrofit'!$E$10:$F$13,2),IF(D1149&lt;175,VLOOKUP(50,'$$$ Replace &amp; Retrofit'!$E$10:$F$13,2),IF(D1149&lt;400,VLOOKUP(175,'$$$ Replace &amp; Retrofit'!$E$10:$F$13,2),IF(D1149&gt;=400,VLOOKUP(400,'$$$ Replace &amp; Retrofit'!$E$10:$F$13,2),NA))))*E1149</f>
        <v>5333.458301710788</v>
      </c>
    </row>
    <row r="1150" spans="1:10" x14ac:dyDescent="0.25">
      <c r="A1150" s="255" t="s">
        <v>249</v>
      </c>
      <c r="B1150" s="255" t="s">
        <v>206</v>
      </c>
      <c r="C1150" s="256">
        <v>2017</v>
      </c>
      <c r="D1150" s="256">
        <v>100</v>
      </c>
      <c r="E1150">
        <v>0.444454858475899</v>
      </c>
      <c r="F1150" s="257"/>
      <c r="G1150">
        <f t="shared" si="14"/>
        <v>125</v>
      </c>
      <c r="H1150" s="4">
        <f>IF(B1150="RTG Crane",IF(D1150&lt;600,800000,1200000),VLOOKUP(B1150,'$$$ Replace &amp; Retrofit'!$B$10:$C$14,2)*'CHE Model poplulation'!D1150)*E1150</f>
        <v>44445.485847589902</v>
      </c>
      <c r="I1150" s="4">
        <f>E1150*VLOOKUP('CHE Model poplulation'!G1150,'$$$ Replace &amp; Retrofit'!$I$10:$J$15,2)</f>
        <v>8770.4277223049157</v>
      </c>
      <c r="J1150" s="4">
        <f>IF(D1150=50,VLOOKUP(0,'$$$ Replace &amp; Retrofit'!$E$10:$F$13,2),IF(D1150&lt;175,VLOOKUP(50,'$$$ Replace &amp; Retrofit'!$E$10:$F$13,2),IF(D1150&lt;400,VLOOKUP(175,'$$$ Replace &amp; Retrofit'!$E$10:$F$13,2),IF(D1150&gt;=400,VLOOKUP(400,'$$$ Replace &amp; Retrofit'!$E$10:$F$13,2),NA))))*E1150</f>
        <v>5333.458301710788</v>
      </c>
    </row>
    <row r="1151" spans="1:10" x14ac:dyDescent="0.25">
      <c r="A1151" s="255" t="s">
        <v>249</v>
      </c>
      <c r="B1151" s="255" t="s">
        <v>206</v>
      </c>
      <c r="C1151" s="256">
        <v>2017</v>
      </c>
      <c r="D1151" s="256">
        <v>175</v>
      </c>
      <c r="E1151">
        <v>0.57144196089758403</v>
      </c>
      <c r="F1151" s="257"/>
      <c r="G1151">
        <f t="shared" si="14"/>
        <v>175</v>
      </c>
      <c r="H1151" s="4">
        <f>IF(B1151="RTG Crane",IF(D1151&lt;600,800000,1200000),VLOOKUP(B1151,'$$$ Replace &amp; Retrofit'!$B$10:$C$14,2)*'CHE Model poplulation'!D1151)*E1151</f>
        <v>100002.34315707721</v>
      </c>
      <c r="I1151" s="4">
        <f>E1151*VLOOKUP('CHE Model poplulation'!G1151,'$$$ Replace &amp; Retrofit'!$I$10:$J$15,2)</f>
        <v>14169.474862416493</v>
      </c>
      <c r="J1151" s="4">
        <f>IF(D1151=50,VLOOKUP(0,'$$$ Replace &amp; Retrofit'!$E$10:$F$13,2),IF(D1151&lt;175,VLOOKUP(50,'$$$ Replace &amp; Retrofit'!$E$10:$F$13,2),IF(D1151&lt;400,VLOOKUP(175,'$$$ Replace &amp; Retrofit'!$E$10:$F$13,2),IF(D1151&gt;=400,VLOOKUP(400,'$$$ Replace &amp; Retrofit'!$E$10:$F$13,2),NA))))*E1151</f>
        <v>10285.955296156513</v>
      </c>
    </row>
    <row r="1152" spans="1:10" x14ac:dyDescent="0.25">
      <c r="A1152" s="255" t="s">
        <v>249</v>
      </c>
      <c r="B1152" s="255" t="s">
        <v>206</v>
      </c>
      <c r="C1152" s="256">
        <v>2017</v>
      </c>
      <c r="D1152" s="256">
        <v>300</v>
      </c>
      <c r="E1152">
        <v>0.12698710242168501</v>
      </c>
      <c r="F1152" s="257"/>
      <c r="G1152">
        <f t="shared" ref="G1152:G1215" si="15">IF(OR(D1152=50,D1152=75),50,IF(OR(D1152=100,D1152=125),125,IF(D1152&gt;=400,400,D1152)))</f>
        <v>300</v>
      </c>
      <c r="H1152" s="4">
        <f>IF(B1152="RTG Crane",IF(D1152&lt;600,800000,1200000),VLOOKUP(B1152,'$$$ Replace &amp; Retrofit'!$B$10:$C$14,2)*'CHE Model poplulation'!D1152)*E1152</f>
        <v>38096.1307265055</v>
      </c>
      <c r="I1152" s="4">
        <f>E1152*VLOOKUP('CHE Model poplulation'!G1152,'$$$ Replace &amp; Retrofit'!$I$10:$J$15,2)</f>
        <v>3652.5300269549261</v>
      </c>
      <c r="J1152" s="4">
        <f>IF(D1152=50,VLOOKUP(0,'$$$ Replace &amp; Retrofit'!$E$10:$F$13,2),IF(D1152&lt;175,VLOOKUP(50,'$$$ Replace &amp; Retrofit'!$E$10:$F$13,2),IF(D1152&lt;400,VLOOKUP(175,'$$$ Replace &amp; Retrofit'!$E$10:$F$13,2),IF(D1152&gt;=400,VLOOKUP(400,'$$$ Replace &amp; Retrofit'!$E$10:$F$13,2),NA))))*E1152</f>
        <v>2285.7678435903304</v>
      </c>
    </row>
    <row r="1153" spans="1:10" x14ac:dyDescent="0.25">
      <c r="A1153" s="255" t="s">
        <v>249</v>
      </c>
      <c r="B1153" s="255" t="s">
        <v>206</v>
      </c>
      <c r="C1153" s="256">
        <v>2017</v>
      </c>
      <c r="D1153" s="256">
        <v>600</v>
      </c>
      <c r="E1153">
        <v>1.0158968193734801</v>
      </c>
      <c r="F1153" s="257"/>
      <c r="G1153">
        <f t="shared" si="15"/>
        <v>400</v>
      </c>
      <c r="H1153" s="4">
        <f>IF(B1153="RTG Crane",IF(D1153&lt;600,800000,1200000),VLOOKUP(B1153,'$$$ Replace &amp; Retrofit'!$B$10:$C$14,2)*'CHE Model poplulation'!D1153)*E1153</f>
        <v>609538.091624088</v>
      </c>
      <c r="I1153" s="4">
        <f>E1153*VLOOKUP('CHE Model poplulation'!G1153,'$$$ Replace &amp; Retrofit'!$I$10:$J$15,2)</f>
        <v>53164.928248272336</v>
      </c>
      <c r="J1153" s="4">
        <f>IF(D1153=50,VLOOKUP(0,'$$$ Replace &amp; Retrofit'!$E$10:$F$13,2),IF(D1153&lt;175,VLOOKUP(50,'$$$ Replace &amp; Retrofit'!$E$10:$F$13,2),IF(D1153&lt;400,VLOOKUP(175,'$$$ Replace &amp; Retrofit'!$E$10:$F$13,2),IF(D1153&gt;=400,VLOOKUP(400,'$$$ Replace &amp; Retrofit'!$E$10:$F$13,2),NA))))*E1153</f>
        <v>30476.904581204402</v>
      </c>
    </row>
    <row r="1154" spans="1:10" x14ac:dyDescent="0.25">
      <c r="A1154" s="255" t="s">
        <v>249</v>
      </c>
      <c r="B1154" s="255" t="s">
        <v>206</v>
      </c>
      <c r="C1154" s="256">
        <v>2018</v>
      </c>
      <c r="D1154" s="256">
        <v>50</v>
      </c>
      <c r="E1154">
        <v>0</v>
      </c>
      <c r="F1154" s="257"/>
      <c r="I1154" s="4"/>
    </row>
    <row r="1155" spans="1:10" x14ac:dyDescent="0.25">
      <c r="A1155" s="255" t="s">
        <v>249</v>
      </c>
      <c r="B1155" s="255" t="s">
        <v>206</v>
      </c>
      <c r="C1155" s="256">
        <v>2018</v>
      </c>
      <c r="D1155" s="256">
        <v>75</v>
      </c>
      <c r="E1155">
        <v>0</v>
      </c>
      <c r="F1155" s="257"/>
      <c r="I1155" s="4"/>
    </row>
    <row r="1156" spans="1:10" x14ac:dyDescent="0.25">
      <c r="A1156" s="255" t="s">
        <v>249</v>
      </c>
      <c r="B1156" s="255" t="s">
        <v>206</v>
      </c>
      <c r="C1156" s="256">
        <v>2018</v>
      </c>
      <c r="D1156" s="256">
        <v>100</v>
      </c>
      <c r="E1156">
        <v>0</v>
      </c>
      <c r="F1156" s="257"/>
      <c r="I1156" s="4"/>
    </row>
    <row r="1157" spans="1:10" x14ac:dyDescent="0.25">
      <c r="A1157" s="255" t="s">
        <v>249</v>
      </c>
      <c r="B1157" s="255" t="s">
        <v>206</v>
      </c>
      <c r="C1157" s="256">
        <v>2018</v>
      </c>
      <c r="D1157" s="256">
        <v>175</v>
      </c>
      <c r="E1157">
        <v>0</v>
      </c>
      <c r="F1157" s="257"/>
      <c r="I1157" s="4"/>
    </row>
    <row r="1158" spans="1:10" x14ac:dyDescent="0.25">
      <c r="A1158" s="255" t="s">
        <v>249</v>
      </c>
      <c r="B1158" s="255" t="s">
        <v>206</v>
      </c>
      <c r="C1158" s="256">
        <v>2018</v>
      </c>
      <c r="D1158" s="256">
        <v>300</v>
      </c>
      <c r="E1158">
        <v>0</v>
      </c>
      <c r="F1158" s="257"/>
      <c r="I1158" s="4"/>
    </row>
    <row r="1159" spans="1:10" x14ac:dyDescent="0.25">
      <c r="A1159" s="255" t="s">
        <v>249</v>
      </c>
      <c r="B1159" s="255" t="s">
        <v>206</v>
      </c>
      <c r="C1159" s="256">
        <v>2018</v>
      </c>
      <c r="D1159" s="256">
        <v>600</v>
      </c>
      <c r="E1159">
        <v>0</v>
      </c>
      <c r="F1159" s="257"/>
      <c r="I1159" s="4"/>
    </row>
    <row r="1160" spans="1:10" x14ac:dyDescent="0.25">
      <c r="A1160" s="255" t="s">
        <v>249</v>
      </c>
      <c r="B1160" s="255" t="s">
        <v>206</v>
      </c>
      <c r="C1160" s="256">
        <v>2019</v>
      </c>
      <c r="D1160" s="256">
        <v>50</v>
      </c>
      <c r="E1160">
        <v>0</v>
      </c>
      <c r="F1160" s="257"/>
      <c r="I1160" s="4"/>
    </row>
    <row r="1161" spans="1:10" x14ac:dyDescent="0.25">
      <c r="A1161" s="255" t="s">
        <v>249</v>
      </c>
      <c r="B1161" s="255" t="s">
        <v>206</v>
      </c>
      <c r="C1161" s="256">
        <v>2019</v>
      </c>
      <c r="D1161" s="256">
        <v>75</v>
      </c>
      <c r="E1161">
        <v>0</v>
      </c>
      <c r="F1161" s="257"/>
      <c r="I1161" s="4"/>
    </row>
    <row r="1162" spans="1:10" x14ac:dyDescent="0.25">
      <c r="A1162" s="255" t="s">
        <v>249</v>
      </c>
      <c r="B1162" s="255" t="s">
        <v>206</v>
      </c>
      <c r="C1162" s="256">
        <v>2019</v>
      </c>
      <c r="D1162" s="256">
        <v>100</v>
      </c>
      <c r="E1162">
        <v>0</v>
      </c>
      <c r="F1162" s="257"/>
      <c r="I1162" s="4"/>
    </row>
    <row r="1163" spans="1:10" x14ac:dyDescent="0.25">
      <c r="A1163" s="255" t="s">
        <v>249</v>
      </c>
      <c r="B1163" s="255" t="s">
        <v>206</v>
      </c>
      <c r="C1163" s="256">
        <v>2019</v>
      </c>
      <c r="D1163" s="256">
        <v>175</v>
      </c>
      <c r="E1163">
        <v>0</v>
      </c>
      <c r="F1163" s="257"/>
      <c r="I1163" s="4"/>
    </row>
    <row r="1164" spans="1:10" x14ac:dyDescent="0.25">
      <c r="A1164" s="255" t="s">
        <v>249</v>
      </c>
      <c r="B1164" s="255" t="s">
        <v>206</v>
      </c>
      <c r="C1164" s="256">
        <v>2019</v>
      </c>
      <c r="D1164" s="256">
        <v>300</v>
      </c>
      <c r="E1164">
        <v>0</v>
      </c>
      <c r="F1164" s="257"/>
      <c r="I1164" s="4"/>
    </row>
    <row r="1165" spans="1:10" x14ac:dyDescent="0.25">
      <c r="A1165" s="255" t="s">
        <v>249</v>
      </c>
      <c r="B1165" s="255" t="s">
        <v>206</v>
      </c>
      <c r="C1165" s="256">
        <v>2019</v>
      </c>
      <c r="D1165" s="256">
        <v>600</v>
      </c>
      <c r="E1165">
        <v>0</v>
      </c>
      <c r="F1165" s="257"/>
      <c r="I1165" s="4"/>
    </row>
    <row r="1166" spans="1:10" x14ac:dyDescent="0.25">
      <c r="A1166" s="255" t="s">
        <v>249</v>
      </c>
      <c r="B1166" s="255" t="s">
        <v>206</v>
      </c>
      <c r="C1166" s="256">
        <v>2020</v>
      </c>
      <c r="D1166" s="256">
        <v>50</v>
      </c>
      <c r="E1166">
        <v>0</v>
      </c>
      <c r="F1166" s="257"/>
      <c r="I1166" s="4"/>
    </row>
    <row r="1167" spans="1:10" x14ac:dyDescent="0.25">
      <c r="A1167" s="255" t="s">
        <v>249</v>
      </c>
      <c r="B1167" s="255" t="s">
        <v>206</v>
      </c>
      <c r="C1167" s="256">
        <v>2020</v>
      </c>
      <c r="D1167" s="256">
        <v>75</v>
      </c>
      <c r="E1167">
        <v>0</v>
      </c>
      <c r="F1167" s="257"/>
      <c r="I1167" s="4"/>
    </row>
    <row r="1168" spans="1:10" x14ac:dyDescent="0.25">
      <c r="A1168" s="255" t="s">
        <v>249</v>
      </c>
      <c r="B1168" s="255" t="s">
        <v>206</v>
      </c>
      <c r="C1168" s="256">
        <v>2020</v>
      </c>
      <c r="D1168" s="256">
        <v>100</v>
      </c>
      <c r="E1168">
        <v>0</v>
      </c>
      <c r="F1168" s="257"/>
      <c r="I1168" s="4"/>
    </row>
    <row r="1169" spans="1:9" x14ac:dyDescent="0.25">
      <c r="A1169" s="255" t="s">
        <v>249</v>
      </c>
      <c r="B1169" s="255" t="s">
        <v>206</v>
      </c>
      <c r="C1169" s="256">
        <v>2020</v>
      </c>
      <c r="D1169" s="256">
        <v>175</v>
      </c>
      <c r="E1169">
        <v>0</v>
      </c>
      <c r="F1169" s="257"/>
      <c r="I1169" s="4"/>
    </row>
    <row r="1170" spans="1:9" x14ac:dyDescent="0.25">
      <c r="A1170" s="255" t="s">
        <v>249</v>
      </c>
      <c r="B1170" s="255" t="s">
        <v>206</v>
      </c>
      <c r="C1170" s="256">
        <v>2020</v>
      </c>
      <c r="D1170" s="256">
        <v>300</v>
      </c>
      <c r="E1170">
        <v>0</v>
      </c>
      <c r="F1170" s="257"/>
      <c r="I1170" s="4"/>
    </row>
    <row r="1171" spans="1:9" x14ac:dyDescent="0.25">
      <c r="A1171" s="255" t="s">
        <v>249</v>
      </c>
      <c r="B1171" s="255" t="s">
        <v>206</v>
      </c>
      <c r="C1171" s="256">
        <v>2020</v>
      </c>
      <c r="D1171" s="256">
        <v>600</v>
      </c>
      <c r="E1171">
        <v>0</v>
      </c>
      <c r="F1171" s="257"/>
      <c r="I1171" s="4"/>
    </row>
    <row r="1172" spans="1:9" x14ac:dyDescent="0.25">
      <c r="A1172" s="255" t="s">
        <v>249</v>
      </c>
      <c r="B1172" s="255" t="s">
        <v>206</v>
      </c>
      <c r="C1172" s="256">
        <v>2021</v>
      </c>
      <c r="D1172" s="256">
        <v>50</v>
      </c>
      <c r="E1172">
        <v>0</v>
      </c>
      <c r="F1172" s="257"/>
      <c r="I1172" s="4"/>
    </row>
    <row r="1173" spans="1:9" x14ac:dyDescent="0.25">
      <c r="A1173" s="255" t="s">
        <v>249</v>
      </c>
      <c r="B1173" s="255" t="s">
        <v>206</v>
      </c>
      <c r="C1173" s="256">
        <v>2021</v>
      </c>
      <c r="D1173" s="256">
        <v>75</v>
      </c>
      <c r="E1173">
        <v>0</v>
      </c>
      <c r="F1173" s="257"/>
      <c r="I1173" s="4"/>
    </row>
    <row r="1174" spans="1:9" x14ac:dyDescent="0.25">
      <c r="A1174" s="255" t="s">
        <v>249</v>
      </c>
      <c r="B1174" s="255" t="s">
        <v>206</v>
      </c>
      <c r="C1174" s="256">
        <v>2021</v>
      </c>
      <c r="D1174" s="256">
        <v>100</v>
      </c>
      <c r="E1174">
        <v>0</v>
      </c>
      <c r="F1174" s="257"/>
      <c r="I1174" s="4"/>
    </row>
    <row r="1175" spans="1:9" x14ac:dyDescent="0.25">
      <c r="A1175" s="255" t="s">
        <v>249</v>
      </c>
      <c r="B1175" s="255" t="s">
        <v>206</v>
      </c>
      <c r="C1175" s="256">
        <v>2021</v>
      </c>
      <c r="D1175" s="256">
        <v>175</v>
      </c>
      <c r="E1175">
        <v>0</v>
      </c>
      <c r="F1175" s="257"/>
      <c r="I1175" s="4"/>
    </row>
    <row r="1176" spans="1:9" x14ac:dyDescent="0.25">
      <c r="A1176" s="255" t="s">
        <v>249</v>
      </c>
      <c r="B1176" s="255" t="s">
        <v>206</v>
      </c>
      <c r="C1176" s="256">
        <v>2021</v>
      </c>
      <c r="D1176" s="256">
        <v>300</v>
      </c>
      <c r="E1176">
        <v>0</v>
      </c>
      <c r="F1176" s="257"/>
      <c r="I1176" s="4"/>
    </row>
    <row r="1177" spans="1:9" x14ac:dyDescent="0.25">
      <c r="A1177" s="255" t="s">
        <v>249</v>
      </c>
      <c r="B1177" s="255" t="s">
        <v>206</v>
      </c>
      <c r="C1177" s="256">
        <v>2021</v>
      </c>
      <c r="D1177" s="256">
        <v>600</v>
      </c>
      <c r="E1177">
        <v>0</v>
      </c>
      <c r="F1177" s="257"/>
      <c r="I1177" s="4"/>
    </row>
    <row r="1178" spans="1:9" x14ac:dyDescent="0.25">
      <c r="A1178" s="255" t="s">
        <v>249</v>
      </c>
      <c r="B1178" s="255" t="s">
        <v>206</v>
      </c>
      <c r="C1178" s="256">
        <v>2022</v>
      </c>
      <c r="D1178" s="256">
        <v>50</v>
      </c>
      <c r="E1178">
        <v>0</v>
      </c>
      <c r="F1178" s="257"/>
      <c r="I1178" s="4"/>
    </row>
    <row r="1179" spans="1:9" x14ac:dyDescent="0.25">
      <c r="A1179" s="255" t="s">
        <v>249</v>
      </c>
      <c r="B1179" s="255" t="s">
        <v>206</v>
      </c>
      <c r="C1179" s="256">
        <v>2022</v>
      </c>
      <c r="D1179" s="256">
        <v>75</v>
      </c>
      <c r="E1179">
        <v>0</v>
      </c>
      <c r="F1179" s="257"/>
      <c r="I1179" s="4"/>
    </row>
    <row r="1180" spans="1:9" x14ac:dyDescent="0.25">
      <c r="A1180" s="255" t="s">
        <v>249</v>
      </c>
      <c r="B1180" s="255" t="s">
        <v>206</v>
      </c>
      <c r="C1180" s="256">
        <v>2022</v>
      </c>
      <c r="D1180" s="256">
        <v>100</v>
      </c>
      <c r="E1180">
        <v>0</v>
      </c>
      <c r="F1180" s="257"/>
      <c r="I1180" s="4"/>
    </row>
    <row r="1181" spans="1:9" x14ac:dyDescent="0.25">
      <c r="A1181" s="255" t="s">
        <v>249</v>
      </c>
      <c r="B1181" s="255" t="s">
        <v>206</v>
      </c>
      <c r="C1181" s="256">
        <v>2022</v>
      </c>
      <c r="D1181" s="256">
        <v>175</v>
      </c>
      <c r="E1181">
        <v>0</v>
      </c>
      <c r="F1181" s="257"/>
      <c r="I1181" s="4"/>
    </row>
    <row r="1182" spans="1:9" x14ac:dyDescent="0.25">
      <c r="A1182" s="255" t="s">
        <v>249</v>
      </c>
      <c r="B1182" s="255" t="s">
        <v>206</v>
      </c>
      <c r="C1182" s="256">
        <v>2022</v>
      </c>
      <c r="D1182" s="256">
        <v>300</v>
      </c>
      <c r="E1182">
        <v>0</v>
      </c>
      <c r="F1182" s="257"/>
      <c r="I1182" s="4"/>
    </row>
    <row r="1183" spans="1:9" x14ac:dyDescent="0.25">
      <c r="A1183" s="255" t="s">
        <v>249</v>
      </c>
      <c r="B1183" s="255" t="s">
        <v>206</v>
      </c>
      <c r="C1183" s="256">
        <v>2022</v>
      </c>
      <c r="D1183" s="256">
        <v>600</v>
      </c>
      <c r="E1183">
        <v>0</v>
      </c>
      <c r="F1183" s="257"/>
      <c r="I1183" s="4"/>
    </row>
    <row r="1184" spans="1:9" x14ac:dyDescent="0.25">
      <c r="A1184" s="255" t="s">
        <v>249</v>
      </c>
      <c r="B1184" s="255" t="s">
        <v>206</v>
      </c>
      <c r="C1184" s="256">
        <v>2023</v>
      </c>
      <c r="D1184" s="256">
        <v>50</v>
      </c>
      <c r="E1184">
        <v>0</v>
      </c>
      <c r="F1184" s="257"/>
      <c r="I1184" s="4"/>
    </row>
    <row r="1185" spans="1:9" x14ac:dyDescent="0.25">
      <c r="A1185" s="255" t="s">
        <v>249</v>
      </c>
      <c r="B1185" s="255" t="s">
        <v>206</v>
      </c>
      <c r="C1185" s="256">
        <v>2023</v>
      </c>
      <c r="D1185" s="256">
        <v>75</v>
      </c>
      <c r="E1185">
        <v>0</v>
      </c>
      <c r="F1185" s="257"/>
      <c r="I1185" s="4"/>
    </row>
    <row r="1186" spans="1:9" x14ac:dyDescent="0.25">
      <c r="A1186" s="255" t="s">
        <v>249</v>
      </c>
      <c r="B1186" s="255" t="s">
        <v>206</v>
      </c>
      <c r="C1186" s="256">
        <v>2023</v>
      </c>
      <c r="D1186" s="256">
        <v>100</v>
      </c>
      <c r="E1186">
        <v>0</v>
      </c>
      <c r="F1186" s="257"/>
      <c r="I1186" s="4"/>
    </row>
    <row r="1187" spans="1:9" x14ac:dyDescent="0.25">
      <c r="A1187" s="255" t="s">
        <v>249</v>
      </c>
      <c r="B1187" s="255" t="s">
        <v>206</v>
      </c>
      <c r="C1187" s="256">
        <v>2023</v>
      </c>
      <c r="D1187" s="256">
        <v>175</v>
      </c>
      <c r="E1187">
        <v>0</v>
      </c>
      <c r="F1187" s="257"/>
      <c r="I1187" s="4"/>
    </row>
    <row r="1188" spans="1:9" x14ac:dyDescent="0.25">
      <c r="A1188" s="255" t="s">
        <v>249</v>
      </c>
      <c r="B1188" s="255" t="s">
        <v>206</v>
      </c>
      <c r="C1188" s="256">
        <v>2023</v>
      </c>
      <c r="D1188" s="256">
        <v>300</v>
      </c>
      <c r="E1188">
        <v>0</v>
      </c>
      <c r="F1188" s="257"/>
      <c r="I1188" s="4"/>
    </row>
    <row r="1189" spans="1:9" x14ac:dyDescent="0.25">
      <c r="A1189" s="255" t="s">
        <v>249</v>
      </c>
      <c r="B1189" s="255" t="s">
        <v>206</v>
      </c>
      <c r="C1189" s="256">
        <v>2023</v>
      </c>
      <c r="D1189" s="256">
        <v>600</v>
      </c>
      <c r="E1189">
        <v>0</v>
      </c>
      <c r="F1189" s="257"/>
      <c r="I1189" s="4"/>
    </row>
    <row r="1190" spans="1:9" x14ac:dyDescent="0.25">
      <c r="A1190" s="255" t="s">
        <v>249</v>
      </c>
      <c r="B1190" s="255" t="s">
        <v>206</v>
      </c>
      <c r="C1190" s="256">
        <v>2024</v>
      </c>
      <c r="D1190" s="256">
        <v>50</v>
      </c>
      <c r="E1190">
        <v>0</v>
      </c>
      <c r="F1190" s="257"/>
      <c r="I1190" s="4"/>
    </row>
    <row r="1191" spans="1:9" x14ac:dyDescent="0.25">
      <c r="A1191" s="255" t="s">
        <v>249</v>
      </c>
      <c r="B1191" s="255" t="s">
        <v>206</v>
      </c>
      <c r="C1191" s="256">
        <v>2024</v>
      </c>
      <c r="D1191" s="256">
        <v>75</v>
      </c>
      <c r="E1191">
        <v>0</v>
      </c>
      <c r="F1191" s="257"/>
      <c r="I1191" s="4"/>
    </row>
    <row r="1192" spans="1:9" x14ac:dyDescent="0.25">
      <c r="A1192" s="255" t="s">
        <v>249</v>
      </c>
      <c r="B1192" s="255" t="s">
        <v>206</v>
      </c>
      <c r="C1192" s="256">
        <v>2024</v>
      </c>
      <c r="D1192" s="256">
        <v>100</v>
      </c>
      <c r="E1192">
        <v>0</v>
      </c>
      <c r="F1192" s="257"/>
      <c r="I1192" s="4"/>
    </row>
    <row r="1193" spans="1:9" x14ac:dyDescent="0.25">
      <c r="A1193" s="255" t="s">
        <v>249</v>
      </c>
      <c r="B1193" s="255" t="s">
        <v>206</v>
      </c>
      <c r="C1193" s="256">
        <v>2024</v>
      </c>
      <c r="D1193" s="256">
        <v>175</v>
      </c>
      <c r="E1193">
        <v>0</v>
      </c>
      <c r="F1193" s="257"/>
      <c r="I1193" s="4"/>
    </row>
    <row r="1194" spans="1:9" x14ac:dyDescent="0.25">
      <c r="A1194" s="255" t="s">
        <v>249</v>
      </c>
      <c r="B1194" s="255" t="s">
        <v>206</v>
      </c>
      <c r="C1194" s="256">
        <v>2024</v>
      </c>
      <c r="D1194" s="256">
        <v>300</v>
      </c>
      <c r="E1194">
        <v>0</v>
      </c>
      <c r="F1194" s="257"/>
      <c r="I1194" s="4"/>
    </row>
    <row r="1195" spans="1:9" x14ac:dyDescent="0.25">
      <c r="A1195" s="255" t="s">
        <v>249</v>
      </c>
      <c r="B1195" s="255" t="s">
        <v>206</v>
      </c>
      <c r="C1195" s="256">
        <v>2024</v>
      </c>
      <c r="D1195" s="256">
        <v>600</v>
      </c>
      <c r="E1195">
        <v>0</v>
      </c>
      <c r="F1195" s="257"/>
      <c r="I1195" s="4"/>
    </row>
    <row r="1196" spans="1:9" x14ac:dyDescent="0.25">
      <c r="A1196" s="255" t="s">
        <v>249</v>
      </c>
      <c r="B1196" s="255" t="s">
        <v>206</v>
      </c>
      <c r="C1196" s="256">
        <v>2025</v>
      </c>
      <c r="D1196" s="256">
        <v>50</v>
      </c>
      <c r="E1196">
        <v>0</v>
      </c>
      <c r="F1196" s="257"/>
      <c r="I1196" s="4"/>
    </row>
    <row r="1197" spans="1:9" x14ac:dyDescent="0.25">
      <c r="A1197" s="255" t="s">
        <v>249</v>
      </c>
      <c r="B1197" s="255" t="s">
        <v>206</v>
      </c>
      <c r="C1197" s="256">
        <v>2025</v>
      </c>
      <c r="D1197" s="256">
        <v>75</v>
      </c>
      <c r="E1197">
        <v>0</v>
      </c>
      <c r="F1197" s="257"/>
      <c r="I1197" s="4"/>
    </row>
    <row r="1198" spans="1:9" x14ac:dyDescent="0.25">
      <c r="A1198" s="255" t="s">
        <v>249</v>
      </c>
      <c r="B1198" s="255" t="s">
        <v>206</v>
      </c>
      <c r="C1198" s="256">
        <v>2025</v>
      </c>
      <c r="D1198" s="256">
        <v>100</v>
      </c>
      <c r="E1198">
        <v>0</v>
      </c>
      <c r="F1198" s="257"/>
      <c r="I1198" s="4"/>
    </row>
    <row r="1199" spans="1:9" x14ac:dyDescent="0.25">
      <c r="A1199" s="255" t="s">
        <v>249</v>
      </c>
      <c r="B1199" s="255" t="s">
        <v>206</v>
      </c>
      <c r="C1199" s="256">
        <v>2025</v>
      </c>
      <c r="D1199" s="256">
        <v>175</v>
      </c>
      <c r="E1199">
        <v>0</v>
      </c>
      <c r="F1199" s="257"/>
      <c r="I1199" s="4"/>
    </row>
    <row r="1200" spans="1:9" x14ac:dyDescent="0.25">
      <c r="A1200" s="255" t="s">
        <v>249</v>
      </c>
      <c r="B1200" s="255" t="s">
        <v>206</v>
      </c>
      <c r="C1200" s="256">
        <v>2025</v>
      </c>
      <c r="D1200" s="256">
        <v>300</v>
      </c>
      <c r="E1200">
        <v>0</v>
      </c>
      <c r="F1200" s="257"/>
      <c r="I1200" s="4"/>
    </row>
    <row r="1201" spans="1:10" x14ac:dyDescent="0.25">
      <c r="A1201" s="255" t="s">
        <v>249</v>
      </c>
      <c r="B1201" s="255" t="s">
        <v>206</v>
      </c>
      <c r="C1201" s="256">
        <v>2025</v>
      </c>
      <c r="D1201" s="256">
        <v>600</v>
      </c>
      <c r="E1201">
        <v>0</v>
      </c>
      <c r="F1201" s="257"/>
      <c r="I1201" s="4"/>
    </row>
    <row r="1202" spans="1:10" x14ac:dyDescent="0.25">
      <c r="A1202" s="255" t="s">
        <v>249</v>
      </c>
      <c r="B1202" s="255" t="s">
        <v>208</v>
      </c>
      <c r="C1202" s="256">
        <v>2006</v>
      </c>
      <c r="D1202" s="256">
        <v>100</v>
      </c>
      <c r="E1202">
        <v>0</v>
      </c>
      <c r="F1202" s="257"/>
      <c r="I1202" s="4"/>
    </row>
    <row r="1203" spans="1:10" x14ac:dyDescent="0.25">
      <c r="A1203" s="255" t="s">
        <v>249</v>
      </c>
      <c r="B1203" s="255" t="s">
        <v>208</v>
      </c>
      <c r="C1203" s="256">
        <v>2006</v>
      </c>
      <c r="D1203" s="256">
        <v>175</v>
      </c>
      <c r="E1203">
        <v>0</v>
      </c>
      <c r="F1203" s="257"/>
      <c r="I1203" s="4"/>
    </row>
    <row r="1204" spans="1:10" x14ac:dyDescent="0.25">
      <c r="A1204" s="255" t="s">
        <v>249</v>
      </c>
      <c r="B1204" s="255" t="s">
        <v>208</v>
      </c>
      <c r="C1204" s="256">
        <v>2006</v>
      </c>
      <c r="D1204" s="256">
        <v>300</v>
      </c>
      <c r="E1204">
        <v>0</v>
      </c>
      <c r="F1204" s="257"/>
      <c r="I1204" s="4"/>
    </row>
    <row r="1205" spans="1:10" x14ac:dyDescent="0.25">
      <c r="A1205" s="255" t="s">
        <v>249</v>
      </c>
      <c r="B1205" s="255" t="s">
        <v>208</v>
      </c>
      <c r="C1205" s="256">
        <v>2006</v>
      </c>
      <c r="D1205" s="256">
        <v>600</v>
      </c>
      <c r="E1205">
        <v>0</v>
      </c>
      <c r="F1205" s="257"/>
      <c r="I1205" s="4"/>
    </row>
    <row r="1206" spans="1:10" x14ac:dyDescent="0.25">
      <c r="A1206" s="255" t="s">
        <v>249</v>
      </c>
      <c r="B1206" s="255" t="s">
        <v>208</v>
      </c>
      <c r="C1206" s="256">
        <v>2007</v>
      </c>
      <c r="D1206" s="256">
        <v>100</v>
      </c>
      <c r="E1206">
        <v>1.11498257839722E-2</v>
      </c>
      <c r="F1206" s="257"/>
      <c r="G1206">
        <f t="shared" si="15"/>
        <v>125</v>
      </c>
      <c r="H1206" s="4">
        <f>IF(B1206="RTG Crane",IF(D1206&lt;600,800000,1200000),VLOOKUP(B1206,'$$$ Replace &amp; Retrofit'!$B$10:$C$14,2)*'CHE Model poplulation'!D1206)*E1206</f>
        <v>888.64111498258433</v>
      </c>
      <c r="I1206" s="4">
        <f>E1206*VLOOKUP('CHE Model poplulation'!G1206,'$$$ Replace &amp; Retrofit'!$I$10:$J$15,2)</f>
        <v>220.01951219512341</v>
      </c>
      <c r="J1206" s="4">
        <f>IF(D1206=50,VLOOKUP(0,'$$$ Replace &amp; Retrofit'!$E$10:$F$13,2),IF(D1206&lt;175,VLOOKUP(50,'$$$ Replace &amp; Retrofit'!$E$10:$F$13,2),IF(D1206&lt;400,VLOOKUP(175,'$$$ Replace &amp; Retrofit'!$E$10:$F$13,2),IF(D1206&gt;=400,VLOOKUP(400,'$$$ Replace &amp; Retrofit'!$E$10:$F$13,2),NA))))*E1206</f>
        <v>133.7979094076664</v>
      </c>
    </row>
    <row r="1207" spans="1:10" x14ac:dyDescent="0.25">
      <c r="A1207" s="255" t="s">
        <v>249</v>
      </c>
      <c r="B1207" s="255" t="s">
        <v>208</v>
      </c>
      <c r="C1207" s="256">
        <v>2007</v>
      </c>
      <c r="D1207" s="256">
        <v>175</v>
      </c>
      <c r="E1207">
        <v>0.31777003484320698</v>
      </c>
      <c r="F1207" s="257"/>
      <c r="G1207">
        <f t="shared" si="15"/>
        <v>175</v>
      </c>
      <c r="H1207" s="4">
        <f>IF(B1207="RTG Crane",IF(D1207&lt;600,800000,1200000),VLOOKUP(B1207,'$$$ Replace &amp; Retrofit'!$B$10:$C$14,2)*'CHE Model poplulation'!D1207)*E1207</f>
        <v>44320.975609756293</v>
      </c>
      <c r="I1207" s="4">
        <f>E1207*VLOOKUP('CHE Model poplulation'!G1207,'$$$ Replace &amp; Retrofit'!$I$10:$J$15,2)</f>
        <v>7879.4257839721604</v>
      </c>
      <c r="J1207" s="4">
        <f>IF(D1207=50,VLOOKUP(0,'$$$ Replace &amp; Retrofit'!$E$10:$F$13,2),IF(D1207&lt;175,VLOOKUP(50,'$$$ Replace &amp; Retrofit'!$E$10:$F$13,2),IF(D1207&lt;400,VLOOKUP(175,'$$$ Replace &amp; Retrofit'!$E$10:$F$13,2),IF(D1207&gt;=400,VLOOKUP(400,'$$$ Replace &amp; Retrofit'!$E$10:$F$13,2),NA))))*E1207</f>
        <v>5719.8606271777253</v>
      </c>
    </row>
    <row r="1208" spans="1:10" x14ac:dyDescent="0.25">
      <c r="A1208" s="255" t="s">
        <v>249</v>
      </c>
      <c r="B1208" s="255" t="s">
        <v>208</v>
      </c>
      <c r="C1208" s="256">
        <v>2007</v>
      </c>
      <c r="D1208" s="256">
        <v>300</v>
      </c>
      <c r="E1208">
        <v>0.81393728222996797</v>
      </c>
      <c r="F1208" s="257"/>
      <c r="G1208">
        <f t="shared" si="15"/>
        <v>300</v>
      </c>
      <c r="H1208" s="4">
        <f>IF(B1208="RTG Crane",IF(D1208&lt;600,800000,1200000),VLOOKUP(B1208,'$$$ Replace &amp; Retrofit'!$B$10:$C$14,2)*'CHE Model poplulation'!D1208)*E1208</f>
        <v>194612.40418118535</v>
      </c>
      <c r="I1208" s="4">
        <f>E1208*VLOOKUP('CHE Model poplulation'!G1208,'$$$ Replace &amp; Retrofit'!$I$10:$J$15,2)</f>
        <v>23411.278048780568</v>
      </c>
      <c r="J1208" s="4">
        <f>IF(D1208=50,VLOOKUP(0,'$$$ Replace &amp; Retrofit'!$E$10:$F$13,2),IF(D1208&lt;175,VLOOKUP(50,'$$$ Replace &amp; Retrofit'!$E$10:$F$13,2),IF(D1208&lt;400,VLOOKUP(175,'$$$ Replace &amp; Retrofit'!$E$10:$F$13,2),IF(D1208&gt;=400,VLOOKUP(400,'$$$ Replace &amp; Retrofit'!$E$10:$F$13,2),NA))))*E1208</f>
        <v>14650.871080139423</v>
      </c>
    </row>
    <row r="1209" spans="1:10" x14ac:dyDescent="0.25">
      <c r="A1209" s="255" t="s">
        <v>249</v>
      </c>
      <c r="B1209" s="255" t="s">
        <v>208</v>
      </c>
      <c r="C1209" s="256">
        <v>2007</v>
      </c>
      <c r="D1209" s="256">
        <v>600</v>
      </c>
      <c r="E1209">
        <v>0.88083623693380098</v>
      </c>
      <c r="F1209" s="257"/>
      <c r="G1209">
        <f t="shared" si="15"/>
        <v>400</v>
      </c>
      <c r="H1209" s="4">
        <f>IF(B1209="RTG Crane",IF(D1209&lt;600,800000,1200000),VLOOKUP(B1209,'$$$ Replace &amp; Retrofit'!$B$10:$C$14,2)*'CHE Model poplulation'!D1209)*E1209</f>
        <v>421215.88850174361</v>
      </c>
      <c r="I1209" s="4">
        <f>E1209*VLOOKUP('CHE Model poplulation'!G1209,'$$$ Replace &amp; Retrofit'!$I$10:$J$15,2)</f>
        <v>46096.802787456603</v>
      </c>
      <c r="J1209" s="4">
        <f>IF(D1209=50,VLOOKUP(0,'$$$ Replace &amp; Retrofit'!$E$10:$F$13,2),IF(D1209&lt;175,VLOOKUP(50,'$$$ Replace &amp; Retrofit'!$E$10:$F$13,2),IF(D1209&lt;400,VLOOKUP(175,'$$$ Replace &amp; Retrofit'!$E$10:$F$13,2),IF(D1209&gt;=400,VLOOKUP(400,'$$$ Replace &amp; Retrofit'!$E$10:$F$13,2),NA))))*E1209</f>
        <v>26425.087108014028</v>
      </c>
    </row>
    <row r="1210" spans="1:10" x14ac:dyDescent="0.25">
      <c r="A1210" s="255" t="s">
        <v>249</v>
      </c>
      <c r="B1210" s="255" t="s">
        <v>208</v>
      </c>
      <c r="C1210" s="256">
        <v>2008</v>
      </c>
      <c r="D1210" s="256">
        <v>100</v>
      </c>
      <c r="E1210">
        <v>2.3007450889598401E-2</v>
      </c>
      <c r="F1210" s="257"/>
      <c r="G1210">
        <f t="shared" si="15"/>
        <v>125</v>
      </c>
      <c r="H1210" s="4">
        <f>IF(B1210="RTG Crane",IF(D1210&lt;600,800000,1200000),VLOOKUP(B1210,'$$$ Replace &amp; Retrofit'!$B$10:$C$14,2)*'CHE Model poplulation'!D1210)*E1210</f>
        <v>1833.6938359009926</v>
      </c>
      <c r="I1210" s="4">
        <f>E1210*VLOOKUP('CHE Model poplulation'!G1210,'$$$ Replace &amp; Retrofit'!$I$10:$J$15,2)</f>
        <v>454.00602840444526</v>
      </c>
      <c r="J1210" s="4">
        <f>IF(D1210=50,VLOOKUP(0,'$$$ Replace &amp; Retrofit'!$E$10:$F$13,2),IF(D1210&lt;175,VLOOKUP(50,'$$$ Replace &amp; Retrofit'!$E$10:$F$13,2),IF(D1210&lt;400,VLOOKUP(175,'$$$ Replace &amp; Retrofit'!$E$10:$F$13,2),IF(D1210&gt;=400,VLOOKUP(400,'$$$ Replace &amp; Retrofit'!$E$10:$F$13,2),NA))))*E1210</f>
        <v>276.08941067518083</v>
      </c>
    </row>
    <row r="1211" spans="1:10" x14ac:dyDescent="0.25">
      <c r="A1211" s="255" t="s">
        <v>249</v>
      </c>
      <c r="B1211" s="255" t="s">
        <v>208</v>
      </c>
      <c r="C1211" s="256">
        <v>2008</v>
      </c>
      <c r="D1211" s="256">
        <v>175</v>
      </c>
      <c r="E1211">
        <v>0.65571235035355602</v>
      </c>
      <c r="F1211" s="257"/>
      <c r="G1211">
        <f t="shared" si="15"/>
        <v>175</v>
      </c>
      <c r="H1211" s="4">
        <f>IF(B1211="RTG Crane",IF(D1211&lt;600,800000,1200000),VLOOKUP(B1211,'$$$ Replace &amp; Retrofit'!$B$10:$C$14,2)*'CHE Model poplulation'!D1211)*E1211</f>
        <v>91455.480065562224</v>
      </c>
      <c r="I1211" s="4">
        <f>E1211*VLOOKUP('CHE Model poplulation'!G1211,'$$$ Replace &amp; Retrofit'!$I$10:$J$15,2)</f>
        <v>16259.043439366775</v>
      </c>
      <c r="J1211" s="4">
        <f>IF(D1211=50,VLOOKUP(0,'$$$ Replace &amp; Retrofit'!$E$10:$F$13,2),IF(D1211&lt;175,VLOOKUP(50,'$$$ Replace &amp; Retrofit'!$E$10:$F$13,2),IF(D1211&lt;400,VLOOKUP(175,'$$$ Replace &amp; Retrofit'!$E$10:$F$13,2),IF(D1211&gt;=400,VLOOKUP(400,'$$$ Replace &amp; Retrofit'!$E$10:$F$13,2),NA))))*E1211</f>
        <v>11802.822306364009</v>
      </c>
    </row>
    <row r="1212" spans="1:10" x14ac:dyDescent="0.25">
      <c r="A1212" s="255" t="s">
        <v>249</v>
      </c>
      <c r="B1212" s="255" t="s">
        <v>208</v>
      </c>
      <c r="C1212" s="256">
        <v>2008</v>
      </c>
      <c r="D1212" s="256">
        <v>300</v>
      </c>
      <c r="E1212">
        <v>1.67361510238787</v>
      </c>
      <c r="F1212" s="257"/>
      <c r="G1212">
        <f t="shared" si="15"/>
        <v>300</v>
      </c>
      <c r="H1212" s="4">
        <f>IF(B1212="RTG Crane",IF(D1212&lt;600,800000,1200000),VLOOKUP(B1212,'$$$ Replace &amp; Retrofit'!$B$10:$C$14,2)*'CHE Model poplulation'!D1212)*E1212</f>
        <v>400161.37098093971</v>
      </c>
      <c r="I1212" s="4">
        <f>E1212*VLOOKUP('CHE Model poplulation'!G1212,'$$$ Replace &amp; Retrofit'!$I$10:$J$15,2)</f>
        <v>48138.191189982303</v>
      </c>
      <c r="J1212" s="4">
        <f>IF(D1212=50,VLOOKUP(0,'$$$ Replace &amp; Retrofit'!$E$10:$F$13,2),IF(D1212&lt;175,VLOOKUP(50,'$$$ Replace &amp; Retrofit'!$E$10:$F$13,2),IF(D1212&lt;400,VLOOKUP(175,'$$$ Replace &amp; Retrofit'!$E$10:$F$13,2),IF(D1212&gt;=400,VLOOKUP(400,'$$$ Replace &amp; Retrofit'!$E$10:$F$13,2),NA))))*E1212</f>
        <v>30125.071842981659</v>
      </c>
    </row>
    <row r="1213" spans="1:10" x14ac:dyDescent="0.25">
      <c r="A1213" s="255" t="s">
        <v>249</v>
      </c>
      <c r="B1213" s="255" t="s">
        <v>208</v>
      </c>
      <c r="C1213" s="256">
        <v>2008</v>
      </c>
      <c r="D1213" s="256">
        <v>600</v>
      </c>
      <c r="E1213">
        <v>1.8136575597813001</v>
      </c>
      <c r="F1213" s="257"/>
      <c r="G1213">
        <f t="shared" si="15"/>
        <v>400</v>
      </c>
      <c r="H1213" s="4">
        <f>IF(B1213="RTG Crane",IF(D1213&lt;600,800000,1200000),VLOOKUP(B1213,'$$$ Replace &amp; Retrofit'!$B$10:$C$14,2)*'CHE Model poplulation'!D1213)*E1213</f>
        <v>867291.0450874177</v>
      </c>
      <c r="I1213" s="4">
        <f>E1213*VLOOKUP('CHE Model poplulation'!G1213,'$$$ Replace &amp; Retrofit'!$I$10:$J$15,2)</f>
        <v>94914.141076034779</v>
      </c>
      <c r="J1213" s="4">
        <f>IF(D1213=50,VLOOKUP(0,'$$$ Replace &amp; Retrofit'!$E$10:$F$13,2),IF(D1213&lt;175,VLOOKUP(50,'$$$ Replace &amp; Retrofit'!$E$10:$F$13,2),IF(D1213&lt;400,VLOOKUP(175,'$$$ Replace &amp; Retrofit'!$E$10:$F$13,2),IF(D1213&gt;=400,VLOOKUP(400,'$$$ Replace &amp; Retrofit'!$E$10:$F$13,2),NA))))*E1213</f>
        <v>54409.726793439004</v>
      </c>
    </row>
    <row r="1214" spans="1:10" x14ac:dyDescent="0.25">
      <c r="A1214" s="255" t="s">
        <v>249</v>
      </c>
      <c r="B1214" s="255" t="s">
        <v>208</v>
      </c>
      <c r="C1214" s="256">
        <v>2009</v>
      </c>
      <c r="D1214" s="256">
        <v>100</v>
      </c>
      <c r="E1214">
        <v>4.10381316189724E-2</v>
      </c>
      <c r="F1214" s="257"/>
      <c r="G1214">
        <f t="shared" si="15"/>
        <v>125</v>
      </c>
      <c r="H1214" s="4">
        <f>IF(B1214="RTG Crane",IF(D1214&lt;600,800000,1200000),VLOOKUP(B1214,'$$$ Replace &amp; Retrofit'!$B$10:$C$14,2)*'CHE Model poplulation'!D1214)*E1214</f>
        <v>3270.7390900321002</v>
      </c>
      <c r="I1214" s="4">
        <f>E1214*VLOOKUP('CHE Model poplulation'!G1214,'$$$ Replace &amp; Retrofit'!$I$10:$J$15,2)</f>
        <v>809.80545123718241</v>
      </c>
      <c r="J1214" s="4">
        <f>IF(D1214=50,VLOOKUP(0,'$$$ Replace &amp; Retrofit'!$E$10:$F$13,2),IF(D1214&lt;175,VLOOKUP(50,'$$$ Replace &amp; Retrofit'!$E$10:$F$13,2),IF(D1214&lt;400,VLOOKUP(175,'$$$ Replace &amp; Retrofit'!$E$10:$F$13,2),IF(D1214&gt;=400,VLOOKUP(400,'$$$ Replace &amp; Retrofit'!$E$10:$F$13,2),NA))))*E1214</f>
        <v>492.4575794276688</v>
      </c>
    </row>
    <row r="1215" spans="1:10" x14ac:dyDescent="0.25">
      <c r="A1215" s="255" t="s">
        <v>249</v>
      </c>
      <c r="B1215" s="255" t="s">
        <v>208</v>
      </c>
      <c r="C1215" s="256">
        <v>2009</v>
      </c>
      <c r="D1215" s="256">
        <v>175</v>
      </c>
      <c r="E1215">
        <v>1.1306568722932</v>
      </c>
      <c r="F1215" s="257"/>
      <c r="G1215">
        <f t="shared" si="15"/>
        <v>175</v>
      </c>
      <c r="H1215" s="4">
        <f>IF(B1215="RTG Crane",IF(D1215&lt;600,800000,1200000),VLOOKUP(B1215,'$$$ Replace &amp; Retrofit'!$B$10:$C$14,2)*'CHE Model poplulation'!D1215)*E1215</f>
        <v>157698.36726309406</v>
      </c>
      <c r="I1215" s="4">
        <f>E1215*VLOOKUP('CHE Model poplulation'!G1215,'$$$ Replace &amp; Retrofit'!$I$10:$J$15,2)</f>
        <v>28035.767805382187</v>
      </c>
      <c r="J1215" s="4">
        <f>IF(D1215=50,VLOOKUP(0,'$$$ Replace &amp; Retrofit'!$E$10:$F$13,2),IF(D1215&lt;175,VLOOKUP(50,'$$$ Replace &amp; Retrofit'!$E$10:$F$13,2),IF(D1215&lt;400,VLOOKUP(175,'$$$ Replace &amp; Retrofit'!$E$10:$F$13,2),IF(D1215&gt;=400,VLOOKUP(400,'$$$ Replace &amp; Retrofit'!$E$10:$F$13,2),NA))))*E1215</f>
        <v>20351.823701277601</v>
      </c>
    </row>
    <row r="1216" spans="1:10" x14ac:dyDescent="0.25">
      <c r="A1216" s="255" t="s">
        <v>249</v>
      </c>
      <c r="B1216" s="255" t="s">
        <v>208</v>
      </c>
      <c r="C1216" s="256">
        <v>2009</v>
      </c>
      <c r="D1216" s="256">
        <v>300</v>
      </c>
      <c r="E1216">
        <v>2.8839245463470999</v>
      </c>
      <c r="F1216" s="257"/>
      <c r="G1216">
        <f t="shared" ref="G1216:G1249" si="16">IF(OR(D1216=50,D1216=75),50,IF(OR(D1216=100,D1216=125),125,IF(D1216&gt;=400,400,D1216)))</f>
        <v>300</v>
      </c>
      <c r="H1216" s="4">
        <f>IF(B1216="RTG Crane",IF(D1216&lt;600,800000,1200000),VLOOKUP(B1216,'$$$ Replace &amp; Retrofit'!$B$10:$C$14,2)*'CHE Model poplulation'!D1216)*E1216</f>
        <v>689546.35903159156</v>
      </c>
      <c r="I1216" s="4">
        <f>E1216*VLOOKUP('CHE Model poplulation'!G1216,'$$$ Replace &amp; Retrofit'!$I$10:$J$15,2)</f>
        <v>82950.321726581635</v>
      </c>
      <c r="J1216" s="4">
        <f>IF(D1216=50,VLOOKUP(0,'$$$ Replace &amp; Retrofit'!$E$10:$F$13,2),IF(D1216&lt;175,VLOOKUP(50,'$$$ Replace &amp; Retrofit'!$E$10:$F$13,2),IF(D1216&lt;400,VLOOKUP(175,'$$$ Replace &amp; Retrofit'!$E$10:$F$13,2),IF(D1216&gt;=400,VLOOKUP(400,'$$$ Replace &amp; Retrofit'!$E$10:$F$13,2),NA))))*E1216</f>
        <v>51910.641834247799</v>
      </c>
    </row>
    <row r="1217" spans="1:10" x14ac:dyDescent="0.25">
      <c r="A1217" s="255" t="s">
        <v>249</v>
      </c>
      <c r="B1217" s="255" t="s">
        <v>208</v>
      </c>
      <c r="C1217" s="256">
        <v>2009</v>
      </c>
      <c r="D1217" s="256">
        <v>600</v>
      </c>
      <c r="E1217">
        <v>3.2095654238570299</v>
      </c>
      <c r="F1217" s="257"/>
      <c r="G1217">
        <f t="shared" si="16"/>
        <v>400</v>
      </c>
      <c r="H1217" s="4">
        <f>IF(B1217="RTG Crane",IF(D1217&lt;600,800000,1200000),VLOOKUP(B1217,'$$$ Replace &amp; Retrofit'!$B$10:$C$14,2)*'CHE Model poplulation'!D1217)*E1217</f>
        <v>1534814.1856884316</v>
      </c>
      <c r="I1217" s="4">
        <f>E1217*VLOOKUP('CHE Model poplulation'!G1217,'$$$ Replace &amp; Retrofit'!$I$10:$J$15,2)</f>
        <v>167966.18732670994</v>
      </c>
      <c r="J1217" s="4">
        <f>IF(D1217=50,VLOOKUP(0,'$$$ Replace &amp; Retrofit'!$E$10:$F$13,2),IF(D1217&lt;175,VLOOKUP(50,'$$$ Replace &amp; Retrofit'!$E$10:$F$13,2),IF(D1217&lt;400,VLOOKUP(175,'$$$ Replace &amp; Retrofit'!$E$10:$F$13,2),IF(D1217&gt;=400,VLOOKUP(400,'$$$ Replace &amp; Retrofit'!$E$10:$F$13,2),NA))))*E1217</f>
        <v>96286.962715710892</v>
      </c>
    </row>
    <row r="1218" spans="1:10" x14ac:dyDescent="0.25">
      <c r="A1218" s="255" t="s">
        <v>249</v>
      </c>
      <c r="B1218" s="255" t="s">
        <v>208</v>
      </c>
      <c r="C1218" s="256">
        <v>2010</v>
      </c>
      <c r="D1218" s="256">
        <v>100</v>
      </c>
      <c r="E1218">
        <v>6.3937799284760594E-2</v>
      </c>
      <c r="F1218" s="257"/>
      <c r="G1218">
        <f t="shared" si="16"/>
        <v>125</v>
      </c>
      <c r="H1218" s="4">
        <f>IF(B1218="RTG Crane",IF(D1218&lt;600,800000,1200000),VLOOKUP(B1218,'$$$ Replace &amp; Retrofit'!$B$10:$C$14,2)*'CHE Model poplulation'!D1218)*E1218</f>
        <v>5095.8426029954189</v>
      </c>
      <c r="I1218" s="4">
        <f>E1218*VLOOKUP('CHE Model poplulation'!G1218,'$$$ Replace &amp; Retrofit'!$I$10:$J$15,2)</f>
        <v>1261.6845932861809</v>
      </c>
      <c r="J1218" s="4">
        <f>IF(D1218=50,VLOOKUP(0,'$$$ Replace &amp; Retrofit'!$E$10:$F$13,2),IF(D1218&lt;175,VLOOKUP(50,'$$$ Replace &amp; Retrofit'!$E$10:$F$13,2),IF(D1218&lt;400,VLOOKUP(175,'$$$ Replace &amp; Retrofit'!$E$10:$F$13,2),IF(D1218&gt;=400,VLOOKUP(400,'$$$ Replace &amp; Retrofit'!$E$10:$F$13,2),NA))))*E1218</f>
        <v>767.25359141712715</v>
      </c>
    </row>
    <row r="1219" spans="1:10" x14ac:dyDescent="0.25">
      <c r="A1219" s="255" t="s">
        <v>249</v>
      </c>
      <c r="B1219" s="255" t="s">
        <v>208</v>
      </c>
      <c r="C1219" s="256">
        <v>2010</v>
      </c>
      <c r="D1219" s="256">
        <v>175</v>
      </c>
      <c r="E1219">
        <v>1.73645717145178</v>
      </c>
      <c r="F1219" s="257"/>
      <c r="G1219">
        <f t="shared" si="16"/>
        <v>175</v>
      </c>
      <c r="H1219" s="4">
        <f>IF(B1219="RTG Crane",IF(D1219&lt;600,800000,1200000),VLOOKUP(B1219,'$$$ Replace &amp; Retrofit'!$B$10:$C$14,2)*'CHE Model poplulation'!D1219)*E1219</f>
        <v>242192.36398823702</v>
      </c>
      <c r="I1219" s="4">
        <f>E1219*VLOOKUP('CHE Model poplulation'!G1219,'$$$ Replace &amp; Retrofit'!$I$10:$J$15,2)</f>
        <v>43057.192023318341</v>
      </c>
      <c r="J1219" s="4">
        <f>IF(D1219=50,VLOOKUP(0,'$$$ Replace &amp; Retrofit'!$E$10:$F$13,2),IF(D1219&lt;175,VLOOKUP(50,'$$$ Replace &amp; Retrofit'!$E$10:$F$13,2),IF(D1219&lt;400,VLOOKUP(175,'$$$ Replace &amp; Retrofit'!$E$10:$F$13,2),IF(D1219&gt;=400,VLOOKUP(400,'$$$ Replace &amp; Retrofit'!$E$10:$F$13,2),NA))))*E1219</f>
        <v>31256.22908613204</v>
      </c>
    </row>
    <row r="1220" spans="1:10" x14ac:dyDescent="0.25">
      <c r="A1220" s="255" t="s">
        <v>249</v>
      </c>
      <c r="B1220" s="255" t="s">
        <v>208</v>
      </c>
      <c r="C1220" s="256">
        <v>2010</v>
      </c>
      <c r="D1220" s="256">
        <v>300</v>
      </c>
      <c r="E1220">
        <v>4.5517836746720004</v>
      </c>
      <c r="F1220" s="257"/>
      <c r="G1220">
        <f t="shared" si="16"/>
        <v>300</v>
      </c>
      <c r="H1220" s="4">
        <f>IF(B1220="RTG Crane",IF(D1220&lt;600,800000,1200000),VLOOKUP(B1220,'$$$ Replace &amp; Retrofit'!$B$10:$C$14,2)*'CHE Model poplulation'!D1220)*E1220</f>
        <v>1088331.4766140752</v>
      </c>
      <c r="I1220" s="4">
        <f>E1220*VLOOKUP('CHE Model poplulation'!G1220,'$$$ Replace &amp; Retrofit'!$I$10:$J$15,2)</f>
        <v>130922.95383459075</v>
      </c>
      <c r="J1220" s="4">
        <f>IF(D1220=50,VLOOKUP(0,'$$$ Replace &amp; Retrofit'!$E$10:$F$13,2),IF(D1220&lt;175,VLOOKUP(50,'$$$ Replace &amp; Retrofit'!$E$10:$F$13,2),IF(D1220&lt;400,VLOOKUP(175,'$$$ Replace &amp; Retrofit'!$E$10:$F$13,2),IF(D1220&gt;=400,VLOOKUP(400,'$$$ Replace &amp; Retrofit'!$E$10:$F$13,2),NA))))*E1220</f>
        <v>81932.106144096004</v>
      </c>
    </row>
    <row r="1221" spans="1:10" x14ac:dyDescent="0.25">
      <c r="A1221" s="255" t="s">
        <v>249</v>
      </c>
      <c r="B1221" s="255" t="s">
        <v>208</v>
      </c>
      <c r="C1221" s="256">
        <v>2010</v>
      </c>
      <c r="D1221" s="256">
        <v>600</v>
      </c>
      <c r="E1221">
        <v>5.3443786450190798</v>
      </c>
      <c r="F1221" s="257"/>
      <c r="G1221">
        <f t="shared" si="16"/>
        <v>400</v>
      </c>
      <c r="H1221" s="4">
        <f>IF(B1221="RTG Crane",IF(D1221&lt;600,800000,1200000),VLOOKUP(B1221,'$$$ Replace &amp; Retrofit'!$B$10:$C$14,2)*'CHE Model poplulation'!D1221)*E1221</f>
        <v>2555681.868048124</v>
      </c>
      <c r="I1221" s="4">
        <f>E1221*VLOOKUP('CHE Model poplulation'!G1221,'$$$ Replace &amp; Retrofit'!$I$10:$J$15,2)</f>
        <v>279687.36762978352</v>
      </c>
      <c r="J1221" s="4">
        <f>IF(D1221=50,VLOOKUP(0,'$$$ Replace &amp; Retrofit'!$E$10:$F$13,2),IF(D1221&lt;175,VLOOKUP(50,'$$$ Replace &amp; Retrofit'!$E$10:$F$13,2),IF(D1221&lt;400,VLOOKUP(175,'$$$ Replace &amp; Retrofit'!$E$10:$F$13,2),IF(D1221&gt;=400,VLOOKUP(400,'$$$ Replace &amp; Retrofit'!$E$10:$F$13,2),NA))))*E1221</f>
        <v>160331.3593505724</v>
      </c>
    </row>
    <row r="1222" spans="1:10" x14ac:dyDescent="0.25">
      <c r="A1222" s="255" t="s">
        <v>249</v>
      </c>
      <c r="B1222" s="255" t="s">
        <v>208</v>
      </c>
      <c r="C1222" s="256">
        <v>2011</v>
      </c>
      <c r="D1222" s="256">
        <v>100</v>
      </c>
      <c r="E1222">
        <v>7.4995799851736406E-2</v>
      </c>
      <c r="F1222" s="257"/>
      <c r="G1222">
        <f t="shared" si="16"/>
        <v>125</v>
      </c>
      <c r="H1222" s="4">
        <f>IF(B1222="RTG Crane",IF(D1222&lt;600,800000,1200000),VLOOKUP(B1222,'$$$ Replace &amp; Retrofit'!$B$10:$C$14,2)*'CHE Model poplulation'!D1222)*E1222</f>
        <v>5977.1652481833917</v>
      </c>
      <c r="I1222" s="4">
        <f>E1222*VLOOKUP('CHE Model poplulation'!G1222,'$$$ Replace &amp; Retrofit'!$I$10:$J$15,2)</f>
        <v>1479.8921184743144</v>
      </c>
      <c r="J1222" s="4">
        <f>IF(D1222=50,VLOOKUP(0,'$$$ Replace &amp; Retrofit'!$E$10:$F$13,2),IF(D1222&lt;175,VLOOKUP(50,'$$$ Replace &amp; Retrofit'!$E$10:$F$13,2),IF(D1222&lt;400,VLOOKUP(175,'$$$ Replace &amp; Retrofit'!$E$10:$F$13,2),IF(D1222&gt;=400,VLOOKUP(400,'$$$ Replace &amp; Retrofit'!$E$10:$F$13,2),NA))))*E1222</f>
        <v>899.94959822083683</v>
      </c>
    </row>
    <row r="1223" spans="1:10" x14ac:dyDescent="0.25">
      <c r="A1223" s="255" t="s">
        <v>249</v>
      </c>
      <c r="B1223" s="255" t="s">
        <v>208</v>
      </c>
      <c r="C1223" s="256">
        <v>2011</v>
      </c>
      <c r="D1223" s="256">
        <v>175</v>
      </c>
      <c r="E1223">
        <v>2.0487823079243999</v>
      </c>
      <c r="F1223" s="257"/>
      <c r="G1223">
        <f t="shared" si="16"/>
        <v>175</v>
      </c>
      <c r="H1223" s="4">
        <f>IF(B1223="RTG Crane",IF(D1223&lt;600,800000,1200000),VLOOKUP(B1223,'$$$ Replace &amp; Retrofit'!$B$10:$C$14,2)*'CHE Model poplulation'!D1223)*E1223</f>
        <v>285753.91239775566</v>
      </c>
      <c r="I1223" s="4">
        <f>E1223*VLOOKUP('CHE Model poplulation'!G1223,'$$$ Replace &amp; Retrofit'!$I$10:$J$15,2)</f>
        <v>50801.606107293417</v>
      </c>
      <c r="J1223" s="4">
        <f>IF(D1223=50,VLOOKUP(0,'$$$ Replace &amp; Retrofit'!$E$10:$F$13,2),IF(D1223&lt;175,VLOOKUP(50,'$$$ Replace &amp; Retrofit'!$E$10:$F$13,2),IF(D1223&lt;400,VLOOKUP(175,'$$$ Replace &amp; Retrofit'!$E$10:$F$13,2),IF(D1223&gt;=400,VLOOKUP(400,'$$$ Replace &amp; Retrofit'!$E$10:$F$13,2),NA))))*E1223</f>
        <v>36878.0815426392</v>
      </c>
    </row>
    <row r="1224" spans="1:10" x14ac:dyDescent="0.25">
      <c r="A1224" s="255" t="s">
        <v>249</v>
      </c>
      <c r="B1224" s="255" t="s">
        <v>208</v>
      </c>
      <c r="C1224" s="256">
        <v>2011</v>
      </c>
      <c r="D1224" s="256">
        <v>300</v>
      </c>
      <c r="E1224">
        <v>5.4697004549097601</v>
      </c>
      <c r="F1224" s="257"/>
      <c r="G1224">
        <f t="shared" si="16"/>
        <v>300</v>
      </c>
      <c r="H1224" s="4">
        <f>IF(B1224="RTG Crane",IF(D1224&lt;600,800000,1200000),VLOOKUP(B1224,'$$$ Replace &amp; Retrofit'!$B$10:$C$14,2)*'CHE Model poplulation'!D1224)*E1224</f>
        <v>1307805.3787689237</v>
      </c>
      <c r="I1224" s="4">
        <f>E1224*VLOOKUP('CHE Model poplulation'!G1224,'$$$ Replace &amp; Retrofit'!$I$10:$J$15,2)</f>
        <v>157324.99418456943</v>
      </c>
      <c r="J1224" s="4">
        <f>IF(D1224=50,VLOOKUP(0,'$$$ Replace &amp; Retrofit'!$E$10:$F$13,2),IF(D1224&lt;175,VLOOKUP(50,'$$$ Replace &amp; Retrofit'!$E$10:$F$13,2),IF(D1224&lt;400,VLOOKUP(175,'$$$ Replace &amp; Retrofit'!$E$10:$F$13,2),IF(D1224&gt;=400,VLOOKUP(400,'$$$ Replace &amp; Retrofit'!$E$10:$F$13,2),NA))))*E1224</f>
        <v>98454.608188375685</v>
      </c>
    </row>
    <row r="1225" spans="1:10" x14ac:dyDescent="0.25">
      <c r="A1225" s="255" t="s">
        <v>249</v>
      </c>
      <c r="B1225" s="255" t="s">
        <v>208</v>
      </c>
      <c r="C1225" s="256">
        <v>2011</v>
      </c>
      <c r="D1225" s="256">
        <v>600</v>
      </c>
      <c r="E1225">
        <v>7.2245029518597601</v>
      </c>
      <c r="F1225" s="257"/>
      <c r="G1225">
        <f t="shared" si="16"/>
        <v>400</v>
      </c>
      <c r="H1225" s="4">
        <f>IF(B1225="RTG Crane",IF(D1225&lt;600,800000,1200000),VLOOKUP(B1225,'$$$ Replace &amp; Retrofit'!$B$10:$C$14,2)*'CHE Model poplulation'!D1225)*E1225</f>
        <v>3454757.3115793373</v>
      </c>
      <c r="I1225" s="4">
        <f>E1225*VLOOKUP('CHE Model poplulation'!G1225,'$$$ Replace &amp; Retrofit'!$I$10:$J$15,2)</f>
        <v>378079.91297967685</v>
      </c>
      <c r="J1225" s="4">
        <f>IF(D1225=50,VLOOKUP(0,'$$$ Replace &amp; Retrofit'!$E$10:$F$13,2),IF(D1225&lt;175,VLOOKUP(50,'$$$ Replace &amp; Retrofit'!$E$10:$F$13,2),IF(D1225&lt;400,VLOOKUP(175,'$$$ Replace &amp; Retrofit'!$E$10:$F$13,2),IF(D1225&gt;=400,VLOOKUP(400,'$$$ Replace &amp; Retrofit'!$E$10:$F$13,2),NA))))*E1225</f>
        <v>216735.08855579281</v>
      </c>
    </row>
    <row r="1226" spans="1:10" x14ac:dyDescent="0.25">
      <c r="A1226" s="255" t="s">
        <v>249</v>
      </c>
      <c r="B1226" s="255" t="s">
        <v>208</v>
      </c>
      <c r="C1226" s="256">
        <v>2012</v>
      </c>
      <c r="D1226" s="256">
        <v>100</v>
      </c>
      <c r="E1226">
        <v>9.1846994560496401E-2</v>
      </c>
      <c r="F1226" s="257"/>
      <c r="G1226">
        <f t="shared" si="16"/>
        <v>125</v>
      </c>
      <c r="H1226" s="4">
        <f>IF(B1226="RTG Crane",IF(D1226&lt;600,800000,1200000),VLOOKUP(B1226,'$$$ Replace &amp; Retrofit'!$B$10:$C$14,2)*'CHE Model poplulation'!D1226)*E1226</f>
        <v>7320.2054664715633</v>
      </c>
      <c r="I1226" s="4">
        <f>E1226*VLOOKUP('CHE Model poplulation'!G1226,'$$$ Replace &amp; Retrofit'!$I$10:$J$15,2)</f>
        <v>1812.4167436622754</v>
      </c>
      <c r="J1226" s="4">
        <f>IF(D1226=50,VLOOKUP(0,'$$$ Replace &amp; Retrofit'!$E$10:$F$13,2),IF(D1226&lt;175,VLOOKUP(50,'$$$ Replace &amp; Retrofit'!$E$10:$F$13,2),IF(D1226&lt;400,VLOOKUP(175,'$$$ Replace &amp; Retrofit'!$E$10:$F$13,2),IF(D1226&gt;=400,VLOOKUP(400,'$$$ Replace &amp; Retrofit'!$E$10:$F$13,2),NA))))*E1226</f>
        <v>1102.1639347259568</v>
      </c>
    </row>
    <row r="1227" spans="1:10" x14ac:dyDescent="0.25">
      <c r="A1227" s="255" t="s">
        <v>249</v>
      </c>
      <c r="B1227" s="255" t="s">
        <v>208</v>
      </c>
      <c r="C1227" s="256">
        <v>2012</v>
      </c>
      <c r="D1227" s="256">
        <v>175</v>
      </c>
      <c r="E1227">
        <v>2.3653366557515598</v>
      </c>
      <c r="F1227" s="257"/>
      <c r="G1227">
        <f t="shared" si="16"/>
        <v>175</v>
      </c>
      <c r="H1227" s="4">
        <f>IF(B1227="RTG Crane",IF(D1227&lt;600,800000,1200000),VLOOKUP(B1227,'$$$ Replace &amp; Retrofit'!$B$10:$C$14,2)*'CHE Model poplulation'!D1227)*E1227</f>
        <v>329905.33006094879</v>
      </c>
      <c r="I1227" s="4">
        <f>E1227*VLOOKUP('CHE Model poplulation'!G1227,'$$$ Replace &amp; Retrofit'!$I$10:$J$15,2)</f>
        <v>58650.887716015677</v>
      </c>
      <c r="J1227" s="4">
        <f>IF(D1227=50,VLOOKUP(0,'$$$ Replace &amp; Retrofit'!$E$10:$F$13,2),IF(D1227&lt;175,VLOOKUP(50,'$$$ Replace &amp; Retrofit'!$E$10:$F$13,2),IF(D1227&lt;400,VLOOKUP(175,'$$$ Replace &amp; Retrofit'!$E$10:$F$13,2),IF(D1227&gt;=400,VLOOKUP(400,'$$$ Replace &amp; Retrofit'!$E$10:$F$13,2),NA))))*E1227</f>
        <v>42576.059803528078</v>
      </c>
    </row>
    <row r="1228" spans="1:10" x14ac:dyDescent="0.25">
      <c r="A1228" s="255" t="s">
        <v>249</v>
      </c>
      <c r="B1228" s="255" t="s">
        <v>208</v>
      </c>
      <c r="C1228" s="256">
        <v>2012</v>
      </c>
      <c r="D1228" s="256">
        <v>300</v>
      </c>
      <c r="E1228">
        <v>6.6901090922264803</v>
      </c>
      <c r="F1228" s="257"/>
      <c r="G1228">
        <f t="shared" si="16"/>
        <v>300</v>
      </c>
      <c r="H1228" s="4">
        <f>IF(B1228="RTG Crane",IF(D1228&lt;600,800000,1200000),VLOOKUP(B1228,'$$$ Replace &amp; Retrofit'!$B$10:$C$14,2)*'CHE Model poplulation'!D1228)*E1228</f>
        <v>1599605.0839513515</v>
      </c>
      <c r="I1228" s="4">
        <f>E1228*VLOOKUP('CHE Model poplulation'!G1228,'$$$ Replace &amp; Retrofit'!$I$10:$J$15,2)</f>
        <v>192427.60781971025</v>
      </c>
      <c r="J1228" s="4">
        <f>IF(D1228=50,VLOOKUP(0,'$$$ Replace &amp; Retrofit'!$E$10:$F$13,2),IF(D1228&lt;175,VLOOKUP(50,'$$$ Replace &amp; Retrofit'!$E$10:$F$13,2),IF(D1228&lt;400,VLOOKUP(175,'$$$ Replace &amp; Retrofit'!$E$10:$F$13,2),IF(D1228&gt;=400,VLOOKUP(400,'$$$ Replace &amp; Retrofit'!$E$10:$F$13,2),NA))))*E1228</f>
        <v>120421.96366007664</v>
      </c>
    </row>
    <row r="1229" spans="1:10" x14ac:dyDescent="0.25">
      <c r="A1229" s="255" t="s">
        <v>249</v>
      </c>
      <c r="B1229" s="255" t="s">
        <v>208</v>
      </c>
      <c r="C1229" s="256">
        <v>2012</v>
      </c>
      <c r="D1229" s="256">
        <v>600</v>
      </c>
      <c r="E1229">
        <v>9.5562138496452</v>
      </c>
      <c r="F1229" s="257"/>
      <c r="G1229">
        <f t="shared" si="16"/>
        <v>400</v>
      </c>
      <c r="H1229" s="4">
        <f>IF(B1229="RTG Crane",IF(D1229&lt;600,800000,1200000),VLOOKUP(B1229,'$$$ Replace &amp; Retrofit'!$B$10:$C$14,2)*'CHE Model poplulation'!D1229)*E1229</f>
        <v>4569781.462900335</v>
      </c>
      <c r="I1229" s="4">
        <f>E1229*VLOOKUP('CHE Model poplulation'!G1229,'$$$ Replace &amp; Retrofit'!$I$10:$J$15,2)</f>
        <v>500105.33939348225</v>
      </c>
      <c r="J1229" s="4">
        <f>IF(D1229=50,VLOOKUP(0,'$$$ Replace &amp; Retrofit'!$E$10:$F$13,2),IF(D1229&lt;175,VLOOKUP(50,'$$$ Replace &amp; Retrofit'!$E$10:$F$13,2),IF(D1229&lt;400,VLOOKUP(175,'$$$ Replace &amp; Retrofit'!$E$10:$F$13,2),IF(D1229&gt;=400,VLOOKUP(400,'$$$ Replace &amp; Retrofit'!$E$10:$F$13,2),NA))))*E1229</f>
        <v>286686.41548935598</v>
      </c>
    </row>
    <row r="1230" spans="1:10" x14ac:dyDescent="0.25">
      <c r="A1230" s="255" t="s">
        <v>249</v>
      </c>
      <c r="B1230" s="255" t="s">
        <v>208</v>
      </c>
      <c r="C1230" s="256">
        <v>2013</v>
      </c>
      <c r="D1230" s="256">
        <v>100</v>
      </c>
      <c r="E1230">
        <v>7.6495199278532003E-2</v>
      </c>
      <c r="F1230" s="257"/>
      <c r="G1230">
        <f t="shared" si="16"/>
        <v>125</v>
      </c>
      <c r="H1230" s="4">
        <f>IF(B1230="RTG Crane",IF(D1230&lt;600,800000,1200000),VLOOKUP(B1230,'$$$ Replace &amp; Retrofit'!$B$10:$C$14,2)*'CHE Model poplulation'!D1230)*E1230</f>
        <v>6096.6673824990003</v>
      </c>
      <c r="I1230" s="4">
        <f>E1230*VLOOKUP('CHE Model poplulation'!G1230,'$$$ Replace &amp; Retrofit'!$I$10:$J$15,2)</f>
        <v>1509.479767363272</v>
      </c>
      <c r="J1230" s="4">
        <f>IF(D1230=50,VLOOKUP(0,'$$$ Replace &amp; Retrofit'!$E$10:$F$13,2),IF(D1230&lt;175,VLOOKUP(50,'$$$ Replace &amp; Retrofit'!$E$10:$F$13,2),IF(D1230&lt;400,VLOOKUP(175,'$$$ Replace &amp; Retrofit'!$E$10:$F$13,2),IF(D1230&gt;=400,VLOOKUP(400,'$$$ Replace &amp; Retrofit'!$E$10:$F$13,2),NA))))*E1230</f>
        <v>917.94239134238398</v>
      </c>
    </row>
    <row r="1231" spans="1:10" x14ac:dyDescent="0.25">
      <c r="A1231" s="255" t="s">
        <v>249</v>
      </c>
      <c r="B1231" s="255" t="s">
        <v>208</v>
      </c>
      <c r="C1231" s="256">
        <v>2013</v>
      </c>
      <c r="D1231" s="256">
        <v>175</v>
      </c>
      <c r="E1231">
        <v>1.9656017099051699</v>
      </c>
      <c r="F1231" s="257"/>
      <c r="G1231">
        <f t="shared" si="16"/>
        <v>175</v>
      </c>
      <c r="H1231" s="4">
        <f>IF(B1231="RTG Crane",IF(D1231&lt;600,800000,1200000),VLOOKUP(B1231,'$$$ Replace &amp; Retrofit'!$B$10:$C$14,2)*'CHE Model poplulation'!D1231)*E1231</f>
        <v>274152.29848902358</v>
      </c>
      <c r="I1231" s="4">
        <f>E1231*VLOOKUP('CHE Model poplulation'!G1231,'$$$ Replace &amp; Retrofit'!$I$10:$J$15,2)</f>
        <v>48739.059998808596</v>
      </c>
      <c r="J1231" s="4">
        <f>IF(D1231=50,VLOOKUP(0,'$$$ Replace &amp; Retrofit'!$E$10:$F$13,2),IF(D1231&lt;175,VLOOKUP(50,'$$$ Replace &amp; Retrofit'!$E$10:$F$13,2),IF(D1231&lt;400,VLOOKUP(175,'$$$ Replace &amp; Retrofit'!$E$10:$F$13,2),IF(D1231&gt;=400,VLOOKUP(400,'$$$ Replace &amp; Retrofit'!$E$10:$F$13,2),NA))))*E1231</f>
        <v>35380.830778293057</v>
      </c>
    </row>
    <row r="1232" spans="1:10" x14ac:dyDescent="0.25">
      <c r="A1232" s="255" t="s">
        <v>249</v>
      </c>
      <c r="B1232" s="255" t="s">
        <v>208</v>
      </c>
      <c r="C1232" s="256">
        <v>2013</v>
      </c>
      <c r="D1232" s="256">
        <v>300</v>
      </c>
      <c r="E1232">
        <v>5.4320629440291599</v>
      </c>
      <c r="F1232" s="257"/>
      <c r="G1232">
        <f t="shared" si="16"/>
        <v>300</v>
      </c>
      <c r="H1232" s="4">
        <f>IF(B1232="RTG Crane",IF(D1232&lt;600,800000,1200000),VLOOKUP(B1232,'$$$ Replace &amp; Retrofit'!$B$10:$C$14,2)*'CHE Model poplulation'!D1232)*E1232</f>
        <v>1298806.2499173721</v>
      </c>
      <c r="I1232" s="4">
        <f>E1232*VLOOKUP('CHE Model poplulation'!G1232,'$$$ Replace &amp; Retrofit'!$I$10:$J$15,2)</f>
        <v>156242.42645911072</v>
      </c>
      <c r="J1232" s="4">
        <f>IF(D1232=50,VLOOKUP(0,'$$$ Replace &amp; Retrofit'!$E$10:$F$13,2),IF(D1232&lt;175,VLOOKUP(50,'$$$ Replace &amp; Retrofit'!$E$10:$F$13,2),IF(D1232&lt;400,VLOOKUP(175,'$$$ Replace &amp; Retrofit'!$E$10:$F$13,2),IF(D1232&gt;=400,VLOOKUP(400,'$$$ Replace &amp; Retrofit'!$E$10:$F$13,2),NA))))*E1232</f>
        <v>97777.132992524872</v>
      </c>
    </row>
    <row r="1233" spans="1:10" x14ac:dyDescent="0.25">
      <c r="A1233" s="255" t="s">
        <v>249</v>
      </c>
      <c r="B1233" s="255" t="s">
        <v>208</v>
      </c>
      <c r="C1233" s="256">
        <v>2013</v>
      </c>
      <c r="D1233" s="256">
        <v>600</v>
      </c>
      <c r="E1233">
        <v>7.9222819369536701</v>
      </c>
      <c r="F1233" s="257"/>
      <c r="G1233">
        <f t="shared" si="16"/>
        <v>400</v>
      </c>
      <c r="H1233" s="4">
        <f>IF(B1233="RTG Crane",IF(D1233&lt;600,800000,1200000),VLOOKUP(B1233,'$$$ Replace &amp; Retrofit'!$B$10:$C$14,2)*'CHE Model poplulation'!D1233)*E1233</f>
        <v>3788435.2222512448</v>
      </c>
      <c r="I1233" s="4">
        <f>E1233*VLOOKUP('CHE Model poplulation'!G1233,'$$$ Replace &amp; Retrofit'!$I$10:$J$15,2)</f>
        <v>414596.78060659644</v>
      </c>
      <c r="J1233" s="4">
        <f>IF(D1233=50,VLOOKUP(0,'$$$ Replace &amp; Retrofit'!$E$10:$F$13,2),IF(D1233&lt;175,VLOOKUP(50,'$$$ Replace &amp; Retrofit'!$E$10:$F$13,2),IF(D1233&lt;400,VLOOKUP(175,'$$$ Replace &amp; Retrofit'!$E$10:$F$13,2),IF(D1233&gt;=400,VLOOKUP(400,'$$$ Replace &amp; Retrofit'!$E$10:$F$13,2),NA))))*E1233</f>
        <v>237668.4581086101</v>
      </c>
    </row>
    <row r="1234" spans="1:10" x14ac:dyDescent="0.25">
      <c r="A1234" s="255" t="s">
        <v>249</v>
      </c>
      <c r="B1234" s="255" t="s">
        <v>208</v>
      </c>
      <c r="C1234" s="256">
        <v>2014</v>
      </c>
      <c r="D1234" s="256">
        <v>100</v>
      </c>
      <c r="E1234">
        <v>6.8487216016870398E-2</v>
      </c>
      <c r="F1234" s="257"/>
      <c r="G1234">
        <f t="shared" si="16"/>
        <v>125</v>
      </c>
      <c r="H1234" s="4">
        <f>IF(B1234="RTG Crane",IF(D1234&lt;600,800000,1200000),VLOOKUP(B1234,'$$$ Replace &amp; Retrofit'!$B$10:$C$14,2)*'CHE Model poplulation'!D1234)*E1234</f>
        <v>5458.4311165445706</v>
      </c>
      <c r="I1234" s="4">
        <f>E1234*VLOOKUP('CHE Model poplulation'!G1234,'$$$ Replace &amp; Retrofit'!$I$10:$J$15,2)</f>
        <v>1351.4582336609035</v>
      </c>
      <c r="J1234" s="4">
        <f>IF(D1234=50,VLOOKUP(0,'$$$ Replace &amp; Retrofit'!$E$10:$F$13,2),IF(D1234&lt;175,VLOOKUP(50,'$$$ Replace &amp; Retrofit'!$E$10:$F$13,2),IF(D1234&lt;400,VLOOKUP(175,'$$$ Replace &amp; Retrofit'!$E$10:$F$13,2),IF(D1234&gt;=400,VLOOKUP(400,'$$$ Replace &amp; Retrofit'!$E$10:$F$13,2),NA))))*E1234</f>
        <v>821.84659220244475</v>
      </c>
    </row>
    <row r="1235" spans="1:10" x14ac:dyDescent="0.25">
      <c r="A1235" s="255" t="s">
        <v>249</v>
      </c>
      <c r="B1235" s="255" t="s">
        <v>208</v>
      </c>
      <c r="C1235" s="256">
        <v>2014</v>
      </c>
      <c r="D1235" s="256">
        <v>175</v>
      </c>
      <c r="E1235">
        <v>1.6814636915710699</v>
      </c>
      <c r="F1235" s="257"/>
      <c r="G1235">
        <f t="shared" si="16"/>
        <v>175</v>
      </c>
      <c r="H1235" s="4">
        <f>IF(B1235="RTG Crane",IF(D1235&lt;600,800000,1200000),VLOOKUP(B1235,'$$$ Replace &amp; Retrofit'!$B$10:$C$14,2)*'CHE Model poplulation'!D1235)*E1235</f>
        <v>234522.14838187498</v>
      </c>
      <c r="I1235" s="4">
        <f>E1235*VLOOKUP('CHE Model poplulation'!G1235,'$$$ Replace &amp; Retrofit'!$I$10:$J$15,2)</f>
        <v>41693.573696196247</v>
      </c>
      <c r="J1235" s="4">
        <f>IF(D1235=50,VLOOKUP(0,'$$$ Replace &amp; Retrofit'!$E$10:$F$13,2),IF(D1235&lt;175,VLOOKUP(50,'$$$ Replace &amp; Retrofit'!$E$10:$F$13,2),IF(D1235&lt;400,VLOOKUP(175,'$$$ Replace &amp; Retrofit'!$E$10:$F$13,2),IF(D1235&gt;=400,VLOOKUP(400,'$$$ Replace &amp; Retrofit'!$E$10:$F$13,2),NA))))*E1235</f>
        <v>30266.346448279259</v>
      </c>
    </row>
    <row r="1236" spans="1:10" x14ac:dyDescent="0.25">
      <c r="A1236" s="255" t="s">
        <v>249</v>
      </c>
      <c r="B1236" s="255" t="s">
        <v>208</v>
      </c>
      <c r="C1236" s="256">
        <v>2014</v>
      </c>
      <c r="D1236" s="256">
        <v>300</v>
      </c>
      <c r="E1236">
        <v>4.9927759598641597</v>
      </c>
      <c r="F1236" s="257"/>
      <c r="G1236">
        <f t="shared" si="16"/>
        <v>300</v>
      </c>
      <c r="H1236" s="4">
        <f>IF(B1236="RTG Crane",IF(D1236&lt;600,800000,1200000),VLOOKUP(B1236,'$$$ Replace &amp; Retrofit'!$B$10:$C$14,2)*'CHE Model poplulation'!D1236)*E1236</f>
        <v>1193772.7320035205</v>
      </c>
      <c r="I1236" s="4">
        <f>E1236*VLOOKUP('CHE Model poplulation'!G1236,'$$$ Replace &amp; Retrofit'!$I$10:$J$15,2)</f>
        <v>143607.21493357283</v>
      </c>
      <c r="J1236" s="4">
        <f>IF(D1236=50,VLOOKUP(0,'$$$ Replace &amp; Retrofit'!$E$10:$F$13,2),IF(D1236&lt;175,VLOOKUP(50,'$$$ Replace &amp; Retrofit'!$E$10:$F$13,2),IF(D1236&lt;400,VLOOKUP(175,'$$$ Replace &amp; Retrofit'!$E$10:$F$13,2),IF(D1236&gt;=400,VLOOKUP(400,'$$$ Replace &amp; Retrofit'!$E$10:$F$13,2),NA))))*E1236</f>
        <v>89869.967277554868</v>
      </c>
    </row>
    <row r="1237" spans="1:10" x14ac:dyDescent="0.25">
      <c r="A1237" s="255" t="s">
        <v>249</v>
      </c>
      <c r="B1237" s="255" t="s">
        <v>208</v>
      </c>
      <c r="C1237" s="256">
        <v>2014</v>
      </c>
      <c r="D1237" s="256">
        <v>600</v>
      </c>
      <c r="E1237">
        <v>7.6795871196326502</v>
      </c>
      <c r="F1237" s="257"/>
      <c r="G1237">
        <f t="shared" si="16"/>
        <v>400</v>
      </c>
      <c r="H1237" s="4">
        <f>IF(B1237="RTG Crane",IF(D1237&lt;600,800000,1200000),VLOOKUP(B1237,'$$$ Replace &amp; Retrofit'!$B$10:$C$14,2)*'CHE Model poplulation'!D1237)*E1237</f>
        <v>3672378.5606083334</v>
      </c>
      <c r="I1237" s="4">
        <f>E1237*VLOOKUP('CHE Model poplulation'!G1237,'$$$ Replace &amp; Retrofit'!$I$10:$J$15,2)</f>
        <v>401895.83273173549</v>
      </c>
      <c r="J1237" s="4">
        <f>IF(D1237=50,VLOOKUP(0,'$$$ Replace &amp; Retrofit'!$E$10:$F$13,2),IF(D1237&lt;175,VLOOKUP(50,'$$$ Replace &amp; Retrofit'!$E$10:$F$13,2),IF(D1237&lt;400,VLOOKUP(175,'$$$ Replace &amp; Retrofit'!$E$10:$F$13,2),IF(D1237&gt;=400,VLOOKUP(400,'$$$ Replace &amp; Retrofit'!$E$10:$F$13,2),NA))))*E1237</f>
        <v>230387.6135889795</v>
      </c>
    </row>
    <row r="1238" spans="1:10" x14ac:dyDescent="0.25">
      <c r="A1238" s="255" t="s">
        <v>249</v>
      </c>
      <c r="B1238" s="255" t="s">
        <v>208</v>
      </c>
      <c r="C1238" s="256">
        <v>2015</v>
      </c>
      <c r="D1238" s="256">
        <v>100</v>
      </c>
      <c r="E1238">
        <v>4.9348240263376898E-2</v>
      </c>
      <c r="F1238" s="257"/>
      <c r="G1238">
        <f t="shared" si="16"/>
        <v>125</v>
      </c>
      <c r="H1238" s="4">
        <f>IF(B1238="RTG Crane",IF(D1238&lt;600,800000,1200000),VLOOKUP(B1238,'$$$ Replace &amp; Retrofit'!$B$10:$C$14,2)*'CHE Model poplulation'!D1238)*E1238</f>
        <v>3933.0547489911387</v>
      </c>
      <c r="I1238" s="4">
        <f>E1238*VLOOKUP('CHE Model poplulation'!G1238,'$$$ Replace &amp; Retrofit'!$I$10:$J$15,2)</f>
        <v>973.78882511721633</v>
      </c>
      <c r="J1238" s="4">
        <f>IF(D1238=50,VLOOKUP(0,'$$$ Replace &amp; Retrofit'!$E$10:$F$13,2),IF(D1238&lt;175,VLOOKUP(50,'$$$ Replace &amp; Retrofit'!$E$10:$F$13,2),IF(D1238&lt;400,VLOOKUP(175,'$$$ Replace &amp; Retrofit'!$E$10:$F$13,2),IF(D1238&gt;=400,VLOOKUP(400,'$$$ Replace &amp; Retrofit'!$E$10:$F$13,2),NA))))*E1238</f>
        <v>592.17888316052279</v>
      </c>
    </row>
    <row r="1239" spans="1:10" x14ac:dyDescent="0.25">
      <c r="A1239" s="255" t="s">
        <v>249</v>
      </c>
      <c r="B1239" s="255" t="s">
        <v>208</v>
      </c>
      <c r="C1239" s="256">
        <v>2015</v>
      </c>
      <c r="D1239" s="256">
        <v>175</v>
      </c>
      <c r="E1239">
        <v>1.21602769485213</v>
      </c>
      <c r="F1239" s="257"/>
      <c r="G1239">
        <f t="shared" si="16"/>
        <v>175</v>
      </c>
      <c r="H1239" s="4">
        <f>IF(B1239="RTG Crane",IF(D1239&lt;600,800000,1200000),VLOOKUP(B1239,'$$$ Replace &amp; Retrofit'!$B$10:$C$14,2)*'CHE Model poplulation'!D1239)*E1239</f>
        <v>169605.46273950083</v>
      </c>
      <c r="I1239" s="4">
        <f>E1239*VLOOKUP('CHE Model poplulation'!G1239,'$$$ Replace &amp; Retrofit'!$I$10:$J$15,2)</f>
        <v>30152.622721553416</v>
      </c>
      <c r="J1239" s="4">
        <f>IF(D1239=50,VLOOKUP(0,'$$$ Replace &amp; Retrofit'!$E$10:$F$13,2),IF(D1239&lt;175,VLOOKUP(50,'$$$ Replace &amp; Retrofit'!$E$10:$F$13,2),IF(D1239&lt;400,VLOOKUP(175,'$$$ Replace &amp; Retrofit'!$E$10:$F$13,2),IF(D1239&gt;=400,VLOOKUP(400,'$$$ Replace &amp; Retrofit'!$E$10:$F$13,2),NA))))*E1239</f>
        <v>21888.49850733834</v>
      </c>
    </row>
    <row r="1240" spans="1:10" x14ac:dyDescent="0.25">
      <c r="A1240" s="255" t="s">
        <v>249</v>
      </c>
      <c r="B1240" s="255" t="s">
        <v>208</v>
      </c>
      <c r="C1240" s="256">
        <v>2015</v>
      </c>
      <c r="D1240" s="256">
        <v>300</v>
      </c>
      <c r="E1240">
        <v>3.5719447910562501</v>
      </c>
      <c r="F1240" s="257"/>
      <c r="G1240">
        <f t="shared" si="16"/>
        <v>300</v>
      </c>
      <c r="H1240" s="4">
        <f>IF(B1240="RTG Crane",IF(D1240&lt;600,800000,1200000),VLOOKUP(B1240,'$$$ Replace &amp; Retrofit'!$B$10:$C$14,2)*'CHE Model poplulation'!D1240)*E1240</f>
        <v>854051.99954154936</v>
      </c>
      <c r="I1240" s="4">
        <f>E1240*VLOOKUP('CHE Model poplulation'!G1240,'$$$ Replace &amp; Retrofit'!$I$10:$J$15,2)</f>
        <v>102739.84802515092</v>
      </c>
      <c r="J1240" s="4">
        <f>IF(D1240=50,VLOOKUP(0,'$$$ Replace &amp; Retrofit'!$E$10:$F$13,2),IF(D1240&lt;175,VLOOKUP(50,'$$$ Replace &amp; Retrofit'!$E$10:$F$13,2),IF(D1240&lt;400,VLOOKUP(175,'$$$ Replace &amp; Retrofit'!$E$10:$F$13,2),IF(D1240&gt;=400,VLOOKUP(400,'$$$ Replace &amp; Retrofit'!$E$10:$F$13,2),NA))))*E1240</f>
        <v>64295.006239012502</v>
      </c>
    </row>
    <row r="1241" spans="1:10" x14ac:dyDescent="0.25">
      <c r="A1241" s="255" t="s">
        <v>249</v>
      </c>
      <c r="B1241" s="255" t="s">
        <v>208</v>
      </c>
      <c r="C1241" s="256">
        <v>2015</v>
      </c>
      <c r="D1241" s="256">
        <v>600</v>
      </c>
      <c r="E1241">
        <v>5.4107033381722403</v>
      </c>
      <c r="F1241" s="257"/>
      <c r="G1241">
        <f t="shared" si="16"/>
        <v>400</v>
      </c>
      <c r="H1241" s="4">
        <f>IF(B1241="RTG Crane",IF(D1241&lt;600,800000,1200000),VLOOKUP(B1241,'$$$ Replace &amp; Retrofit'!$B$10:$C$14,2)*'CHE Model poplulation'!D1241)*E1241</f>
        <v>2587398.3363139653</v>
      </c>
      <c r="I1241" s="4">
        <f>E1241*VLOOKUP('CHE Model poplulation'!G1241,'$$$ Replace &amp; Retrofit'!$I$10:$J$15,2)</f>
        <v>283158.33779656782</v>
      </c>
      <c r="J1241" s="4">
        <f>IF(D1241=50,VLOOKUP(0,'$$$ Replace &amp; Retrofit'!$E$10:$F$13,2),IF(D1241&lt;175,VLOOKUP(50,'$$$ Replace &amp; Retrofit'!$E$10:$F$13,2),IF(D1241&lt;400,VLOOKUP(175,'$$$ Replace &amp; Retrofit'!$E$10:$F$13,2),IF(D1241&gt;=400,VLOOKUP(400,'$$$ Replace &amp; Retrofit'!$E$10:$F$13,2),NA))))*E1241</f>
        <v>162321.10014516721</v>
      </c>
    </row>
    <row r="1242" spans="1:10" x14ac:dyDescent="0.25">
      <c r="A1242" s="255" t="s">
        <v>249</v>
      </c>
      <c r="B1242" s="255" t="s">
        <v>208</v>
      </c>
      <c r="C1242" s="256">
        <v>2016</v>
      </c>
      <c r="D1242" s="256">
        <v>100</v>
      </c>
      <c r="E1242">
        <v>2.08760041205816E-2</v>
      </c>
      <c r="F1242" s="257"/>
      <c r="G1242">
        <f t="shared" si="16"/>
        <v>125</v>
      </c>
      <c r="H1242" s="4">
        <f>IF(B1242="RTG Crane",IF(D1242&lt;600,800000,1200000),VLOOKUP(B1242,'$$$ Replace &amp; Retrofit'!$B$10:$C$14,2)*'CHE Model poplulation'!D1242)*E1242</f>
        <v>1663.8175284103536</v>
      </c>
      <c r="I1242" s="4">
        <f>E1242*VLOOKUP('CHE Model poplulation'!G1242,'$$$ Replace &amp; Retrofit'!$I$10:$J$15,2)</f>
        <v>411.94618931143674</v>
      </c>
      <c r="J1242" s="4">
        <f>IF(D1242=50,VLOOKUP(0,'$$$ Replace &amp; Retrofit'!$E$10:$F$13,2),IF(D1242&lt;175,VLOOKUP(50,'$$$ Replace &amp; Retrofit'!$E$10:$F$13,2),IF(D1242&lt;400,VLOOKUP(175,'$$$ Replace &amp; Retrofit'!$E$10:$F$13,2),IF(D1242&gt;=400,VLOOKUP(400,'$$$ Replace &amp; Retrofit'!$E$10:$F$13,2),NA))))*E1242</f>
        <v>250.5120494469792</v>
      </c>
    </row>
    <row r="1243" spans="1:10" x14ac:dyDescent="0.25">
      <c r="A1243" s="255" t="s">
        <v>249</v>
      </c>
      <c r="B1243" s="255" t="s">
        <v>208</v>
      </c>
      <c r="C1243" s="256">
        <v>2016</v>
      </c>
      <c r="D1243" s="256">
        <v>175</v>
      </c>
      <c r="E1243">
        <v>0.62084059026252802</v>
      </c>
      <c r="F1243" s="257"/>
      <c r="G1243">
        <f t="shared" si="16"/>
        <v>175</v>
      </c>
      <c r="H1243" s="4">
        <f>IF(B1243="RTG Crane",IF(D1243&lt;600,800000,1200000),VLOOKUP(B1243,'$$$ Replace &amp; Retrofit'!$B$10:$C$14,2)*'CHE Model poplulation'!D1243)*E1243</f>
        <v>86591.741326866089</v>
      </c>
      <c r="I1243" s="4">
        <f>E1243*VLOOKUP('CHE Model poplulation'!G1243,'$$$ Replace &amp; Retrofit'!$I$10:$J$15,2)</f>
        <v>15394.363276149645</v>
      </c>
      <c r="J1243" s="4">
        <f>IF(D1243=50,VLOOKUP(0,'$$$ Replace &amp; Retrofit'!$E$10:$F$13,2),IF(D1243&lt;175,VLOOKUP(50,'$$$ Replace &amp; Retrofit'!$E$10:$F$13,2),IF(D1243&lt;400,VLOOKUP(175,'$$$ Replace &amp; Retrofit'!$E$10:$F$13,2),IF(D1243&gt;=400,VLOOKUP(400,'$$$ Replace &amp; Retrofit'!$E$10:$F$13,2),NA))))*E1243</f>
        <v>11175.130624725505</v>
      </c>
    </row>
    <row r="1244" spans="1:10" x14ac:dyDescent="0.25">
      <c r="A1244" s="255" t="s">
        <v>249</v>
      </c>
      <c r="B1244" s="255" t="s">
        <v>208</v>
      </c>
      <c r="C1244" s="256">
        <v>2016</v>
      </c>
      <c r="D1244" s="256">
        <v>300</v>
      </c>
      <c r="E1244">
        <v>2.1329233687659999</v>
      </c>
      <c r="F1244" s="257"/>
      <c r="G1244">
        <f t="shared" si="16"/>
        <v>300</v>
      </c>
      <c r="H1244" s="4">
        <f>IF(B1244="RTG Crane",IF(D1244&lt;600,800000,1200000),VLOOKUP(B1244,'$$$ Replace &amp; Retrofit'!$B$10:$C$14,2)*'CHE Model poplulation'!D1244)*E1244</f>
        <v>509981.97747195058</v>
      </c>
      <c r="I1244" s="4">
        <f>E1244*VLOOKUP('CHE Model poplulation'!G1244,'$$$ Replace &amp; Retrofit'!$I$10:$J$15,2)</f>
        <v>61349.274855816453</v>
      </c>
      <c r="J1244" s="4">
        <f>IF(D1244=50,VLOOKUP(0,'$$$ Replace &amp; Retrofit'!$E$10:$F$13,2),IF(D1244&lt;175,VLOOKUP(50,'$$$ Replace &amp; Retrofit'!$E$10:$F$13,2),IF(D1244&lt;400,VLOOKUP(175,'$$$ Replace &amp; Retrofit'!$E$10:$F$13,2),IF(D1244&gt;=400,VLOOKUP(400,'$$$ Replace &amp; Retrofit'!$E$10:$F$13,2),NA))))*E1244</f>
        <v>38392.620637788001</v>
      </c>
    </row>
    <row r="1245" spans="1:10" x14ac:dyDescent="0.25">
      <c r="A1245" s="255" t="s">
        <v>249</v>
      </c>
      <c r="B1245" s="255" t="s">
        <v>208</v>
      </c>
      <c r="C1245" s="256">
        <v>2016</v>
      </c>
      <c r="D1245" s="256">
        <v>600</v>
      </c>
      <c r="E1245">
        <v>3.40753307975264</v>
      </c>
      <c r="F1245" s="257"/>
      <c r="G1245">
        <f t="shared" si="16"/>
        <v>400</v>
      </c>
      <c r="H1245" s="4">
        <f>IF(B1245="RTG Crane",IF(D1245&lt;600,800000,1200000),VLOOKUP(B1245,'$$$ Replace &amp; Retrofit'!$B$10:$C$14,2)*'CHE Model poplulation'!D1245)*E1245</f>
        <v>1629482.3187377125</v>
      </c>
      <c r="I1245" s="4">
        <f>E1245*VLOOKUP('CHE Model poplulation'!G1245,'$$$ Replace &amp; Retrofit'!$I$10:$J$15,2)</f>
        <v>178326.4286626949</v>
      </c>
      <c r="J1245" s="4">
        <f>IF(D1245=50,VLOOKUP(0,'$$$ Replace &amp; Retrofit'!$E$10:$F$13,2),IF(D1245&lt;175,VLOOKUP(50,'$$$ Replace &amp; Retrofit'!$E$10:$F$13,2),IF(D1245&lt;400,VLOOKUP(175,'$$$ Replace &amp; Retrofit'!$E$10:$F$13,2),IF(D1245&gt;=400,VLOOKUP(400,'$$$ Replace &amp; Retrofit'!$E$10:$F$13,2),NA))))*E1245</f>
        <v>102225.9923925792</v>
      </c>
    </row>
    <row r="1246" spans="1:10" x14ac:dyDescent="0.25">
      <c r="A1246" s="255" t="s">
        <v>249</v>
      </c>
      <c r="B1246" s="255" t="s">
        <v>208</v>
      </c>
      <c r="C1246" s="256">
        <v>2017</v>
      </c>
      <c r="D1246" s="256">
        <v>100</v>
      </c>
      <c r="E1246">
        <v>0</v>
      </c>
      <c r="F1246" s="257"/>
      <c r="G1246">
        <f t="shared" si="16"/>
        <v>125</v>
      </c>
      <c r="H1246" s="4">
        <f>IF(B1246="RTG Crane",IF(D1246&lt;600,800000,1200000),VLOOKUP(B1246,'$$$ Replace &amp; Retrofit'!$B$10:$C$14,2)*'CHE Model poplulation'!D1246)*E1246</f>
        <v>0</v>
      </c>
      <c r="I1246" s="4">
        <f>E1246*VLOOKUP('CHE Model poplulation'!G1246,'$$$ Replace &amp; Retrofit'!$I$10:$J$15,2)</f>
        <v>0</v>
      </c>
      <c r="J1246" s="4">
        <f>IF(D1246=50,VLOOKUP(0,'$$$ Replace &amp; Retrofit'!$E$10:$F$13,2),IF(D1246&lt;175,VLOOKUP(50,'$$$ Replace &amp; Retrofit'!$E$10:$F$13,2),IF(D1246&lt;400,VLOOKUP(175,'$$$ Replace &amp; Retrofit'!$E$10:$F$13,2),IF(D1246&gt;=400,VLOOKUP(400,'$$$ Replace &amp; Retrofit'!$E$10:$F$13,2),NA))))*E1246</f>
        <v>0</v>
      </c>
    </row>
    <row r="1247" spans="1:10" x14ac:dyDescent="0.25">
      <c r="A1247" s="255" t="s">
        <v>249</v>
      </c>
      <c r="B1247" s="255" t="s">
        <v>208</v>
      </c>
      <c r="C1247" s="256">
        <v>2017</v>
      </c>
      <c r="D1247" s="256">
        <v>175</v>
      </c>
      <c r="E1247">
        <v>8.7945514293706895E-2</v>
      </c>
      <c r="F1247" s="257"/>
      <c r="G1247">
        <f t="shared" si="16"/>
        <v>175</v>
      </c>
      <c r="H1247" s="4">
        <f>IF(B1247="RTG Crane",IF(D1247&lt;600,800000,1200000),VLOOKUP(B1247,'$$$ Replace &amp; Retrofit'!$B$10:$C$14,2)*'CHE Model poplulation'!D1247)*E1247</f>
        <v>12266.200606114769</v>
      </c>
      <c r="I1247" s="4">
        <f>E1247*VLOOKUP('CHE Model poplulation'!G1247,'$$$ Replace &amp; Retrofit'!$I$10:$J$15,2)</f>
        <v>2180.696972426756</v>
      </c>
      <c r="J1247" s="4">
        <f>IF(D1247=50,VLOOKUP(0,'$$$ Replace &amp; Retrofit'!$E$10:$F$13,2),IF(D1247&lt;175,VLOOKUP(50,'$$$ Replace &amp; Retrofit'!$E$10:$F$13,2),IF(D1247&lt;400,VLOOKUP(175,'$$$ Replace &amp; Retrofit'!$E$10:$F$13,2),IF(D1247&gt;=400,VLOOKUP(400,'$$$ Replace &amp; Retrofit'!$E$10:$F$13,2),NA))))*E1247</f>
        <v>1583.019257286724</v>
      </c>
    </row>
    <row r="1248" spans="1:10" x14ac:dyDescent="0.25">
      <c r="A1248" s="255" t="s">
        <v>249</v>
      </c>
      <c r="B1248" s="255" t="s">
        <v>208</v>
      </c>
      <c r="C1248" s="256">
        <v>2017</v>
      </c>
      <c r="D1248" s="256">
        <v>300</v>
      </c>
      <c r="E1248">
        <v>0.78489340797519602</v>
      </c>
      <c r="F1248" s="257"/>
      <c r="G1248">
        <f t="shared" si="16"/>
        <v>300</v>
      </c>
      <c r="H1248" s="4">
        <f>IF(B1248="RTG Crane",IF(D1248&lt;600,800000,1200000),VLOOKUP(B1248,'$$$ Replace &amp; Retrofit'!$B$10:$C$14,2)*'CHE Model poplulation'!D1248)*E1248</f>
        <v>187668.01384686938</v>
      </c>
      <c r="I1248" s="4">
        <f>E1248*VLOOKUP('CHE Model poplulation'!G1248,'$$$ Replace &amp; Retrofit'!$I$10:$J$15,2)</f>
        <v>22575.889093590562</v>
      </c>
      <c r="J1248" s="4">
        <f>IF(D1248=50,VLOOKUP(0,'$$$ Replace &amp; Retrofit'!$E$10:$F$13,2),IF(D1248&lt;175,VLOOKUP(50,'$$$ Replace &amp; Retrofit'!$E$10:$F$13,2),IF(D1248&lt;400,VLOOKUP(175,'$$$ Replace &amp; Retrofit'!$E$10:$F$13,2),IF(D1248&gt;=400,VLOOKUP(400,'$$$ Replace &amp; Retrofit'!$E$10:$F$13,2),NA))))*E1248</f>
        <v>14128.081343553529</v>
      </c>
    </row>
    <row r="1249" spans="1:10" x14ac:dyDescent="0.25">
      <c r="A1249" s="255" t="s">
        <v>249</v>
      </c>
      <c r="B1249" s="255" t="s">
        <v>208</v>
      </c>
      <c r="C1249" s="256">
        <v>2017</v>
      </c>
      <c r="D1249" s="256">
        <v>600</v>
      </c>
      <c r="E1249">
        <v>1.65800714911268</v>
      </c>
      <c r="F1249" s="257"/>
      <c r="G1249">
        <f t="shared" si="16"/>
        <v>400</v>
      </c>
      <c r="H1249" s="4">
        <f>IF(B1249="RTG Crane",IF(D1249&lt;600,800000,1200000),VLOOKUP(B1249,'$$$ Replace &amp; Retrofit'!$B$10:$C$14,2)*'CHE Model poplulation'!D1249)*E1249</f>
        <v>792859.01870568353</v>
      </c>
      <c r="I1249" s="4">
        <f>E1249*VLOOKUP('CHE Model poplulation'!G1249,'$$$ Replace &amp; Retrofit'!$I$10:$J$15,2)</f>
        <v>86768.488134513886</v>
      </c>
      <c r="J1249" s="4">
        <f>IF(D1249=50,VLOOKUP(0,'$$$ Replace &amp; Retrofit'!$E$10:$F$13,2),IF(D1249&lt;175,VLOOKUP(50,'$$$ Replace &amp; Retrofit'!$E$10:$F$13,2),IF(D1249&lt;400,VLOOKUP(175,'$$$ Replace &amp; Retrofit'!$E$10:$F$13,2),IF(D1249&gt;=400,VLOOKUP(400,'$$$ Replace &amp; Retrofit'!$E$10:$F$13,2),NA))))*E1249</f>
        <v>49740.214473380402</v>
      </c>
    </row>
    <row r="1250" spans="1:10" x14ac:dyDescent="0.25">
      <c r="A1250" s="255" t="s">
        <v>249</v>
      </c>
      <c r="B1250" s="255" t="s">
        <v>208</v>
      </c>
      <c r="C1250" s="256">
        <v>2018</v>
      </c>
      <c r="D1250" s="256">
        <v>100</v>
      </c>
      <c r="E1250">
        <v>0</v>
      </c>
      <c r="F1250" s="257"/>
      <c r="I1250" s="4"/>
    </row>
    <row r="1251" spans="1:10" x14ac:dyDescent="0.25">
      <c r="A1251" s="255" t="s">
        <v>249</v>
      </c>
      <c r="B1251" s="255" t="s">
        <v>208</v>
      </c>
      <c r="C1251" s="256">
        <v>2018</v>
      </c>
      <c r="D1251" s="256">
        <v>175</v>
      </c>
      <c r="E1251">
        <v>0</v>
      </c>
      <c r="F1251" s="257"/>
      <c r="I1251" s="4"/>
    </row>
    <row r="1252" spans="1:10" x14ac:dyDescent="0.25">
      <c r="A1252" s="255" t="s">
        <v>249</v>
      </c>
      <c r="B1252" s="255" t="s">
        <v>208</v>
      </c>
      <c r="C1252" s="256">
        <v>2018</v>
      </c>
      <c r="D1252" s="256">
        <v>300</v>
      </c>
      <c r="E1252">
        <v>0</v>
      </c>
      <c r="F1252" s="257"/>
      <c r="I1252" s="4"/>
    </row>
    <row r="1253" spans="1:10" x14ac:dyDescent="0.25">
      <c r="A1253" s="255" t="s">
        <v>249</v>
      </c>
      <c r="B1253" s="255" t="s">
        <v>208</v>
      </c>
      <c r="C1253" s="256">
        <v>2018</v>
      </c>
      <c r="D1253" s="256">
        <v>600</v>
      </c>
      <c r="E1253">
        <v>0</v>
      </c>
      <c r="F1253" s="257"/>
      <c r="I1253" s="4"/>
    </row>
    <row r="1254" spans="1:10" x14ac:dyDescent="0.25">
      <c r="A1254" s="255" t="s">
        <v>249</v>
      </c>
      <c r="B1254" s="255" t="s">
        <v>208</v>
      </c>
      <c r="C1254" s="256">
        <v>2019</v>
      </c>
      <c r="D1254" s="256">
        <v>100</v>
      </c>
      <c r="E1254">
        <v>0</v>
      </c>
      <c r="F1254" s="257"/>
      <c r="I1254" s="4"/>
    </row>
    <row r="1255" spans="1:10" x14ac:dyDescent="0.25">
      <c r="A1255" s="255" t="s">
        <v>249</v>
      </c>
      <c r="B1255" s="255" t="s">
        <v>208</v>
      </c>
      <c r="C1255" s="256">
        <v>2019</v>
      </c>
      <c r="D1255" s="256">
        <v>175</v>
      </c>
      <c r="E1255">
        <v>0</v>
      </c>
      <c r="F1255" s="257"/>
      <c r="I1255" s="4"/>
    </row>
    <row r="1256" spans="1:10" x14ac:dyDescent="0.25">
      <c r="A1256" s="255" t="s">
        <v>249</v>
      </c>
      <c r="B1256" s="255" t="s">
        <v>208</v>
      </c>
      <c r="C1256" s="256">
        <v>2019</v>
      </c>
      <c r="D1256" s="256">
        <v>300</v>
      </c>
      <c r="E1256">
        <v>0</v>
      </c>
      <c r="F1256" s="257"/>
      <c r="I1256" s="4"/>
    </row>
    <row r="1257" spans="1:10" x14ac:dyDescent="0.25">
      <c r="A1257" s="255" t="s">
        <v>249</v>
      </c>
      <c r="B1257" s="255" t="s">
        <v>208</v>
      </c>
      <c r="C1257" s="256">
        <v>2019</v>
      </c>
      <c r="D1257" s="256">
        <v>600</v>
      </c>
      <c r="E1257">
        <v>0</v>
      </c>
      <c r="F1257" s="257"/>
      <c r="I1257" s="4"/>
    </row>
    <row r="1258" spans="1:10" x14ac:dyDescent="0.25">
      <c r="A1258" s="255" t="s">
        <v>249</v>
      </c>
      <c r="B1258" s="255" t="s">
        <v>208</v>
      </c>
      <c r="C1258" s="256">
        <v>2020</v>
      </c>
      <c r="D1258" s="256">
        <v>100</v>
      </c>
      <c r="E1258">
        <v>0</v>
      </c>
      <c r="F1258" s="257"/>
      <c r="I1258" s="4"/>
    </row>
    <row r="1259" spans="1:10" x14ac:dyDescent="0.25">
      <c r="A1259" s="255" t="s">
        <v>249</v>
      </c>
      <c r="B1259" s="255" t="s">
        <v>208</v>
      </c>
      <c r="C1259" s="256">
        <v>2020</v>
      </c>
      <c r="D1259" s="256">
        <v>175</v>
      </c>
      <c r="E1259">
        <v>0</v>
      </c>
      <c r="F1259" s="257"/>
      <c r="I1259" s="4"/>
    </row>
    <row r="1260" spans="1:10" x14ac:dyDescent="0.25">
      <c r="A1260" s="255" t="s">
        <v>249</v>
      </c>
      <c r="B1260" s="255" t="s">
        <v>208</v>
      </c>
      <c r="C1260" s="256">
        <v>2020</v>
      </c>
      <c r="D1260" s="256">
        <v>300</v>
      </c>
      <c r="E1260">
        <v>0</v>
      </c>
      <c r="F1260" s="257"/>
      <c r="I1260" s="4"/>
    </row>
    <row r="1261" spans="1:10" x14ac:dyDescent="0.25">
      <c r="A1261" s="255" t="s">
        <v>249</v>
      </c>
      <c r="B1261" s="255" t="s">
        <v>208</v>
      </c>
      <c r="C1261" s="256">
        <v>2020</v>
      </c>
      <c r="D1261" s="256">
        <v>600</v>
      </c>
      <c r="E1261">
        <v>0</v>
      </c>
      <c r="F1261" s="257"/>
      <c r="I1261" s="4"/>
    </row>
    <row r="1262" spans="1:10" x14ac:dyDescent="0.25">
      <c r="A1262" s="255" t="s">
        <v>249</v>
      </c>
      <c r="B1262" s="255" t="s">
        <v>208</v>
      </c>
      <c r="C1262" s="256">
        <v>2021</v>
      </c>
      <c r="D1262" s="256">
        <v>100</v>
      </c>
      <c r="E1262">
        <v>0</v>
      </c>
      <c r="F1262" s="257"/>
      <c r="I1262" s="4"/>
    </row>
    <row r="1263" spans="1:10" x14ac:dyDescent="0.25">
      <c r="A1263" s="255" t="s">
        <v>249</v>
      </c>
      <c r="B1263" s="255" t="s">
        <v>208</v>
      </c>
      <c r="C1263" s="256">
        <v>2021</v>
      </c>
      <c r="D1263" s="256">
        <v>175</v>
      </c>
      <c r="E1263">
        <v>0</v>
      </c>
      <c r="F1263" s="257"/>
      <c r="I1263" s="4"/>
    </row>
    <row r="1264" spans="1:10" x14ac:dyDescent="0.25">
      <c r="A1264" s="255" t="s">
        <v>249</v>
      </c>
      <c r="B1264" s="255" t="s">
        <v>208</v>
      </c>
      <c r="C1264" s="256">
        <v>2021</v>
      </c>
      <c r="D1264" s="256">
        <v>300</v>
      </c>
      <c r="E1264">
        <v>0</v>
      </c>
      <c r="F1264" s="257"/>
      <c r="I1264" s="4"/>
    </row>
    <row r="1265" spans="1:9" x14ac:dyDescent="0.25">
      <c r="A1265" s="255" t="s">
        <v>249</v>
      </c>
      <c r="B1265" s="255" t="s">
        <v>208</v>
      </c>
      <c r="C1265" s="256">
        <v>2021</v>
      </c>
      <c r="D1265" s="256">
        <v>600</v>
      </c>
      <c r="E1265">
        <v>0</v>
      </c>
      <c r="F1265" s="257"/>
      <c r="I1265" s="4"/>
    </row>
    <row r="1266" spans="1:9" x14ac:dyDescent="0.25">
      <c r="A1266" s="255" t="s">
        <v>249</v>
      </c>
      <c r="B1266" s="255" t="s">
        <v>208</v>
      </c>
      <c r="C1266" s="256">
        <v>2022</v>
      </c>
      <c r="D1266" s="256">
        <v>100</v>
      </c>
      <c r="E1266">
        <v>0</v>
      </c>
      <c r="F1266" s="257"/>
      <c r="I1266" s="4"/>
    </row>
    <row r="1267" spans="1:9" x14ac:dyDescent="0.25">
      <c r="A1267" s="255" t="s">
        <v>249</v>
      </c>
      <c r="B1267" s="255" t="s">
        <v>208</v>
      </c>
      <c r="C1267" s="256">
        <v>2022</v>
      </c>
      <c r="D1267" s="256">
        <v>175</v>
      </c>
      <c r="E1267">
        <v>0</v>
      </c>
      <c r="F1267" s="257"/>
      <c r="I1267" s="4"/>
    </row>
    <row r="1268" spans="1:9" x14ac:dyDescent="0.25">
      <c r="A1268" s="255" t="s">
        <v>249</v>
      </c>
      <c r="B1268" s="255" t="s">
        <v>208</v>
      </c>
      <c r="C1268" s="256">
        <v>2022</v>
      </c>
      <c r="D1268" s="256">
        <v>300</v>
      </c>
      <c r="E1268">
        <v>0</v>
      </c>
      <c r="F1268" s="257"/>
      <c r="I1268" s="4"/>
    </row>
    <row r="1269" spans="1:9" x14ac:dyDescent="0.25">
      <c r="A1269" s="255" t="s">
        <v>249</v>
      </c>
      <c r="B1269" s="255" t="s">
        <v>208</v>
      </c>
      <c r="C1269" s="256">
        <v>2022</v>
      </c>
      <c r="D1269" s="256">
        <v>600</v>
      </c>
      <c r="E1269">
        <v>0</v>
      </c>
      <c r="F1269" s="257"/>
      <c r="I1269" s="4"/>
    </row>
    <row r="1270" spans="1:9" x14ac:dyDescent="0.25">
      <c r="A1270" s="255" t="s">
        <v>249</v>
      </c>
      <c r="B1270" s="255" t="s">
        <v>208</v>
      </c>
      <c r="C1270" s="256">
        <v>2023</v>
      </c>
      <c r="D1270" s="256">
        <v>100</v>
      </c>
      <c r="E1270">
        <v>0</v>
      </c>
      <c r="F1270" s="257"/>
      <c r="I1270" s="4"/>
    </row>
    <row r="1271" spans="1:9" x14ac:dyDescent="0.25">
      <c r="A1271" s="255" t="s">
        <v>249</v>
      </c>
      <c r="B1271" s="255" t="s">
        <v>208</v>
      </c>
      <c r="C1271" s="256">
        <v>2023</v>
      </c>
      <c r="D1271" s="256">
        <v>175</v>
      </c>
      <c r="E1271">
        <v>0</v>
      </c>
      <c r="F1271" s="257"/>
      <c r="I1271" s="4"/>
    </row>
    <row r="1272" spans="1:9" x14ac:dyDescent="0.25">
      <c r="A1272" s="255" t="s">
        <v>249</v>
      </c>
      <c r="B1272" s="255" t="s">
        <v>208</v>
      </c>
      <c r="C1272" s="256">
        <v>2023</v>
      </c>
      <c r="D1272" s="256">
        <v>300</v>
      </c>
      <c r="E1272">
        <v>0</v>
      </c>
      <c r="F1272" s="257"/>
      <c r="I1272" s="4"/>
    </row>
    <row r="1273" spans="1:9" x14ac:dyDescent="0.25">
      <c r="A1273" s="255" t="s">
        <v>249</v>
      </c>
      <c r="B1273" s="255" t="s">
        <v>208</v>
      </c>
      <c r="C1273" s="256">
        <v>2023</v>
      </c>
      <c r="D1273" s="256">
        <v>600</v>
      </c>
      <c r="E1273">
        <v>0</v>
      </c>
      <c r="F1273" s="257"/>
      <c r="I1273" s="4"/>
    </row>
    <row r="1274" spans="1:9" x14ac:dyDescent="0.25">
      <c r="A1274" s="255" t="s">
        <v>249</v>
      </c>
      <c r="B1274" s="255" t="s">
        <v>208</v>
      </c>
      <c r="C1274" s="256">
        <v>2024</v>
      </c>
      <c r="D1274" s="256">
        <v>100</v>
      </c>
      <c r="E1274">
        <v>0</v>
      </c>
      <c r="F1274" s="257"/>
      <c r="I1274" s="4"/>
    </row>
    <row r="1275" spans="1:9" x14ac:dyDescent="0.25">
      <c r="A1275" s="255" t="s">
        <v>249</v>
      </c>
      <c r="B1275" s="255" t="s">
        <v>208</v>
      </c>
      <c r="C1275" s="256">
        <v>2024</v>
      </c>
      <c r="D1275" s="256">
        <v>175</v>
      </c>
      <c r="E1275">
        <v>0</v>
      </c>
      <c r="F1275" s="257"/>
      <c r="I1275" s="4"/>
    </row>
    <row r="1276" spans="1:9" x14ac:dyDescent="0.25">
      <c r="A1276" s="255" t="s">
        <v>249</v>
      </c>
      <c r="B1276" s="255" t="s">
        <v>208</v>
      </c>
      <c r="C1276" s="256">
        <v>2024</v>
      </c>
      <c r="D1276" s="256">
        <v>300</v>
      </c>
      <c r="E1276">
        <v>0</v>
      </c>
      <c r="F1276" s="257"/>
      <c r="I1276" s="4"/>
    </row>
    <row r="1277" spans="1:9" x14ac:dyDescent="0.25">
      <c r="A1277" s="255" t="s">
        <v>249</v>
      </c>
      <c r="B1277" s="255" t="s">
        <v>208</v>
      </c>
      <c r="C1277" s="256">
        <v>2024</v>
      </c>
      <c r="D1277" s="256">
        <v>600</v>
      </c>
      <c r="E1277">
        <v>0</v>
      </c>
      <c r="F1277" s="257"/>
      <c r="I1277" s="4"/>
    </row>
    <row r="1278" spans="1:9" x14ac:dyDescent="0.25">
      <c r="A1278" s="255" t="s">
        <v>249</v>
      </c>
      <c r="B1278" s="255" t="s">
        <v>208</v>
      </c>
      <c r="C1278" s="256">
        <v>2025</v>
      </c>
      <c r="D1278" s="256">
        <v>100</v>
      </c>
      <c r="E1278">
        <v>0</v>
      </c>
      <c r="F1278" s="257"/>
      <c r="I1278" s="4"/>
    </row>
    <row r="1279" spans="1:9" x14ac:dyDescent="0.25">
      <c r="A1279" s="255" t="s">
        <v>249</v>
      </c>
      <c r="B1279" s="255" t="s">
        <v>208</v>
      </c>
      <c r="C1279" s="256">
        <v>2025</v>
      </c>
      <c r="D1279" s="256">
        <v>175</v>
      </c>
      <c r="E1279">
        <v>0</v>
      </c>
      <c r="F1279" s="257"/>
      <c r="I1279" s="4"/>
    </row>
    <row r="1280" spans="1:9" x14ac:dyDescent="0.25">
      <c r="A1280" s="255" t="s">
        <v>249</v>
      </c>
      <c r="B1280" s="255" t="s">
        <v>208</v>
      </c>
      <c r="C1280" s="256">
        <v>2025</v>
      </c>
      <c r="D1280" s="256">
        <v>300</v>
      </c>
      <c r="E1280">
        <v>0</v>
      </c>
      <c r="F1280" s="257"/>
      <c r="I1280" s="4"/>
    </row>
    <row r="1281" spans="1:10" x14ac:dyDescent="0.25">
      <c r="A1281" s="255" t="s">
        <v>249</v>
      </c>
      <c r="B1281" s="255" t="s">
        <v>208</v>
      </c>
      <c r="C1281" s="256">
        <v>2025</v>
      </c>
      <c r="D1281" s="256">
        <v>600</v>
      </c>
      <c r="E1281">
        <v>0</v>
      </c>
      <c r="F1281" s="257"/>
      <c r="I1281" s="4"/>
    </row>
    <row r="1282" spans="1:10" x14ac:dyDescent="0.25">
      <c r="A1282" s="255" t="s">
        <v>249</v>
      </c>
      <c r="B1282" s="255" t="s">
        <v>192</v>
      </c>
      <c r="C1282" s="256">
        <v>2006</v>
      </c>
      <c r="D1282" s="256">
        <v>50</v>
      </c>
      <c r="E1282">
        <v>0</v>
      </c>
      <c r="F1282" s="257"/>
      <c r="I1282" s="4"/>
    </row>
    <row r="1283" spans="1:10" x14ac:dyDescent="0.25">
      <c r="A1283" s="255" t="s">
        <v>249</v>
      </c>
      <c r="B1283" s="255" t="s">
        <v>192</v>
      </c>
      <c r="C1283" s="256">
        <v>2006</v>
      </c>
      <c r="D1283" s="256">
        <v>75</v>
      </c>
      <c r="E1283">
        <v>0</v>
      </c>
      <c r="F1283" s="257"/>
      <c r="I1283" s="4"/>
    </row>
    <row r="1284" spans="1:10" x14ac:dyDescent="0.25">
      <c r="A1284" s="255" t="s">
        <v>249</v>
      </c>
      <c r="B1284" s="255" t="s">
        <v>192</v>
      </c>
      <c r="C1284" s="256">
        <v>2006</v>
      </c>
      <c r="D1284" s="256">
        <v>100</v>
      </c>
      <c r="E1284">
        <v>0</v>
      </c>
      <c r="F1284" s="257"/>
      <c r="I1284" s="4"/>
    </row>
    <row r="1285" spans="1:10" x14ac:dyDescent="0.25">
      <c r="A1285" s="255" t="s">
        <v>249</v>
      </c>
      <c r="B1285" s="255" t="s">
        <v>192</v>
      </c>
      <c r="C1285" s="256">
        <v>2006</v>
      </c>
      <c r="D1285" s="256">
        <v>175</v>
      </c>
      <c r="E1285">
        <v>0</v>
      </c>
      <c r="F1285" s="257"/>
      <c r="I1285" s="4"/>
    </row>
    <row r="1286" spans="1:10" x14ac:dyDescent="0.25">
      <c r="A1286" s="255" t="s">
        <v>249</v>
      </c>
      <c r="B1286" s="255" t="s">
        <v>192</v>
      </c>
      <c r="C1286" s="256">
        <v>2006</v>
      </c>
      <c r="D1286" s="256">
        <v>300</v>
      </c>
      <c r="E1286">
        <v>0</v>
      </c>
      <c r="F1286" s="257"/>
      <c r="I1286" s="4"/>
    </row>
    <row r="1287" spans="1:10" x14ac:dyDescent="0.25">
      <c r="A1287" s="255" t="s">
        <v>249</v>
      </c>
      <c r="B1287" s="255" t="s">
        <v>192</v>
      </c>
      <c r="C1287" s="256">
        <v>2006</v>
      </c>
      <c r="D1287" s="256">
        <v>600</v>
      </c>
      <c r="E1287">
        <v>0</v>
      </c>
      <c r="F1287" s="257"/>
      <c r="I1287" s="4"/>
    </row>
    <row r="1288" spans="1:10" x14ac:dyDescent="0.25">
      <c r="A1288" s="255" t="s">
        <v>249</v>
      </c>
      <c r="B1288" s="255" t="s">
        <v>192</v>
      </c>
      <c r="C1288" s="256">
        <v>2007</v>
      </c>
      <c r="D1288" s="256">
        <v>50</v>
      </c>
      <c r="E1288">
        <v>0.20069686411149901</v>
      </c>
      <c r="F1288" s="257"/>
      <c r="G1288">
        <f t="shared" ref="G1288:G1351" si="17">IF(OR(D1288=50,D1288=75),50,IF(OR(D1288=100,D1288=125),125,IF(D1288&gt;=400,400,D1288)))</f>
        <v>50</v>
      </c>
      <c r="H1288" s="4">
        <f>IF(B1288="RTG Crane",IF(D1288&lt;600,800000,1200000),VLOOKUP(B1288,'$$$ Replace &amp; Retrofit'!$B$10:$C$14,2)*'CHE Model poplulation'!D1288)*E1288</f>
        <v>8780.4878048780811</v>
      </c>
      <c r="I1288" s="4">
        <f>E1288*VLOOKUP('CHE Model poplulation'!G1288,'$$$ Replace &amp; Retrofit'!$I$10:$J$15,2)</f>
        <v>3529.8564459930444</v>
      </c>
      <c r="J1288" s="4">
        <f>IF(D1288=50,VLOOKUP(0,'$$$ Replace &amp; Retrofit'!$E$10:$F$13,2),IF(D1288&lt;175,VLOOKUP(50,'$$$ Replace &amp; Retrofit'!$E$10:$F$13,2),IF(D1288&lt;400,VLOOKUP(175,'$$$ Replace &amp; Retrofit'!$E$10:$F$13,2),IF(D1288&gt;=400,VLOOKUP(400,'$$$ Replace &amp; Retrofit'!$E$10:$F$13,2),NA))))*E1288</f>
        <v>1605.574912891992</v>
      </c>
    </row>
    <row r="1289" spans="1:10" x14ac:dyDescent="0.25">
      <c r="A1289" s="255" t="s">
        <v>249</v>
      </c>
      <c r="B1289" s="255" t="s">
        <v>192</v>
      </c>
      <c r="C1289" s="256">
        <v>2007</v>
      </c>
      <c r="D1289" s="256">
        <v>75</v>
      </c>
      <c r="E1289">
        <v>0.37909407665505401</v>
      </c>
      <c r="F1289" s="257"/>
      <c r="G1289">
        <f t="shared" si="17"/>
        <v>50</v>
      </c>
      <c r="H1289" s="4">
        <f>IF(B1289="RTG Crane",IF(D1289&lt;600,800000,1200000),VLOOKUP(B1289,'$$$ Replace &amp; Retrofit'!$B$10:$C$14,2)*'CHE Model poplulation'!D1289)*E1289</f>
        <v>24878.048780487919</v>
      </c>
      <c r="I1289" s="4">
        <f>E1289*VLOOKUP('CHE Model poplulation'!G1289,'$$$ Replace &amp; Retrofit'!$I$10:$J$15,2)</f>
        <v>6667.5066202090902</v>
      </c>
      <c r="J1289" s="4">
        <f>IF(D1289=50,VLOOKUP(0,'$$$ Replace &amp; Retrofit'!$E$10:$F$13,2),IF(D1289&lt;175,VLOOKUP(50,'$$$ Replace &amp; Retrofit'!$E$10:$F$13,2),IF(D1289&lt;400,VLOOKUP(175,'$$$ Replace &amp; Retrofit'!$E$10:$F$13,2),IF(D1289&gt;=400,VLOOKUP(400,'$$$ Replace &amp; Retrofit'!$E$10:$F$13,2),NA))))*E1289</f>
        <v>4549.1289198606482</v>
      </c>
    </row>
    <row r="1290" spans="1:10" x14ac:dyDescent="0.25">
      <c r="A1290" s="255" t="s">
        <v>249</v>
      </c>
      <c r="B1290" s="255" t="s">
        <v>192</v>
      </c>
      <c r="C1290" s="256">
        <v>2007</v>
      </c>
      <c r="D1290" s="256">
        <v>100</v>
      </c>
      <c r="E1290">
        <v>1.0982578397212599</v>
      </c>
      <c r="F1290" s="257"/>
      <c r="G1290">
        <f t="shared" si="17"/>
        <v>125</v>
      </c>
      <c r="H1290" s="4">
        <f>IF(B1290="RTG Crane",IF(D1290&lt;600,800000,1200000),VLOOKUP(B1290,'$$$ Replace &amp; Retrofit'!$B$10:$C$14,2)*'CHE Model poplulation'!D1290)*E1290</f>
        <v>96097.560975610235</v>
      </c>
      <c r="I1290" s="4">
        <f>E1290*VLOOKUP('CHE Model poplulation'!G1290,'$$$ Replace &amp; Retrofit'!$I$10:$J$15,2)</f>
        <v>21671.921951219621</v>
      </c>
      <c r="J1290" s="4">
        <f>IF(D1290=50,VLOOKUP(0,'$$$ Replace &amp; Retrofit'!$E$10:$F$13,2),IF(D1290&lt;175,VLOOKUP(50,'$$$ Replace &amp; Retrofit'!$E$10:$F$13,2),IF(D1290&lt;400,VLOOKUP(175,'$$$ Replace &amp; Retrofit'!$E$10:$F$13,2),IF(D1290&gt;=400,VLOOKUP(400,'$$$ Replace &amp; Retrofit'!$E$10:$F$13,2),NA))))*E1290</f>
        <v>13179.094076655119</v>
      </c>
    </row>
    <row r="1291" spans="1:10" x14ac:dyDescent="0.25">
      <c r="A1291" s="255" t="s">
        <v>249</v>
      </c>
      <c r="B1291" s="255" t="s">
        <v>192</v>
      </c>
      <c r="C1291" s="256">
        <v>2007</v>
      </c>
      <c r="D1291" s="256">
        <v>175</v>
      </c>
      <c r="E1291">
        <v>1.75052264808364</v>
      </c>
      <c r="F1291" s="257"/>
      <c r="G1291">
        <f t="shared" si="17"/>
        <v>175</v>
      </c>
      <c r="H1291" s="4">
        <f>IF(B1291="RTG Crane",IF(D1291&lt;600,800000,1200000),VLOOKUP(B1291,'$$$ Replace &amp; Retrofit'!$B$10:$C$14,2)*'CHE Model poplulation'!D1291)*E1291</f>
        <v>268048.78048780735</v>
      </c>
      <c r="I1291" s="4">
        <f>E1291*VLOOKUP('CHE Model poplulation'!G1291,'$$$ Replace &amp; Retrofit'!$I$10:$J$15,2)</f>
        <v>43405.959581881936</v>
      </c>
      <c r="J1291" s="4">
        <f>IF(D1291=50,VLOOKUP(0,'$$$ Replace &amp; Retrofit'!$E$10:$F$13,2),IF(D1291&lt;175,VLOOKUP(50,'$$$ Replace &amp; Retrofit'!$E$10:$F$13,2),IF(D1291&lt;400,VLOOKUP(175,'$$$ Replace &amp; Retrofit'!$E$10:$F$13,2),IF(D1291&gt;=400,VLOOKUP(400,'$$$ Replace &amp; Retrofit'!$E$10:$F$13,2),NA))))*E1291</f>
        <v>31509.407665505521</v>
      </c>
    </row>
    <row r="1292" spans="1:10" x14ac:dyDescent="0.25">
      <c r="A1292" s="255" t="s">
        <v>249</v>
      </c>
      <c r="B1292" s="255" t="s">
        <v>192</v>
      </c>
      <c r="C1292" s="256">
        <v>2007</v>
      </c>
      <c r="D1292" s="256">
        <v>300</v>
      </c>
      <c r="E1292">
        <v>0.50174216027874796</v>
      </c>
      <c r="F1292" s="257"/>
      <c r="G1292">
        <f t="shared" si="17"/>
        <v>300</v>
      </c>
      <c r="H1292" s="4">
        <f>IF(B1292="RTG Crane",IF(D1292&lt;600,800000,1200000),VLOOKUP(B1292,'$$$ Replace &amp; Retrofit'!$B$10:$C$14,2)*'CHE Model poplulation'!D1292)*E1292</f>
        <v>131707.31707317135</v>
      </c>
      <c r="I1292" s="4">
        <f>E1292*VLOOKUP('CHE Model poplulation'!G1292,'$$$ Replace &amp; Retrofit'!$I$10:$J$15,2)</f>
        <v>14431.609756097627</v>
      </c>
      <c r="J1292" s="4">
        <f>IF(D1292=50,VLOOKUP(0,'$$$ Replace &amp; Retrofit'!$E$10:$F$13,2),IF(D1292&lt;175,VLOOKUP(50,'$$$ Replace &amp; Retrofit'!$E$10:$F$13,2),IF(D1292&lt;400,VLOOKUP(175,'$$$ Replace &amp; Retrofit'!$E$10:$F$13,2),IF(D1292&gt;=400,VLOOKUP(400,'$$$ Replace &amp; Retrofit'!$E$10:$F$13,2),NA))))*E1292</f>
        <v>9031.3588850174638</v>
      </c>
    </row>
    <row r="1293" spans="1:10" x14ac:dyDescent="0.25">
      <c r="A1293" s="255" t="s">
        <v>249</v>
      </c>
      <c r="B1293" s="255" t="s">
        <v>192</v>
      </c>
      <c r="C1293" s="256">
        <v>2007</v>
      </c>
      <c r="D1293" s="256">
        <v>600</v>
      </c>
      <c r="E1293">
        <v>6.1324041811847002E-2</v>
      </c>
      <c r="F1293" s="257"/>
      <c r="G1293">
        <f t="shared" si="17"/>
        <v>400</v>
      </c>
      <c r="H1293" s="4">
        <f>IF(B1293="RTG Crane",IF(D1293&lt;600,800000,1200000),VLOOKUP(B1293,'$$$ Replace &amp; Retrofit'!$B$10:$C$14,2)*'CHE Model poplulation'!D1293)*E1293</f>
        <v>32195.121951219677</v>
      </c>
      <c r="I1293" s="4">
        <f>E1293*VLOOKUP('CHE Model poplulation'!G1293,'$$$ Replace &amp; Retrofit'!$I$10:$J$15,2)</f>
        <v>3209.2710801393891</v>
      </c>
      <c r="J1293" s="4">
        <f>IF(D1293=50,VLOOKUP(0,'$$$ Replace &amp; Retrofit'!$E$10:$F$13,2),IF(D1293&lt;175,VLOOKUP(50,'$$$ Replace &amp; Retrofit'!$E$10:$F$13,2),IF(D1293&lt;400,VLOOKUP(175,'$$$ Replace &amp; Retrofit'!$E$10:$F$13,2),IF(D1293&gt;=400,VLOOKUP(400,'$$$ Replace &amp; Retrofit'!$E$10:$F$13,2),NA))))*E1293</f>
        <v>1839.7212543554101</v>
      </c>
    </row>
    <row r="1294" spans="1:10" x14ac:dyDescent="0.25">
      <c r="A1294" s="255" t="s">
        <v>249</v>
      </c>
      <c r="B1294" s="255" t="s">
        <v>192</v>
      </c>
      <c r="C1294" s="256">
        <v>2008</v>
      </c>
      <c r="D1294" s="256">
        <v>50</v>
      </c>
      <c r="E1294">
        <v>0.38745445952511298</v>
      </c>
      <c r="F1294" s="257"/>
      <c r="G1294">
        <f t="shared" si="17"/>
        <v>50</v>
      </c>
      <c r="H1294" s="4">
        <f>IF(B1294="RTG Crane",IF(D1294&lt;600,800000,1200000),VLOOKUP(B1294,'$$$ Replace &amp; Retrofit'!$B$10:$C$14,2)*'CHE Model poplulation'!D1294)*E1294</f>
        <v>16951.132604223694</v>
      </c>
      <c r="I1294" s="4">
        <f>E1294*VLOOKUP('CHE Model poplulation'!G1294,'$$$ Replace &amp; Retrofit'!$I$10:$J$15,2)</f>
        <v>6814.5490341276873</v>
      </c>
      <c r="J1294" s="4">
        <f>IF(D1294=50,VLOOKUP(0,'$$$ Replace &amp; Retrofit'!$E$10:$F$13,2),IF(D1294&lt;175,VLOOKUP(50,'$$$ Replace &amp; Retrofit'!$E$10:$F$13,2),IF(D1294&lt;400,VLOOKUP(175,'$$$ Replace &amp; Retrofit'!$E$10:$F$13,2),IF(D1294&gt;=400,VLOOKUP(400,'$$$ Replace &amp; Retrofit'!$E$10:$F$13,2),NA))))*E1294</f>
        <v>3099.6356762009041</v>
      </c>
    </row>
    <row r="1295" spans="1:10" x14ac:dyDescent="0.25">
      <c r="A1295" s="255" t="s">
        <v>249</v>
      </c>
      <c r="B1295" s="255" t="s">
        <v>192</v>
      </c>
      <c r="C1295" s="256">
        <v>2008</v>
      </c>
      <c r="D1295" s="256">
        <v>75</v>
      </c>
      <c r="E1295">
        <v>0.72852346648647803</v>
      </c>
      <c r="F1295" s="257"/>
      <c r="G1295">
        <f t="shared" si="17"/>
        <v>50</v>
      </c>
      <c r="H1295" s="4">
        <f>IF(B1295="RTG Crane",IF(D1295&lt;600,800000,1200000),VLOOKUP(B1295,'$$$ Replace &amp; Retrofit'!$B$10:$C$14,2)*'CHE Model poplulation'!D1295)*E1295</f>
        <v>47809.352488175122</v>
      </c>
      <c r="I1295" s="4">
        <f>E1295*VLOOKUP('CHE Model poplulation'!G1295,'$$$ Replace &amp; Retrofit'!$I$10:$J$15,2)</f>
        <v>12813.270728564175</v>
      </c>
      <c r="J1295" s="4">
        <f>IF(D1295=50,VLOOKUP(0,'$$$ Replace &amp; Retrofit'!$E$10:$F$13,2),IF(D1295&lt;175,VLOOKUP(50,'$$$ Replace &amp; Retrofit'!$E$10:$F$13,2),IF(D1295&lt;400,VLOOKUP(175,'$$$ Replace &amp; Retrofit'!$E$10:$F$13,2),IF(D1295&gt;=400,VLOOKUP(400,'$$$ Replace &amp; Retrofit'!$E$10:$F$13,2),NA))))*E1295</f>
        <v>8742.2815978377366</v>
      </c>
    </row>
    <row r="1296" spans="1:10" x14ac:dyDescent="0.25">
      <c r="A1296" s="255" t="s">
        <v>249</v>
      </c>
      <c r="B1296" s="255" t="s">
        <v>192</v>
      </c>
      <c r="C1296" s="256">
        <v>2008</v>
      </c>
      <c r="D1296" s="256">
        <v>100</v>
      </c>
      <c r="E1296">
        <v>2.2219988111762099</v>
      </c>
      <c r="F1296" s="257"/>
      <c r="G1296">
        <f t="shared" si="17"/>
        <v>125</v>
      </c>
      <c r="H1296" s="4">
        <f>IF(B1296="RTG Crane",IF(D1296&lt;600,800000,1200000),VLOOKUP(B1296,'$$$ Replace &amp; Retrofit'!$B$10:$C$14,2)*'CHE Model poplulation'!D1296)*E1296</f>
        <v>194424.89597791838</v>
      </c>
      <c r="I1296" s="4">
        <f>E1296*VLOOKUP('CHE Model poplulation'!G1296,'$$$ Replace &amp; Retrofit'!$I$10:$J$15,2)</f>
        <v>43846.702540940147</v>
      </c>
      <c r="J1296" s="4">
        <f>IF(D1296=50,VLOOKUP(0,'$$$ Replace &amp; Retrofit'!$E$10:$F$13,2),IF(D1296&lt;175,VLOOKUP(50,'$$$ Replace &amp; Retrofit'!$E$10:$F$13,2),IF(D1296&lt;400,VLOOKUP(175,'$$$ Replace &amp; Retrofit'!$E$10:$F$13,2),IF(D1296&gt;=400,VLOOKUP(400,'$$$ Replace &amp; Retrofit'!$E$10:$F$13,2),NA))))*E1296</f>
        <v>26663.985734114518</v>
      </c>
    </row>
    <row r="1297" spans="1:10" x14ac:dyDescent="0.25">
      <c r="A1297" s="255" t="s">
        <v>249</v>
      </c>
      <c r="B1297" s="255" t="s">
        <v>192</v>
      </c>
      <c r="C1297" s="256">
        <v>2008</v>
      </c>
      <c r="D1297" s="256">
        <v>175</v>
      </c>
      <c r="E1297">
        <v>3.4255469399931799</v>
      </c>
      <c r="F1297" s="257"/>
      <c r="G1297">
        <f t="shared" si="17"/>
        <v>175</v>
      </c>
      <c r="H1297" s="4">
        <f>IF(B1297="RTG Crane",IF(D1297&lt;600,800000,1200000),VLOOKUP(B1297,'$$$ Replace &amp; Retrofit'!$B$10:$C$14,2)*'CHE Model poplulation'!D1297)*E1297</f>
        <v>524536.87518645567</v>
      </c>
      <c r="I1297" s="4">
        <f>E1297*VLOOKUP('CHE Model poplulation'!G1297,'$$$ Replace &amp; Retrofit'!$I$10:$J$15,2)</f>
        <v>84939.861924070894</v>
      </c>
      <c r="J1297" s="4">
        <f>IF(D1297=50,VLOOKUP(0,'$$$ Replace &amp; Retrofit'!$E$10:$F$13,2),IF(D1297&lt;175,VLOOKUP(50,'$$$ Replace &amp; Retrofit'!$E$10:$F$13,2),IF(D1297&lt;400,VLOOKUP(175,'$$$ Replace &amp; Retrofit'!$E$10:$F$13,2),IF(D1297&gt;=400,VLOOKUP(400,'$$$ Replace &amp; Retrofit'!$E$10:$F$13,2),NA))))*E1297</f>
        <v>61659.844919877236</v>
      </c>
    </row>
    <row r="1298" spans="1:10" x14ac:dyDescent="0.25">
      <c r="A1298" s="255" t="s">
        <v>249</v>
      </c>
      <c r="B1298" s="255" t="s">
        <v>192</v>
      </c>
      <c r="C1298" s="256">
        <v>2008</v>
      </c>
      <c r="D1298" s="256">
        <v>300</v>
      </c>
      <c r="E1298">
        <v>0.99597456225075398</v>
      </c>
      <c r="F1298" s="257"/>
      <c r="G1298">
        <f t="shared" si="17"/>
        <v>300</v>
      </c>
      <c r="H1298" s="4">
        <f>IF(B1298="RTG Crane",IF(D1298&lt;600,800000,1200000),VLOOKUP(B1298,'$$$ Replace &amp; Retrofit'!$B$10:$C$14,2)*'CHE Model poplulation'!D1298)*E1298</f>
        <v>261443.32259082291</v>
      </c>
      <c r="I1298" s="4">
        <f>E1298*VLOOKUP('CHE Model poplulation'!G1298,'$$$ Replace &amp; Retrofit'!$I$10:$J$15,2)</f>
        <v>28647.216334018438</v>
      </c>
      <c r="J1298" s="4">
        <f>IF(D1298=50,VLOOKUP(0,'$$$ Replace &amp; Retrofit'!$E$10:$F$13,2),IF(D1298&lt;175,VLOOKUP(50,'$$$ Replace &amp; Retrofit'!$E$10:$F$13,2),IF(D1298&lt;400,VLOOKUP(175,'$$$ Replace &amp; Retrofit'!$E$10:$F$13,2),IF(D1298&gt;=400,VLOOKUP(400,'$$$ Replace &amp; Retrofit'!$E$10:$F$13,2),NA))))*E1298</f>
        <v>17927.542120513572</v>
      </c>
    </row>
    <row r="1299" spans="1:10" x14ac:dyDescent="0.25">
      <c r="A1299" s="255" t="s">
        <v>249</v>
      </c>
      <c r="B1299" s="255" t="s">
        <v>192</v>
      </c>
      <c r="C1299" s="256">
        <v>2008</v>
      </c>
      <c r="D1299" s="256">
        <v>600</v>
      </c>
      <c r="E1299">
        <v>0.12654097989279101</v>
      </c>
      <c r="F1299" s="257"/>
      <c r="G1299">
        <f t="shared" si="17"/>
        <v>400</v>
      </c>
      <c r="H1299" s="4">
        <f>IF(B1299="RTG Crane",IF(D1299&lt;600,800000,1200000),VLOOKUP(B1299,'$$$ Replace &amp; Retrofit'!$B$10:$C$14,2)*'CHE Model poplulation'!D1299)*E1299</f>
        <v>66434.014443715278</v>
      </c>
      <c r="I1299" s="4">
        <f>E1299*VLOOKUP('CHE Model poplulation'!G1299,'$$$ Replace &amp; Retrofit'!$I$10:$J$15,2)</f>
        <v>6622.2691007294316</v>
      </c>
      <c r="J1299" s="4">
        <f>IF(D1299=50,VLOOKUP(0,'$$$ Replace &amp; Retrofit'!$E$10:$F$13,2),IF(D1299&lt;175,VLOOKUP(50,'$$$ Replace &amp; Retrofit'!$E$10:$F$13,2),IF(D1299&lt;400,VLOOKUP(175,'$$$ Replace &amp; Retrofit'!$E$10:$F$13,2),IF(D1299&gt;=400,VLOOKUP(400,'$$$ Replace &amp; Retrofit'!$E$10:$F$13,2),NA))))*E1299</f>
        <v>3796.22939678373</v>
      </c>
    </row>
    <row r="1300" spans="1:10" x14ac:dyDescent="0.25">
      <c r="A1300" s="255" t="s">
        <v>249</v>
      </c>
      <c r="B1300" s="255" t="s">
        <v>192</v>
      </c>
      <c r="C1300" s="256">
        <v>2009</v>
      </c>
      <c r="D1300" s="256">
        <v>50</v>
      </c>
      <c r="E1300">
        <v>7.6688224912060798</v>
      </c>
      <c r="F1300" s="257"/>
      <c r="G1300">
        <f t="shared" si="17"/>
        <v>50</v>
      </c>
      <c r="H1300" s="4">
        <f>IF(B1300="RTG Crane",IF(D1300&lt;600,800000,1200000),VLOOKUP(B1300,'$$$ Replace &amp; Retrofit'!$B$10:$C$14,2)*'CHE Model poplulation'!D1300)*E1300</f>
        <v>335510.98399026599</v>
      </c>
      <c r="I1300" s="4">
        <f>E1300*VLOOKUP('CHE Model poplulation'!G1300,'$$$ Replace &amp; Retrofit'!$I$10:$J$15,2)</f>
        <v>134879.24997533252</v>
      </c>
      <c r="J1300" s="4">
        <f>IF(D1300=50,VLOOKUP(0,'$$$ Replace &amp; Retrofit'!$E$10:$F$13,2),IF(D1300&lt;175,VLOOKUP(50,'$$$ Replace &amp; Retrofit'!$E$10:$F$13,2),IF(D1300&lt;400,VLOOKUP(175,'$$$ Replace &amp; Retrofit'!$E$10:$F$13,2),IF(D1300&gt;=400,VLOOKUP(400,'$$$ Replace &amp; Retrofit'!$E$10:$F$13,2),NA))))*E1300</f>
        <v>61350.579929648637</v>
      </c>
    </row>
    <row r="1301" spans="1:10" x14ac:dyDescent="0.25">
      <c r="A1301" s="255" t="s">
        <v>249</v>
      </c>
      <c r="B1301" s="255" t="s">
        <v>192</v>
      </c>
      <c r="C1301" s="256">
        <v>2009</v>
      </c>
      <c r="D1301" s="256">
        <v>75</v>
      </c>
      <c r="E1301">
        <v>20.179290934339601</v>
      </c>
      <c r="F1301" s="257"/>
      <c r="G1301">
        <f t="shared" si="17"/>
        <v>50</v>
      </c>
      <c r="H1301" s="4">
        <f>IF(B1301="RTG Crane",IF(D1301&lt;600,800000,1200000),VLOOKUP(B1301,'$$$ Replace &amp; Retrofit'!$B$10:$C$14,2)*'CHE Model poplulation'!D1301)*E1301</f>
        <v>1324265.9675660364</v>
      </c>
      <c r="I1301" s="4">
        <f>E1301*VLOOKUP('CHE Model poplulation'!G1301,'$$$ Replace &amp; Retrofit'!$I$10:$J$15,2)</f>
        <v>354913.3689531649</v>
      </c>
      <c r="J1301" s="4">
        <f>IF(D1301=50,VLOOKUP(0,'$$$ Replace &amp; Retrofit'!$E$10:$F$13,2),IF(D1301&lt;175,VLOOKUP(50,'$$$ Replace &amp; Retrofit'!$E$10:$F$13,2),IF(D1301&lt;400,VLOOKUP(175,'$$$ Replace &amp; Retrofit'!$E$10:$F$13,2),IF(D1301&gt;=400,VLOOKUP(400,'$$$ Replace &amp; Retrofit'!$E$10:$F$13,2),NA))))*E1301</f>
        <v>242151.49121207523</v>
      </c>
    </row>
    <row r="1302" spans="1:10" x14ac:dyDescent="0.25">
      <c r="A1302" s="255" t="s">
        <v>249</v>
      </c>
      <c r="B1302" s="255" t="s">
        <v>192</v>
      </c>
      <c r="C1302" s="256">
        <v>2009</v>
      </c>
      <c r="D1302" s="256">
        <v>100</v>
      </c>
      <c r="E1302">
        <v>93.188898549923593</v>
      </c>
      <c r="F1302" s="257"/>
      <c r="G1302">
        <f t="shared" si="17"/>
        <v>125</v>
      </c>
      <c r="H1302" s="4">
        <f>IF(B1302="RTG Crane",IF(D1302&lt;600,800000,1200000),VLOOKUP(B1302,'$$$ Replace &amp; Retrofit'!$B$10:$C$14,2)*'CHE Model poplulation'!D1302)*E1302</f>
        <v>8154028.623118314</v>
      </c>
      <c r="I1302" s="4">
        <f>E1302*VLOOKUP('CHE Model poplulation'!G1302,'$$$ Replace &amp; Retrofit'!$I$10:$J$15,2)</f>
        <v>1838896.5350856422</v>
      </c>
      <c r="J1302" s="4">
        <f>IF(D1302=50,VLOOKUP(0,'$$$ Replace &amp; Retrofit'!$E$10:$F$13,2),IF(D1302&lt;175,VLOOKUP(50,'$$$ Replace &amp; Retrofit'!$E$10:$F$13,2),IF(D1302&lt;400,VLOOKUP(175,'$$$ Replace &amp; Retrofit'!$E$10:$F$13,2),IF(D1302&gt;=400,VLOOKUP(400,'$$$ Replace &amp; Retrofit'!$E$10:$F$13,2),NA))))*E1302</f>
        <v>1118266.7825990831</v>
      </c>
    </row>
    <row r="1303" spans="1:10" x14ac:dyDescent="0.25">
      <c r="A1303" s="255" t="s">
        <v>249</v>
      </c>
      <c r="B1303" s="255" t="s">
        <v>192</v>
      </c>
      <c r="C1303" s="256">
        <v>2009</v>
      </c>
      <c r="D1303" s="256">
        <v>175</v>
      </c>
      <c r="E1303">
        <v>115.661238002288</v>
      </c>
      <c r="F1303" s="257"/>
      <c r="G1303">
        <f t="shared" si="17"/>
        <v>175</v>
      </c>
      <c r="H1303" s="4">
        <f>IF(B1303="RTG Crane",IF(D1303&lt;600,800000,1200000),VLOOKUP(B1303,'$$$ Replace &amp; Retrofit'!$B$10:$C$14,2)*'CHE Model poplulation'!D1303)*E1303</f>
        <v>17710627.06910035</v>
      </c>
      <c r="I1303" s="4">
        <f>E1303*VLOOKUP('CHE Model poplulation'!G1303,'$$$ Replace &amp; Retrofit'!$I$10:$J$15,2)</f>
        <v>2867936.0575047331</v>
      </c>
      <c r="J1303" s="4">
        <f>IF(D1303=50,VLOOKUP(0,'$$$ Replace &amp; Retrofit'!$E$10:$F$13,2),IF(D1303&lt;175,VLOOKUP(50,'$$$ Replace &amp; Retrofit'!$E$10:$F$13,2),IF(D1303&lt;400,VLOOKUP(175,'$$$ Replace &amp; Retrofit'!$E$10:$F$13,2),IF(D1303&gt;=400,VLOOKUP(400,'$$$ Replace &amp; Retrofit'!$E$10:$F$13,2),NA))))*E1303</f>
        <v>2081902.284041184</v>
      </c>
    </row>
    <row r="1304" spans="1:10" x14ac:dyDescent="0.25">
      <c r="A1304" s="255" t="s">
        <v>249</v>
      </c>
      <c r="B1304" s="255" t="s">
        <v>192</v>
      </c>
      <c r="C1304" s="256">
        <v>2009</v>
      </c>
      <c r="D1304" s="256">
        <v>300</v>
      </c>
      <c r="E1304">
        <v>36.937272561268003</v>
      </c>
      <c r="F1304" s="257"/>
      <c r="G1304">
        <f t="shared" si="17"/>
        <v>300</v>
      </c>
      <c r="H1304" s="4">
        <f>IF(B1304="RTG Crane",IF(D1304&lt;600,800000,1200000),VLOOKUP(B1304,'$$$ Replace &amp; Retrofit'!$B$10:$C$14,2)*'CHE Model poplulation'!D1304)*E1304</f>
        <v>9696034.0473328512</v>
      </c>
      <c r="I1304" s="4">
        <f>E1304*VLOOKUP('CHE Model poplulation'!G1304,'$$$ Replace &amp; Retrofit'!$I$10:$J$15,2)</f>
        <v>1062426.7706797516</v>
      </c>
      <c r="J1304" s="4">
        <f>IF(D1304=50,VLOOKUP(0,'$$$ Replace &amp; Retrofit'!$E$10:$F$13,2),IF(D1304&lt;175,VLOOKUP(50,'$$$ Replace &amp; Retrofit'!$E$10:$F$13,2),IF(D1304&lt;400,VLOOKUP(175,'$$$ Replace &amp; Retrofit'!$E$10:$F$13,2),IF(D1304&gt;=400,VLOOKUP(400,'$$$ Replace &amp; Retrofit'!$E$10:$F$13,2),NA))))*E1304</f>
        <v>664870.90610282402</v>
      </c>
    </row>
    <row r="1305" spans="1:10" x14ac:dyDescent="0.25">
      <c r="A1305" s="255" t="s">
        <v>249</v>
      </c>
      <c r="B1305" s="255" t="s">
        <v>192</v>
      </c>
      <c r="C1305" s="256">
        <v>2009</v>
      </c>
      <c r="D1305" s="256">
        <v>600</v>
      </c>
      <c r="E1305">
        <v>8.8524454943715298</v>
      </c>
      <c r="F1305" s="257"/>
      <c r="G1305">
        <f t="shared" si="17"/>
        <v>400</v>
      </c>
      <c r="H1305" s="4">
        <f>IF(B1305="RTG Crane",IF(D1305&lt;600,800000,1200000),VLOOKUP(B1305,'$$$ Replace &amp; Retrofit'!$B$10:$C$14,2)*'CHE Model poplulation'!D1305)*E1305</f>
        <v>4647533.8845450534</v>
      </c>
      <c r="I1305" s="4">
        <f>E1305*VLOOKUP('CHE Model poplulation'!G1305,'$$$ Replace &amp; Retrofit'!$I$10:$J$15,2)</f>
        <v>463275.03005694528</v>
      </c>
      <c r="J1305" s="4">
        <f>IF(D1305=50,VLOOKUP(0,'$$$ Replace &amp; Retrofit'!$E$10:$F$13,2),IF(D1305&lt;175,VLOOKUP(50,'$$$ Replace &amp; Retrofit'!$E$10:$F$13,2),IF(D1305&lt;400,VLOOKUP(175,'$$$ Replace &amp; Retrofit'!$E$10:$F$13,2),IF(D1305&gt;=400,VLOOKUP(400,'$$$ Replace &amp; Retrofit'!$E$10:$F$13,2),NA))))*E1305</f>
        <v>265573.36483114591</v>
      </c>
    </row>
    <row r="1306" spans="1:10" x14ac:dyDescent="0.25">
      <c r="A1306" s="255" t="s">
        <v>249</v>
      </c>
      <c r="B1306" s="255" t="s">
        <v>192</v>
      </c>
      <c r="C1306" s="256">
        <v>2010</v>
      </c>
      <c r="D1306" s="256">
        <v>50</v>
      </c>
      <c r="E1306">
        <v>7.7386305129491797</v>
      </c>
      <c r="F1306" s="257"/>
      <c r="G1306">
        <f t="shared" si="17"/>
        <v>50</v>
      </c>
      <c r="H1306" s="4">
        <f>IF(B1306="RTG Crane",IF(D1306&lt;600,800000,1200000),VLOOKUP(B1306,'$$$ Replace &amp; Retrofit'!$B$10:$C$14,2)*'CHE Model poplulation'!D1306)*E1306</f>
        <v>338565.08494152658</v>
      </c>
      <c r="I1306" s="4">
        <f>E1306*VLOOKUP('CHE Model poplulation'!G1306,'$$$ Replace &amp; Retrofit'!$I$10:$J$15,2)</f>
        <v>136107.03346175016</v>
      </c>
      <c r="J1306" s="4">
        <f>IF(D1306=50,VLOOKUP(0,'$$$ Replace &amp; Retrofit'!$E$10:$F$13,2),IF(D1306&lt;175,VLOOKUP(50,'$$$ Replace &amp; Retrofit'!$E$10:$F$13,2),IF(D1306&lt;400,VLOOKUP(175,'$$$ Replace &amp; Retrofit'!$E$10:$F$13,2),IF(D1306&gt;=400,VLOOKUP(400,'$$$ Replace &amp; Retrofit'!$E$10:$F$13,2),NA))))*E1306</f>
        <v>61909.044103593435</v>
      </c>
    </row>
    <row r="1307" spans="1:10" x14ac:dyDescent="0.25">
      <c r="A1307" s="255" t="s">
        <v>249</v>
      </c>
      <c r="B1307" s="255" t="s">
        <v>192</v>
      </c>
      <c r="C1307" s="256">
        <v>2010</v>
      </c>
      <c r="D1307" s="256">
        <v>75</v>
      </c>
      <c r="E1307">
        <v>20.2930223465655</v>
      </c>
      <c r="F1307" s="257"/>
      <c r="G1307">
        <f t="shared" si="17"/>
        <v>50</v>
      </c>
      <c r="H1307" s="4">
        <f>IF(B1307="RTG Crane",IF(D1307&lt;600,800000,1200000),VLOOKUP(B1307,'$$$ Replace &amp; Retrofit'!$B$10:$C$14,2)*'CHE Model poplulation'!D1307)*E1307</f>
        <v>1331729.5914933609</v>
      </c>
      <c r="I1307" s="4">
        <f>E1307*VLOOKUP('CHE Model poplulation'!G1307,'$$$ Replace &amp; Retrofit'!$I$10:$J$15,2)</f>
        <v>356913.67703139404</v>
      </c>
      <c r="J1307" s="4">
        <f>IF(D1307=50,VLOOKUP(0,'$$$ Replace &amp; Retrofit'!$E$10:$F$13,2),IF(D1307&lt;175,VLOOKUP(50,'$$$ Replace &amp; Retrofit'!$E$10:$F$13,2),IF(D1307&lt;400,VLOOKUP(175,'$$$ Replace &amp; Retrofit'!$E$10:$F$13,2),IF(D1307&gt;=400,VLOOKUP(400,'$$$ Replace &amp; Retrofit'!$E$10:$F$13,2),NA))))*E1307</f>
        <v>243516.268158786</v>
      </c>
    </row>
    <row r="1308" spans="1:10" x14ac:dyDescent="0.25">
      <c r="A1308" s="255" t="s">
        <v>249</v>
      </c>
      <c r="B1308" s="255" t="s">
        <v>192</v>
      </c>
      <c r="C1308" s="256">
        <v>2010</v>
      </c>
      <c r="D1308" s="256">
        <v>100</v>
      </c>
      <c r="E1308">
        <v>93.554224555800999</v>
      </c>
      <c r="F1308" s="257"/>
      <c r="G1308">
        <f t="shared" si="17"/>
        <v>125</v>
      </c>
      <c r="H1308" s="4">
        <f>IF(B1308="RTG Crane",IF(D1308&lt;600,800000,1200000),VLOOKUP(B1308,'$$$ Replace &amp; Retrofit'!$B$10:$C$14,2)*'CHE Model poplulation'!D1308)*E1308</f>
        <v>8185994.6486325879</v>
      </c>
      <c r="I1308" s="4">
        <f>E1308*VLOOKUP('CHE Model poplulation'!G1308,'$$$ Replace &amp; Retrofit'!$I$10:$J$15,2)</f>
        <v>1846105.513159621</v>
      </c>
      <c r="J1308" s="4">
        <f>IF(D1308=50,VLOOKUP(0,'$$$ Replace &amp; Retrofit'!$E$10:$F$13,2),IF(D1308&lt;175,VLOOKUP(50,'$$$ Replace &amp; Retrofit'!$E$10:$F$13,2),IF(D1308&lt;400,VLOOKUP(175,'$$$ Replace &amp; Retrofit'!$E$10:$F$13,2),IF(D1308&gt;=400,VLOOKUP(400,'$$$ Replace &amp; Retrofit'!$E$10:$F$13,2),NA))))*E1308</f>
        <v>1122650.694669612</v>
      </c>
    </row>
    <row r="1309" spans="1:10" x14ac:dyDescent="0.25">
      <c r="A1309" s="255" t="s">
        <v>249</v>
      </c>
      <c r="B1309" s="255" t="s">
        <v>192</v>
      </c>
      <c r="C1309" s="256">
        <v>2010</v>
      </c>
      <c r="D1309" s="256">
        <v>175</v>
      </c>
      <c r="E1309">
        <v>116.196203067845</v>
      </c>
      <c r="F1309" s="257"/>
      <c r="G1309">
        <f t="shared" si="17"/>
        <v>175</v>
      </c>
      <c r="H1309" s="4">
        <f>IF(B1309="RTG Crane",IF(D1309&lt;600,800000,1200000),VLOOKUP(B1309,'$$$ Replace &amp; Retrofit'!$B$10:$C$14,2)*'CHE Model poplulation'!D1309)*E1309</f>
        <v>17792543.594763767</v>
      </c>
      <c r="I1309" s="4">
        <f>E1309*VLOOKUP('CHE Model poplulation'!G1309,'$$$ Replace &amp; Retrofit'!$I$10:$J$15,2)</f>
        <v>2881201.0512702847</v>
      </c>
      <c r="J1309" s="4">
        <f>IF(D1309=50,VLOOKUP(0,'$$$ Replace &amp; Retrofit'!$E$10:$F$13,2),IF(D1309&lt;175,VLOOKUP(50,'$$$ Replace &amp; Retrofit'!$E$10:$F$13,2),IF(D1309&lt;400,VLOOKUP(175,'$$$ Replace &amp; Retrofit'!$E$10:$F$13,2),IF(D1309&gt;=400,VLOOKUP(400,'$$$ Replace &amp; Retrofit'!$E$10:$F$13,2),NA))))*E1309</f>
        <v>2091531.6552212101</v>
      </c>
    </row>
    <row r="1310" spans="1:10" x14ac:dyDescent="0.25">
      <c r="A1310" s="255" t="s">
        <v>249</v>
      </c>
      <c r="B1310" s="255" t="s">
        <v>192</v>
      </c>
      <c r="C1310" s="256">
        <v>2010</v>
      </c>
      <c r="D1310" s="256">
        <v>300</v>
      </c>
      <c r="E1310">
        <v>37.096322862308099</v>
      </c>
      <c r="F1310" s="257"/>
      <c r="G1310">
        <f t="shared" si="17"/>
        <v>300</v>
      </c>
      <c r="H1310" s="4">
        <f>IF(B1310="RTG Crane",IF(D1310&lt;600,800000,1200000),VLOOKUP(B1310,'$$$ Replace &amp; Retrofit'!$B$10:$C$14,2)*'CHE Model poplulation'!D1310)*E1310</f>
        <v>9737784.7513558753</v>
      </c>
      <c r="I1310" s="4">
        <f>E1310*VLOOKUP('CHE Model poplulation'!G1310,'$$$ Replace &amp; Retrofit'!$I$10:$J$15,2)</f>
        <v>1067001.5344885678</v>
      </c>
      <c r="J1310" s="4">
        <f>IF(D1310=50,VLOOKUP(0,'$$$ Replace &amp; Retrofit'!$E$10:$F$13,2),IF(D1310&lt;175,VLOOKUP(50,'$$$ Replace &amp; Retrofit'!$E$10:$F$13,2),IF(D1310&lt;400,VLOOKUP(175,'$$$ Replace &amp; Retrofit'!$E$10:$F$13,2),IF(D1310&gt;=400,VLOOKUP(400,'$$$ Replace &amp; Retrofit'!$E$10:$F$13,2),NA))))*E1310</f>
        <v>667733.81152154575</v>
      </c>
    </row>
    <row r="1311" spans="1:10" x14ac:dyDescent="0.25">
      <c r="A1311" s="255" t="s">
        <v>249</v>
      </c>
      <c r="B1311" s="255" t="s">
        <v>192</v>
      </c>
      <c r="C1311" s="256">
        <v>2010</v>
      </c>
      <c r="D1311" s="256">
        <v>600</v>
      </c>
      <c r="E1311">
        <v>8.8671692430341995</v>
      </c>
      <c r="F1311" s="257"/>
      <c r="G1311">
        <f t="shared" si="17"/>
        <v>400</v>
      </c>
      <c r="H1311" s="4">
        <f>IF(B1311="RTG Crane",IF(D1311&lt;600,800000,1200000),VLOOKUP(B1311,'$$$ Replace &amp; Retrofit'!$B$10:$C$14,2)*'CHE Model poplulation'!D1311)*E1311</f>
        <v>4655263.8525929544</v>
      </c>
      <c r="I1311" s="4">
        <f>E1311*VLOOKUP('CHE Model poplulation'!G1311,'$$$ Replace &amp; Retrofit'!$I$10:$J$15,2)</f>
        <v>464045.56799570879</v>
      </c>
      <c r="J1311" s="4">
        <f>IF(D1311=50,VLOOKUP(0,'$$$ Replace &amp; Retrofit'!$E$10:$F$13,2),IF(D1311&lt;175,VLOOKUP(50,'$$$ Replace &amp; Retrofit'!$E$10:$F$13,2),IF(D1311&lt;400,VLOOKUP(175,'$$$ Replace &amp; Retrofit'!$E$10:$F$13,2),IF(D1311&gt;=400,VLOOKUP(400,'$$$ Replace &amp; Retrofit'!$E$10:$F$13,2),NA))))*E1311</f>
        <v>266015.07729102601</v>
      </c>
    </row>
    <row r="1312" spans="1:10" x14ac:dyDescent="0.25">
      <c r="A1312" s="255" t="s">
        <v>249</v>
      </c>
      <c r="B1312" s="255" t="s">
        <v>192</v>
      </c>
      <c r="C1312" s="256">
        <v>2011</v>
      </c>
      <c r="D1312" s="256">
        <v>50</v>
      </c>
      <c r="E1312">
        <v>7.5506528176332601</v>
      </c>
      <c r="F1312" s="257"/>
      <c r="G1312">
        <f t="shared" si="17"/>
        <v>50</v>
      </c>
      <c r="H1312" s="4">
        <f>IF(B1312="RTG Crane",IF(D1312&lt;600,800000,1200000),VLOOKUP(B1312,'$$$ Replace &amp; Retrofit'!$B$10:$C$14,2)*'CHE Model poplulation'!D1312)*E1312</f>
        <v>330341.06077145512</v>
      </c>
      <c r="I1312" s="4">
        <f>E1312*VLOOKUP('CHE Model poplulation'!G1312,'$$$ Replace &amp; Retrofit'!$I$10:$J$15,2)</f>
        <v>132800.88175653378</v>
      </c>
      <c r="J1312" s="4">
        <f>IF(D1312=50,VLOOKUP(0,'$$$ Replace &amp; Retrofit'!$E$10:$F$13,2),IF(D1312&lt;175,VLOOKUP(50,'$$$ Replace &amp; Retrofit'!$E$10:$F$13,2),IF(D1312&lt;400,VLOOKUP(175,'$$$ Replace &amp; Retrofit'!$E$10:$F$13,2),IF(D1312&gt;=400,VLOOKUP(400,'$$$ Replace &amp; Retrofit'!$E$10:$F$13,2),NA))))*E1312</f>
        <v>60405.222541066083</v>
      </c>
    </row>
    <row r="1313" spans="1:10" x14ac:dyDescent="0.25">
      <c r="A1313" s="255" t="s">
        <v>249</v>
      </c>
      <c r="B1313" s="255" t="s">
        <v>192</v>
      </c>
      <c r="C1313" s="256">
        <v>2011</v>
      </c>
      <c r="D1313" s="256">
        <v>75</v>
      </c>
      <c r="E1313">
        <v>19.8551811470305</v>
      </c>
      <c r="F1313" s="257"/>
      <c r="G1313">
        <f t="shared" si="17"/>
        <v>50</v>
      </c>
      <c r="H1313" s="4">
        <f>IF(B1313="RTG Crane",IF(D1313&lt;600,800000,1200000),VLOOKUP(B1313,'$$$ Replace &amp; Retrofit'!$B$10:$C$14,2)*'CHE Model poplulation'!D1313)*E1313</f>
        <v>1302996.2627738765</v>
      </c>
      <c r="I1313" s="4">
        <f>E1313*VLOOKUP('CHE Model poplulation'!G1313,'$$$ Replace &amp; Retrofit'!$I$10:$J$15,2)</f>
        <v>349212.92601397244</v>
      </c>
      <c r="J1313" s="4">
        <f>IF(D1313=50,VLOOKUP(0,'$$$ Replace &amp; Retrofit'!$E$10:$F$13,2),IF(D1313&lt;175,VLOOKUP(50,'$$$ Replace &amp; Retrofit'!$E$10:$F$13,2),IF(D1313&lt;400,VLOOKUP(175,'$$$ Replace &amp; Retrofit'!$E$10:$F$13,2),IF(D1313&gt;=400,VLOOKUP(400,'$$$ Replace &amp; Retrofit'!$E$10:$F$13,2),NA))))*E1313</f>
        <v>238262.17376436599</v>
      </c>
    </row>
    <row r="1314" spans="1:10" x14ac:dyDescent="0.25">
      <c r="A1314" s="255" t="s">
        <v>249</v>
      </c>
      <c r="B1314" s="255" t="s">
        <v>192</v>
      </c>
      <c r="C1314" s="256">
        <v>2011</v>
      </c>
      <c r="D1314" s="256">
        <v>100</v>
      </c>
      <c r="E1314">
        <v>91.423212078264498</v>
      </c>
      <c r="F1314" s="257"/>
      <c r="G1314">
        <f t="shared" si="17"/>
        <v>125</v>
      </c>
      <c r="H1314" s="4">
        <f>IF(B1314="RTG Crane",IF(D1314&lt;600,800000,1200000),VLOOKUP(B1314,'$$$ Replace &amp; Retrofit'!$B$10:$C$14,2)*'CHE Model poplulation'!D1314)*E1314</f>
        <v>7999531.0568481432</v>
      </c>
      <c r="I1314" s="4">
        <f>E1314*VLOOKUP('CHE Model poplulation'!G1314,'$$$ Replace &amp; Retrofit'!$I$10:$J$15,2)</f>
        <v>1804054.2439403934</v>
      </c>
      <c r="J1314" s="4">
        <f>IF(D1314=50,VLOOKUP(0,'$$$ Replace &amp; Retrofit'!$E$10:$F$13,2),IF(D1314&lt;175,VLOOKUP(50,'$$$ Replace &amp; Retrofit'!$E$10:$F$13,2),IF(D1314&lt;400,VLOOKUP(175,'$$$ Replace &amp; Retrofit'!$E$10:$F$13,2),IF(D1314&gt;=400,VLOOKUP(400,'$$$ Replace &amp; Retrofit'!$E$10:$F$13,2),NA))))*E1314</f>
        <v>1097078.5449391741</v>
      </c>
    </row>
    <row r="1315" spans="1:10" x14ac:dyDescent="0.25">
      <c r="A1315" s="255" t="s">
        <v>249</v>
      </c>
      <c r="B1315" s="255" t="s">
        <v>192</v>
      </c>
      <c r="C1315" s="256">
        <v>2011</v>
      </c>
      <c r="D1315" s="256">
        <v>175</v>
      </c>
      <c r="E1315">
        <v>113.50210705140999</v>
      </c>
      <c r="F1315" s="257"/>
      <c r="G1315">
        <f t="shared" si="17"/>
        <v>175</v>
      </c>
      <c r="H1315" s="4">
        <f>IF(B1315="RTG Crane",IF(D1315&lt;600,800000,1200000),VLOOKUP(B1315,'$$$ Replace &amp; Retrofit'!$B$10:$C$14,2)*'CHE Model poplulation'!D1315)*E1315</f>
        <v>17380010.142247155</v>
      </c>
      <c r="I1315" s="4">
        <f>E1315*VLOOKUP('CHE Model poplulation'!G1315,'$$$ Replace &amp; Retrofit'!$I$10:$J$15,2)</f>
        <v>2814398.2464467622</v>
      </c>
      <c r="J1315" s="4">
        <f>IF(D1315=50,VLOOKUP(0,'$$$ Replace &amp; Retrofit'!$E$10:$F$13,2),IF(D1315&lt;175,VLOOKUP(50,'$$$ Replace &amp; Retrofit'!$E$10:$F$13,2),IF(D1315&lt;400,VLOOKUP(175,'$$$ Replace &amp; Retrofit'!$E$10:$F$13,2),IF(D1315&gt;=400,VLOOKUP(400,'$$$ Replace &amp; Retrofit'!$E$10:$F$13,2),NA))))*E1315</f>
        <v>2043037.9269253798</v>
      </c>
    </row>
    <row r="1316" spans="1:10" x14ac:dyDescent="0.25">
      <c r="A1316" s="255" t="s">
        <v>249</v>
      </c>
      <c r="B1316" s="255" t="s">
        <v>192</v>
      </c>
      <c r="C1316" s="256">
        <v>2011</v>
      </c>
      <c r="D1316" s="256">
        <v>300</v>
      </c>
      <c r="E1316">
        <v>36.604449382096</v>
      </c>
      <c r="F1316" s="257"/>
      <c r="G1316">
        <f t="shared" si="17"/>
        <v>300</v>
      </c>
      <c r="H1316" s="4">
        <f>IF(B1316="RTG Crane",IF(D1316&lt;600,800000,1200000),VLOOKUP(B1316,'$$$ Replace &amp; Retrofit'!$B$10:$C$14,2)*'CHE Model poplulation'!D1316)*E1316</f>
        <v>9608667.9628001992</v>
      </c>
      <c r="I1316" s="4">
        <f>E1316*VLOOKUP('CHE Model poplulation'!G1316,'$$$ Replace &amp; Retrofit'!$I$10:$J$15,2)</f>
        <v>1052853.7775772272</v>
      </c>
      <c r="J1316" s="4">
        <f>IF(D1316=50,VLOOKUP(0,'$$$ Replace &amp; Retrofit'!$E$10:$F$13,2),IF(D1316&lt;175,VLOOKUP(50,'$$$ Replace &amp; Retrofit'!$E$10:$F$13,2),IF(D1316&lt;400,VLOOKUP(175,'$$$ Replace &amp; Retrofit'!$E$10:$F$13,2),IF(D1316&gt;=400,VLOOKUP(400,'$$$ Replace &amp; Retrofit'!$E$10:$F$13,2),NA))))*E1316</f>
        <v>658880.08887772798</v>
      </c>
    </row>
    <row r="1317" spans="1:10" x14ac:dyDescent="0.25">
      <c r="A1317" s="255" t="s">
        <v>249</v>
      </c>
      <c r="B1317" s="255" t="s">
        <v>192</v>
      </c>
      <c r="C1317" s="256">
        <v>2011</v>
      </c>
      <c r="D1317" s="256">
        <v>600</v>
      </c>
      <c r="E1317">
        <v>8.8067956042575801</v>
      </c>
      <c r="F1317" s="257"/>
      <c r="G1317">
        <f t="shared" si="17"/>
        <v>400</v>
      </c>
      <c r="H1317" s="4">
        <f>IF(B1317="RTG Crane",IF(D1317&lt;600,800000,1200000),VLOOKUP(B1317,'$$$ Replace &amp; Retrofit'!$B$10:$C$14,2)*'CHE Model poplulation'!D1317)*E1317</f>
        <v>4623567.6922352295</v>
      </c>
      <c r="I1317" s="4">
        <f>E1317*VLOOKUP('CHE Model poplulation'!G1317,'$$$ Replace &amp; Retrofit'!$I$10:$J$15,2)</f>
        <v>460886.03435761196</v>
      </c>
      <c r="J1317" s="4">
        <f>IF(D1317=50,VLOOKUP(0,'$$$ Replace &amp; Retrofit'!$E$10:$F$13,2),IF(D1317&lt;175,VLOOKUP(50,'$$$ Replace &amp; Retrofit'!$E$10:$F$13,2),IF(D1317&lt;400,VLOOKUP(175,'$$$ Replace &amp; Retrofit'!$E$10:$F$13,2),IF(D1317&gt;=400,VLOOKUP(400,'$$$ Replace &amp; Retrofit'!$E$10:$F$13,2),NA))))*E1317</f>
        <v>264203.86812772742</v>
      </c>
    </row>
    <row r="1318" spans="1:10" x14ac:dyDescent="0.25">
      <c r="A1318" s="255" t="s">
        <v>249</v>
      </c>
      <c r="B1318" s="255" t="s">
        <v>192</v>
      </c>
      <c r="C1318" s="256">
        <v>2012</v>
      </c>
      <c r="D1318" s="256">
        <v>50</v>
      </c>
      <c r="E1318">
        <v>7.44975109901445</v>
      </c>
      <c r="F1318" s="257"/>
      <c r="G1318">
        <f t="shared" si="17"/>
        <v>50</v>
      </c>
      <c r="H1318" s="4">
        <f>IF(B1318="RTG Crane",IF(D1318&lt;600,800000,1200000),VLOOKUP(B1318,'$$$ Replace &amp; Retrofit'!$B$10:$C$14,2)*'CHE Model poplulation'!D1318)*E1318</f>
        <v>325926.61058188218</v>
      </c>
      <c r="I1318" s="4">
        <f>E1318*VLOOKUP('CHE Model poplulation'!G1318,'$$$ Replace &amp; Retrofit'!$I$10:$J$15,2)</f>
        <v>131026.22232946615</v>
      </c>
      <c r="J1318" s="4">
        <f>IF(D1318=50,VLOOKUP(0,'$$$ Replace &amp; Retrofit'!$E$10:$F$13,2),IF(D1318&lt;175,VLOOKUP(50,'$$$ Replace &amp; Retrofit'!$E$10:$F$13,2),IF(D1318&lt;400,VLOOKUP(175,'$$$ Replace &amp; Retrofit'!$E$10:$F$13,2),IF(D1318&gt;=400,VLOOKUP(400,'$$$ Replace &amp; Retrofit'!$E$10:$F$13,2),NA))))*E1318</f>
        <v>59598.008792115601</v>
      </c>
    </row>
    <row r="1319" spans="1:10" x14ac:dyDescent="0.25">
      <c r="A1319" s="255" t="s">
        <v>249</v>
      </c>
      <c r="B1319" s="255" t="s">
        <v>192</v>
      </c>
      <c r="C1319" s="256">
        <v>2012</v>
      </c>
      <c r="D1319" s="256">
        <v>75</v>
      </c>
      <c r="E1319">
        <v>19.6218098572215</v>
      </c>
      <c r="F1319" s="257"/>
      <c r="G1319">
        <f t="shared" si="17"/>
        <v>50</v>
      </c>
      <c r="H1319" s="4">
        <f>IF(B1319="RTG Crane",IF(D1319&lt;600,800000,1200000),VLOOKUP(B1319,'$$$ Replace &amp; Retrofit'!$B$10:$C$14,2)*'CHE Model poplulation'!D1319)*E1319</f>
        <v>1287681.271880161</v>
      </c>
      <c r="I1319" s="4">
        <f>E1319*VLOOKUP('CHE Model poplulation'!G1319,'$$$ Replace &amp; Retrofit'!$I$10:$J$15,2)</f>
        <v>345108.39176881174</v>
      </c>
      <c r="J1319" s="4">
        <f>IF(D1319=50,VLOOKUP(0,'$$$ Replace &amp; Retrofit'!$E$10:$F$13,2),IF(D1319&lt;175,VLOOKUP(50,'$$$ Replace &amp; Retrofit'!$E$10:$F$13,2),IF(D1319&lt;400,VLOOKUP(175,'$$$ Replace &amp; Retrofit'!$E$10:$F$13,2),IF(D1319&gt;=400,VLOOKUP(400,'$$$ Replace &amp; Retrofit'!$E$10:$F$13,2),NA))))*E1319</f>
        <v>235461.718286658</v>
      </c>
    </row>
    <row r="1320" spans="1:10" x14ac:dyDescent="0.25">
      <c r="A1320" s="255" t="s">
        <v>249</v>
      </c>
      <c r="B1320" s="255" t="s">
        <v>192</v>
      </c>
      <c r="C1320" s="256">
        <v>2012</v>
      </c>
      <c r="D1320" s="256">
        <v>100</v>
      </c>
      <c r="E1320">
        <v>90.231188992556397</v>
      </c>
      <c r="F1320" s="257"/>
      <c r="G1320">
        <f t="shared" si="17"/>
        <v>125</v>
      </c>
      <c r="H1320" s="4">
        <f>IF(B1320="RTG Crane",IF(D1320&lt;600,800000,1200000),VLOOKUP(B1320,'$$$ Replace &amp; Retrofit'!$B$10:$C$14,2)*'CHE Model poplulation'!D1320)*E1320</f>
        <v>7895229.0368486848</v>
      </c>
      <c r="I1320" s="4">
        <f>E1320*VLOOKUP('CHE Model poplulation'!G1320,'$$$ Replace &amp; Retrofit'!$I$10:$J$15,2)</f>
        <v>1780532.0523901153</v>
      </c>
      <c r="J1320" s="4">
        <f>IF(D1320=50,VLOOKUP(0,'$$$ Replace &amp; Retrofit'!$E$10:$F$13,2),IF(D1320&lt;175,VLOOKUP(50,'$$$ Replace &amp; Retrofit'!$E$10:$F$13,2),IF(D1320&lt;400,VLOOKUP(175,'$$$ Replace &amp; Retrofit'!$E$10:$F$13,2),IF(D1320&gt;=400,VLOOKUP(400,'$$$ Replace &amp; Retrofit'!$E$10:$F$13,2),NA))))*E1320</f>
        <v>1082774.2679106768</v>
      </c>
    </row>
    <row r="1321" spans="1:10" x14ac:dyDescent="0.25">
      <c r="A1321" s="255" t="s">
        <v>249</v>
      </c>
      <c r="B1321" s="255" t="s">
        <v>192</v>
      </c>
      <c r="C1321" s="256">
        <v>2012</v>
      </c>
      <c r="D1321" s="256">
        <v>175</v>
      </c>
      <c r="E1321">
        <v>112.26596382387901</v>
      </c>
      <c r="F1321" s="257"/>
      <c r="G1321">
        <f t="shared" si="17"/>
        <v>175</v>
      </c>
      <c r="H1321" s="4">
        <f>IF(B1321="RTG Crane",IF(D1321&lt;600,800000,1200000),VLOOKUP(B1321,'$$$ Replace &amp; Retrofit'!$B$10:$C$14,2)*'CHE Model poplulation'!D1321)*E1321</f>
        <v>17190725.710531473</v>
      </c>
      <c r="I1321" s="4">
        <f>E1321*VLOOKUP('CHE Model poplulation'!G1321,'$$$ Replace &amp; Retrofit'!$I$10:$J$15,2)</f>
        <v>2783746.8389769038</v>
      </c>
      <c r="J1321" s="4">
        <f>IF(D1321=50,VLOOKUP(0,'$$$ Replace &amp; Retrofit'!$E$10:$F$13,2),IF(D1321&lt;175,VLOOKUP(50,'$$$ Replace &amp; Retrofit'!$E$10:$F$13,2),IF(D1321&lt;400,VLOOKUP(175,'$$$ Replace &amp; Retrofit'!$E$10:$F$13,2),IF(D1321&gt;=400,VLOOKUP(400,'$$$ Replace &amp; Retrofit'!$E$10:$F$13,2),NA))))*E1321</f>
        <v>2020787.3488298221</v>
      </c>
    </row>
    <row r="1322" spans="1:10" x14ac:dyDescent="0.25">
      <c r="A1322" s="255" t="s">
        <v>249</v>
      </c>
      <c r="B1322" s="255" t="s">
        <v>192</v>
      </c>
      <c r="C1322" s="256">
        <v>2012</v>
      </c>
      <c r="D1322" s="256">
        <v>300</v>
      </c>
      <c r="E1322">
        <v>36.253321988428503</v>
      </c>
      <c r="F1322" s="257"/>
      <c r="G1322">
        <f t="shared" si="17"/>
        <v>300</v>
      </c>
      <c r="H1322" s="4">
        <f>IF(B1322="RTG Crane",IF(D1322&lt;600,800000,1200000),VLOOKUP(B1322,'$$$ Replace &amp; Retrofit'!$B$10:$C$14,2)*'CHE Model poplulation'!D1322)*E1322</f>
        <v>9516497.0219624825</v>
      </c>
      <c r="I1322" s="4">
        <f>E1322*VLOOKUP('CHE Model poplulation'!G1322,'$$$ Replace &amp; Retrofit'!$I$10:$J$15,2)</f>
        <v>1042754.3003531691</v>
      </c>
      <c r="J1322" s="4">
        <f>IF(D1322=50,VLOOKUP(0,'$$$ Replace &amp; Retrofit'!$E$10:$F$13,2),IF(D1322&lt;175,VLOOKUP(50,'$$$ Replace &amp; Retrofit'!$E$10:$F$13,2),IF(D1322&lt;400,VLOOKUP(175,'$$$ Replace &amp; Retrofit'!$E$10:$F$13,2),IF(D1322&gt;=400,VLOOKUP(400,'$$$ Replace &amp; Retrofit'!$E$10:$F$13,2),NA))))*E1322</f>
        <v>652559.79579171306</v>
      </c>
    </row>
    <row r="1323" spans="1:10" x14ac:dyDescent="0.25">
      <c r="A1323" s="255" t="s">
        <v>249</v>
      </c>
      <c r="B1323" s="255" t="s">
        <v>192</v>
      </c>
      <c r="C1323" s="256">
        <v>2012</v>
      </c>
      <c r="D1323" s="256">
        <v>600</v>
      </c>
      <c r="E1323">
        <v>8.7687450737368504</v>
      </c>
      <c r="F1323" s="257"/>
      <c r="G1323">
        <f t="shared" si="17"/>
        <v>400</v>
      </c>
      <c r="H1323" s="4">
        <f>IF(B1323="RTG Crane",IF(D1323&lt;600,800000,1200000),VLOOKUP(B1323,'$$$ Replace &amp; Retrofit'!$B$10:$C$14,2)*'CHE Model poplulation'!D1323)*E1323</f>
        <v>4603591.1637118468</v>
      </c>
      <c r="I1323" s="4">
        <f>E1323*VLOOKUP('CHE Model poplulation'!G1323,'$$$ Replace &amp; Retrofit'!$I$10:$J$15,2)</f>
        <v>458894.73594387062</v>
      </c>
      <c r="J1323" s="4">
        <f>IF(D1323=50,VLOOKUP(0,'$$$ Replace &amp; Retrofit'!$E$10:$F$13,2),IF(D1323&lt;175,VLOOKUP(50,'$$$ Replace &amp; Retrofit'!$E$10:$F$13,2),IF(D1323&lt;400,VLOOKUP(175,'$$$ Replace &amp; Retrofit'!$E$10:$F$13,2),IF(D1323&gt;=400,VLOOKUP(400,'$$$ Replace &amp; Retrofit'!$E$10:$F$13,2),NA))))*E1323</f>
        <v>263062.35221210553</v>
      </c>
    </row>
    <row r="1324" spans="1:10" x14ac:dyDescent="0.25">
      <c r="A1324" s="255" t="s">
        <v>249</v>
      </c>
      <c r="B1324" s="255" t="s">
        <v>192</v>
      </c>
      <c r="C1324" s="256">
        <v>2013</v>
      </c>
      <c r="D1324" s="256">
        <v>50</v>
      </c>
      <c r="E1324">
        <v>6.9411537998766901</v>
      </c>
      <c r="F1324" s="257"/>
      <c r="G1324">
        <f t="shared" si="17"/>
        <v>50</v>
      </c>
      <c r="H1324" s="4">
        <f>IF(B1324="RTG Crane",IF(D1324&lt;600,800000,1200000),VLOOKUP(B1324,'$$$ Replace &amp; Retrofit'!$B$10:$C$14,2)*'CHE Model poplulation'!D1324)*E1324</f>
        <v>303675.47874460521</v>
      </c>
      <c r="I1324" s="4">
        <f>E1324*VLOOKUP('CHE Model poplulation'!G1324,'$$$ Replace &amp; Retrofit'!$I$10:$J$15,2)</f>
        <v>122081.01303223123</v>
      </c>
      <c r="J1324" s="4">
        <f>IF(D1324=50,VLOOKUP(0,'$$$ Replace &amp; Retrofit'!$E$10:$F$13,2),IF(D1324&lt;175,VLOOKUP(50,'$$$ Replace &amp; Retrofit'!$E$10:$F$13,2),IF(D1324&lt;400,VLOOKUP(175,'$$$ Replace &amp; Retrofit'!$E$10:$F$13,2),IF(D1324&gt;=400,VLOOKUP(400,'$$$ Replace &amp; Retrofit'!$E$10:$F$13,2),NA))))*E1324</f>
        <v>55529.230399013519</v>
      </c>
    </row>
    <row r="1325" spans="1:10" x14ac:dyDescent="0.25">
      <c r="A1325" s="255" t="s">
        <v>249</v>
      </c>
      <c r="B1325" s="255" t="s">
        <v>192</v>
      </c>
      <c r="C1325" s="256">
        <v>2013</v>
      </c>
      <c r="D1325" s="256">
        <v>75</v>
      </c>
      <c r="E1325">
        <v>18.864919697702</v>
      </c>
      <c r="F1325" s="257"/>
      <c r="G1325">
        <f t="shared" si="17"/>
        <v>50</v>
      </c>
      <c r="H1325" s="4">
        <f>IF(B1325="RTG Crane",IF(D1325&lt;600,800000,1200000),VLOOKUP(B1325,'$$$ Replace &amp; Retrofit'!$B$10:$C$14,2)*'CHE Model poplulation'!D1325)*E1325</f>
        <v>1238010.3551616936</v>
      </c>
      <c r="I1325" s="4">
        <f>E1325*VLOOKUP('CHE Model poplulation'!G1325,'$$$ Replace &amp; Retrofit'!$I$10:$J$15,2)</f>
        <v>331796.20764318277</v>
      </c>
      <c r="J1325" s="4">
        <f>IF(D1325=50,VLOOKUP(0,'$$$ Replace &amp; Retrofit'!$E$10:$F$13,2),IF(D1325&lt;175,VLOOKUP(50,'$$$ Replace &amp; Retrofit'!$E$10:$F$13,2),IF(D1325&lt;400,VLOOKUP(175,'$$$ Replace &amp; Retrofit'!$E$10:$F$13,2),IF(D1325&gt;=400,VLOOKUP(400,'$$$ Replace &amp; Retrofit'!$E$10:$F$13,2),NA))))*E1325</f>
        <v>226379.03637242399</v>
      </c>
    </row>
    <row r="1326" spans="1:10" x14ac:dyDescent="0.25">
      <c r="A1326" s="255" t="s">
        <v>249</v>
      </c>
      <c r="B1326" s="255" t="s">
        <v>192</v>
      </c>
      <c r="C1326" s="256">
        <v>2013</v>
      </c>
      <c r="D1326" s="256">
        <v>100</v>
      </c>
      <c r="E1326">
        <v>86.9935333469234</v>
      </c>
      <c r="F1326" s="257"/>
      <c r="G1326">
        <f t="shared" si="17"/>
        <v>125</v>
      </c>
      <c r="H1326" s="4">
        <f>IF(B1326="RTG Crane",IF(D1326&lt;600,800000,1200000),VLOOKUP(B1326,'$$$ Replace &amp; Retrofit'!$B$10:$C$14,2)*'CHE Model poplulation'!D1326)*E1326</f>
        <v>7611934.1678557973</v>
      </c>
      <c r="I1326" s="4">
        <f>E1326*VLOOKUP('CHE Model poplulation'!G1326,'$$$ Replace &amp; Retrofit'!$I$10:$J$15,2)</f>
        <v>1716643.3935348394</v>
      </c>
      <c r="J1326" s="4">
        <f>IF(D1326=50,VLOOKUP(0,'$$$ Replace &amp; Retrofit'!$E$10:$F$13,2),IF(D1326&lt;175,VLOOKUP(50,'$$$ Replace &amp; Retrofit'!$E$10:$F$13,2),IF(D1326&lt;400,VLOOKUP(175,'$$$ Replace &amp; Retrofit'!$E$10:$F$13,2),IF(D1326&gt;=400,VLOOKUP(400,'$$$ Replace &amp; Retrofit'!$E$10:$F$13,2),NA))))*E1326</f>
        <v>1043922.4001630808</v>
      </c>
    </row>
    <row r="1327" spans="1:10" x14ac:dyDescent="0.25">
      <c r="A1327" s="255" t="s">
        <v>249</v>
      </c>
      <c r="B1327" s="255" t="s">
        <v>192</v>
      </c>
      <c r="C1327" s="256">
        <v>2013</v>
      </c>
      <c r="D1327" s="256">
        <v>175</v>
      </c>
      <c r="E1327">
        <v>108.59095633621899</v>
      </c>
      <c r="F1327" s="257"/>
      <c r="G1327">
        <f t="shared" si="17"/>
        <v>175</v>
      </c>
      <c r="H1327" s="4">
        <f>IF(B1327="RTG Crane",IF(D1327&lt;600,800000,1200000),VLOOKUP(B1327,'$$$ Replace &amp; Retrofit'!$B$10:$C$14,2)*'CHE Model poplulation'!D1327)*E1327</f>
        <v>16627990.188983534</v>
      </c>
      <c r="I1327" s="4">
        <f>E1327*VLOOKUP('CHE Model poplulation'!G1327,'$$$ Replace &amp; Retrofit'!$I$10:$J$15,2)</f>
        <v>2692621.3533128863</v>
      </c>
      <c r="J1327" s="4">
        <f>IF(D1327=50,VLOOKUP(0,'$$$ Replace &amp; Retrofit'!$E$10:$F$13,2),IF(D1327&lt;175,VLOOKUP(50,'$$$ Replace &amp; Retrofit'!$E$10:$F$13,2),IF(D1327&lt;400,VLOOKUP(175,'$$$ Replace &amp; Retrofit'!$E$10:$F$13,2),IF(D1327&gt;=400,VLOOKUP(400,'$$$ Replace &amp; Retrofit'!$E$10:$F$13,2),NA))))*E1327</f>
        <v>1954637.2140519419</v>
      </c>
    </row>
    <row r="1328" spans="1:10" x14ac:dyDescent="0.25">
      <c r="A1328" s="255" t="s">
        <v>249</v>
      </c>
      <c r="B1328" s="255" t="s">
        <v>192</v>
      </c>
      <c r="C1328" s="256">
        <v>2013</v>
      </c>
      <c r="D1328" s="256">
        <v>300</v>
      </c>
      <c r="E1328">
        <v>35.453031403088602</v>
      </c>
      <c r="F1328" s="257"/>
      <c r="G1328">
        <f t="shared" si="17"/>
        <v>300</v>
      </c>
      <c r="H1328" s="4">
        <f>IF(B1328="RTG Crane",IF(D1328&lt;600,800000,1200000),VLOOKUP(B1328,'$$$ Replace &amp; Retrofit'!$B$10:$C$14,2)*'CHE Model poplulation'!D1328)*E1328</f>
        <v>9306420.7433107588</v>
      </c>
      <c r="I1328" s="4">
        <f>E1328*VLOOKUP('CHE Model poplulation'!G1328,'$$$ Replace &amp; Retrofit'!$I$10:$J$15,2)</f>
        <v>1019735.5422470374</v>
      </c>
      <c r="J1328" s="4">
        <f>IF(D1328=50,VLOOKUP(0,'$$$ Replace &amp; Retrofit'!$E$10:$F$13,2),IF(D1328&lt;175,VLOOKUP(50,'$$$ Replace &amp; Retrofit'!$E$10:$F$13,2),IF(D1328&lt;400,VLOOKUP(175,'$$$ Replace &amp; Retrofit'!$E$10:$F$13,2),IF(D1328&gt;=400,VLOOKUP(400,'$$$ Replace &amp; Retrofit'!$E$10:$F$13,2),NA))))*E1328</f>
        <v>638154.56525559479</v>
      </c>
    </row>
    <row r="1329" spans="1:10" x14ac:dyDescent="0.25">
      <c r="A1329" s="255" t="s">
        <v>249</v>
      </c>
      <c r="B1329" s="255" t="s">
        <v>192</v>
      </c>
      <c r="C1329" s="256">
        <v>2013</v>
      </c>
      <c r="D1329" s="256">
        <v>600</v>
      </c>
      <c r="E1329">
        <v>8.6247033590059807</v>
      </c>
      <c r="F1329" s="257"/>
      <c r="G1329">
        <f t="shared" si="17"/>
        <v>400</v>
      </c>
      <c r="H1329" s="4">
        <f>IF(B1329="RTG Crane",IF(D1329&lt;600,800000,1200000),VLOOKUP(B1329,'$$$ Replace &amp; Retrofit'!$B$10:$C$14,2)*'CHE Model poplulation'!D1329)*E1329</f>
        <v>4527969.2634781403</v>
      </c>
      <c r="I1329" s="4">
        <f>E1329*VLOOKUP('CHE Model poplulation'!G1329,'$$$ Replace &amp; Retrofit'!$I$10:$J$15,2)</f>
        <v>451356.60088685999</v>
      </c>
      <c r="J1329" s="4">
        <f>IF(D1329=50,VLOOKUP(0,'$$$ Replace &amp; Retrofit'!$E$10:$F$13,2),IF(D1329&lt;175,VLOOKUP(50,'$$$ Replace &amp; Retrofit'!$E$10:$F$13,2),IF(D1329&lt;400,VLOOKUP(175,'$$$ Replace &amp; Retrofit'!$E$10:$F$13,2),IF(D1329&gt;=400,VLOOKUP(400,'$$$ Replace &amp; Retrofit'!$E$10:$F$13,2),NA))))*E1329</f>
        <v>258741.10077017942</v>
      </c>
    </row>
    <row r="1330" spans="1:10" x14ac:dyDescent="0.25">
      <c r="A1330" s="255" t="s">
        <v>249</v>
      </c>
      <c r="B1330" s="255" t="s">
        <v>192</v>
      </c>
      <c r="C1330" s="256">
        <v>2014</v>
      </c>
      <c r="D1330" s="256">
        <v>50</v>
      </c>
      <c r="E1330">
        <v>5.3379664040724801</v>
      </c>
      <c r="F1330" s="257"/>
      <c r="G1330">
        <f t="shared" si="17"/>
        <v>50</v>
      </c>
      <c r="H1330" s="4">
        <f>IF(B1330="RTG Crane",IF(D1330&lt;600,800000,1200000),VLOOKUP(B1330,'$$$ Replace &amp; Retrofit'!$B$10:$C$14,2)*'CHE Model poplulation'!D1330)*E1330</f>
        <v>233536.030178171</v>
      </c>
      <c r="I1330" s="4">
        <f>E1330*VLOOKUP('CHE Model poplulation'!G1330,'$$$ Replace &amp; Retrofit'!$I$10:$J$15,2)</f>
        <v>93884.153114826782</v>
      </c>
      <c r="J1330" s="4">
        <f>IF(D1330=50,VLOOKUP(0,'$$$ Replace &amp; Retrofit'!$E$10:$F$13,2),IF(D1330&lt;175,VLOOKUP(50,'$$$ Replace &amp; Retrofit'!$E$10:$F$13,2),IF(D1330&lt;400,VLOOKUP(175,'$$$ Replace &amp; Retrofit'!$E$10:$F$13,2),IF(D1330&gt;=400,VLOOKUP(400,'$$$ Replace &amp; Retrofit'!$E$10:$F$13,2),NA))))*E1330</f>
        <v>42703.731232579841</v>
      </c>
    </row>
    <row r="1331" spans="1:10" x14ac:dyDescent="0.25">
      <c r="A1331" s="255" t="s">
        <v>249</v>
      </c>
      <c r="B1331" s="255" t="s">
        <v>192</v>
      </c>
      <c r="C1331" s="256">
        <v>2014</v>
      </c>
      <c r="D1331" s="256">
        <v>75</v>
      </c>
      <c r="E1331">
        <v>16.217925074880899</v>
      </c>
      <c r="F1331" s="257"/>
      <c r="G1331">
        <f t="shared" si="17"/>
        <v>50</v>
      </c>
      <c r="H1331" s="4">
        <f>IF(B1331="RTG Crane",IF(D1331&lt;600,800000,1200000),VLOOKUP(B1331,'$$$ Replace &amp; Retrofit'!$B$10:$C$14,2)*'CHE Model poplulation'!D1331)*E1331</f>
        <v>1064301.3330390591</v>
      </c>
      <c r="I1331" s="4">
        <f>E1331*VLOOKUP('CHE Model poplulation'!G1331,'$$$ Replace &amp; Retrofit'!$I$10:$J$15,2)</f>
        <v>285240.86621700524</v>
      </c>
      <c r="J1331" s="4">
        <f>IF(D1331=50,VLOOKUP(0,'$$$ Replace &amp; Retrofit'!$E$10:$F$13,2),IF(D1331&lt;175,VLOOKUP(50,'$$$ Replace &amp; Retrofit'!$E$10:$F$13,2),IF(D1331&lt;400,VLOOKUP(175,'$$$ Replace &amp; Retrofit'!$E$10:$F$13,2),IF(D1331&gt;=400,VLOOKUP(400,'$$$ Replace &amp; Retrofit'!$E$10:$F$13,2),NA))))*E1331</f>
        <v>194615.10089857079</v>
      </c>
    </row>
    <row r="1332" spans="1:10" x14ac:dyDescent="0.25">
      <c r="A1332" s="255" t="s">
        <v>249</v>
      </c>
      <c r="B1332" s="255" t="s">
        <v>192</v>
      </c>
      <c r="C1332" s="256">
        <v>2014</v>
      </c>
      <c r="D1332" s="256">
        <v>100</v>
      </c>
      <c r="E1332">
        <v>77.993090538302098</v>
      </c>
      <c r="F1332" s="257"/>
      <c r="G1332">
        <f t="shared" si="17"/>
        <v>125</v>
      </c>
      <c r="H1332" s="4">
        <f>IF(B1332="RTG Crane",IF(D1332&lt;600,800000,1200000),VLOOKUP(B1332,'$$$ Replace &amp; Retrofit'!$B$10:$C$14,2)*'CHE Model poplulation'!D1332)*E1332</f>
        <v>6824395.4221014334</v>
      </c>
      <c r="I1332" s="4">
        <f>E1332*VLOOKUP('CHE Model poplulation'!G1332,'$$$ Replace &amp; Retrofit'!$I$10:$J$15,2)</f>
        <v>1539037.6555923154</v>
      </c>
      <c r="J1332" s="4">
        <f>IF(D1332=50,VLOOKUP(0,'$$$ Replace &amp; Retrofit'!$E$10:$F$13,2),IF(D1332&lt;175,VLOOKUP(50,'$$$ Replace &amp; Retrofit'!$E$10:$F$13,2),IF(D1332&lt;400,VLOOKUP(175,'$$$ Replace &amp; Retrofit'!$E$10:$F$13,2),IF(D1332&gt;=400,VLOOKUP(400,'$$$ Replace &amp; Retrofit'!$E$10:$F$13,2),NA))))*E1332</f>
        <v>935917.08645962516</v>
      </c>
    </row>
    <row r="1333" spans="1:10" x14ac:dyDescent="0.25">
      <c r="A1333" s="255" t="s">
        <v>249</v>
      </c>
      <c r="B1333" s="255" t="s">
        <v>192</v>
      </c>
      <c r="C1333" s="256">
        <v>2014</v>
      </c>
      <c r="D1333" s="256">
        <v>175</v>
      </c>
      <c r="E1333">
        <v>94.944220241554405</v>
      </c>
      <c r="F1333" s="257"/>
      <c r="G1333">
        <f t="shared" si="17"/>
        <v>175</v>
      </c>
      <c r="H1333" s="4">
        <f>IF(B1333="RTG Crane",IF(D1333&lt;600,800000,1200000),VLOOKUP(B1333,'$$$ Replace &amp; Retrofit'!$B$10:$C$14,2)*'CHE Model poplulation'!D1333)*E1333</f>
        <v>14538333.724488018</v>
      </c>
      <c r="I1333" s="4">
        <f>E1333*VLOOKUP('CHE Model poplulation'!G1333,'$$$ Replace &amp; Retrofit'!$I$10:$J$15,2)</f>
        <v>2354236.8851095829</v>
      </c>
      <c r="J1333" s="4">
        <f>IF(D1333=50,VLOOKUP(0,'$$$ Replace &amp; Retrofit'!$E$10:$F$13,2),IF(D1333&lt;175,VLOOKUP(50,'$$$ Replace &amp; Retrofit'!$E$10:$F$13,2),IF(D1333&lt;400,VLOOKUP(175,'$$$ Replace &amp; Retrofit'!$E$10:$F$13,2),IF(D1333&gt;=400,VLOOKUP(400,'$$$ Replace &amp; Retrofit'!$E$10:$F$13,2),NA))))*E1333</f>
        <v>1708995.9643479793</v>
      </c>
    </row>
    <row r="1334" spans="1:10" x14ac:dyDescent="0.25">
      <c r="A1334" s="255" t="s">
        <v>249</v>
      </c>
      <c r="B1334" s="255" t="s">
        <v>192</v>
      </c>
      <c r="C1334" s="256">
        <v>2014</v>
      </c>
      <c r="D1334" s="256">
        <v>300</v>
      </c>
      <c r="E1334">
        <v>31.267038924585499</v>
      </c>
      <c r="F1334" s="257"/>
      <c r="G1334">
        <f t="shared" si="17"/>
        <v>300</v>
      </c>
      <c r="H1334" s="4">
        <f>IF(B1334="RTG Crane",IF(D1334&lt;600,800000,1200000),VLOOKUP(B1334,'$$$ Replace &amp; Retrofit'!$B$10:$C$14,2)*'CHE Model poplulation'!D1334)*E1334</f>
        <v>8207597.7177036935</v>
      </c>
      <c r="I1334" s="4">
        <f>E1334*VLOOKUP('CHE Model poplulation'!G1334,'$$$ Replace &amp; Retrofit'!$I$10:$J$15,2)</f>
        <v>899333.84058785276</v>
      </c>
      <c r="J1334" s="4">
        <f>IF(D1334=50,VLOOKUP(0,'$$$ Replace &amp; Retrofit'!$E$10:$F$13,2),IF(D1334&lt;175,VLOOKUP(50,'$$$ Replace &amp; Retrofit'!$E$10:$F$13,2),IF(D1334&lt;400,VLOOKUP(175,'$$$ Replace &amp; Retrofit'!$E$10:$F$13,2),IF(D1334&gt;=400,VLOOKUP(400,'$$$ Replace &amp; Retrofit'!$E$10:$F$13,2),NA))))*E1334</f>
        <v>562806.70064253896</v>
      </c>
    </row>
    <row r="1335" spans="1:10" x14ac:dyDescent="0.25">
      <c r="A1335" s="255" t="s">
        <v>249</v>
      </c>
      <c r="B1335" s="255" t="s">
        <v>192</v>
      </c>
      <c r="C1335" s="256">
        <v>2014</v>
      </c>
      <c r="D1335" s="256">
        <v>600</v>
      </c>
      <c r="E1335">
        <v>8.4353221229905309</v>
      </c>
      <c r="F1335" s="257"/>
      <c r="G1335">
        <f t="shared" si="17"/>
        <v>400</v>
      </c>
      <c r="H1335" s="4">
        <f>IF(B1335="RTG Crane",IF(D1335&lt;600,800000,1200000),VLOOKUP(B1335,'$$$ Replace &amp; Retrofit'!$B$10:$C$14,2)*'CHE Model poplulation'!D1335)*E1335</f>
        <v>4428544.1145700291</v>
      </c>
      <c r="I1335" s="4">
        <f>E1335*VLOOKUP('CHE Model poplulation'!G1335,'$$$ Replace &amp; Retrofit'!$I$10:$J$15,2)</f>
        <v>441445.71266246343</v>
      </c>
      <c r="J1335" s="4">
        <f>IF(D1335=50,VLOOKUP(0,'$$$ Replace &amp; Retrofit'!$E$10:$F$13,2),IF(D1335&lt;175,VLOOKUP(50,'$$$ Replace &amp; Retrofit'!$E$10:$F$13,2),IF(D1335&lt;400,VLOOKUP(175,'$$$ Replace &amp; Retrofit'!$E$10:$F$13,2),IF(D1335&gt;=400,VLOOKUP(400,'$$$ Replace &amp; Retrofit'!$E$10:$F$13,2),NA))))*E1335</f>
        <v>253059.66368971593</v>
      </c>
    </row>
    <row r="1336" spans="1:10" x14ac:dyDescent="0.25">
      <c r="A1336" s="255" t="s">
        <v>249</v>
      </c>
      <c r="B1336" s="255" t="s">
        <v>192</v>
      </c>
      <c r="C1336" s="256">
        <v>2015</v>
      </c>
      <c r="D1336" s="256">
        <v>50</v>
      </c>
      <c r="E1336">
        <v>3.57678179966025</v>
      </c>
      <c r="F1336" s="257"/>
      <c r="G1336">
        <f t="shared" si="17"/>
        <v>50</v>
      </c>
      <c r="H1336" s="4">
        <f>IF(B1336="RTG Crane",IF(D1336&lt;600,800000,1200000),VLOOKUP(B1336,'$$$ Replace &amp; Retrofit'!$B$10:$C$14,2)*'CHE Model poplulation'!D1336)*E1336</f>
        <v>156484.20373513593</v>
      </c>
      <c r="I1336" s="4">
        <f>E1336*VLOOKUP('CHE Model poplulation'!G1336,'$$$ Replace &amp; Retrofit'!$I$10:$J$15,2)</f>
        <v>62908.438292424478</v>
      </c>
      <c r="J1336" s="4">
        <f>IF(D1336=50,VLOOKUP(0,'$$$ Replace &amp; Retrofit'!$E$10:$F$13,2),IF(D1336&lt;175,VLOOKUP(50,'$$$ Replace &amp; Retrofit'!$E$10:$F$13,2),IF(D1336&lt;400,VLOOKUP(175,'$$$ Replace &amp; Retrofit'!$E$10:$F$13,2),IF(D1336&gt;=400,VLOOKUP(400,'$$$ Replace &amp; Retrofit'!$E$10:$F$13,2),NA))))*E1336</f>
        <v>28614.254397281999</v>
      </c>
    </row>
    <row r="1337" spans="1:10" x14ac:dyDescent="0.25">
      <c r="A1337" s="255" t="s">
        <v>249</v>
      </c>
      <c r="B1337" s="255" t="s">
        <v>192</v>
      </c>
      <c r="C1337" s="256">
        <v>2015</v>
      </c>
      <c r="D1337" s="256">
        <v>75</v>
      </c>
      <c r="E1337">
        <v>11.607082836169701</v>
      </c>
      <c r="F1337" s="257"/>
      <c r="G1337">
        <f t="shared" si="17"/>
        <v>50</v>
      </c>
      <c r="H1337" s="4">
        <f>IF(B1337="RTG Crane",IF(D1337&lt;600,800000,1200000),VLOOKUP(B1337,'$$$ Replace &amp; Retrofit'!$B$10:$C$14,2)*'CHE Model poplulation'!D1337)*E1337</f>
        <v>761714.81112363655</v>
      </c>
      <c r="I1337" s="4">
        <f>E1337*VLOOKUP('CHE Model poplulation'!G1337,'$$$ Replace &amp; Retrofit'!$I$10:$J$15,2)</f>
        <v>204145.37292255269</v>
      </c>
      <c r="J1337" s="4">
        <f>IF(D1337=50,VLOOKUP(0,'$$$ Replace &amp; Retrofit'!$E$10:$F$13,2),IF(D1337&lt;175,VLOOKUP(50,'$$$ Replace &amp; Retrofit'!$E$10:$F$13,2),IF(D1337&lt;400,VLOOKUP(175,'$$$ Replace &amp; Retrofit'!$E$10:$F$13,2),IF(D1337&gt;=400,VLOOKUP(400,'$$$ Replace &amp; Retrofit'!$E$10:$F$13,2),NA))))*E1337</f>
        <v>139284.99403403641</v>
      </c>
    </row>
    <row r="1338" spans="1:10" x14ac:dyDescent="0.25">
      <c r="A1338" s="255" t="s">
        <v>249</v>
      </c>
      <c r="B1338" s="255" t="s">
        <v>192</v>
      </c>
      <c r="C1338" s="256">
        <v>2015</v>
      </c>
      <c r="D1338" s="256">
        <v>100</v>
      </c>
      <c r="E1338">
        <v>57.687513191288097</v>
      </c>
      <c r="F1338" s="257"/>
      <c r="G1338">
        <f t="shared" si="17"/>
        <v>125</v>
      </c>
      <c r="H1338" s="4">
        <f>IF(B1338="RTG Crane",IF(D1338&lt;600,800000,1200000),VLOOKUP(B1338,'$$$ Replace &amp; Retrofit'!$B$10:$C$14,2)*'CHE Model poplulation'!D1338)*E1338</f>
        <v>5047657.4042377081</v>
      </c>
      <c r="I1338" s="4">
        <f>E1338*VLOOKUP('CHE Model poplulation'!G1338,'$$$ Replace &amp; Retrofit'!$I$10:$J$15,2)</f>
        <v>1138347.697803688</v>
      </c>
      <c r="J1338" s="4">
        <f>IF(D1338=50,VLOOKUP(0,'$$$ Replace &amp; Retrofit'!$E$10:$F$13,2),IF(D1338&lt;175,VLOOKUP(50,'$$$ Replace &amp; Retrofit'!$E$10:$F$13,2),IF(D1338&lt;400,VLOOKUP(175,'$$$ Replace &amp; Retrofit'!$E$10:$F$13,2),IF(D1338&gt;=400,VLOOKUP(400,'$$$ Replace &amp; Retrofit'!$E$10:$F$13,2),NA))))*E1338</f>
        <v>692250.15829545713</v>
      </c>
    </row>
    <row r="1339" spans="1:10" x14ac:dyDescent="0.25">
      <c r="A1339" s="255" t="s">
        <v>249</v>
      </c>
      <c r="B1339" s="255" t="s">
        <v>192</v>
      </c>
      <c r="C1339" s="256">
        <v>2015</v>
      </c>
      <c r="D1339" s="256">
        <v>175</v>
      </c>
      <c r="E1339">
        <v>68.741333301563898</v>
      </c>
      <c r="F1339" s="257"/>
      <c r="G1339">
        <f t="shared" si="17"/>
        <v>175</v>
      </c>
      <c r="H1339" s="4">
        <f>IF(B1339="RTG Crane",IF(D1339&lt;600,800000,1200000),VLOOKUP(B1339,'$$$ Replace &amp; Retrofit'!$B$10:$C$14,2)*'CHE Model poplulation'!D1339)*E1339</f>
        <v>10526016.661801971</v>
      </c>
      <c r="I1339" s="4">
        <f>E1339*VLOOKUP('CHE Model poplulation'!G1339,'$$$ Replace &amp; Retrofit'!$I$10:$J$15,2)</f>
        <v>1704510.1005455784</v>
      </c>
      <c r="J1339" s="4">
        <f>IF(D1339=50,VLOOKUP(0,'$$$ Replace &amp; Retrofit'!$E$10:$F$13,2),IF(D1339&lt;175,VLOOKUP(50,'$$$ Replace &amp; Retrofit'!$E$10:$F$13,2),IF(D1339&lt;400,VLOOKUP(175,'$$$ Replace &amp; Retrofit'!$E$10:$F$13,2),IF(D1339&gt;=400,VLOOKUP(400,'$$$ Replace &amp; Retrofit'!$E$10:$F$13,2),NA))))*E1339</f>
        <v>1237343.9994281502</v>
      </c>
    </row>
    <row r="1340" spans="1:10" x14ac:dyDescent="0.25">
      <c r="A1340" s="255" t="s">
        <v>249</v>
      </c>
      <c r="B1340" s="255" t="s">
        <v>192</v>
      </c>
      <c r="C1340" s="256">
        <v>2015</v>
      </c>
      <c r="D1340" s="256">
        <v>300</v>
      </c>
      <c r="E1340">
        <v>22.6692310754757</v>
      </c>
      <c r="F1340" s="257"/>
      <c r="G1340">
        <f t="shared" si="17"/>
        <v>300</v>
      </c>
      <c r="H1340" s="4">
        <f>IF(B1340="RTG Crane",IF(D1340&lt;600,800000,1200000),VLOOKUP(B1340,'$$$ Replace &amp; Retrofit'!$B$10:$C$14,2)*'CHE Model poplulation'!D1340)*E1340</f>
        <v>5950673.1573123718</v>
      </c>
      <c r="I1340" s="4">
        <f>E1340*VLOOKUP('CHE Model poplulation'!G1340,'$$$ Replace &amp; Retrofit'!$I$10:$J$15,2)</f>
        <v>652035.09342390753</v>
      </c>
      <c r="J1340" s="4">
        <f>IF(D1340=50,VLOOKUP(0,'$$$ Replace &amp; Retrofit'!$E$10:$F$13,2),IF(D1340&lt;175,VLOOKUP(50,'$$$ Replace &amp; Retrofit'!$E$10:$F$13,2),IF(D1340&lt;400,VLOOKUP(175,'$$$ Replace &amp; Retrofit'!$E$10:$F$13,2),IF(D1340&gt;=400,VLOOKUP(400,'$$$ Replace &amp; Retrofit'!$E$10:$F$13,2),NA))))*E1340</f>
        <v>408046.15935856261</v>
      </c>
    </row>
    <row r="1341" spans="1:10" x14ac:dyDescent="0.25">
      <c r="A1341" s="255" t="s">
        <v>249</v>
      </c>
      <c r="B1341" s="255" t="s">
        <v>192</v>
      </c>
      <c r="C1341" s="256">
        <v>2015</v>
      </c>
      <c r="D1341" s="256">
        <v>600</v>
      </c>
      <c r="E1341">
        <v>6.6821566215572403</v>
      </c>
      <c r="F1341" s="257"/>
      <c r="G1341">
        <f t="shared" si="17"/>
        <v>400</v>
      </c>
      <c r="H1341" s="4">
        <f>IF(B1341="RTG Crane",IF(D1341&lt;600,800000,1200000),VLOOKUP(B1341,'$$$ Replace &amp; Retrofit'!$B$10:$C$14,2)*'CHE Model poplulation'!D1341)*E1341</f>
        <v>3508132.226317551</v>
      </c>
      <c r="I1341" s="4">
        <f>E1341*VLOOKUP('CHE Model poplulation'!G1341,'$$$ Replace &amp; Retrofit'!$I$10:$J$15,2)</f>
        <v>349697.30247595505</v>
      </c>
      <c r="J1341" s="4">
        <f>IF(D1341=50,VLOOKUP(0,'$$$ Replace &amp; Retrofit'!$E$10:$F$13,2),IF(D1341&lt;175,VLOOKUP(50,'$$$ Replace &amp; Retrofit'!$E$10:$F$13,2),IF(D1341&lt;400,VLOOKUP(175,'$$$ Replace &amp; Retrofit'!$E$10:$F$13,2),IF(D1341&gt;=400,VLOOKUP(400,'$$$ Replace &amp; Retrofit'!$E$10:$F$13,2),NA))))*E1341</f>
        <v>200464.69864671721</v>
      </c>
    </row>
    <row r="1342" spans="1:10" x14ac:dyDescent="0.25">
      <c r="A1342" s="255" t="s">
        <v>249</v>
      </c>
      <c r="B1342" s="255" t="s">
        <v>192</v>
      </c>
      <c r="C1342" s="256">
        <v>2016</v>
      </c>
      <c r="D1342" s="256">
        <v>50</v>
      </c>
      <c r="E1342">
        <v>1.9440590961441</v>
      </c>
      <c r="F1342" s="257"/>
      <c r="G1342">
        <f t="shared" si="17"/>
        <v>50</v>
      </c>
      <c r="H1342" s="4">
        <f>IF(B1342="RTG Crane",IF(D1342&lt;600,800000,1200000),VLOOKUP(B1342,'$$$ Replace &amp; Retrofit'!$B$10:$C$14,2)*'CHE Model poplulation'!D1342)*E1342</f>
        <v>85052.585456304369</v>
      </c>
      <c r="I1342" s="4">
        <f>E1342*VLOOKUP('CHE Model poplulation'!G1342,'$$$ Replace &amp; Retrofit'!$I$10:$J$15,2)</f>
        <v>34192.111382982432</v>
      </c>
      <c r="J1342" s="4">
        <f>IF(D1342=50,VLOOKUP(0,'$$$ Replace &amp; Retrofit'!$E$10:$F$13,2),IF(D1342&lt;175,VLOOKUP(50,'$$$ Replace &amp; Retrofit'!$E$10:$F$13,2),IF(D1342&lt;400,VLOOKUP(175,'$$$ Replace &amp; Retrofit'!$E$10:$F$13,2),IF(D1342&gt;=400,VLOOKUP(400,'$$$ Replace &amp; Retrofit'!$E$10:$F$13,2),NA))))*E1342</f>
        <v>15552.472769152801</v>
      </c>
    </row>
    <row r="1343" spans="1:10" x14ac:dyDescent="0.25">
      <c r="A1343" s="255" t="s">
        <v>249</v>
      </c>
      <c r="B1343" s="255" t="s">
        <v>192</v>
      </c>
      <c r="C1343" s="256">
        <v>2016</v>
      </c>
      <c r="D1343" s="256">
        <v>75</v>
      </c>
      <c r="E1343">
        <v>6.8132078946258101</v>
      </c>
      <c r="F1343" s="257"/>
      <c r="G1343">
        <f t="shared" si="17"/>
        <v>50</v>
      </c>
      <c r="H1343" s="4">
        <f>IF(B1343="RTG Crane",IF(D1343&lt;600,800000,1200000),VLOOKUP(B1343,'$$$ Replace &amp; Retrofit'!$B$10:$C$14,2)*'CHE Model poplulation'!D1343)*E1343</f>
        <v>447116.76808481879</v>
      </c>
      <c r="I1343" s="4">
        <f>E1343*VLOOKUP('CHE Model poplulation'!G1343,'$$$ Replace &amp; Retrofit'!$I$10:$J$15,2)</f>
        <v>119830.70045067875</v>
      </c>
      <c r="J1343" s="4">
        <f>IF(D1343=50,VLOOKUP(0,'$$$ Replace &amp; Retrofit'!$E$10:$F$13,2),IF(D1343&lt;175,VLOOKUP(50,'$$$ Replace &amp; Retrofit'!$E$10:$F$13,2),IF(D1343&lt;400,VLOOKUP(175,'$$$ Replace &amp; Retrofit'!$E$10:$F$13,2),IF(D1343&gt;=400,VLOOKUP(400,'$$$ Replace &amp; Retrofit'!$E$10:$F$13,2),NA))))*E1343</f>
        <v>81758.494735509725</v>
      </c>
    </row>
    <row r="1344" spans="1:10" x14ac:dyDescent="0.25">
      <c r="A1344" s="255" t="s">
        <v>249</v>
      </c>
      <c r="B1344" s="255" t="s">
        <v>192</v>
      </c>
      <c r="C1344" s="256">
        <v>2016</v>
      </c>
      <c r="D1344" s="256">
        <v>100</v>
      </c>
      <c r="E1344">
        <v>35.433857105997298</v>
      </c>
      <c r="F1344" s="257"/>
      <c r="G1344">
        <f t="shared" si="17"/>
        <v>125</v>
      </c>
      <c r="H1344" s="4">
        <f>IF(B1344="RTG Crane",IF(D1344&lt;600,800000,1200000),VLOOKUP(B1344,'$$$ Replace &amp; Retrofit'!$B$10:$C$14,2)*'CHE Model poplulation'!D1344)*E1344</f>
        <v>3100462.4967747633</v>
      </c>
      <c r="I1344" s="4">
        <f>E1344*VLOOKUP('CHE Model poplulation'!G1344,'$$$ Replace &amp; Retrofit'!$I$10:$J$15,2)</f>
        <v>699216.30227264471</v>
      </c>
      <c r="J1344" s="4">
        <f>IF(D1344=50,VLOOKUP(0,'$$$ Replace &amp; Retrofit'!$E$10:$F$13,2),IF(D1344&lt;175,VLOOKUP(50,'$$$ Replace &amp; Retrofit'!$E$10:$F$13,2),IF(D1344&lt;400,VLOOKUP(175,'$$$ Replace &amp; Retrofit'!$E$10:$F$13,2),IF(D1344&gt;=400,VLOOKUP(400,'$$$ Replace &amp; Retrofit'!$E$10:$F$13,2),NA))))*E1344</f>
        <v>425206.28527196759</v>
      </c>
    </row>
    <row r="1345" spans="1:10" x14ac:dyDescent="0.25">
      <c r="A1345" s="255" t="s">
        <v>249</v>
      </c>
      <c r="B1345" s="255" t="s">
        <v>192</v>
      </c>
      <c r="C1345" s="256">
        <v>2016</v>
      </c>
      <c r="D1345" s="256">
        <v>175</v>
      </c>
      <c r="E1345">
        <v>41.013042769325601</v>
      </c>
      <c r="F1345" s="257"/>
      <c r="G1345">
        <f t="shared" si="17"/>
        <v>175</v>
      </c>
      <c r="H1345" s="4">
        <f>IF(B1345="RTG Crane",IF(D1345&lt;600,800000,1200000),VLOOKUP(B1345,'$$$ Replace &amp; Retrofit'!$B$10:$C$14,2)*'CHE Model poplulation'!D1345)*E1345</f>
        <v>6280122.1740529826</v>
      </c>
      <c r="I1345" s="4">
        <f>E1345*VLOOKUP('CHE Model poplulation'!G1345,'$$$ Replace &amp; Retrofit'!$I$10:$J$15,2)</f>
        <v>1016959.4085081976</v>
      </c>
      <c r="J1345" s="4">
        <f>IF(D1345=50,VLOOKUP(0,'$$$ Replace &amp; Retrofit'!$E$10:$F$13,2),IF(D1345&lt;175,VLOOKUP(50,'$$$ Replace &amp; Retrofit'!$E$10:$F$13,2),IF(D1345&lt;400,VLOOKUP(175,'$$$ Replace &amp; Retrofit'!$E$10:$F$13,2),IF(D1345&gt;=400,VLOOKUP(400,'$$$ Replace &amp; Retrofit'!$E$10:$F$13,2),NA))))*E1345</f>
        <v>738234.76984786079</v>
      </c>
    </row>
    <row r="1346" spans="1:10" x14ac:dyDescent="0.25">
      <c r="A1346" s="255" t="s">
        <v>249</v>
      </c>
      <c r="B1346" s="255" t="s">
        <v>192</v>
      </c>
      <c r="C1346" s="256">
        <v>2016</v>
      </c>
      <c r="D1346" s="256">
        <v>300</v>
      </c>
      <c r="E1346">
        <v>13.5554101853416</v>
      </c>
      <c r="F1346" s="257"/>
      <c r="G1346">
        <f t="shared" si="17"/>
        <v>300</v>
      </c>
      <c r="H1346" s="4">
        <f>IF(B1346="RTG Crane",IF(D1346&lt;600,800000,1200000),VLOOKUP(B1346,'$$$ Replace &amp; Retrofit'!$B$10:$C$14,2)*'CHE Model poplulation'!D1346)*E1346</f>
        <v>3558295.1736521702</v>
      </c>
      <c r="I1346" s="4">
        <f>E1346*VLOOKUP('CHE Model poplulation'!G1346,'$$$ Replace &amp; Retrofit'!$I$10:$J$15,2)</f>
        <v>389894.26316098042</v>
      </c>
      <c r="J1346" s="4">
        <f>IF(D1346=50,VLOOKUP(0,'$$$ Replace &amp; Retrofit'!$E$10:$F$13,2),IF(D1346&lt;175,VLOOKUP(50,'$$$ Replace &amp; Retrofit'!$E$10:$F$13,2),IF(D1346&lt;400,VLOOKUP(175,'$$$ Replace &amp; Retrofit'!$E$10:$F$13,2),IF(D1346&gt;=400,VLOOKUP(400,'$$$ Replace &amp; Retrofit'!$E$10:$F$13,2),NA))))*E1346</f>
        <v>243997.38333614881</v>
      </c>
    </row>
    <row r="1347" spans="1:10" x14ac:dyDescent="0.25">
      <c r="A1347" s="255" t="s">
        <v>249</v>
      </c>
      <c r="B1347" s="255" t="s">
        <v>192</v>
      </c>
      <c r="C1347" s="256">
        <v>2016</v>
      </c>
      <c r="D1347" s="256">
        <v>600</v>
      </c>
      <c r="E1347">
        <v>4.4547710810381602</v>
      </c>
      <c r="F1347" s="257"/>
      <c r="G1347">
        <f t="shared" si="17"/>
        <v>400</v>
      </c>
      <c r="H1347" s="4">
        <f>IF(B1347="RTG Crane",IF(D1347&lt;600,800000,1200000),VLOOKUP(B1347,'$$$ Replace &amp; Retrofit'!$B$10:$C$14,2)*'CHE Model poplulation'!D1347)*E1347</f>
        <v>2338754.817545034</v>
      </c>
      <c r="I1347" s="4">
        <f>E1347*VLOOKUP('CHE Model poplulation'!G1347,'$$$ Replace &amp; Retrofit'!$I$10:$J$15,2)</f>
        <v>233131.53498397005</v>
      </c>
      <c r="J1347" s="4">
        <f>IF(D1347=50,VLOOKUP(0,'$$$ Replace &amp; Retrofit'!$E$10:$F$13,2),IF(D1347&lt;175,VLOOKUP(50,'$$$ Replace &amp; Retrofit'!$E$10:$F$13,2),IF(D1347&lt;400,VLOOKUP(175,'$$$ Replace &amp; Retrofit'!$E$10:$F$13,2),IF(D1347&gt;=400,VLOOKUP(400,'$$$ Replace &amp; Retrofit'!$E$10:$F$13,2),NA))))*E1347</f>
        <v>133643.1324311448</v>
      </c>
    </row>
    <row r="1348" spans="1:10" x14ac:dyDescent="0.25">
      <c r="A1348" s="255" t="s">
        <v>249</v>
      </c>
      <c r="B1348" s="255" t="s">
        <v>192</v>
      </c>
      <c r="C1348" s="256">
        <v>2017</v>
      </c>
      <c r="D1348" s="256">
        <v>50</v>
      </c>
      <c r="E1348">
        <v>0.20248959459264401</v>
      </c>
      <c r="F1348" s="257"/>
      <c r="G1348">
        <f t="shared" si="17"/>
        <v>50</v>
      </c>
      <c r="H1348" s="4">
        <f>IF(B1348="RTG Crane",IF(D1348&lt;600,800000,1200000),VLOOKUP(B1348,'$$$ Replace &amp; Retrofit'!$B$10:$C$14,2)*'CHE Model poplulation'!D1348)*E1348</f>
        <v>8858.9197634281754</v>
      </c>
      <c r="I1348" s="4">
        <f>E1348*VLOOKUP('CHE Model poplulation'!G1348,'$$$ Replace &amp; Retrofit'!$I$10:$J$15,2)</f>
        <v>3561.3869896954229</v>
      </c>
      <c r="J1348" s="4">
        <f>IF(D1348=50,VLOOKUP(0,'$$$ Replace &amp; Retrofit'!$E$10:$F$13,2),IF(D1348&lt;175,VLOOKUP(50,'$$$ Replace &amp; Retrofit'!$E$10:$F$13,2),IF(D1348&lt;400,VLOOKUP(175,'$$$ Replace &amp; Retrofit'!$E$10:$F$13,2),IF(D1348&gt;=400,VLOOKUP(400,'$$$ Replace &amp; Retrofit'!$E$10:$F$13,2),NA))))*E1348</f>
        <v>1619.9167567411521</v>
      </c>
    </row>
    <row r="1349" spans="1:10" x14ac:dyDescent="0.25">
      <c r="A1349" s="255" t="s">
        <v>249</v>
      </c>
      <c r="B1349" s="255" t="s">
        <v>192</v>
      </c>
      <c r="C1349" s="256">
        <v>2017</v>
      </c>
      <c r="D1349" s="256">
        <v>75</v>
      </c>
      <c r="E1349">
        <v>2.0248959459264402</v>
      </c>
      <c r="F1349" s="257"/>
      <c r="G1349">
        <f t="shared" si="17"/>
        <v>50</v>
      </c>
      <c r="H1349" s="4">
        <f>IF(B1349="RTG Crane",IF(D1349&lt;600,800000,1200000),VLOOKUP(B1349,'$$$ Replace &amp; Retrofit'!$B$10:$C$14,2)*'CHE Model poplulation'!D1349)*E1349</f>
        <v>132883.79645142265</v>
      </c>
      <c r="I1349" s="4">
        <f>E1349*VLOOKUP('CHE Model poplulation'!G1349,'$$$ Replace &amp; Retrofit'!$I$10:$J$15,2)</f>
        <v>35613.869896954231</v>
      </c>
      <c r="J1349" s="4">
        <f>IF(D1349=50,VLOOKUP(0,'$$$ Replace &amp; Retrofit'!$E$10:$F$13,2),IF(D1349&lt;175,VLOOKUP(50,'$$$ Replace &amp; Retrofit'!$E$10:$F$13,2),IF(D1349&lt;400,VLOOKUP(175,'$$$ Replace &amp; Retrofit'!$E$10:$F$13,2),IF(D1349&gt;=400,VLOOKUP(400,'$$$ Replace &amp; Retrofit'!$E$10:$F$13,2),NA))))*E1349</f>
        <v>24298.751351117284</v>
      </c>
    </row>
    <row r="1350" spans="1:10" x14ac:dyDescent="0.25">
      <c r="A1350" s="255" t="s">
        <v>249</v>
      </c>
      <c r="B1350" s="255" t="s">
        <v>192</v>
      </c>
      <c r="C1350" s="256">
        <v>2017</v>
      </c>
      <c r="D1350" s="256">
        <v>100</v>
      </c>
      <c r="E1350">
        <v>13.566802837707099</v>
      </c>
      <c r="F1350" s="257"/>
      <c r="G1350">
        <f t="shared" si="17"/>
        <v>125</v>
      </c>
      <c r="H1350" s="4">
        <f>IF(B1350="RTG Crane",IF(D1350&lt;600,800000,1200000),VLOOKUP(B1350,'$$$ Replace &amp; Retrofit'!$B$10:$C$14,2)*'CHE Model poplulation'!D1350)*E1350</f>
        <v>1187095.2482993712</v>
      </c>
      <c r="I1350" s="4">
        <f>E1350*VLOOKUP('CHE Model poplulation'!G1350,'$$$ Replace &amp; Retrofit'!$I$10:$J$15,2)</f>
        <v>267713.72039647418</v>
      </c>
      <c r="J1350" s="4">
        <f>IF(D1350=50,VLOOKUP(0,'$$$ Replace &amp; Retrofit'!$E$10:$F$13,2),IF(D1350&lt;175,VLOOKUP(50,'$$$ Replace &amp; Retrofit'!$E$10:$F$13,2),IF(D1350&lt;400,VLOOKUP(175,'$$$ Replace &amp; Retrofit'!$E$10:$F$13,2),IF(D1350&gt;=400,VLOOKUP(400,'$$$ Replace &amp; Retrofit'!$E$10:$F$13,2),NA))))*E1350</f>
        <v>162801.6340524852</v>
      </c>
    </row>
    <row r="1351" spans="1:10" x14ac:dyDescent="0.25">
      <c r="A1351" s="255" t="s">
        <v>249</v>
      </c>
      <c r="B1351" s="255" t="s">
        <v>192</v>
      </c>
      <c r="C1351" s="256">
        <v>2017</v>
      </c>
      <c r="D1351" s="256">
        <v>175</v>
      </c>
      <c r="E1351">
        <v>13.4695813730388</v>
      </c>
      <c r="F1351" s="257"/>
      <c r="G1351">
        <f t="shared" si="17"/>
        <v>175</v>
      </c>
      <c r="H1351" s="4">
        <f>IF(B1351="RTG Crane",IF(D1351&lt;600,800000,1200000),VLOOKUP(B1351,'$$$ Replace &amp; Retrofit'!$B$10:$C$14,2)*'CHE Model poplulation'!D1351)*E1351</f>
        <v>2062529.6477465662</v>
      </c>
      <c r="I1351" s="4">
        <f>E1351*VLOOKUP('CHE Model poplulation'!G1351,'$$$ Replace &amp; Retrofit'!$I$10:$J$15,2)</f>
        <v>333991.73972587008</v>
      </c>
      <c r="J1351" s="4">
        <f>IF(D1351=50,VLOOKUP(0,'$$$ Replace &amp; Retrofit'!$E$10:$F$13,2),IF(D1351&lt;175,VLOOKUP(50,'$$$ Replace &amp; Retrofit'!$E$10:$F$13,2),IF(D1351&lt;400,VLOOKUP(175,'$$$ Replace &amp; Retrofit'!$E$10:$F$13,2),IF(D1351&gt;=400,VLOOKUP(400,'$$$ Replace &amp; Retrofit'!$E$10:$F$13,2),NA))))*E1351</f>
        <v>242452.46471469841</v>
      </c>
    </row>
    <row r="1352" spans="1:10" x14ac:dyDescent="0.25">
      <c r="A1352" s="255" t="s">
        <v>249</v>
      </c>
      <c r="B1352" s="255" t="s">
        <v>192</v>
      </c>
      <c r="C1352" s="256">
        <v>2017</v>
      </c>
      <c r="D1352" s="256">
        <v>300</v>
      </c>
      <c r="E1352">
        <v>4.4547710810381602</v>
      </c>
      <c r="F1352" s="257"/>
      <c r="G1352">
        <f t="shared" ref="G1352:G1353" si="18">IF(OR(D1352=50,D1352=75),50,IF(OR(D1352=100,D1352=125),125,IF(D1352&gt;=400,400,D1352)))</f>
        <v>300</v>
      </c>
      <c r="H1352" s="4">
        <f>IF(B1352="RTG Crane",IF(D1352&lt;600,800000,1200000),VLOOKUP(B1352,'$$$ Replace &amp; Retrofit'!$B$10:$C$14,2)*'CHE Model poplulation'!D1352)*E1352</f>
        <v>1169377.408772517</v>
      </c>
      <c r="I1352" s="4">
        <f>E1352*VLOOKUP('CHE Model poplulation'!G1352,'$$$ Replace &amp; Retrofit'!$I$10:$J$15,2)</f>
        <v>128132.5806039006</v>
      </c>
      <c r="J1352" s="4">
        <f>IF(D1352=50,VLOOKUP(0,'$$$ Replace &amp; Retrofit'!$E$10:$F$13,2),IF(D1352&lt;175,VLOOKUP(50,'$$$ Replace &amp; Retrofit'!$E$10:$F$13,2),IF(D1352&lt;400,VLOOKUP(175,'$$$ Replace &amp; Retrofit'!$E$10:$F$13,2),IF(D1352&gt;=400,VLOOKUP(400,'$$$ Replace &amp; Retrofit'!$E$10:$F$13,2),NA))))*E1352</f>
        <v>80185.87945868689</v>
      </c>
    </row>
    <row r="1353" spans="1:10" x14ac:dyDescent="0.25">
      <c r="A1353" s="255" t="s">
        <v>249</v>
      </c>
      <c r="B1353" s="255" t="s">
        <v>192</v>
      </c>
      <c r="C1353" s="256">
        <v>2017</v>
      </c>
      <c r="D1353" s="256">
        <v>600</v>
      </c>
      <c r="E1353">
        <v>2.2273855405190801</v>
      </c>
      <c r="F1353" s="257"/>
      <c r="G1353">
        <f t="shared" si="18"/>
        <v>400</v>
      </c>
      <c r="H1353" s="4">
        <f>IF(B1353="RTG Crane",IF(D1353&lt;600,800000,1200000),VLOOKUP(B1353,'$$$ Replace &amp; Retrofit'!$B$10:$C$14,2)*'CHE Model poplulation'!D1353)*E1353</f>
        <v>1169377.408772517</v>
      </c>
      <c r="I1353" s="4">
        <f>E1353*VLOOKUP('CHE Model poplulation'!G1353,'$$$ Replace &amp; Retrofit'!$I$10:$J$15,2)</f>
        <v>116565.76749198503</v>
      </c>
      <c r="J1353" s="4">
        <f>IF(D1353=50,VLOOKUP(0,'$$$ Replace &amp; Retrofit'!$E$10:$F$13,2),IF(D1353&lt;175,VLOOKUP(50,'$$$ Replace &amp; Retrofit'!$E$10:$F$13,2),IF(D1353&lt;400,VLOOKUP(175,'$$$ Replace &amp; Retrofit'!$E$10:$F$13,2),IF(D1353&gt;=400,VLOOKUP(400,'$$$ Replace &amp; Retrofit'!$E$10:$F$13,2),NA))))*E1353</f>
        <v>66821.566215572399</v>
      </c>
    </row>
    <row r="1354" spans="1:10" x14ac:dyDescent="0.25">
      <c r="A1354" s="255" t="s">
        <v>249</v>
      </c>
      <c r="B1354" s="255" t="s">
        <v>192</v>
      </c>
      <c r="C1354" s="256">
        <v>2018</v>
      </c>
      <c r="D1354" s="256">
        <v>50</v>
      </c>
      <c r="E1354">
        <v>0</v>
      </c>
      <c r="F1354" s="257"/>
      <c r="I1354" s="4"/>
    </row>
    <row r="1355" spans="1:10" x14ac:dyDescent="0.25">
      <c r="A1355" s="255" t="s">
        <v>249</v>
      </c>
      <c r="B1355" s="255" t="s">
        <v>192</v>
      </c>
      <c r="C1355" s="256">
        <v>2018</v>
      </c>
      <c r="D1355" s="256">
        <v>75</v>
      </c>
      <c r="E1355">
        <v>0</v>
      </c>
      <c r="F1355" s="257"/>
      <c r="I1355" s="4"/>
    </row>
    <row r="1356" spans="1:10" x14ac:dyDescent="0.25">
      <c r="A1356" s="255" t="s">
        <v>249</v>
      </c>
      <c r="B1356" s="255" t="s">
        <v>192</v>
      </c>
      <c r="C1356" s="256">
        <v>2018</v>
      </c>
      <c r="D1356" s="256">
        <v>100</v>
      </c>
      <c r="E1356">
        <v>0</v>
      </c>
      <c r="F1356" s="257"/>
      <c r="I1356" s="4"/>
    </row>
    <row r="1357" spans="1:10" x14ac:dyDescent="0.25">
      <c r="A1357" s="255" t="s">
        <v>249</v>
      </c>
      <c r="B1357" s="255" t="s">
        <v>192</v>
      </c>
      <c r="C1357" s="256">
        <v>2018</v>
      </c>
      <c r="D1357" s="256">
        <v>175</v>
      </c>
      <c r="E1357">
        <v>0</v>
      </c>
      <c r="F1357" s="257"/>
      <c r="I1357" s="4"/>
    </row>
    <row r="1358" spans="1:10" x14ac:dyDescent="0.25">
      <c r="A1358" s="255" t="s">
        <v>249</v>
      </c>
      <c r="B1358" s="255" t="s">
        <v>192</v>
      </c>
      <c r="C1358" s="256">
        <v>2018</v>
      </c>
      <c r="D1358" s="256">
        <v>300</v>
      </c>
      <c r="E1358">
        <v>0</v>
      </c>
      <c r="F1358" s="257"/>
      <c r="I1358" s="4"/>
    </row>
    <row r="1359" spans="1:10" x14ac:dyDescent="0.25">
      <c r="A1359" s="255" t="s">
        <v>249</v>
      </c>
      <c r="B1359" s="255" t="s">
        <v>192</v>
      </c>
      <c r="C1359" s="256">
        <v>2018</v>
      </c>
      <c r="D1359" s="256">
        <v>600</v>
      </c>
      <c r="E1359">
        <v>0</v>
      </c>
      <c r="F1359" s="257"/>
      <c r="I1359" s="4"/>
    </row>
    <row r="1360" spans="1:10" x14ac:dyDescent="0.25">
      <c r="A1360" s="255" t="s">
        <v>249</v>
      </c>
      <c r="B1360" s="255" t="s">
        <v>192</v>
      </c>
      <c r="C1360" s="256">
        <v>2019</v>
      </c>
      <c r="D1360" s="256">
        <v>50</v>
      </c>
      <c r="E1360">
        <v>0</v>
      </c>
      <c r="F1360" s="257"/>
      <c r="I1360" s="4"/>
    </row>
    <row r="1361" spans="1:9" x14ac:dyDescent="0.25">
      <c r="A1361" s="255" t="s">
        <v>249</v>
      </c>
      <c r="B1361" s="255" t="s">
        <v>192</v>
      </c>
      <c r="C1361" s="256">
        <v>2019</v>
      </c>
      <c r="D1361" s="256">
        <v>75</v>
      </c>
      <c r="E1361">
        <v>0</v>
      </c>
      <c r="F1361" s="257"/>
      <c r="I1361" s="4"/>
    </row>
    <row r="1362" spans="1:9" x14ac:dyDescent="0.25">
      <c r="A1362" s="255" t="s">
        <v>249</v>
      </c>
      <c r="B1362" s="255" t="s">
        <v>192</v>
      </c>
      <c r="C1362" s="256">
        <v>2019</v>
      </c>
      <c r="D1362" s="256">
        <v>100</v>
      </c>
      <c r="E1362">
        <v>0</v>
      </c>
      <c r="F1362" s="257"/>
      <c r="I1362" s="4"/>
    </row>
    <row r="1363" spans="1:9" x14ac:dyDescent="0.25">
      <c r="A1363" s="255" t="s">
        <v>249</v>
      </c>
      <c r="B1363" s="255" t="s">
        <v>192</v>
      </c>
      <c r="C1363" s="256">
        <v>2019</v>
      </c>
      <c r="D1363" s="256">
        <v>175</v>
      </c>
      <c r="E1363">
        <v>0</v>
      </c>
      <c r="F1363" s="257"/>
      <c r="I1363" s="4"/>
    </row>
    <row r="1364" spans="1:9" x14ac:dyDescent="0.25">
      <c r="A1364" s="255" t="s">
        <v>249</v>
      </c>
      <c r="B1364" s="255" t="s">
        <v>192</v>
      </c>
      <c r="C1364" s="256">
        <v>2019</v>
      </c>
      <c r="D1364" s="256">
        <v>300</v>
      </c>
      <c r="E1364">
        <v>0</v>
      </c>
      <c r="F1364" s="257"/>
      <c r="I1364" s="4"/>
    </row>
    <row r="1365" spans="1:9" x14ac:dyDescent="0.25">
      <c r="A1365" s="255" t="s">
        <v>249</v>
      </c>
      <c r="B1365" s="255" t="s">
        <v>192</v>
      </c>
      <c r="C1365" s="256">
        <v>2019</v>
      </c>
      <c r="D1365" s="256">
        <v>600</v>
      </c>
      <c r="E1365">
        <v>0</v>
      </c>
      <c r="F1365" s="257"/>
      <c r="I1365" s="4"/>
    </row>
    <row r="1366" spans="1:9" x14ac:dyDescent="0.25">
      <c r="A1366" s="255" t="s">
        <v>249</v>
      </c>
      <c r="B1366" s="255" t="s">
        <v>192</v>
      </c>
      <c r="C1366" s="256">
        <v>2020</v>
      </c>
      <c r="D1366" s="256">
        <v>50</v>
      </c>
      <c r="E1366">
        <v>0</v>
      </c>
      <c r="F1366" s="257"/>
      <c r="I1366" s="4"/>
    </row>
    <row r="1367" spans="1:9" x14ac:dyDescent="0.25">
      <c r="A1367" s="255" t="s">
        <v>249</v>
      </c>
      <c r="B1367" s="255" t="s">
        <v>192</v>
      </c>
      <c r="C1367" s="256">
        <v>2020</v>
      </c>
      <c r="D1367" s="256">
        <v>75</v>
      </c>
      <c r="E1367">
        <v>0</v>
      </c>
      <c r="F1367" s="257"/>
      <c r="I1367" s="4"/>
    </row>
    <row r="1368" spans="1:9" x14ac:dyDescent="0.25">
      <c r="A1368" s="255" t="s">
        <v>249</v>
      </c>
      <c r="B1368" s="255" t="s">
        <v>192</v>
      </c>
      <c r="C1368" s="256">
        <v>2020</v>
      </c>
      <c r="D1368" s="256">
        <v>100</v>
      </c>
      <c r="E1368">
        <v>0</v>
      </c>
      <c r="F1368" s="257"/>
      <c r="I1368" s="4"/>
    </row>
    <row r="1369" spans="1:9" x14ac:dyDescent="0.25">
      <c r="A1369" s="255" t="s">
        <v>249</v>
      </c>
      <c r="B1369" s="255" t="s">
        <v>192</v>
      </c>
      <c r="C1369" s="256">
        <v>2020</v>
      </c>
      <c r="D1369" s="256">
        <v>175</v>
      </c>
      <c r="E1369">
        <v>0</v>
      </c>
      <c r="F1369" s="257"/>
      <c r="I1369" s="4"/>
    </row>
    <row r="1370" spans="1:9" x14ac:dyDescent="0.25">
      <c r="A1370" s="255" t="s">
        <v>249</v>
      </c>
      <c r="B1370" s="255" t="s">
        <v>192</v>
      </c>
      <c r="C1370" s="256">
        <v>2020</v>
      </c>
      <c r="D1370" s="256">
        <v>300</v>
      </c>
      <c r="E1370">
        <v>0</v>
      </c>
      <c r="F1370" s="257"/>
      <c r="I1370" s="4"/>
    </row>
    <row r="1371" spans="1:9" x14ac:dyDescent="0.25">
      <c r="A1371" s="255" t="s">
        <v>249</v>
      </c>
      <c r="B1371" s="255" t="s">
        <v>192</v>
      </c>
      <c r="C1371" s="256">
        <v>2020</v>
      </c>
      <c r="D1371" s="256">
        <v>600</v>
      </c>
      <c r="E1371">
        <v>0</v>
      </c>
      <c r="F1371" s="257"/>
      <c r="I1371" s="4"/>
    </row>
    <row r="1372" spans="1:9" x14ac:dyDescent="0.25">
      <c r="A1372" s="255" t="s">
        <v>249</v>
      </c>
      <c r="B1372" s="255" t="s">
        <v>192</v>
      </c>
      <c r="C1372" s="256">
        <v>2021</v>
      </c>
      <c r="D1372" s="256">
        <v>50</v>
      </c>
      <c r="E1372">
        <v>0</v>
      </c>
      <c r="F1372" s="257"/>
      <c r="I1372" s="4"/>
    </row>
    <row r="1373" spans="1:9" x14ac:dyDescent="0.25">
      <c r="A1373" s="255" t="s">
        <v>249</v>
      </c>
      <c r="B1373" s="255" t="s">
        <v>192</v>
      </c>
      <c r="C1373" s="256">
        <v>2021</v>
      </c>
      <c r="D1373" s="256">
        <v>75</v>
      </c>
      <c r="E1373">
        <v>0</v>
      </c>
      <c r="F1373" s="257"/>
      <c r="I1373" s="4"/>
    </row>
    <row r="1374" spans="1:9" x14ac:dyDescent="0.25">
      <c r="A1374" s="255" t="s">
        <v>249</v>
      </c>
      <c r="B1374" s="255" t="s">
        <v>192</v>
      </c>
      <c r="C1374" s="256">
        <v>2021</v>
      </c>
      <c r="D1374" s="256">
        <v>100</v>
      </c>
      <c r="E1374">
        <v>0</v>
      </c>
      <c r="F1374" s="257"/>
      <c r="I1374" s="4"/>
    </row>
    <row r="1375" spans="1:9" x14ac:dyDescent="0.25">
      <c r="A1375" s="255" t="s">
        <v>249</v>
      </c>
      <c r="B1375" s="255" t="s">
        <v>192</v>
      </c>
      <c r="C1375" s="256">
        <v>2021</v>
      </c>
      <c r="D1375" s="256">
        <v>175</v>
      </c>
      <c r="E1375">
        <v>0</v>
      </c>
      <c r="F1375" s="257"/>
      <c r="I1375" s="4"/>
    </row>
    <row r="1376" spans="1:9" x14ac:dyDescent="0.25">
      <c r="A1376" s="255" t="s">
        <v>249</v>
      </c>
      <c r="B1376" s="255" t="s">
        <v>192</v>
      </c>
      <c r="C1376" s="256">
        <v>2021</v>
      </c>
      <c r="D1376" s="256">
        <v>300</v>
      </c>
      <c r="E1376">
        <v>0</v>
      </c>
      <c r="F1376" s="257"/>
      <c r="I1376" s="4"/>
    </row>
    <row r="1377" spans="1:9" x14ac:dyDescent="0.25">
      <c r="A1377" s="255" t="s">
        <v>249</v>
      </c>
      <c r="B1377" s="255" t="s">
        <v>192</v>
      </c>
      <c r="C1377" s="256">
        <v>2021</v>
      </c>
      <c r="D1377" s="256">
        <v>600</v>
      </c>
      <c r="E1377">
        <v>0</v>
      </c>
      <c r="F1377" s="257"/>
      <c r="I1377" s="4"/>
    </row>
    <row r="1378" spans="1:9" x14ac:dyDescent="0.25">
      <c r="A1378" s="255" t="s">
        <v>249</v>
      </c>
      <c r="B1378" s="255" t="s">
        <v>192</v>
      </c>
      <c r="C1378" s="256">
        <v>2022</v>
      </c>
      <c r="D1378" s="256">
        <v>50</v>
      </c>
      <c r="E1378">
        <v>0</v>
      </c>
      <c r="F1378" s="257"/>
      <c r="I1378" s="4"/>
    </row>
    <row r="1379" spans="1:9" x14ac:dyDescent="0.25">
      <c r="A1379" s="255" t="s">
        <v>249</v>
      </c>
      <c r="B1379" s="255" t="s">
        <v>192</v>
      </c>
      <c r="C1379" s="256">
        <v>2022</v>
      </c>
      <c r="D1379" s="256">
        <v>75</v>
      </c>
      <c r="E1379">
        <v>0</v>
      </c>
      <c r="F1379" s="257"/>
      <c r="I1379" s="4"/>
    </row>
    <row r="1380" spans="1:9" x14ac:dyDescent="0.25">
      <c r="A1380" s="255" t="s">
        <v>249</v>
      </c>
      <c r="B1380" s="255" t="s">
        <v>192</v>
      </c>
      <c r="C1380" s="256">
        <v>2022</v>
      </c>
      <c r="D1380" s="256">
        <v>100</v>
      </c>
      <c r="E1380">
        <v>0</v>
      </c>
      <c r="F1380" s="257"/>
      <c r="I1380" s="4"/>
    </row>
    <row r="1381" spans="1:9" x14ac:dyDescent="0.25">
      <c r="A1381" s="255" t="s">
        <v>249</v>
      </c>
      <c r="B1381" s="255" t="s">
        <v>192</v>
      </c>
      <c r="C1381" s="256">
        <v>2022</v>
      </c>
      <c r="D1381" s="256">
        <v>175</v>
      </c>
      <c r="E1381">
        <v>0</v>
      </c>
      <c r="F1381" s="257"/>
      <c r="I1381" s="4"/>
    </row>
    <row r="1382" spans="1:9" x14ac:dyDescent="0.25">
      <c r="A1382" s="255" t="s">
        <v>249</v>
      </c>
      <c r="B1382" s="255" t="s">
        <v>192</v>
      </c>
      <c r="C1382" s="256">
        <v>2022</v>
      </c>
      <c r="D1382" s="256">
        <v>300</v>
      </c>
      <c r="E1382">
        <v>0</v>
      </c>
      <c r="F1382" s="257"/>
      <c r="I1382" s="4"/>
    </row>
    <row r="1383" spans="1:9" x14ac:dyDescent="0.25">
      <c r="A1383" s="255" t="s">
        <v>249</v>
      </c>
      <c r="B1383" s="255" t="s">
        <v>192</v>
      </c>
      <c r="C1383" s="256">
        <v>2022</v>
      </c>
      <c r="D1383" s="256">
        <v>600</v>
      </c>
      <c r="E1383">
        <v>0</v>
      </c>
      <c r="F1383" s="257"/>
      <c r="I1383" s="4"/>
    </row>
    <row r="1384" spans="1:9" x14ac:dyDescent="0.25">
      <c r="A1384" s="255" t="s">
        <v>249</v>
      </c>
      <c r="B1384" s="255" t="s">
        <v>192</v>
      </c>
      <c r="C1384" s="256">
        <v>2023</v>
      </c>
      <c r="D1384" s="256">
        <v>50</v>
      </c>
      <c r="E1384">
        <v>0</v>
      </c>
      <c r="F1384" s="257"/>
      <c r="I1384" s="4"/>
    </row>
    <row r="1385" spans="1:9" x14ac:dyDescent="0.25">
      <c r="A1385" s="255" t="s">
        <v>249</v>
      </c>
      <c r="B1385" s="255" t="s">
        <v>192</v>
      </c>
      <c r="C1385" s="256">
        <v>2023</v>
      </c>
      <c r="D1385" s="256">
        <v>75</v>
      </c>
      <c r="E1385">
        <v>0</v>
      </c>
      <c r="F1385" s="257"/>
      <c r="I1385" s="4"/>
    </row>
    <row r="1386" spans="1:9" x14ac:dyDescent="0.25">
      <c r="A1386" s="255" t="s">
        <v>249</v>
      </c>
      <c r="B1386" s="255" t="s">
        <v>192</v>
      </c>
      <c r="C1386" s="256">
        <v>2023</v>
      </c>
      <c r="D1386" s="256">
        <v>100</v>
      </c>
      <c r="E1386">
        <v>0</v>
      </c>
      <c r="F1386" s="257"/>
      <c r="I1386" s="4"/>
    </row>
    <row r="1387" spans="1:9" x14ac:dyDescent="0.25">
      <c r="A1387" s="255" t="s">
        <v>249</v>
      </c>
      <c r="B1387" s="255" t="s">
        <v>192</v>
      </c>
      <c r="C1387" s="256">
        <v>2023</v>
      </c>
      <c r="D1387" s="256">
        <v>175</v>
      </c>
      <c r="E1387">
        <v>0</v>
      </c>
      <c r="F1387" s="257"/>
      <c r="I1387" s="4"/>
    </row>
    <row r="1388" spans="1:9" x14ac:dyDescent="0.25">
      <c r="A1388" s="255" t="s">
        <v>249</v>
      </c>
      <c r="B1388" s="255" t="s">
        <v>192</v>
      </c>
      <c r="C1388" s="256">
        <v>2023</v>
      </c>
      <c r="D1388" s="256">
        <v>300</v>
      </c>
      <c r="E1388">
        <v>0</v>
      </c>
      <c r="F1388" s="257"/>
      <c r="I1388" s="4"/>
    </row>
    <row r="1389" spans="1:9" x14ac:dyDescent="0.25">
      <c r="A1389" s="255" t="s">
        <v>249</v>
      </c>
      <c r="B1389" s="255" t="s">
        <v>192</v>
      </c>
      <c r="C1389" s="256">
        <v>2023</v>
      </c>
      <c r="D1389" s="256">
        <v>600</v>
      </c>
      <c r="E1389">
        <v>0</v>
      </c>
      <c r="F1389" s="257"/>
      <c r="I1389" s="4"/>
    </row>
    <row r="1390" spans="1:9" x14ac:dyDescent="0.25">
      <c r="A1390" s="255" t="s">
        <v>249</v>
      </c>
      <c r="B1390" s="255" t="s">
        <v>192</v>
      </c>
      <c r="C1390" s="256">
        <v>2024</v>
      </c>
      <c r="D1390" s="256">
        <v>50</v>
      </c>
      <c r="E1390">
        <v>0</v>
      </c>
      <c r="F1390" s="257"/>
      <c r="I1390" s="4"/>
    </row>
    <row r="1391" spans="1:9" x14ac:dyDescent="0.25">
      <c r="A1391" s="255" t="s">
        <v>249</v>
      </c>
      <c r="B1391" s="255" t="s">
        <v>192</v>
      </c>
      <c r="C1391" s="256">
        <v>2024</v>
      </c>
      <c r="D1391" s="256">
        <v>75</v>
      </c>
      <c r="E1391">
        <v>0</v>
      </c>
      <c r="F1391" s="257"/>
      <c r="I1391" s="4"/>
    </row>
    <row r="1392" spans="1:9" x14ac:dyDescent="0.25">
      <c r="A1392" s="255" t="s">
        <v>249</v>
      </c>
      <c r="B1392" s="255" t="s">
        <v>192</v>
      </c>
      <c r="C1392" s="256">
        <v>2024</v>
      </c>
      <c r="D1392" s="256">
        <v>100</v>
      </c>
      <c r="E1392">
        <v>0</v>
      </c>
      <c r="F1392" s="257"/>
      <c r="I1392" s="4"/>
    </row>
    <row r="1393" spans="1:10" x14ac:dyDescent="0.25">
      <c r="A1393" s="255" t="s">
        <v>249</v>
      </c>
      <c r="B1393" s="255" t="s">
        <v>192</v>
      </c>
      <c r="C1393" s="256">
        <v>2024</v>
      </c>
      <c r="D1393" s="256">
        <v>175</v>
      </c>
      <c r="E1393">
        <v>0</v>
      </c>
      <c r="F1393" s="257"/>
      <c r="I1393" s="4"/>
    </row>
    <row r="1394" spans="1:10" x14ac:dyDescent="0.25">
      <c r="A1394" s="255" t="s">
        <v>249</v>
      </c>
      <c r="B1394" s="255" t="s">
        <v>192</v>
      </c>
      <c r="C1394" s="256">
        <v>2024</v>
      </c>
      <c r="D1394" s="256">
        <v>300</v>
      </c>
      <c r="E1394">
        <v>0</v>
      </c>
      <c r="F1394" s="257"/>
      <c r="I1394" s="4"/>
    </row>
    <row r="1395" spans="1:10" x14ac:dyDescent="0.25">
      <c r="A1395" s="255" t="s">
        <v>249</v>
      </c>
      <c r="B1395" s="255" t="s">
        <v>192</v>
      </c>
      <c r="C1395" s="256">
        <v>2024</v>
      </c>
      <c r="D1395" s="256">
        <v>600</v>
      </c>
      <c r="E1395">
        <v>0</v>
      </c>
      <c r="F1395" s="257"/>
      <c r="I1395" s="4"/>
    </row>
    <row r="1396" spans="1:10" x14ac:dyDescent="0.25">
      <c r="A1396" s="255" t="s">
        <v>249</v>
      </c>
      <c r="B1396" s="255" t="s">
        <v>192</v>
      </c>
      <c r="C1396" s="256">
        <v>2025</v>
      </c>
      <c r="D1396" s="256">
        <v>50</v>
      </c>
      <c r="E1396">
        <v>0</v>
      </c>
      <c r="F1396" s="257"/>
      <c r="I1396" s="4"/>
    </row>
    <row r="1397" spans="1:10" x14ac:dyDescent="0.25">
      <c r="A1397" s="255" t="s">
        <v>249</v>
      </c>
      <c r="B1397" s="255" t="s">
        <v>192</v>
      </c>
      <c r="C1397" s="256">
        <v>2025</v>
      </c>
      <c r="D1397" s="256">
        <v>75</v>
      </c>
      <c r="E1397">
        <v>0</v>
      </c>
      <c r="F1397" s="257"/>
      <c r="I1397" s="4"/>
    </row>
    <row r="1398" spans="1:10" x14ac:dyDescent="0.25">
      <c r="A1398" s="255" t="s">
        <v>249</v>
      </c>
      <c r="B1398" s="255" t="s">
        <v>192</v>
      </c>
      <c r="C1398" s="256">
        <v>2025</v>
      </c>
      <c r="D1398" s="256">
        <v>100</v>
      </c>
      <c r="E1398">
        <v>0</v>
      </c>
      <c r="F1398" s="257"/>
      <c r="I1398" s="4"/>
    </row>
    <row r="1399" spans="1:10" x14ac:dyDescent="0.25">
      <c r="A1399" s="255" t="s">
        <v>249</v>
      </c>
      <c r="B1399" s="255" t="s">
        <v>192</v>
      </c>
      <c r="C1399" s="256">
        <v>2025</v>
      </c>
      <c r="D1399" s="256">
        <v>175</v>
      </c>
      <c r="E1399">
        <v>0</v>
      </c>
      <c r="F1399" s="257"/>
      <c r="I1399" s="4"/>
    </row>
    <row r="1400" spans="1:10" x14ac:dyDescent="0.25">
      <c r="A1400" s="255" t="s">
        <v>249</v>
      </c>
      <c r="B1400" s="255" t="s">
        <v>192</v>
      </c>
      <c r="C1400" s="256">
        <v>2025</v>
      </c>
      <c r="D1400" s="256">
        <v>300</v>
      </c>
      <c r="E1400">
        <v>0</v>
      </c>
      <c r="F1400" s="257"/>
      <c r="I1400" s="4"/>
    </row>
    <row r="1401" spans="1:10" x14ac:dyDescent="0.25">
      <c r="A1401" s="255" t="s">
        <v>249</v>
      </c>
      <c r="B1401" s="255" t="s">
        <v>192</v>
      </c>
      <c r="C1401" s="256">
        <v>2025</v>
      </c>
      <c r="D1401" s="256">
        <v>600</v>
      </c>
      <c r="E1401">
        <v>0</v>
      </c>
      <c r="F1401" s="257"/>
      <c r="I1401" s="4"/>
    </row>
    <row r="1402" spans="1:10" ht="30" x14ac:dyDescent="0.25">
      <c r="A1402" s="255" t="s">
        <v>249</v>
      </c>
      <c r="B1402" s="255" t="s">
        <v>211</v>
      </c>
      <c r="C1402" s="256">
        <v>2006</v>
      </c>
      <c r="D1402" s="256">
        <v>50</v>
      </c>
      <c r="E1402">
        <v>0</v>
      </c>
      <c r="F1402" s="257"/>
      <c r="I1402" s="4"/>
    </row>
    <row r="1403" spans="1:10" ht="30" x14ac:dyDescent="0.25">
      <c r="A1403" s="255" t="s">
        <v>249</v>
      </c>
      <c r="B1403" s="255" t="s">
        <v>211</v>
      </c>
      <c r="C1403" s="256">
        <v>2006</v>
      </c>
      <c r="D1403" s="256">
        <v>75</v>
      </c>
      <c r="E1403">
        <v>0</v>
      </c>
      <c r="F1403" s="257"/>
      <c r="I1403" s="4"/>
    </row>
    <row r="1404" spans="1:10" ht="30" x14ac:dyDescent="0.25">
      <c r="A1404" s="255" t="s">
        <v>249</v>
      </c>
      <c r="B1404" s="255" t="s">
        <v>211</v>
      </c>
      <c r="C1404" s="256">
        <v>2006</v>
      </c>
      <c r="D1404" s="256">
        <v>100</v>
      </c>
      <c r="E1404">
        <v>0</v>
      </c>
      <c r="F1404" s="257"/>
      <c r="I1404" s="4"/>
    </row>
    <row r="1405" spans="1:10" ht="30" x14ac:dyDescent="0.25">
      <c r="A1405" s="255" t="s">
        <v>249</v>
      </c>
      <c r="B1405" s="255" t="s">
        <v>211</v>
      </c>
      <c r="C1405" s="256">
        <v>2006</v>
      </c>
      <c r="D1405" s="256">
        <v>175</v>
      </c>
      <c r="E1405">
        <v>0</v>
      </c>
      <c r="F1405" s="257"/>
      <c r="I1405" s="4"/>
    </row>
    <row r="1406" spans="1:10" ht="30" x14ac:dyDescent="0.25">
      <c r="A1406" s="255" t="s">
        <v>249</v>
      </c>
      <c r="B1406" s="255" t="s">
        <v>211</v>
      </c>
      <c r="C1406" s="256">
        <v>2006</v>
      </c>
      <c r="D1406" s="256">
        <v>300</v>
      </c>
      <c r="E1406">
        <v>0</v>
      </c>
      <c r="F1406" s="257"/>
      <c r="I1406" s="4"/>
    </row>
    <row r="1407" spans="1:10" ht="30" x14ac:dyDescent="0.25">
      <c r="A1407" s="255" t="s">
        <v>249</v>
      </c>
      <c r="B1407" s="255" t="s">
        <v>211</v>
      </c>
      <c r="C1407" s="256">
        <v>2006</v>
      </c>
      <c r="D1407" s="256">
        <v>600</v>
      </c>
      <c r="E1407">
        <v>0</v>
      </c>
      <c r="F1407" s="257"/>
      <c r="I1407" s="4"/>
    </row>
    <row r="1408" spans="1:10" ht="30" x14ac:dyDescent="0.25">
      <c r="A1408" s="255" t="s">
        <v>249</v>
      </c>
      <c r="B1408" s="255" t="s">
        <v>211</v>
      </c>
      <c r="C1408" s="256">
        <v>2007</v>
      </c>
      <c r="D1408" s="256">
        <v>50</v>
      </c>
      <c r="E1408">
        <v>0.16724738675958301</v>
      </c>
      <c r="F1408" s="257"/>
      <c r="G1408">
        <f t="shared" ref="G1408:G1471" si="19">IF(OR(D1408=50,D1408=75),50,IF(OR(D1408=100,D1408=125),125,IF(D1408&gt;=400,400,D1408)))</f>
        <v>50</v>
      </c>
      <c r="H1408" s="4">
        <f>IF(B1408="RTG Crane",IF(D1408&lt;600,800000,1200000),VLOOKUP(B1408,'$$$ Replace &amp; Retrofit'!$B$10:$C$14,2)*'CHE Model poplulation'!D1408)*E1408</f>
        <v>8362.3693379791512</v>
      </c>
      <c r="I1408" s="4">
        <f>E1408*VLOOKUP('CHE Model poplulation'!G1408,'$$$ Replace &amp; Retrofit'!$I$10:$J$15,2)</f>
        <v>2941.547038327546</v>
      </c>
      <c r="J1408" s="4">
        <f>IF(D1408=50,VLOOKUP(0,'$$$ Replace &amp; Retrofit'!$E$10:$F$13,2),IF(D1408&lt;175,VLOOKUP(50,'$$$ Replace &amp; Retrofit'!$E$10:$F$13,2),IF(D1408&lt;400,VLOOKUP(175,'$$$ Replace &amp; Retrofit'!$E$10:$F$13,2),IF(D1408&gt;=400,VLOOKUP(400,'$$$ Replace &amp; Retrofit'!$E$10:$F$13,2),NA))))*E1408</f>
        <v>1337.9790940766641</v>
      </c>
    </row>
    <row r="1409" spans="1:10" ht="30" x14ac:dyDescent="0.25">
      <c r="A1409" s="255" t="s">
        <v>249</v>
      </c>
      <c r="B1409" s="255" t="s">
        <v>211</v>
      </c>
      <c r="C1409" s="256">
        <v>2007</v>
      </c>
      <c r="D1409" s="256">
        <v>75</v>
      </c>
      <c r="E1409">
        <v>7.24738675958191E-2</v>
      </c>
      <c r="F1409" s="257"/>
      <c r="G1409">
        <f t="shared" si="19"/>
        <v>50</v>
      </c>
      <c r="H1409" s="4">
        <f>IF(B1409="RTG Crane",IF(D1409&lt;600,800000,1200000),VLOOKUP(B1409,'$$$ Replace &amp; Retrofit'!$B$10:$C$14,2)*'CHE Model poplulation'!D1409)*E1409</f>
        <v>5435.5400696864326</v>
      </c>
      <c r="I1409" s="4">
        <f>E1409*VLOOKUP('CHE Model poplulation'!G1409,'$$$ Replace &amp; Retrofit'!$I$10:$J$15,2)</f>
        <v>1274.6703832752664</v>
      </c>
      <c r="J1409" s="4">
        <f>IF(D1409=50,VLOOKUP(0,'$$$ Replace &amp; Retrofit'!$E$10:$F$13,2),IF(D1409&lt;175,VLOOKUP(50,'$$$ Replace &amp; Retrofit'!$E$10:$F$13,2),IF(D1409&lt;400,VLOOKUP(175,'$$$ Replace &amp; Retrofit'!$E$10:$F$13,2),IF(D1409&gt;=400,VLOOKUP(400,'$$$ Replace &amp; Retrofit'!$E$10:$F$13,2),NA))))*E1409</f>
        <v>869.68641114982915</v>
      </c>
    </row>
    <row r="1410" spans="1:10" ht="30" x14ac:dyDescent="0.25">
      <c r="A1410" s="255" t="s">
        <v>249</v>
      </c>
      <c r="B1410" s="255" t="s">
        <v>211</v>
      </c>
      <c r="C1410" s="256">
        <v>2007</v>
      </c>
      <c r="D1410" s="256">
        <v>100</v>
      </c>
      <c r="E1410">
        <v>8.3623693379791295E-2</v>
      </c>
      <c r="F1410" s="257"/>
      <c r="G1410">
        <f t="shared" si="19"/>
        <v>125</v>
      </c>
      <c r="H1410" s="4">
        <f>IF(B1410="RTG Crane",IF(D1410&lt;600,800000,1200000),VLOOKUP(B1410,'$$$ Replace &amp; Retrofit'!$B$10:$C$14,2)*'CHE Model poplulation'!D1410)*E1410</f>
        <v>8362.3693379791293</v>
      </c>
      <c r="I1410" s="4">
        <f>E1410*VLOOKUP('CHE Model poplulation'!G1410,'$$$ Replace &amp; Retrofit'!$I$10:$J$15,2)</f>
        <v>1650.1463414634215</v>
      </c>
      <c r="J1410" s="4">
        <f>IF(D1410=50,VLOOKUP(0,'$$$ Replace &amp; Retrofit'!$E$10:$F$13,2),IF(D1410&lt;175,VLOOKUP(50,'$$$ Replace &amp; Retrofit'!$E$10:$F$13,2),IF(D1410&lt;400,VLOOKUP(175,'$$$ Replace &amp; Retrofit'!$E$10:$F$13,2),IF(D1410&gt;=400,VLOOKUP(400,'$$$ Replace &amp; Retrofit'!$E$10:$F$13,2),NA))))*E1410</f>
        <v>1003.4843205574955</v>
      </c>
    </row>
    <row r="1411" spans="1:10" ht="30" x14ac:dyDescent="0.25">
      <c r="A1411" s="255" t="s">
        <v>249</v>
      </c>
      <c r="B1411" s="255" t="s">
        <v>211</v>
      </c>
      <c r="C1411" s="256">
        <v>2007</v>
      </c>
      <c r="D1411" s="256">
        <v>175</v>
      </c>
      <c r="E1411">
        <v>0.22857142857143001</v>
      </c>
      <c r="F1411" s="257"/>
      <c r="G1411">
        <f t="shared" si="19"/>
        <v>175</v>
      </c>
      <c r="H1411" s="4">
        <f>IF(B1411="RTG Crane",IF(D1411&lt;600,800000,1200000),VLOOKUP(B1411,'$$$ Replace &amp; Retrofit'!$B$10:$C$14,2)*'CHE Model poplulation'!D1411)*E1411</f>
        <v>40000.000000000255</v>
      </c>
      <c r="I1411" s="4">
        <f>E1411*VLOOKUP('CHE Model poplulation'!G1411,'$$$ Replace &amp; Retrofit'!$I$10:$J$15,2)</f>
        <v>5667.6571428571788</v>
      </c>
      <c r="J1411" s="4">
        <f>IF(D1411=50,VLOOKUP(0,'$$$ Replace &amp; Retrofit'!$E$10:$F$13,2),IF(D1411&lt;175,VLOOKUP(50,'$$$ Replace &amp; Retrofit'!$E$10:$F$13,2),IF(D1411&lt;400,VLOOKUP(175,'$$$ Replace &amp; Retrofit'!$E$10:$F$13,2),IF(D1411&gt;=400,VLOOKUP(400,'$$$ Replace &amp; Retrofit'!$E$10:$F$13,2),NA))))*E1411</f>
        <v>4114.2857142857401</v>
      </c>
    </row>
    <row r="1412" spans="1:10" ht="30" x14ac:dyDescent="0.25">
      <c r="A1412" s="255" t="s">
        <v>249</v>
      </c>
      <c r="B1412" s="255" t="s">
        <v>211</v>
      </c>
      <c r="C1412" s="256">
        <v>2007</v>
      </c>
      <c r="D1412" s="256">
        <v>300</v>
      </c>
      <c r="E1412">
        <v>0.14494773519163801</v>
      </c>
      <c r="F1412" s="257"/>
      <c r="G1412">
        <f t="shared" si="19"/>
        <v>300</v>
      </c>
      <c r="H1412" s="4">
        <f>IF(B1412="RTG Crane",IF(D1412&lt;600,800000,1200000),VLOOKUP(B1412,'$$$ Replace &amp; Retrofit'!$B$10:$C$14,2)*'CHE Model poplulation'!D1412)*E1412</f>
        <v>43484.320557491403</v>
      </c>
      <c r="I1412" s="4">
        <f>E1412*VLOOKUP('CHE Model poplulation'!G1412,'$$$ Replace &amp; Retrofit'!$I$10:$J$15,2)</f>
        <v>4169.131707317084</v>
      </c>
      <c r="J1412" s="4">
        <f>IF(D1412=50,VLOOKUP(0,'$$$ Replace &amp; Retrofit'!$E$10:$F$13,2),IF(D1412&lt;175,VLOOKUP(50,'$$$ Replace &amp; Retrofit'!$E$10:$F$13,2),IF(D1412&lt;400,VLOOKUP(175,'$$$ Replace &amp; Retrofit'!$E$10:$F$13,2),IF(D1412&gt;=400,VLOOKUP(400,'$$$ Replace &amp; Retrofit'!$E$10:$F$13,2),NA))))*E1412</f>
        <v>2609.0592334494841</v>
      </c>
    </row>
    <row r="1413" spans="1:10" ht="30" x14ac:dyDescent="0.25">
      <c r="A1413" s="255" t="s">
        <v>249</v>
      </c>
      <c r="B1413" s="255" t="s">
        <v>211</v>
      </c>
      <c r="C1413" s="256">
        <v>2007</v>
      </c>
      <c r="D1413" s="256">
        <v>600</v>
      </c>
      <c r="E1413">
        <v>0.17839721254355501</v>
      </c>
      <c r="F1413" s="257"/>
      <c r="G1413">
        <f t="shared" si="19"/>
        <v>400</v>
      </c>
      <c r="H1413" s="4">
        <f>IF(B1413="RTG Crane",IF(D1413&lt;600,800000,1200000),VLOOKUP(B1413,'$$$ Replace &amp; Retrofit'!$B$10:$C$14,2)*'CHE Model poplulation'!D1413)*E1413</f>
        <v>107038.327526133</v>
      </c>
      <c r="I1413" s="4">
        <f>E1413*VLOOKUP('CHE Model poplulation'!G1413,'$$$ Replace &amp; Retrofit'!$I$10:$J$15,2)</f>
        <v>9336.0613240418643</v>
      </c>
      <c r="J1413" s="4">
        <f>IF(D1413=50,VLOOKUP(0,'$$$ Replace &amp; Retrofit'!$E$10:$F$13,2),IF(D1413&lt;175,VLOOKUP(50,'$$$ Replace &amp; Retrofit'!$E$10:$F$13,2),IF(D1413&lt;400,VLOOKUP(175,'$$$ Replace &amp; Retrofit'!$E$10:$F$13,2),IF(D1413&gt;=400,VLOOKUP(400,'$$$ Replace &amp; Retrofit'!$E$10:$F$13,2),NA))))*E1413</f>
        <v>5351.9163763066499</v>
      </c>
    </row>
    <row r="1414" spans="1:10" ht="30" x14ac:dyDescent="0.25">
      <c r="A1414" s="255" t="s">
        <v>249</v>
      </c>
      <c r="B1414" s="255" t="s">
        <v>211</v>
      </c>
      <c r="C1414" s="256">
        <v>2008</v>
      </c>
      <c r="D1414" s="256">
        <v>50</v>
      </c>
      <c r="E1414">
        <v>0.34155447581228898</v>
      </c>
      <c r="F1414" s="257"/>
      <c r="G1414">
        <f t="shared" si="19"/>
        <v>50</v>
      </c>
      <c r="H1414" s="4">
        <f>IF(B1414="RTG Crane",IF(D1414&lt;600,800000,1200000),VLOOKUP(B1414,'$$$ Replace &amp; Retrofit'!$B$10:$C$14,2)*'CHE Model poplulation'!D1414)*E1414</f>
        <v>17077.723790614447</v>
      </c>
      <c r="I1414" s="4">
        <f>E1414*VLOOKUP('CHE Model poplulation'!G1414,'$$$ Replace &amp; Retrofit'!$I$10:$J$15,2)</f>
        <v>6007.2601205865385</v>
      </c>
      <c r="J1414" s="4">
        <f>IF(D1414=50,VLOOKUP(0,'$$$ Replace &amp; Retrofit'!$E$10:$F$13,2),IF(D1414&lt;175,VLOOKUP(50,'$$$ Replace &amp; Retrofit'!$E$10:$F$13,2),IF(D1414&lt;400,VLOOKUP(175,'$$$ Replace &amp; Retrofit'!$E$10:$F$13,2),IF(D1414&gt;=400,VLOOKUP(400,'$$$ Replace &amp; Retrofit'!$E$10:$F$13,2),NA))))*E1414</f>
        <v>2732.4358064983116</v>
      </c>
    </row>
    <row r="1415" spans="1:10" ht="30" x14ac:dyDescent="0.25">
      <c r="A1415" s="255" t="s">
        <v>249</v>
      </c>
      <c r="B1415" s="255" t="s">
        <v>211</v>
      </c>
      <c r="C1415" s="256">
        <v>2008</v>
      </c>
      <c r="D1415" s="256">
        <v>75</v>
      </c>
      <c r="E1415">
        <v>0.148066227644187</v>
      </c>
      <c r="F1415" s="257"/>
      <c r="G1415">
        <f t="shared" si="19"/>
        <v>50</v>
      </c>
      <c r="H1415" s="4">
        <f>IF(B1415="RTG Crane",IF(D1415&lt;600,800000,1200000),VLOOKUP(B1415,'$$$ Replace &amp; Retrofit'!$B$10:$C$14,2)*'CHE Model poplulation'!D1415)*E1415</f>
        <v>11104.967073314025</v>
      </c>
      <c r="I1415" s="4">
        <f>E1415*VLOOKUP('CHE Model poplulation'!G1415,'$$$ Replace &amp; Retrofit'!$I$10:$J$15,2)</f>
        <v>2604.188811805961</v>
      </c>
      <c r="J1415" s="4">
        <f>IF(D1415=50,VLOOKUP(0,'$$$ Replace &amp; Retrofit'!$E$10:$F$13,2),IF(D1415&lt;175,VLOOKUP(50,'$$$ Replace &amp; Retrofit'!$E$10:$F$13,2),IF(D1415&lt;400,VLOOKUP(175,'$$$ Replace &amp; Retrofit'!$E$10:$F$13,2),IF(D1415&gt;=400,VLOOKUP(400,'$$$ Replace &amp; Retrofit'!$E$10:$F$13,2),NA))))*E1415</f>
        <v>1776.7947317302439</v>
      </c>
    </row>
    <row r="1416" spans="1:10" ht="30" x14ac:dyDescent="0.25">
      <c r="A1416" s="255" t="s">
        <v>249</v>
      </c>
      <c r="B1416" s="255" t="s">
        <v>211</v>
      </c>
      <c r="C1416" s="256">
        <v>2008</v>
      </c>
      <c r="D1416" s="256">
        <v>100</v>
      </c>
      <c r="E1416">
        <v>0.171073678533785</v>
      </c>
      <c r="F1416" s="257"/>
      <c r="G1416">
        <f t="shared" si="19"/>
        <v>125</v>
      </c>
      <c r="H1416" s="4">
        <f>IF(B1416="RTG Crane",IF(D1416&lt;600,800000,1200000),VLOOKUP(B1416,'$$$ Replace &amp; Retrofit'!$B$10:$C$14,2)*'CHE Model poplulation'!D1416)*E1416</f>
        <v>17107.367853378499</v>
      </c>
      <c r="I1416" s="4">
        <f>E1416*VLOOKUP('CHE Model poplulation'!G1416,'$$$ Replace &amp; Retrofit'!$I$10:$J$15,2)</f>
        <v>3375.7968985071793</v>
      </c>
      <c r="J1416" s="4">
        <f>IF(D1416=50,VLOOKUP(0,'$$$ Replace &amp; Retrofit'!$E$10:$F$13,2),IF(D1416&lt;175,VLOOKUP(50,'$$$ Replace &amp; Retrofit'!$E$10:$F$13,2),IF(D1416&lt;400,VLOOKUP(175,'$$$ Replace &amp; Retrofit'!$E$10:$F$13,2),IF(D1416&gt;=400,VLOOKUP(400,'$$$ Replace &amp; Retrofit'!$E$10:$F$13,2),NA))))*E1416</f>
        <v>2052.8841424054199</v>
      </c>
    </row>
    <row r="1417" spans="1:10" ht="30" x14ac:dyDescent="0.25">
      <c r="A1417" s="255" t="s">
        <v>249</v>
      </c>
      <c r="B1417" s="255" t="s">
        <v>211</v>
      </c>
      <c r="C1417" s="256">
        <v>2008</v>
      </c>
      <c r="D1417" s="256">
        <v>175</v>
      </c>
      <c r="E1417">
        <v>0.452087661812484</v>
      </c>
      <c r="F1417" s="257"/>
      <c r="G1417">
        <f t="shared" si="19"/>
        <v>175</v>
      </c>
      <c r="H1417" s="4">
        <f>IF(B1417="RTG Crane",IF(D1417&lt;600,800000,1200000),VLOOKUP(B1417,'$$$ Replace &amp; Retrofit'!$B$10:$C$14,2)*'CHE Model poplulation'!D1417)*E1417</f>
        <v>79115.340817184697</v>
      </c>
      <c r="I1417" s="4">
        <f>E1417*VLOOKUP('CHE Model poplulation'!G1417,'$$$ Replace &amp; Retrofit'!$I$10:$J$15,2)</f>
        <v>11209.965662302353</v>
      </c>
      <c r="J1417" s="4">
        <f>IF(D1417=50,VLOOKUP(0,'$$$ Replace &amp; Retrofit'!$E$10:$F$13,2),IF(D1417&lt;175,VLOOKUP(50,'$$$ Replace &amp; Retrofit'!$E$10:$F$13,2),IF(D1417&lt;400,VLOOKUP(175,'$$$ Replace &amp; Retrofit'!$E$10:$F$13,2),IF(D1417&gt;=400,VLOOKUP(400,'$$$ Replace &amp; Retrofit'!$E$10:$F$13,2),NA))))*E1417</f>
        <v>8137.5779126247116</v>
      </c>
    </row>
    <row r="1418" spans="1:10" ht="30" x14ac:dyDescent="0.25">
      <c r="A1418" s="255" t="s">
        <v>249</v>
      </c>
      <c r="B1418" s="255" t="s">
        <v>211</v>
      </c>
      <c r="C1418" s="256">
        <v>2008</v>
      </c>
      <c r="D1418" s="256">
        <v>300</v>
      </c>
      <c r="E1418">
        <v>0.29390915058106798</v>
      </c>
      <c r="F1418" s="257"/>
      <c r="G1418">
        <f t="shared" si="19"/>
        <v>300</v>
      </c>
      <c r="H1418" s="4">
        <f>IF(B1418="RTG Crane",IF(D1418&lt;600,800000,1200000),VLOOKUP(B1418,'$$$ Replace &amp; Retrofit'!$B$10:$C$14,2)*'CHE Model poplulation'!D1418)*E1418</f>
        <v>88172.7451743204</v>
      </c>
      <c r="I1418" s="4">
        <f>E1418*VLOOKUP('CHE Model poplulation'!G1418,'$$$ Replace &amp; Retrofit'!$I$10:$J$15,2)</f>
        <v>8453.7088981632587</v>
      </c>
      <c r="J1418" s="4">
        <f>IF(D1418=50,VLOOKUP(0,'$$$ Replace &amp; Retrofit'!$E$10:$F$13,2),IF(D1418&lt;175,VLOOKUP(50,'$$$ Replace &amp; Retrofit'!$E$10:$F$13,2),IF(D1418&lt;400,VLOOKUP(175,'$$$ Replace &amp; Retrofit'!$E$10:$F$13,2),IF(D1418&gt;=400,VLOOKUP(400,'$$$ Replace &amp; Retrofit'!$E$10:$F$13,2),NA))))*E1418</f>
        <v>5290.3647104592237</v>
      </c>
    </row>
    <row r="1419" spans="1:10" ht="30" x14ac:dyDescent="0.25">
      <c r="A1419" s="255" t="s">
        <v>249</v>
      </c>
      <c r="B1419" s="255" t="s">
        <v>211</v>
      </c>
      <c r="C1419" s="256">
        <v>2008</v>
      </c>
      <c r="D1419" s="256">
        <v>600</v>
      </c>
      <c r="E1419">
        <v>0.34420184541256799</v>
      </c>
      <c r="F1419" s="257"/>
      <c r="G1419">
        <f t="shared" si="19"/>
        <v>400</v>
      </c>
      <c r="H1419" s="4">
        <f>IF(B1419="RTG Crane",IF(D1419&lt;600,800000,1200000),VLOOKUP(B1419,'$$$ Replace &amp; Retrofit'!$B$10:$C$14,2)*'CHE Model poplulation'!D1419)*E1419</f>
        <v>206521.10724754079</v>
      </c>
      <c r="I1419" s="4">
        <f>E1419*VLOOKUP('CHE Model poplulation'!G1419,'$$$ Replace &amp; Retrofit'!$I$10:$J$15,2)</f>
        <v>18013.11517597592</v>
      </c>
      <c r="J1419" s="4">
        <f>IF(D1419=50,VLOOKUP(0,'$$$ Replace &amp; Retrofit'!$E$10:$F$13,2),IF(D1419&lt;175,VLOOKUP(50,'$$$ Replace &amp; Retrofit'!$E$10:$F$13,2),IF(D1419&lt;400,VLOOKUP(175,'$$$ Replace &amp; Retrofit'!$E$10:$F$13,2),IF(D1419&gt;=400,VLOOKUP(400,'$$$ Replace &amp; Retrofit'!$E$10:$F$13,2),NA))))*E1419</f>
        <v>10326.055362377039</v>
      </c>
    </row>
    <row r="1420" spans="1:10" ht="30" x14ac:dyDescent="0.25">
      <c r="A1420" s="255" t="s">
        <v>249</v>
      </c>
      <c r="B1420" s="255" t="s">
        <v>211</v>
      </c>
      <c r="C1420" s="256">
        <v>2009</v>
      </c>
      <c r="D1420" s="256">
        <v>50</v>
      </c>
      <c r="E1420">
        <v>3.5538127711930798</v>
      </c>
      <c r="F1420" s="257"/>
      <c r="G1420">
        <f t="shared" si="19"/>
        <v>50</v>
      </c>
      <c r="H1420" s="4">
        <f>IF(B1420="RTG Crane",IF(D1420&lt;600,800000,1200000),VLOOKUP(B1420,'$$$ Replace &amp; Retrofit'!$B$10:$C$14,2)*'CHE Model poplulation'!D1420)*E1420</f>
        <v>177690.63855965398</v>
      </c>
      <c r="I1420" s="4">
        <f>E1420*VLOOKUP('CHE Model poplulation'!G1420,'$$$ Replace &amp; Retrofit'!$I$10:$J$15,2)</f>
        <v>62504.459019743888</v>
      </c>
      <c r="J1420" s="4">
        <f>IF(D1420=50,VLOOKUP(0,'$$$ Replace &amp; Retrofit'!$E$10:$F$13,2),IF(D1420&lt;175,VLOOKUP(50,'$$$ Replace &amp; Retrofit'!$E$10:$F$13,2),IF(D1420&lt;400,VLOOKUP(175,'$$$ Replace &amp; Retrofit'!$E$10:$F$13,2),IF(D1420&gt;=400,VLOOKUP(400,'$$$ Replace &amp; Retrofit'!$E$10:$F$13,2),NA))))*E1420</f>
        <v>28430.502169544638</v>
      </c>
    </row>
    <row r="1421" spans="1:10" ht="30" x14ac:dyDescent="0.25">
      <c r="A1421" s="255" t="s">
        <v>249</v>
      </c>
      <c r="B1421" s="255" t="s">
        <v>211</v>
      </c>
      <c r="C1421" s="256">
        <v>2009</v>
      </c>
      <c r="D1421" s="256">
        <v>75</v>
      </c>
      <c r="E1421">
        <v>1.6557979712002899</v>
      </c>
      <c r="F1421" s="257"/>
      <c r="G1421">
        <f t="shared" si="19"/>
        <v>50</v>
      </c>
      <c r="H1421" s="4">
        <f>IF(B1421="RTG Crane",IF(D1421&lt;600,800000,1200000),VLOOKUP(B1421,'$$$ Replace &amp; Retrofit'!$B$10:$C$14,2)*'CHE Model poplulation'!D1421)*E1421</f>
        <v>124184.84784002174</v>
      </c>
      <c r="I1421" s="4">
        <f>E1421*VLOOKUP('CHE Model poplulation'!G1421,'$$$ Replace &amp; Retrofit'!$I$10:$J$15,2)</f>
        <v>29122.174717470698</v>
      </c>
      <c r="J1421" s="4">
        <f>IF(D1421=50,VLOOKUP(0,'$$$ Replace &amp; Retrofit'!$E$10:$F$13,2),IF(D1421&lt;175,VLOOKUP(50,'$$$ Replace &amp; Retrofit'!$E$10:$F$13,2),IF(D1421&lt;400,VLOOKUP(175,'$$$ Replace &amp; Retrofit'!$E$10:$F$13,2),IF(D1421&gt;=400,VLOOKUP(400,'$$$ Replace &amp; Retrofit'!$E$10:$F$13,2),NA))))*E1421</f>
        <v>19869.575654403478</v>
      </c>
    </row>
    <row r="1422" spans="1:10" ht="30" x14ac:dyDescent="0.25">
      <c r="A1422" s="255" t="s">
        <v>249</v>
      </c>
      <c r="B1422" s="255" t="s">
        <v>211</v>
      </c>
      <c r="C1422" s="256">
        <v>2009</v>
      </c>
      <c r="D1422" s="256">
        <v>100</v>
      </c>
      <c r="E1422">
        <v>2.1189542356643898</v>
      </c>
      <c r="F1422" s="257"/>
      <c r="G1422">
        <f t="shared" si="19"/>
        <v>125</v>
      </c>
      <c r="H1422" s="4">
        <f>IF(B1422="RTG Crane",IF(D1422&lt;600,800000,1200000),VLOOKUP(B1422,'$$$ Replace &amp; Retrofit'!$B$10:$C$14,2)*'CHE Model poplulation'!D1422)*E1422</f>
        <v>211895.42356643899</v>
      </c>
      <c r="I1422" s="4">
        <f>E1422*VLOOKUP('CHE Model poplulation'!G1422,'$$$ Replace &amp; Retrofit'!$I$10:$J$15,2)</f>
        <v>41813.323932365405</v>
      </c>
      <c r="J1422" s="4">
        <f>IF(D1422=50,VLOOKUP(0,'$$$ Replace &amp; Retrofit'!$E$10:$F$13,2),IF(D1422&lt;175,VLOOKUP(50,'$$$ Replace &amp; Retrofit'!$E$10:$F$13,2),IF(D1422&lt;400,VLOOKUP(175,'$$$ Replace &amp; Retrofit'!$E$10:$F$13,2),IF(D1422&gt;=400,VLOOKUP(400,'$$$ Replace &amp; Retrofit'!$E$10:$F$13,2),NA))))*E1422</f>
        <v>25427.450827972676</v>
      </c>
    </row>
    <row r="1423" spans="1:10" ht="30" x14ac:dyDescent="0.25">
      <c r="A1423" s="255" t="s">
        <v>249</v>
      </c>
      <c r="B1423" s="255" t="s">
        <v>211</v>
      </c>
      <c r="C1423" s="256">
        <v>2009</v>
      </c>
      <c r="D1423" s="256">
        <v>175</v>
      </c>
      <c r="E1423">
        <v>2.3491785265293701</v>
      </c>
      <c r="F1423" s="257"/>
      <c r="G1423">
        <f t="shared" si="19"/>
        <v>175</v>
      </c>
      <c r="H1423" s="4">
        <f>IF(B1423="RTG Crane",IF(D1423&lt;600,800000,1200000),VLOOKUP(B1423,'$$$ Replace &amp; Retrofit'!$B$10:$C$14,2)*'CHE Model poplulation'!D1423)*E1423</f>
        <v>411106.24214263976</v>
      </c>
      <c r="I1423" s="4">
        <f>E1423*VLOOKUP('CHE Model poplulation'!G1423,'$$$ Replace &amp; Retrofit'!$I$10:$J$15,2)</f>
        <v>58250.230743822263</v>
      </c>
      <c r="J1423" s="4">
        <f>IF(D1423=50,VLOOKUP(0,'$$$ Replace &amp; Retrofit'!$E$10:$F$13,2),IF(D1423&lt;175,VLOOKUP(50,'$$$ Replace &amp; Retrofit'!$E$10:$F$13,2),IF(D1423&lt;400,VLOOKUP(175,'$$$ Replace &amp; Retrofit'!$E$10:$F$13,2),IF(D1423&gt;=400,VLOOKUP(400,'$$$ Replace &amp; Retrofit'!$E$10:$F$13,2),NA))))*E1423</f>
        <v>42285.213477528661</v>
      </c>
    </row>
    <row r="1424" spans="1:10" ht="30" x14ac:dyDescent="0.25">
      <c r="A1424" s="255" t="s">
        <v>249</v>
      </c>
      <c r="B1424" s="255" t="s">
        <v>211</v>
      </c>
      <c r="C1424" s="256">
        <v>2009</v>
      </c>
      <c r="D1424" s="256">
        <v>300</v>
      </c>
      <c r="E1424">
        <v>2.1683230769832602</v>
      </c>
      <c r="F1424" s="257"/>
      <c r="G1424">
        <f t="shared" si="19"/>
        <v>300</v>
      </c>
      <c r="H1424" s="4">
        <f>IF(B1424="RTG Crane",IF(D1424&lt;600,800000,1200000),VLOOKUP(B1424,'$$$ Replace &amp; Retrofit'!$B$10:$C$14,2)*'CHE Model poplulation'!D1424)*E1424</f>
        <v>650496.92309497809</v>
      </c>
      <c r="I1424" s="4">
        <f>E1424*VLOOKUP('CHE Model poplulation'!G1424,'$$$ Replace &amp; Retrofit'!$I$10:$J$15,2)</f>
        <v>62367.47666326951</v>
      </c>
      <c r="J1424" s="4">
        <f>IF(D1424=50,VLOOKUP(0,'$$$ Replace &amp; Retrofit'!$E$10:$F$13,2),IF(D1424&lt;175,VLOOKUP(50,'$$$ Replace &amp; Retrofit'!$E$10:$F$13,2),IF(D1424&lt;400,VLOOKUP(175,'$$$ Replace &amp; Retrofit'!$E$10:$F$13,2),IF(D1424&gt;=400,VLOOKUP(400,'$$$ Replace &amp; Retrofit'!$E$10:$F$13,2),NA))))*E1424</f>
        <v>39029.815385698683</v>
      </c>
    </row>
    <row r="1425" spans="1:10" ht="30" x14ac:dyDescent="0.25">
      <c r="A1425" s="255" t="s">
        <v>249</v>
      </c>
      <c r="B1425" s="255" t="s">
        <v>211</v>
      </c>
      <c r="C1425" s="256">
        <v>2009</v>
      </c>
      <c r="D1425" s="256">
        <v>600</v>
      </c>
      <c r="E1425">
        <v>0.95082711458498403</v>
      </c>
      <c r="F1425" s="257"/>
      <c r="G1425">
        <f t="shared" si="19"/>
        <v>400</v>
      </c>
      <c r="H1425" s="4">
        <f>IF(B1425="RTG Crane",IF(D1425&lt;600,800000,1200000),VLOOKUP(B1425,'$$$ Replace &amp; Retrofit'!$B$10:$C$14,2)*'CHE Model poplulation'!D1425)*E1425</f>
        <v>570496.26875099039</v>
      </c>
      <c r="I1425" s="4">
        <f>E1425*VLOOKUP('CHE Model poplulation'!G1425,'$$$ Replace &amp; Retrofit'!$I$10:$J$15,2)</f>
        <v>49759.635387575967</v>
      </c>
      <c r="J1425" s="4">
        <f>IF(D1425=50,VLOOKUP(0,'$$$ Replace &amp; Retrofit'!$E$10:$F$13,2),IF(D1425&lt;175,VLOOKUP(50,'$$$ Replace &amp; Retrofit'!$E$10:$F$13,2),IF(D1425&lt;400,VLOOKUP(175,'$$$ Replace &amp; Retrofit'!$E$10:$F$13,2),IF(D1425&gt;=400,VLOOKUP(400,'$$$ Replace &amp; Retrofit'!$E$10:$F$13,2),NA))))*E1425</f>
        <v>28524.813437549521</v>
      </c>
    </row>
    <row r="1426" spans="1:10" ht="30" x14ac:dyDescent="0.25">
      <c r="A1426" s="255" t="s">
        <v>249</v>
      </c>
      <c r="B1426" s="255" t="s">
        <v>211</v>
      </c>
      <c r="C1426" s="256">
        <v>2010</v>
      </c>
      <c r="D1426" s="256">
        <v>50</v>
      </c>
      <c r="E1426">
        <v>3.7789454151099902</v>
      </c>
      <c r="F1426" s="257"/>
      <c r="G1426">
        <f t="shared" si="19"/>
        <v>50</v>
      </c>
      <c r="H1426" s="4">
        <f>IF(B1426="RTG Crane",IF(D1426&lt;600,800000,1200000),VLOOKUP(B1426,'$$$ Replace &amp; Retrofit'!$B$10:$C$14,2)*'CHE Model poplulation'!D1426)*E1426</f>
        <v>188947.27075549951</v>
      </c>
      <c r="I1426" s="4">
        <f>E1426*VLOOKUP('CHE Model poplulation'!G1426,'$$$ Replace &amp; Retrofit'!$I$10:$J$15,2)</f>
        <v>66464.091960954509</v>
      </c>
      <c r="J1426" s="4">
        <f>IF(D1426=50,VLOOKUP(0,'$$$ Replace &amp; Retrofit'!$E$10:$F$13,2),IF(D1426&lt;175,VLOOKUP(50,'$$$ Replace &amp; Retrofit'!$E$10:$F$13,2),IF(D1426&lt;400,VLOOKUP(175,'$$$ Replace &amp; Retrofit'!$E$10:$F$13,2),IF(D1426&gt;=400,VLOOKUP(400,'$$$ Replace &amp; Retrofit'!$E$10:$F$13,2),NA))))*E1426</f>
        <v>30231.563320879923</v>
      </c>
    </row>
    <row r="1427" spans="1:10" ht="30" x14ac:dyDescent="0.25">
      <c r="A1427" s="255" t="s">
        <v>249</v>
      </c>
      <c r="B1427" s="255" t="s">
        <v>211</v>
      </c>
      <c r="C1427" s="256">
        <v>2010</v>
      </c>
      <c r="D1427" s="256">
        <v>75</v>
      </c>
      <c r="E1427">
        <v>1.75706400654733</v>
      </c>
      <c r="F1427" s="257"/>
      <c r="G1427">
        <f t="shared" si="19"/>
        <v>50</v>
      </c>
      <c r="H1427" s="4">
        <f>IF(B1427="RTG Crane",IF(D1427&lt;600,800000,1200000),VLOOKUP(B1427,'$$$ Replace &amp; Retrofit'!$B$10:$C$14,2)*'CHE Model poplulation'!D1427)*E1427</f>
        <v>131779.80049104974</v>
      </c>
      <c r="I1427" s="4">
        <f>E1427*VLOOKUP('CHE Model poplulation'!G1427,'$$$ Replace &amp; Retrofit'!$I$10:$J$15,2)</f>
        <v>30903.24174715444</v>
      </c>
      <c r="J1427" s="4">
        <f>IF(D1427=50,VLOOKUP(0,'$$$ Replace &amp; Retrofit'!$E$10:$F$13,2),IF(D1427&lt;175,VLOOKUP(50,'$$$ Replace &amp; Retrofit'!$E$10:$F$13,2),IF(D1427&lt;400,VLOOKUP(175,'$$$ Replace &amp; Retrofit'!$E$10:$F$13,2),IF(D1427&gt;=400,VLOOKUP(400,'$$$ Replace &amp; Retrofit'!$E$10:$F$13,2),NA))))*E1427</f>
        <v>21084.768078567959</v>
      </c>
    </row>
    <row r="1428" spans="1:10" ht="30" x14ac:dyDescent="0.25">
      <c r="A1428" s="255" t="s">
        <v>249</v>
      </c>
      <c r="B1428" s="255" t="s">
        <v>211</v>
      </c>
      <c r="C1428" s="256">
        <v>2010</v>
      </c>
      <c r="D1428" s="256">
        <v>100</v>
      </c>
      <c r="E1428">
        <v>2.237604698567</v>
      </c>
      <c r="F1428" s="257"/>
      <c r="G1428">
        <f t="shared" si="19"/>
        <v>125</v>
      </c>
      <c r="H1428" s="4">
        <f>IF(B1428="RTG Crane",IF(D1428&lt;600,800000,1200000),VLOOKUP(B1428,'$$$ Replace &amp; Retrofit'!$B$10:$C$14,2)*'CHE Model poplulation'!D1428)*E1428</f>
        <v>223760.46985669999</v>
      </c>
      <c r="I1428" s="4">
        <f>E1428*VLOOKUP('CHE Model poplulation'!G1428,'$$$ Replace &amp; Retrofit'!$I$10:$J$15,2)</f>
        <v>44154.653516822611</v>
      </c>
      <c r="J1428" s="4">
        <f>IF(D1428=50,VLOOKUP(0,'$$$ Replace &amp; Retrofit'!$E$10:$F$13,2),IF(D1428&lt;175,VLOOKUP(50,'$$$ Replace &amp; Retrofit'!$E$10:$F$13,2),IF(D1428&lt;400,VLOOKUP(175,'$$$ Replace &amp; Retrofit'!$E$10:$F$13,2),IF(D1428&gt;=400,VLOOKUP(400,'$$$ Replace &amp; Retrofit'!$E$10:$F$13,2),NA))))*E1428</f>
        <v>26851.256382804</v>
      </c>
    </row>
    <row r="1429" spans="1:10" ht="30" x14ac:dyDescent="0.25">
      <c r="A1429" s="255" t="s">
        <v>249</v>
      </c>
      <c r="B1429" s="255" t="s">
        <v>211</v>
      </c>
      <c r="C1429" s="256">
        <v>2010</v>
      </c>
      <c r="D1429" s="256">
        <v>175</v>
      </c>
      <c r="E1429">
        <v>2.5864836022145101</v>
      </c>
      <c r="F1429" s="257"/>
      <c r="G1429">
        <f t="shared" si="19"/>
        <v>175</v>
      </c>
      <c r="H1429" s="4">
        <f>IF(B1429="RTG Crane",IF(D1429&lt;600,800000,1200000),VLOOKUP(B1429,'$$$ Replace &amp; Retrofit'!$B$10:$C$14,2)*'CHE Model poplulation'!D1429)*E1429</f>
        <v>452634.63038753928</v>
      </c>
      <c r="I1429" s="4">
        <f>E1429*VLOOKUP('CHE Model poplulation'!G1429,'$$$ Replace &amp; Retrofit'!$I$10:$J$15,2)</f>
        <v>64134.447400510995</v>
      </c>
      <c r="J1429" s="4">
        <f>IF(D1429=50,VLOOKUP(0,'$$$ Replace &amp; Retrofit'!$E$10:$F$13,2),IF(D1429&lt;175,VLOOKUP(50,'$$$ Replace &amp; Retrofit'!$E$10:$F$13,2),IF(D1429&lt;400,VLOOKUP(175,'$$$ Replace &amp; Retrofit'!$E$10:$F$13,2),IF(D1429&gt;=400,VLOOKUP(400,'$$$ Replace &amp; Retrofit'!$E$10:$F$13,2),NA))))*E1429</f>
        <v>46556.704839861181</v>
      </c>
    </row>
    <row r="1430" spans="1:10" ht="30" x14ac:dyDescent="0.25">
      <c r="A1430" s="255" t="s">
        <v>249</v>
      </c>
      <c r="B1430" s="255" t="s">
        <v>211</v>
      </c>
      <c r="C1430" s="256">
        <v>2010</v>
      </c>
      <c r="D1430" s="256">
        <v>300</v>
      </c>
      <c r="E1430">
        <v>2.3471700990933901</v>
      </c>
      <c r="F1430" s="257"/>
      <c r="G1430">
        <f t="shared" si="19"/>
        <v>300</v>
      </c>
      <c r="H1430" s="4">
        <f>IF(B1430="RTG Crane",IF(D1430&lt;600,800000,1200000),VLOOKUP(B1430,'$$$ Replace &amp; Retrofit'!$B$10:$C$14,2)*'CHE Model poplulation'!D1430)*E1430</f>
        <v>704151.02972801705</v>
      </c>
      <c r="I1430" s="4">
        <f>E1430*VLOOKUP('CHE Model poplulation'!G1430,'$$$ Replace &amp; Retrofit'!$I$10:$J$15,2)</f>
        <v>67511.653560223174</v>
      </c>
      <c r="J1430" s="4">
        <f>IF(D1430=50,VLOOKUP(0,'$$$ Replace &amp; Retrofit'!$E$10:$F$13,2),IF(D1430&lt;175,VLOOKUP(50,'$$$ Replace &amp; Retrofit'!$E$10:$F$13,2),IF(D1430&lt;400,VLOOKUP(175,'$$$ Replace &amp; Retrofit'!$E$10:$F$13,2),IF(D1430&gt;=400,VLOOKUP(400,'$$$ Replace &amp; Retrofit'!$E$10:$F$13,2),NA))))*E1430</f>
        <v>42249.06178368102</v>
      </c>
    </row>
    <row r="1431" spans="1:10" ht="30" x14ac:dyDescent="0.25">
      <c r="A1431" s="255" t="s">
        <v>249</v>
      </c>
      <c r="B1431" s="255" t="s">
        <v>211</v>
      </c>
      <c r="C1431" s="256">
        <v>2010</v>
      </c>
      <c r="D1431" s="256">
        <v>600</v>
      </c>
      <c r="E1431">
        <v>1.10427067976073</v>
      </c>
      <c r="F1431" s="257"/>
      <c r="G1431">
        <f t="shared" si="19"/>
        <v>400</v>
      </c>
      <c r="H1431" s="4">
        <f>IF(B1431="RTG Crane",IF(D1431&lt;600,800000,1200000),VLOOKUP(B1431,'$$$ Replace &amp; Retrofit'!$B$10:$C$14,2)*'CHE Model poplulation'!D1431)*E1431</f>
        <v>662562.40785643796</v>
      </c>
      <c r="I1431" s="4">
        <f>E1431*VLOOKUP('CHE Model poplulation'!G1431,'$$$ Replace &amp; Retrofit'!$I$10:$J$15,2)</f>
        <v>57789.797483918286</v>
      </c>
      <c r="J1431" s="4">
        <f>IF(D1431=50,VLOOKUP(0,'$$$ Replace &amp; Retrofit'!$E$10:$F$13,2),IF(D1431&lt;175,VLOOKUP(50,'$$$ Replace &amp; Retrofit'!$E$10:$F$13,2),IF(D1431&lt;400,VLOOKUP(175,'$$$ Replace &amp; Retrofit'!$E$10:$F$13,2),IF(D1431&gt;=400,VLOOKUP(400,'$$$ Replace &amp; Retrofit'!$E$10:$F$13,2),NA))))*E1431</f>
        <v>33128.120392821904</v>
      </c>
    </row>
    <row r="1432" spans="1:10" ht="30" x14ac:dyDescent="0.25">
      <c r="A1432" s="255" t="s">
        <v>249</v>
      </c>
      <c r="B1432" s="255" t="s">
        <v>211</v>
      </c>
      <c r="C1432" s="256">
        <v>2011</v>
      </c>
      <c r="D1432" s="256">
        <v>50</v>
      </c>
      <c r="E1432">
        <v>3.9591603706610599</v>
      </c>
      <c r="F1432" s="257"/>
      <c r="G1432">
        <f t="shared" si="19"/>
        <v>50</v>
      </c>
      <c r="H1432" s="4">
        <f>IF(B1432="RTG Crane",IF(D1432&lt;600,800000,1200000),VLOOKUP(B1432,'$$$ Replace &amp; Retrofit'!$B$10:$C$14,2)*'CHE Model poplulation'!D1432)*E1432</f>
        <v>197958.01853305299</v>
      </c>
      <c r="I1432" s="4">
        <f>E1432*VLOOKUP('CHE Model poplulation'!G1432,'$$$ Replace &amp; Retrofit'!$I$10:$J$15,2)</f>
        <v>69633.712599186721</v>
      </c>
      <c r="J1432" s="4">
        <f>IF(D1432=50,VLOOKUP(0,'$$$ Replace &amp; Retrofit'!$E$10:$F$13,2),IF(D1432&lt;175,VLOOKUP(50,'$$$ Replace &amp; Retrofit'!$E$10:$F$13,2),IF(D1432&lt;400,VLOOKUP(175,'$$$ Replace &amp; Retrofit'!$E$10:$F$13,2),IF(D1432&gt;=400,VLOOKUP(400,'$$$ Replace &amp; Retrofit'!$E$10:$F$13,2),NA))))*E1432</f>
        <v>31673.282965288479</v>
      </c>
    </row>
    <row r="1433" spans="1:10" ht="30" x14ac:dyDescent="0.25">
      <c r="A1433" s="255" t="s">
        <v>249</v>
      </c>
      <c r="B1433" s="255" t="s">
        <v>211</v>
      </c>
      <c r="C1433" s="256">
        <v>2011</v>
      </c>
      <c r="D1433" s="256">
        <v>75</v>
      </c>
      <c r="E1433">
        <v>1.8379586363100799</v>
      </c>
      <c r="F1433" s="257"/>
      <c r="G1433">
        <f t="shared" si="19"/>
        <v>50</v>
      </c>
      <c r="H1433" s="4">
        <f>IF(B1433="RTG Crane",IF(D1433&lt;600,800000,1200000),VLOOKUP(B1433,'$$$ Replace &amp; Retrofit'!$B$10:$C$14,2)*'CHE Model poplulation'!D1433)*E1433</f>
        <v>137846.897723256</v>
      </c>
      <c r="I1433" s="4">
        <f>E1433*VLOOKUP('CHE Model poplulation'!G1433,'$$$ Replace &amp; Retrofit'!$I$10:$J$15,2)</f>
        <v>32326.016495421685</v>
      </c>
      <c r="J1433" s="4">
        <f>IF(D1433=50,VLOOKUP(0,'$$$ Replace &amp; Retrofit'!$E$10:$F$13,2),IF(D1433&lt;175,VLOOKUP(50,'$$$ Replace &amp; Retrofit'!$E$10:$F$13,2),IF(D1433&lt;400,VLOOKUP(175,'$$$ Replace &amp; Retrofit'!$E$10:$F$13,2),IF(D1433&gt;=400,VLOOKUP(400,'$$$ Replace &amp; Retrofit'!$E$10:$F$13,2),NA))))*E1433</f>
        <v>22055.503635720961</v>
      </c>
    </row>
    <row r="1434" spans="1:10" ht="30" x14ac:dyDescent="0.25">
      <c r="A1434" s="255" t="s">
        <v>249</v>
      </c>
      <c r="B1434" s="255" t="s">
        <v>211</v>
      </c>
      <c r="C1434" s="256">
        <v>2011</v>
      </c>
      <c r="D1434" s="256">
        <v>100</v>
      </c>
      <c r="E1434">
        <v>2.3358920511952799</v>
      </c>
      <c r="F1434" s="257"/>
      <c r="G1434">
        <f t="shared" si="19"/>
        <v>125</v>
      </c>
      <c r="H1434" s="4">
        <f>IF(B1434="RTG Crane",IF(D1434&lt;600,800000,1200000),VLOOKUP(B1434,'$$$ Replace &amp; Retrofit'!$B$10:$C$14,2)*'CHE Model poplulation'!D1434)*E1434</f>
        <v>233589.20511952799</v>
      </c>
      <c r="I1434" s="4">
        <f>E1434*VLOOKUP('CHE Model poplulation'!G1434,'$$$ Replace &amp; Retrofit'!$I$10:$J$15,2)</f>
        <v>46094.157846236456</v>
      </c>
      <c r="J1434" s="4">
        <f>IF(D1434=50,VLOOKUP(0,'$$$ Replace &amp; Retrofit'!$E$10:$F$13,2),IF(D1434&lt;175,VLOOKUP(50,'$$$ Replace &amp; Retrofit'!$E$10:$F$13,2),IF(D1434&lt;400,VLOOKUP(175,'$$$ Replace &amp; Retrofit'!$E$10:$F$13,2),IF(D1434&gt;=400,VLOOKUP(400,'$$$ Replace &amp; Retrofit'!$E$10:$F$13,2),NA))))*E1434</f>
        <v>28030.704614343358</v>
      </c>
    </row>
    <row r="1435" spans="1:10" ht="30" x14ac:dyDescent="0.25">
      <c r="A1435" s="255" t="s">
        <v>249</v>
      </c>
      <c r="B1435" s="255" t="s">
        <v>211</v>
      </c>
      <c r="C1435" s="256">
        <v>2011</v>
      </c>
      <c r="D1435" s="256">
        <v>175</v>
      </c>
      <c r="E1435">
        <v>2.6119901309429499</v>
      </c>
      <c r="F1435" s="257"/>
      <c r="G1435">
        <f t="shared" si="19"/>
        <v>175</v>
      </c>
      <c r="H1435" s="4">
        <f>IF(B1435="RTG Crane",IF(D1435&lt;600,800000,1200000),VLOOKUP(B1435,'$$$ Replace &amp; Retrofit'!$B$10:$C$14,2)*'CHE Model poplulation'!D1435)*E1435</f>
        <v>457098.27291501622</v>
      </c>
      <c r="I1435" s="4">
        <f>E1435*VLOOKUP('CHE Model poplulation'!G1435,'$$$ Replace &amp; Retrofit'!$I$10:$J$15,2)</f>
        <v>64766.907286861388</v>
      </c>
      <c r="J1435" s="4">
        <f>IF(D1435=50,VLOOKUP(0,'$$$ Replace &amp; Retrofit'!$E$10:$F$13,2),IF(D1435&lt;175,VLOOKUP(50,'$$$ Replace &amp; Retrofit'!$E$10:$F$13,2),IF(D1435&lt;400,VLOOKUP(175,'$$$ Replace &amp; Retrofit'!$E$10:$F$13,2),IF(D1435&gt;=400,VLOOKUP(400,'$$$ Replace &amp; Retrofit'!$E$10:$F$13,2),NA))))*E1435</f>
        <v>47015.822356973098</v>
      </c>
    </row>
    <row r="1436" spans="1:10" ht="30" x14ac:dyDescent="0.25">
      <c r="A1436" s="255" t="s">
        <v>249</v>
      </c>
      <c r="B1436" s="255" t="s">
        <v>211</v>
      </c>
      <c r="C1436" s="256">
        <v>2011</v>
      </c>
      <c r="D1436" s="256">
        <v>300</v>
      </c>
      <c r="E1436">
        <v>2.4803618255209701</v>
      </c>
      <c r="F1436" s="257"/>
      <c r="G1436">
        <f t="shared" si="19"/>
        <v>300</v>
      </c>
      <c r="H1436" s="4">
        <f>IF(B1436="RTG Crane",IF(D1436&lt;600,800000,1200000),VLOOKUP(B1436,'$$$ Replace &amp; Retrofit'!$B$10:$C$14,2)*'CHE Model poplulation'!D1436)*E1436</f>
        <v>744108.54765629105</v>
      </c>
      <c r="I1436" s="4">
        <f>E1436*VLOOKUP('CHE Model poplulation'!G1436,'$$$ Replace &amp; Retrofit'!$I$10:$J$15,2)</f>
        <v>71342.647187459661</v>
      </c>
      <c r="J1436" s="4">
        <f>IF(D1436=50,VLOOKUP(0,'$$$ Replace &amp; Retrofit'!$E$10:$F$13,2),IF(D1436&lt;175,VLOOKUP(50,'$$$ Replace &amp; Retrofit'!$E$10:$F$13,2),IF(D1436&lt;400,VLOOKUP(175,'$$$ Replace &amp; Retrofit'!$E$10:$F$13,2),IF(D1436&gt;=400,VLOOKUP(400,'$$$ Replace &amp; Retrofit'!$E$10:$F$13,2),NA))))*E1436</f>
        <v>44646.512859377464</v>
      </c>
    </row>
    <row r="1437" spans="1:10" ht="30" x14ac:dyDescent="0.25">
      <c r="A1437" s="255" t="s">
        <v>249</v>
      </c>
      <c r="B1437" s="255" t="s">
        <v>211</v>
      </c>
      <c r="C1437" s="256">
        <v>2011</v>
      </c>
      <c r="D1437" s="256">
        <v>600</v>
      </c>
      <c r="E1437">
        <v>1.1123764954095099</v>
      </c>
      <c r="F1437" s="257"/>
      <c r="G1437">
        <f t="shared" si="19"/>
        <v>400</v>
      </c>
      <c r="H1437" s="4">
        <f>IF(B1437="RTG Crane",IF(D1437&lt;600,800000,1200000),VLOOKUP(B1437,'$$$ Replace &amp; Retrofit'!$B$10:$C$14,2)*'CHE Model poplulation'!D1437)*E1437</f>
        <v>667425.89724570594</v>
      </c>
      <c r="I1437" s="4">
        <f>E1437*VLOOKUP('CHE Model poplulation'!G1437,'$$$ Replace &amp; Retrofit'!$I$10:$J$15,2)</f>
        <v>58213.999134265883</v>
      </c>
      <c r="J1437" s="4">
        <f>IF(D1437=50,VLOOKUP(0,'$$$ Replace &amp; Retrofit'!$E$10:$F$13,2),IF(D1437&lt;175,VLOOKUP(50,'$$$ Replace &amp; Retrofit'!$E$10:$F$13,2),IF(D1437&lt;400,VLOOKUP(175,'$$$ Replace &amp; Retrofit'!$E$10:$F$13,2),IF(D1437&gt;=400,VLOOKUP(400,'$$$ Replace &amp; Retrofit'!$E$10:$F$13,2),NA))))*E1437</f>
        <v>33371.2948622853</v>
      </c>
    </row>
    <row r="1438" spans="1:10" ht="30" x14ac:dyDescent="0.25">
      <c r="A1438" s="255" t="s">
        <v>249</v>
      </c>
      <c r="B1438" s="255" t="s">
        <v>211</v>
      </c>
      <c r="C1438" s="256">
        <v>2012</v>
      </c>
      <c r="D1438" s="256">
        <v>50</v>
      </c>
      <c r="E1438">
        <v>4.1206063120377001</v>
      </c>
      <c r="F1438" s="257"/>
      <c r="G1438">
        <f t="shared" si="19"/>
        <v>50</v>
      </c>
      <c r="H1438" s="4">
        <f>IF(B1438="RTG Crane",IF(D1438&lt;600,800000,1200000),VLOOKUP(B1438,'$$$ Replace &amp; Retrofit'!$B$10:$C$14,2)*'CHE Model poplulation'!D1438)*E1438</f>
        <v>206030.315601885</v>
      </c>
      <c r="I1438" s="4">
        <f>E1438*VLOOKUP('CHE Model poplulation'!G1438,'$$$ Replace &amp; Retrofit'!$I$10:$J$15,2)</f>
        <v>72473.223816119076</v>
      </c>
      <c r="J1438" s="4">
        <f>IF(D1438=50,VLOOKUP(0,'$$$ Replace &amp; Retrofit'!$E$10:$F$13,2),IF(D1438&lt;175,VLOOKUP(50,'$$$ Replace &amp; Retrofit'!$E$10:$F$13,2),IF(D1438&lt;400,VLOOKUP(175,'$$$ Replace &amp; Retrofit'!$E$10:$F$13,2),IF(D1438&gt;=400,VLOOKUP(400,'$$$ Replace &amp; Retrofit'!$E$10:$F$13,2),NA))))*E1438</f>
        <v>32964.850496301602</v>
      </c>
    </row>
    <row r="1439" spans="1:10" ht="30" x14ac:dyDescent="0.25">
      <c r="A1439" s="255" t="s">
        <v>249</v>
      </c>
      <c r="B1439" s="255" t="s">
        <v>211</v>
      </c>
      <c r="C1439" s="256">
        <v>2012</v>
      </c>
      <c r="D1439" s="256">
        <v>75</v>
      </c>
      <c r="E1439">
        <v>1.9265168288685399</v>
      </c>
      <c r="F1439" s="257"/>
      <c r="G1439">
        <f t="shared" si="19"/>
        <v>50</v>
      </c>
      <c r="H1439" s="4">
        <f>IF(B1439="RTG Crane",IF(D1439&lt;600,800000,1200000),VLOOKUP(B1439,'$$$ Replace &amp; Retrofit'!$B$10:$C$14,2)*'CHE Model poplulation'!D1439)*E1439</f>
        <v>144488.76216514051</v>
      </c>
      <c r="I1439" s="4">
        <f>E1439*VLOOKUP('CHE Model poplulation'!G1439,'$$$ Replace &amp; Retrofit'!$I$10:$J$15,2)</f>
        <v>33883.577986139877</v>
      </c>
      <c r="J1439" s="4">
        <f>IF(D1439=50,VLOOKUP(0,'$$$ Replace &amp; Retrofit'!$E$10:$F$13,2),IF(D1439&lt;175,VLOOKUP(50,'$$$ Replace &amp; Retrofit'!$E$10:$F$13,2),IF(D1439&lt;400,VLOOKUP(175,'$$$ Replace &amp; Retrofit'!$E$10:$F$13,2),IF(D1439&gt;=400,VLOOKUP(400,'$$$ Replace &amp; Retrofit'!$E$10:$F$13,2),NA))))*E1439</f>
        <v>23118.20194642248</v>
      </c>
    </row>
    <row r="1440" spans="1:10" ht="30" x14ac:dyDescent="0.25">
      <c r="A1440" s="255" t="s">
        <v>249</v>
      </c>
      <c r="B1440" s="255" t="s">
        <v>211</v>
      </c>
      <c r="C1440" s="256">
        <v>2012</v>
      </c>
      <c r="D1440" s="256">
        <v>100</v>
      </c>
      <c r="E1440">
        <v>2.4333067013500802</v>
      </c>
      <c r="F1440" s="257"/>
      <c r="G1440">
        <f t="shared" si="19"/>
        <v>125</v>
      </c>
      <c r="H1440" s="4">
        <f>IF(B1440="RTG Crane",IF(D1440&lt;600,800000,1200000),VLOOKUP(B1440,'$$$ Replace &amp; Retrofit'!$B$10:$C$14,2)*'CHE Model poplulation'!D1440)*E1440</f>
        <v>243330.67013500803</v>
      </c>
      <c r="I1440" s="4">
        <f>E1440*VLOOKUP('CHE Model poplulation'!G1440,'$$$ Replace &amp; Retrofit'!$I$10:$J$15,2)</f>
        <v>48016.441137741131</v>
      </c>
      <c r="J1440" s="4">
        <f>IF(D1440=50,VLOOKUP(0,'$$$ Replace &amp; Retrofit'!$E$10:$F$13,2),IF(D1440&lt;175,VLOOKUP(50,'$$$ Replace &amp; Retrofit'!$E$10:$F$13,2),IF(D1440&lt;400,VLOOKUP(175,'$$$ Replace &amp; Retrofit'!$E$10:$F$13,2),IF(D1440&gt;=400,VLOOKUP(400,'$$$ Replace &amp; Retrofit'!$E$10:$F$13,2),NA))))*E1440</f>
        <v>29199.680416200961</v>
      </c>
    </row>
    <row r="1441" spans="1:10" ht="30" x14ac:dyDescent="0.25">
      <c r="A1441" s="255" t="s">
        <v>249</v>
      </c>
      <c r="B1441" s="255" t="s">
        <v>211</v>
      </c>
      <c r="C1441" s="256">
        <v>2012</v>
      </c>
      <c r="D1441" s="256">
        <v>175</v>
      </c>
      <c r="E1441">
        <v>2.6851229665841001</v>
      </c>
      <c r="F1441" s="257"/>
      <c r="G1441">
        <f t="shared" si="19"/>
        <v>175</v>
      </c>
      <c r="H1441" s="4">
        <f>IF(B1441="RTG Crane",IF(D1441&lt;600,800000,1200000),VLOOKUP(B1441,'$$$ Replace &amp; Retrofit'!$B$10:$C$14,2)*'CHE Model poplulation'!D1441)*E1441</f>
        <v>469896.51915221754</v>
      </c>
      <c r="I1441" s="4">
        <f>E1441*VLOOKUP('CHE Model poplulation'!G1441,'$$$ Replace &amp; Retrofit'!$I$10:$J$15,2)</f>
        <v>66580.309079419341</v>
      </c>
      <c r="J1441" s="4">
        <f>IF(D1441=50,VLOOKUP(0,'$$$ Replace &amp; Retrofit'!$E$10:$F$13,2),IF(D1441&lt;175,VLOOKUP(50,'$$$ Replace &amp; Retrofit'!$E$10:$F$13,2),IF(D1441&lt;400,VLOOKUP(175,'$$$ Replace &amp; Retrofit'!$E$10:$F$13,2),IF(D1441&gt;=400,VLOOKUP(400,'$$$ Replace &amp; Retrofit'!$E$10:$F$13,2),NA))))*E1441</f>
        <v>48332.213398513799</v>
      </c>
    </row>
    <row r="1442" spans="1:10" ht="30" x14ac:dyDescent="0.25">
      <c r="A1442" s="255" t="s">
        <v>249</v>
      </c>
      <c r="B1442" s="255" t="s">
        <v>211</v>
      </c>
      <c r="C1442" s="256">
        <v>2012</v>
      </c>
      <c r="D1442" s="256">
        <v>300</v>
      </c>
      <c r="E1442">
        <v>2.56097442518245</v>
      </c>
      <c r="F1442" s="257"/>
      <c r="G1442">
        <f t="shared" si="19"/>
        <v>300</v>
      </c>
      <c r="H1442" s="4">
        <f>IF(B1442="RTG Crane",IF(D1442&lt;600,800000,1200000),VLOOKUP(B1442,'$$$ Replace &amp; Retrofit'!$B$10:$C$14,2)*'CHE Model poplulation'!D1442)*E1442</f>
        <v>768292.32755473501</v>
      </c>
      <c r="I1442" s="4">
        <f>E1442*VLOOKUP('CHE Model poplulation'!G1442,'$$$ Replace &amp; Retrofit'!$I$10:$J$15,2)</f>
        <v>73661.307391522816</v>
      </c>
      <c r="J1442" s="4">
        <f>IF(D1442=50,VLOOKUP(0,'$$$ Replace &amp; Retrofit'!$E$10:$F$13,2),IF(D1442&lt;175,VLOOKUP(50,'$$$ Replace &amp; Retrofit'!$E$10:$F$13,2),IF(D1442&lt;400,VLOOKUP(175,'$$$ Replace &amp; Retrofit'!$E$10:$F$13,2),IF(D1442&gt;=400,VLOOKUP(400,'$$$ Replace &amp; Retrofit'!$E$10:$F$13,2),NA))))*E1442</f>
        <v>46097.539653284097</v>
      </c>
    </row>
    <row r="1443" spans="1:10" ht="30" x14ac:dyDescent="0.25">
      <c r="A1443" s="255" t="s">
        <v>249</v>
      </c>
      <c r="B1443" s="255" t="s">
        <v>211</v>
      </c>
      <c r="C1443" s="256">
        <v>2012</v>
      </c>
      <c r="D1443" s="256">
        <v>600</v>
      </c>
      <c r="E1443">
        <v>1.09495348329376</v>
      </c>
      <c r="F1443" s="257"/>
      <c r="G1443">
        <f t="shared" si="19"/>
        <v>400</v>
      </c>
      <c r="H1443" s="4">
        <f>IF(B1443="RTG Crane",IF(D1443&lt;600,800000,1200000),VLOOKUP(B1443,'$$$ Replace &amp; Retrofit'!$B$10:$C$14,2)*'CHE Model poplulation'!D1443)*E1443</f>
        <v>656972.08997625601</v>
      </c>
      <c r="I1443" s="4">
        <f>E1443*VLOOKUP('CHE Model poplulation'!G1443,'$$$ Replace &amp; Retrofit'!$I$10:$J$15,2)</f>
        <v>57302.200641212337</v>
      </c>
      <c r="J1443" s="4">
        <f>IF(D1443=50,VLOOKUP(0,'$$$ Replace &amp; Retrofit'!$E$10:$F$13,2),IF(D1443&lt;175,VLOOKUP(50,'$$$ Replace &amp; Retrofit'!$E$10:$F$13,2),IF(D1443&lt;400,VLOOKUP(175,'$$$ Replace &amp; Retrofit'!$E$10:$F$13,2),IF(D1443&gt;=400,VLOOKUP(400,'$$$ Replace &amp; Retrofit'!$E$10:$F$13,2),NA))))*E1443</f>
        <v>32848.604498812798</v>
      </c>
    </row>
    <row r="1444" spans="1:10" ht="30" x14ac:dyDescent="0.25">
      <c r="A1444" s="255" t="s">
        <v>249</v>
      </c>
      <c r="B1444" s="255" t="s">
        <v>211</v>
      </c>
      <c r="C1444" s="256">
        <v>2013</v>
      </c>
      <c r="D1444" s="256">
        <v>50</v>
      </c>
      <c r="E1444">
        <v>3.9926984960728098</v>
      </c>
      <c r="F1444" s="257"/>
      <c r="G1444">
        <f t="shared" si="19"/>
        <v>50</v>
      </c>
      <c r="H1444" s="4">
        <f>IF(B1444="RTG Crane",IF(D1444&lt;600,800000,1200000),VLOOKUP(B1444,'$$$ Replace &amp; Retrofit'!$B$10:$C$14,2)*'CHE Model poplulation'!D1444)*E1444</f>
        <v>199634.92480364049</v>
      </c>
      <c r="I1444" s="4">
        <f>E1444*VLOOKUP('CHE Model poplulation'!G1444,'$$$ Replace &amp; Retrofit'!$I$10:$J$15,2)</f>
        <v>70223.581148928584</v>
      </c>
      <c r="J1444" s="4">
        <f>IF(D1444=50,VLOOKUP(0,'$$$ Replace &amp; Retrofit'!$E$10:$F$13,2),IF(D1444&lt;175,VLOOKUP(50,'$$$ Replace &amp; Retrofit'!$E$10:$F$13,2),IF(D1444&lt;400,VLOOKUP(175,'$$$ Replace &amp; Retrofit'!$E$10:$F$13,2),IF(D1444&gt;=400,VLOOKUP(400,'$$$ Replace &amp; Retrofit'!$E$10:$F$13,2),NA))))*E1444</f>
        <v>31941.587968582477</v>
      </c>
    </row>
    <row r="1445" spans="1:10" ht="30" x14ac:dyDescent="0.25">
      <c r="A1445" s="255" t="s">
        <v>249</v>
      </c>
      <c r="B1445" s="255" t="s">
        <v>211</v>
      </c>
      <c r="C1445" s="256">
        <v>2013</v>
      </c>
      <c r="D1445" s="256">
        <v>75</v>
      </c>
      <c r="E1445">
        <v>1.8722537016177101</v>
      </c>
      <c r="F1445" s="257"/>
      <c r="G1445">
        <f t="shared" si="19"/>
        <v>50</v>
      </c>
      <c r="H1445" s="4">
        <f>IF(B1445="RTG Crane",IF(D1445&lt;600,800000,1200000),VLOOKUP(B1445,'$$$ Replace &amp; Retrofit'!$B$10:$C$14,2)*'CHE Model poplulation'!D1445)*E1445</f>
        <v>140419.02762132825</v>
      </c>
      <c r="I1445" s="4">
        <f>E1445*VLOOKUP('CHE Model poplulation'!G1445,'$$$ Replace &amp; Retrofit'!$I$10:$J$15,2)</f>
        <v>32929.198104052288</v>
      </c>
      <c r="J1445" s="4">
        <f>IF(D1445=50,VLOOKUP(0,'$$$ Replace &amp; Retrofit'!$E$10:$F$13,2),IF(D1445&lt;175,VLOOKUP(50,'$$$ Replace &amp; Retrofit'!$E$10:$F$13,2),IF(D1445&lt;400,VLOOKUP(175,'$$$ Replace &amp; Retrofit'!$E$10:$F$13,2),IF(D1445&gt;=400,VLOOKUP(400,'$$$ Replace &amp; Retrofit'!$E$10:$F$13,2),NA))))*E1445</f>
        <v>22467.044419412523</v>
      </c>
    </row>
    <row r="1446" spans="1:10" ht="30" x14ac:dyDescent="0.25">
      <c r="A1446" s="255" t="s">
        <v>249</v>
      </c>
      <c r="B1446" s="255" t="s">
        <v>211</v>
      </c>
      <c r="C1446" s="256">
        <v>2013</v>
      </c>
      <c r="D1446" s="256">
        <v>100</v>
      </c>
      <c r="E1446">
        <v>2.37320738316174</v>
      </c>
      <c r="F1446" s="257"/>
      <c r="G1446">
        <f t="shared" si="19"/>
        <v>125</v>
      </c>
      <c r="H1446" s="4">
        <f>IF(B1446="RTG Crane",IF(D1446&lt;600,800000,1200000),VLOOKUP(B1446,'$$$ Replace &amp; Retrofit'!$B$10:$C$14,2)*'CHE Model poplulation'!D1446)*E1446</f>
        <v>237320.73831617399</v>
      </c>
      <c r="I1446" s="4">
        <f>E1446*VLOOKUP('CHE Model poplulation'!G1446,'$$$ Replace &amp; Retrofit'!$I$10:$J$15,2)</f>
        <v>46830.501291930617</v>
      </c>
      <c r="J1446" s="4">
        <f>IF(D1446=50,VLOOKUP(0,'$$$ Replace &amp; Retrofit'!$E$10:$F$13,2),IF(D1446&lt;175,VLOOKUP(50,'$$$ Replace &amp; Retrofit'!$E$10:$F$13,2),IF(D1446&lt;400,VLOOKUP(175,'$$$ Replace &amp; Retrofit'!$E$10:$F$13,2),IF(D1446&gt;=400,VLOOKUP(400,'$$$ Replace &amp; Retrofit'!$E$10:$F$13,2),NA))))*E1446</f>
        <v>28478.488597940879</v>
      </c>
    </row>
    <row r="1447" spans="1:10" ht="30" x14ac:dyDescent="0.25">
      <c r="A1447" s="255" t="s">
        <v>249</v>
      </c>
      <c r="B1447" s="255" t="s">
        <v>211</v>
      </c>
      <c r="C1447" s="256">
        <v>2013</v>
      </c>
      <c r="D1447" s="256">
        <v>175</v>
      </c>
      <c r="E1447">
        <v>2.4861462975448601</v>
      </c>
      <c r="F1447" s="257"/>
      <c r="G1447">
        <f t="shared" si="19"/>
        <v>175</v>
      </c>
      <c r="H1447" s="4">
        <f>IF(B1447="RTG Crane",IF(D1447&lt;600,800000,1200000),VLOOKUP(B1447,'$$$ Replace &amp; Retrofit'!$B$10:$C$14,2)*'CHE Model poplulation'!D1447)*E1447</f>
        <v>435075.60207035049</v>
      </c>
      <c r="I1447" s="4">
        <f>E1447*VLOOKUP('CHE Model poplulation'!G1447,'$$$ Replace &amp; Retrofit'!$I$10:$J$15,2)</f>
        <v>61646.483593922349</v>
      </c>
      <c r="J1447" s="4">
        <f>IF(D1447=50,VLOOKUP(0,'$$$ Replace &amp; Retrofit'!$E$10:$F$13,2),IF(D1447&lt;175,VLOOKUP(50,'$$$ Replace &amp; Retrofit'!$E$10:$F$13,2),IF(D1447&lt;400,VLOOKUP(175,'$$$ Replace &amp; Retrofit'!$E$10:$F$13,2),IF(D1447&gt;=400,VLOOKUP(400,'$$$ Replace &amp; Retrofit'!$E$10:$F$13,2),NA))))*E1447</f>
        <v>44750.633355807484</v>
      </c>
    </row>
    <row r="1448" spans="1:10" ht="30" x14ac:dyDescent="0.25">
      <c r="A1448" s="255" t="s">
        <v>249</v>
      </c>
      <c r="B1448" s="255" t="s">
        <v>211</v>
      </c>
      <c r="C1448" s="256">
        <v>2013</v>
      </c>
      <c r="D1448" s="256">
        <v>300</v>
      </c>
      <c r="E1448">
        <v>2.4391519790745102</v>
      </c>
      <c r="F1448" s="257"/>
      <c r="G1448">
        <f t="shared" si="19"/>
        <v>300</v>
      </c>
      <c r="H1448" s="4">
        <f>IF(B1448="RTG Crane",IF(D1448&lt;600,800000,1200000),VLOOKUP(B1448,'$$$ Replace &amp; Retrofit'!$B$10:$C$14,2)*'CHE Model poplulation'!D1448)*E1448</f>
        <v>731745.59372235311</v>
      </c>
      <c r="I1448" s="4">
        <f>E1448*VLOOKUP('CHE Model poplulation'!G1448,'$$$ Replace &amp; Retrofit'!$I$10:$J$15,2)</f>
        <v>70157.32837412013</v>
      </c>
      <c r="J1448" s="4">
        <f>IF(D1448=50,VLOOKUP(0,'$$$ Replace &amp; Retrofit'!$E$10:$F$13,2),IF(D1448&lt;175,VLOOKUP(50,'$$$ Replace &amp; Retrofit'!$E$10:$F$13,2),IF(D1448&lt;400,VLOOKUP(175,'$$$ Replace &amp; Retrofit'!$E$10:$F$13,2),IF(D1448&gt;=400,VLOOKUP(400,'$$$ Replace &amp; Retrofit'!$E$10:$F$13,2),NA))))*E1448</f>
        <v>43904.735623341185</v>
      </c>
    </row>
    <row r="1449" spans="1:10" ht="30" x14ac:dyDescent="0.25">
      <c r="A1449" s="255" t="s">
        <v>249</v>
      </c>
      <c r="B1449" s="255" t="s">
        <v>211</v>
      </c>
      <c r="C1449" s="256">
        <v>2013</v>
      </c>
      <c r="D1449" s="256">
        <v>600</v>
      </c>
      <c r="E1449">
        <v>0.92501557757308694</v>
      </c>
      <c r="F1449" s="257"/>
      <c r="G1449">
        <f t="shared" si="19"/>
        <v>400</v>
      </c>
      <c r="H1449" s="4">
        <f>IF(B1449="RTG Crane",IF(D1449&lt;600,800000,1200000),VLOOKUP(B1449,'$$$ Replace &amp; Retrofit'!$B$10:$C$14,2)*'CHE Model poplulation'!D1449)*E1449</f>
        <v>555009.34654385212</v>
      </c>
      <c r="I1449" s="4">
        <f>E1449*VLOOKUP('CHE Model poplulation'!G1449,'$$$ Replace &amp; Retrofit'!$I$10:$J$15,2)</f>
        <v>48408.840221132356</v>
      </c>
      <c r="J1449" s="4">
        <f>IF(D1449=50,VLOOKUP(0,'$$$ Replace &amp; Retrofit'!$E$10:$F$13,2),IF(D1449&lt;175,VLOOKUP(50,'$$$ Replace &amp; Retrofit'!$E$10:$F$13,2),IF(D1449&lt;400,VLOOKUP(175,'$$$ Replace &amp; Retrofit'!$E$10:$F$13,2),IF(D1449&gt;=400,VLOOKUP(400,'$$$ Replace &amp; Retrofit'!$E$10:$F$13,2),NA))))*E1449</f>
        <v>27750.467327192608</v>
      </c>
    </row>
    <row r="1450" spans="1:10" ht="30" x14ac:dyDescent="0.25">
      <c r="A1450" s="255" t="s">
        <v>249</v>
      </c>
      <c r="B1450" s="255" t="s">
        <v>211</v>
      </c>
      <c r="C1450" s="256">
        <v>2014</v>
      </c>
      <c r="D1450" s="256">
        <v>50</v>
      </c>
      <c r="E1450">
        <v>3.3051300099440701</v>
      </c>
      <c r="F1450" s="257"/>
      <c r="G1450">
        <f t="shared" si="19"/>
        <v>50</v>
      </c>
      <c r="H1450" s="4">
        <f>IF(B1450="RTG Crane",IF(D1450&lt;600,800000,1200000),VLOOKUP(B1450,'$$$ Replace &amp; Retrofit'!$B$10:$C$14,2)*'CHE Model poplulation'!D1450)*E1450</f>
        <v>165256.50049720349</v>
      </c>
      <c r="I1450" s="4">
        <f>E1450*VLOOKUP('CHE Model poplulation'!G1450,'$$$ Replace &amp; Retrofit'!$I$10:$J$15,2)</f>
        <v>58130.626614896304</v>
      </c>
      <c r="J1450" s="4">
        <f>IF(D1450=50,VLOOKUP(0,'$$$ Replace &amp; Retrofit'!$E$10:$F$13,2),IF(D1450&lt;175,VLOOKUP(50,'$$$ Replace &amp; Retrofit'!$E$10:$F$13,2),IF(D1450&lt;400,VLOOKUP(175,'$$$ Replace &amp; Retrofit'!$E$10:$F$13,2),IF(D1450&gt;=400,VLOOKUP(400,'$$$ Replace &amp; Retrofit'!$E$10:$F$13,2),NA))))*E1450</f>
        <v>26441.04007955256</v>
      </c>
    </row>
    <row r="1451" spans="1:10" ht="30" x14ac:dyDescent="0.25">
      <c r="A1451" s="255" t="s">
        <v>249</v>
      </c>
      <c r="B1451" s="255" t="s">
        <v>211</v>
      </c>
      <c r="C1451" s="256">
        <v>2014</v>
      </c>
      <c r="D1451" s="256">
        <v>75</v>
      </c>
      <c r="E1451">
        <v>1.5839432867335701</v>
      </c>
      <c r="F1451" s="257"/>
      <c r="G1451">
        <f t="shared" si="19"/>
        <v>50</v>
      </c>
      <c r="H1451" s="4">
        <f>IF(B1451="RTG Crane",IF(D1451&lt;600,800000,1200000),VLOOKUP(B1451,'$$$ Replace &amp; Retrofit'!$B$10:$C$14,2)*'CHE Model poplulation'!D1451)*E1451</f>
        <v>118795.74650501776</v>
      </c>
      <c r="I1451" s="4">
        <f>E1451*VLOOKUP('CHE Model poplulation'!G1451,'$$$ Replace &amp; Retrofit'!$I$10:$J$15,2)</f>
        <v>27858.394527070031</v>
      </c>
      <c r="J1451" s="4">
        <f>IF(D1451=50,VLOOKUP(0,'$$$ Replace &amp; Retrofit'!$E$10:$F$13,2),IF(D1451&lt;175,VLOOKUP(50,'$$$ Replace &amp; Retrofit'!$E$10:$F$13,2),IF(D1451&lt;400,VLOOKUP(175,'$$$ Replace &amp; Retrofit'!$E$10:$F$13,2),IF(D1451&gt;=400,VLOOKUP(400,'$$$ Replace &amp; Retrofit'!$E$10:$F$13,2),NA))))*E1451</f>
        <v>19007.319440802839</v>
      </c>
    </row>
    <row r="1452" spans="1:10" ht="30" x14ac:dyDescent="0.25">
      <c r="A1452" s="255" t="s">
        <v>249</v>
      </c>
      <c r="B1452" s="255" t="s">
        <v>211</v>
      </c>
      <c r="C1452" s="256">
        <v>2014</v>
      </c>
      <c r="D1452" s="256">
        <v>100</v>
      </c>
      <c r="E1452">
        <v>1.98910456297796</v>
      </c>
      <c r="F1452" s="257"/>
      <c r="G1452">
        <f t="shared" si="19"/>
        <v>125</v>
      </c>
      <c r="H1452" s="4">
        <f>IF(B1452="RTG Crane",IF(D1452&lt;600,800000,1200000),VLOOKUP(B1452,'$$$ Replace &amp; Retrofit'!$B$10:$C$14,2)*'CHE Model poplulation'!D1452)*E1452</f>
        <v>198910.45629779599</v>
      </c>
      <c r="I1452" s="4">
        <f>E1452*VLOOKUP('CHE Model poplulation'!G1452,'$$$ Replace &amp; Retrofit'!$I$10:$J$15,2)</f>
        <v>39251.000341244086</v>
      </c>
      <c r="J1452" s="4">
        <f>IF(D1452=50,VLOOKUP(0,'$$$ Replace &amp; Retrofit'!$E$10:$F$13,2),IF(D1452&lt;175,VLOOKUP(50,'$$$ Replace &amp; Retrofit'!$E$10:$F$13,2),IF(D1452&lt;400,VLOOKUP(175,'$$$ Replace &amp; Retrofit'!$E$10:$F$13,2),IF(D1452&gt;=400,VLOOKUP(400,'$$$ Replace &amp; Retrofit'!$E$10:$F$13,2),NA))))*E1452</f>
        <v>23869.254755735521</v>
      </c>
    </row>
    <row r="1453" spans="1:10" ht="30" x14ac:dyDescent="0.25">
      <c r="A1453" s="255" t="s">
        <v>249</v>
      </c>
      <c r="B1453" s="255" t="s">
        <v>211</v>
      </c>
      <c r="C1453" s="256">
        <v>2014</v>
      </c>
      <c r="D1453" s="256">
        <v>175</v>
      </c>
      <c r="E1453">
        <v>2.0334258054065502</v>
      </c>
      <c r="F1453" s="257"/>
      <c r="G1453">
        <f t="shared" si="19"/>
        <v>175</v>
      </c>
      <c r="H1453" s="4">
        <f>IF(B1453="RTG Crane",IF(D1453&lt;600,800000,1200000),VLOOKUP(B1453,'$$$ Replace &amp; Retrofit'!$B$10:$C$14,2)*'CHE Model poplulation'!D1453)*E1453</f>
        <v>355849.51594614628</v>
      </c>
      <c r="I1453" s="4">
        <f>E1453*VLOOKUP('CHE Model poplulation'!G1453,'$$$ Replace &amp; Retrofit'!$I$10:$J$15,2)</f>
        <v>50420.826270860816</v>
      </c>
      <c r="J1453" s="4">
        <f>IF(D1453=50,VLOOKUP(0,'$$$ Replace &amp; Retrofit'!$E$10:$F$13,2),IF(D1453&lt;175,VLOOKUP(50,'$$$ Replace &amp; Retrofit'!$E$10:$F$13,2),IF(D1453&lt;400,VLOOKUP(175,'$$$ Replace &amp; Retrofit'!$E$10:$F$13,2),IF(D1453&gt;=400,VLOOKUP(400,'$$$ Replace &amp; Retrofit'!$E$10:$F$13,2),NA))))*E1453</f>
        <v>36601.664497317906</v>
      </c>
    </row>
    <row r="1454" spans="1:10" ht="30" x14ac:dyDescent="0.25">
      <c r="A1454" s="255" t="s">
        <v>249</v>
      </c>
      <c r="B1454" s="255" t="s">
        <v>211</v>
      </c>
      <c r="C1454" s="256">
        <v>2014</v>
      </c>
      <c r="D1454" s="256">
        <v>300</v>
      </c>
      <c r="E1454">
        <v>2.04605601589342</v>
      </c>
      <c r="F1454" s="257"/>
      <c r="G1454">
        <f t="shared" si="19"/>
        <v>300</v>
      </c>
      <c r="H1454" s="4">
        <f>IF(B1454="RTG Crane",IF(D1454&lt;600,800000,1200000),VLOOKUP(B1454,'$$$ Replace &amp; Retrofit'!$B$10:$C$14,2)*'CHE Model poplulation'!D1454)*E1454</f>
        <v>613816.80476802599</v>
      </c>
      <c r="I1454" s="4">
        <f>E1454*VLOOKUP('CHE Model poplulation'!G1454,'$$$ Replace &amp; Retrofit'!$I$10:$J$15,2)</f>
        <v>58850.709185142441</v>
      </c>
      <c r="J1454" s="4">
        <f>IF(D1454=50,VLOOKUP(0,'$$$ Replace &amp; Retrofit'!$E$10:$F$13,2),IF(D1454&lt;175,VLOOKUP(50,'$$$ Replace &amp; Retrofit'!$E$10:$F$13,2),IF(D1454&lt;400,VLOOKUP(175,'$$$ Replace &amp; Retrofit'!$E$10:$F$13,2),IF(D1454&gt;=400,VLOOKUP(400,'$$$ Replace &amp; Retrofit'!$E$10:$F$13,2),NA))))*E1454</f>
        <v>36829.00828608156</v>
      </c>
    </row>
    <row r="1455" spans="1:10" ht="30" x14ac:dyDescent="0.25">
      <c r="A1455" s="255" t="s">
        <v>249</v>
      </c>
      <c r="B1455" s="255" t="s">
        <v>211</v>
      </c>
      <c r="C1455" s="256">
        <v>2014</v>
      </c>
      <c r="D1455" s="256">
        <v>600</v>
      </c>
      <c r="E1455">
        <v>0.67378560962738199</v>
      </c>
      <c r="F1455" s="257"/>
      <c r="G1455">
        <f t="shared" si="19"/>
        <v>400</v>
      </c>
      <c r="H1455" s="4">
        <f>IF(B1455="RTG Crane",IF(D1455&lt;600,800000,1200000),VLOOKUP(B1455,'$$$ Replace &amp; Retrofit'!$B$10:$C$14,2)*'CHE Model poplulation'!D1455)*E1455</f>
        <v>404271.36577642919</v>
      </c>
      <c r="I1455" s="4">
        <f>E1455*VLOOKUP('CHE Model poplulation'!G1455,'$$$ Replace &amp; Retrofit'!$I$10:$J$15,2)</f>
        <v>35261.222308629782</v>
      </c>
      <c r="J1455" s="4">
        <f>IF(D1455=50,VLOOKUP(0,'$$$ Replace &amp; Retrofit'!$E$10:$F$13,2),IF(D1455&lt;175,VLOOKUP(50,'$$$ Replace &amp; Retrofit'!$E$10:$F$13,2),IF(D1455&lt;400,VLOOKUP(175,'$$$ Replace &amp; Retrofit'!$E$10:$F$13,2),IF(D1455&gt;=400,VLOOKUP(400,'$$$ Replace &amp; Retrofit'!$E$10:$F$13,2),NA))))*E1455</f>
        <v>20213.568288821458</v>
      </c>
    </row>
    <row r="1456" spans="1:10" ht="30" x14ac:dyDescent="0.25">
      <c r="A1456" s="255" t="s">
        <v>249</v>
      </c>
      <c r="B1456" s="255" t="s">
        <v>211</v>
      </c>
      <c r="C1456" s="256">
        <v>2015</v>
      </c>
      <c r="D1456" s="256">
        <v>50</v>
      </c>
      <c r="E1456">
        <v>2.3009548223046101</v>
      </c>
      <c r="F1456" s="257"/>
      <c r="G1456">
        <f t="shared" si="19"/>
        <v>50</v>
      </c>
      <c r="H1456" s="4">
        <f>IF(B1456="RTG Crane",IF(D1456&lt;600,800000,1200000),VLOOKUP(B1456,'$$$ Replace &amp; Retrofit'!$B$10:$C$14,2)*'CHE Model poplulation'!D1456)*E1456</f>
        <v>115047.7411152305</v>
      </c>
      <c r="I1456" s="4">
        <f>E1456*VLOOKUP('CHE Model poplulation'!G1456,'$$$ Replace &amp; Retrofit'!$I$10:$J$15,2)</f>
        <v>40469.19341469348</v>
      </c>
      <c r="J1456" s="4">
        <f>IF(D1456=50,VLOOKUP(0,'$$$ Replace &amp; Retrofit'!$E$10:$F$13,2),IF(D1456&lt;175,VLOOKUP(50,'$$$ Replace &amp; Retrofit'!$E$10:$F$13,2),IF(D1456&lt;400,VLOOKUP(175,'$$$ Replace &amp; Retrofit'!$E$10:$F$13,2),IF(D1456&gt;=400,VLOOKUP(400,'$$$ Replace &amp; Retrofit'!$E$10:$F$13,2),NA))))*E1456</f>
        <v>18407.638578436879</v>
      </c>
    </row>
    <row r="1457" spans="1:10" ht="30" x14ac:dyDescent="0.25">
      <c r="A1457" s="255" t="s">
        <v>249</v>
      </c>
      <c r="B1457" s="255" t="s">
        <v>211</v>
      </c>
      <c r="C1457" s="256">
        <v>2015</v>
      </c>
      <c r="D1457" s="256">
        <v>75</v>
      </c>
      <c r="E1457">
        <v>1.1143536064302699</v>
      </c>
      <c r="F1457" s="257"/>
      <c r="G1457">
        <f t="shared" si="19"/>
        <v>50</v>
      </c>
      <c r="H1457" s="4">
        <f>IF(B1457="RTG Crane",IF(D1457&lt;600,800000,1200000),VLOOKUP(B1457,'$$$ Replace &amp; Retrofit'!$B$10:$C$14,2)*'CHE Model poplulation'!D1457)*E1457</f>
        <v>83576.520482270251</v>
      </c>
      <c r="I1457" s="4">
        <f>E1457*VLOOKUP('CHE Model poplulation'!G1457,'$$$ Replace &amp; Retrofit'!$I$10:$J$15,2)</f>
        <v>19599.251229895588</v>
      </c>
      <c r="J1457" s="4">
        <f>IF(D1457=50,VLOOKUP(0,'$$$ Replace &amp; Retrofit'!$E$10:$F$13,2),IF(D1457&lt;175,VLOOKUP(50,'$$$ Replace &amp; Retrofit'!$E$10:$F$13,2),IF(D1457&lt;400,VLOOKUP(175,'$$$ Replace &amp; Retrofit'!$E$10:$F$13,2),IF(D1457&gt;=400,VLOOKUP(400,'$$$ Replace &amp; Retrofit'!$E$10:$F$13,2),NA))))*E1457</f>
        <v>13372.243277163239</v>
      </c>
    </row>
    <row r="1458" spans="1:10" ht="30" x14ac:dyDescent="0.25">
      <c r="A1458" s="255" t="s">
        <v>249</v>
      </c>
      <c r="B1458" s="255" t="s">
        <v>211</v>
      </c>
      <c r="C1458" s="256">
        <v>2015</v>
      </c>
      <c r="D1458" s="256">
        <v>100</v>
      </c>
      <c r="E1458">
        <v>1.3868487430637799</v>
      </c>
      <c r="F1458" s="257"/>
      <c r="G1458">
        <f t="shared" si="19"/>
        <v>125</v>
      </c>
      <c r="H1458" s="4">
        <f>IF(B1458="RTG Crane",IF(D1458&lt;600,800000,1200000),VLOOKUP(B1458,'$$$ Replace &amp; Retrofit'!$B$10:$C$14,2)*'CHE Model poplulation'!D1458)*E1458</f>
        <v>138684.87430637798</v>
      </c>
      <c r="I1458" s="4">
        <f>E1458*VLOOKUP('CHE Model poplulation'!G1458,'$$$ Replace &amp; Retrofit'!$I$10:$J$15,2)</f>
        <v>27366.686246877569</v>
      </c>
      <c r="J1458" s="4">
        <f>IF(D1458=50,VLOOKUP(0,'$$$ Replace &amp; Retrofit'!$E$10:$F$13,2),IF(D1458&lt;175,VLOOKUP(50,'$$$ Replace &amp; Retrofit'!$E$10:$F$13,2),IF(D1458&lt;400,VLOOKUP(175,'$$$ Replace &amp; Retrofit'!$E$10:$F$13,2),IF(D1458&gt;=400,VLOOKUP(400,'$$$ Replace &amp; Retrofit'!$E$10:$F$13,2),NA))))*E1458</f>
        <v>16642.18491676536</v>
      </c>
    </row>
    <row r="1459" spans="1:10" ht="30" x14ac:dyDescent="0.25">
      <c r="A1459" s="255" t="s">
        <v>249</v>
      </c>
      <c r="B1459" s="255" t="s">
        <v>211</v>
      </c>
      <c r="C1459" s="256">
        <v>2015</v>
      </c>
      <c r="D1459" s="256">
        <v>175</v>
      </c>
      <c r="E1459">
        <v>1.3607400213762799</v>
      </c>
      <c r="F1459" s="257"/>
      <c r="G1459">
        <f t="shared" si="19"/>
        <v>175</v>
      </c>
      <c r="H1459" s="4">
        <f>IF(B1459="RTG Crane",IF(D1459&lt;600,800000,1200000),VLOOKUP(B1459,'$$$ Replace &amp; Retrofit'!$B$10:$C$14,2)*'CHE Model poplulation'!D1459)*E1459</f>
        <v>238129.50374084897</v>
      </c>
      <c r="I1459" s="4">
        <f>E1459*VLOOKUP('CHE Model poplulation'!G1459,'$$$ Replace &amp; Retrofit'!$I$10:$J$15,2)</f>
        <v>33740.909570046235</v>
      </c>
      <c r="J1459" s="4">
        <f>IF(D1459=50,VLOOKUP(0,'$$$ Replace &amp; Retrofit'!$E$10:$F$13,2),IF(D1459&lt;175,VLOOKUP(50,'$$$ Replace &amp; Retrofit'!$E$10:$F$13,2),IF(D1459&lt;400,VLOOKUP(175,'$$$ Replace &amp; Retrofit'!$E$10:$F$13,2),IF(D1459&gt;=400,VLOOKUP(400,'$$$ Replace &amp; Retrofit'!$E$10:$F$13,2),NA))))*E1459</f>
        <v>24493.32038477304</v>
      </c>
    </row>
    <row r="1460" spans="1:10" ht="30" x14ac:dyDescent="0.25">
      <c r="A1460" s="255" t="s">
        <v>249</v>
      </c>
      <c r="B1460" s="255" t="s">
        <v>211</v>
      </c>
      <c r="C1460" s="256">
        <v>2015</v>
      </c>
      <c r="D1460" s="256">
        <v>300</v>
      </c>
      <c r="E1460">
        <v>1.4209907893832201</v>
      </c>
      <c r="F1460" s="257"/>
      <c r="G1460">
        <f t="shared" si="19"/>
        <v>300</v>
      </c>
      <c r="H1460" s="4">
        <f>IF(B1460="RTG Crane",IF(D1460&lt;600,800000,1200000),VLOOKUP(B1460,'$$$ Replace &amp; Retrofit'!$B$10:$C$14,2)*'CHE Model poplulation'!D1460)*E1460</f>
        <v>426297.23681496602</v>
      </c>
      <c r="I1460" s="4">
        <f>E1460*VLOOKUP('CHE Model poplulation'!G1460,'$$$ Replace &amp; Retrofit'!$I$10:$J$15,2)</f>
        <v>40871.958075029557</v>
      </c>
      <c r="J1460" s="4">
        <f>IF(D1460=50,VLOOKUP(0,'$$$ Replace &amp; Retrofit'!$E$10:$F$13,2),IF(D1460&lt;175,VLOOKUP(50,'$$$ Replace &amp; Retrofit'!$E$10:$F$13,2),IF(D1460&lt;400,VLOOKUP(175,'$$$ Replace &amp; Retrofit'!$E$10:$F$13,2),IF(D1460&gt;=400,VLOOKUP(400,'$$$ Replace &amp; Retrofit'!$E$10:$F$13,2),NA))))*E1460</f>
        <v>25577.834208897963</v>
      </c>
    </row>
    <row r="1461" spans="1:10" ht="30" x14ac:dyDescent="0.25">
      <c r="A1461" s="255" t="s">
        <v>249</v>
      </c>
      <c r="B1461" s="255" t="s">
        <v>211</v>
      </c>
      <c r="C1461" s="256">
        <v>2015</v>
      </c>
      <c r="D1461" s="256">
        <v>600</v>
      </c>
      <c r="E1461">
        <v>0.426212390900712</v>
      </c>
      <c r="F1461" s="257"/>
      <c r="G1461">
        <f t="shared" si="19"/>
        <v>400</v>
      </c>
      <c r="H1461" s="4">
        <f>IF(B1461="RTG Crane",IF(D1461&lt;600,800000,1200000),VLOOKUP(B1461,'$$$ Replace &amp; Retrofit'!$B$10:$C$14,2)*'CHE Model poplulation'!D1461)*E1461</f>
        <v>255727.4345404272</v>
      </c>
      <c r="I1461" s="4">
        <f>E1461*VLOOKUP('CHE Model poplulation'!G1461,'$$$ Replace &amp; Retrofit'!$I$10:$J$15,2)</f>
        <v>22304.973053006961</v>
      </c>
      <c r="J1461" s="4">
        <f>IF(D1461=50,VLOOKUP(0,'$$$ Replace &amp; Retrofit'!$E$10:$F$13,2),IF(D1461&lt;175,VLOOKUP(50,'$$$ Replace &amp; Retrofit'!$E$10:$F$13,2),IF(D1461&lt;400,VLOOKUP(175,'$$$ Replace &amp; Retrofit'!$E$10:$F$13,2),IF(D1461&gt;=400,VLOOKUP(400,'$$$ Replace &amp; Retrofit'!$E$10:$F$13,2),NA))))*E1461</f>
        <v>12786.37172702136</v>
      </c>
    </row>
    <row r="1462" spans="1:10" ht="30" x14ac:dyDescent="0.25">
      <c r="A1462" s="255" t="s">
        <v>249</v>
      </c>
      <c r="B1462" s="255" t="s">
        <v>211</v>
      </c>
      <c r="C1462" s="256">
        <v>2016</v>
      </c>
      <c r="D1462" s="256">
        <v>50</v>
      </c>
      <c r="E1462">
        <v>1.25351331169457</v>
      </c>
      <c r="F1462" s="257"/>
      <c r="G1462">
        <f t="shared" si="19"/>
        <v>50</v>
      </c>
      <c r="H1462" s="4">
        <f>IF(B1462="RTG Crane",IF(D1462&lt;600,800000,1200000),VLOOKUP(B1462,'$$$ Replace &amp; Retrofit'!$B$10:$C$14,2)*'CHE Model poplulation'!D1462)*E1462</f>
        <v>62675.6655847285</v>
      </c>
      <c r="I1462" s="4">
        <f>E1462*VLOOKUP('CHE Model poplulation'!G1462,'$$$ Replace &amp; Retrofit'!$I$10:$J$15,2)</f>
        <v>22046.792126084099</v>
      </c>
      <c r="J1462" s="4">
        <f>IF(D1462=50,VLOOKUP(0,'$$$ Replace &amp; Retrofit'!$E$10:$F$13,2),IF(D1462&lt;175,VLOOKUP(50,'$$$ Replace &amp; Retrofit'!$E$10:$F$13,2),IF(D1462&lt;400,VLOOKUP(175,'$$$ Replace &amp; Retrofit'!$E$10:$F$13,2),IF(D1462&gt;=400,VLOOKUP(400,'$$$ Replace &amp; Retrofit'!$E$10:$F$13,2),NA))))*E1462</f>
        <v>10028.106493556561</v>
      </c>
    </row>
    <row r="1463" spans="1:10" ht="30" x14ac:dyDescent="0.25">
      <c r="A1463" s="255" t="s">
        <v>249</v>
      </c>
      <c r="B1463" s="255" t="s">
        <v>211</v>
      </c>
      <c r="C1463" s="256">
        <v>2016</v>
      </c>
      <c r="D1463" s="256">
        <v>75</v>
      </c>
      <c r="E1463">
        <v>0.62597959021716598</v>
      </c>
      <c r="F1463" s="257"/>
      <c r="G1463">
        <f t="shared" si="19"/>
        <v>50</v>
      </c>
      <c r="H1463" s="4">
        <f>IF(B1463="RTG Crane",IF(D1463&lt;600,800000,1200000),VLOOKUP(B1463,'$$$ Replace &amp; Retrofit'!$B$10:$C$14,2)*'CHE Model poplulation'!D1463)*E1463</f>
        <v>46948.469266287451</v>
      </c>
      <c r="I1463" s="4">
        <f>E1463*VLOOKUP('CHE Model poplulation'!G1463,'$$$ Replace &amp; Retrofit'!$I$10:$J$15,2)</f>
        <v>11009.729032739515</v>
      </c>
      <c r="J1463" s="4">
        <f>IF(D1463=50,VLOOKUP(0,'$$$ Replace &amp; Retrofit'!$E$10:$F$13,2),IF(D1463&lt;175,VLOOKUP(50,'$$$ Replace &amp; Retrofit'!$E$10:$F$13,2),IF(D1463&lt;400,VLOOKUP(175,'$$$ Replace &amp; Retrofit'!$E$10:$F$13,2),IF(D1463&gt;=400,VLOOKUP(400,'$$$ Replace &amp; Retrofit'!$E$10:$F$13,2),NA))))*E1463</f>
        <v>7511.7550826059914</v>
      </c>
    </row>
    <row r="1464" spans="1:10" ht="30" x14ac:dyDescent="0.25">
      <c r="A1464" s="255" t="s">
        <v>249</v>
      </c>
      <c r="B1464" s="255" t="s">
        <v>211</v>
      </c>
      <c r="C1464" s="256">
        <v>2016</v>
      </c>
      <c r="D1464" s="256">
        <v>100</v>
      </c>
      <c r="E1464">
        <v>0.76509179256964199</v>
      </c>
      <c r="F1464" s="257"/>
      <c r="G1464">
        <f t="shared" si="19"/>
        <v>125</v>
      </c>
      <c r="H1464" s="4">
        <f>IF(B1464="RTG Crane",IF(D1464&lt;600,800000,1200000),VLOOKUP(B1464,'$$$ Replace &amp; Retrofit'!$B$10:$C$14,2)*'CHE Model poplulation'!D1464)*E1464</f>
        <v>76509.179256964198</v>
      </c>
      <c r="I1464" s="4">
        <f>E1464*VLOOKUP('CHE Model poplulation'!G1464,'$$$ Replace &amp; Retrofit'!$I$10:$J$15,2)</f>
        <v>15097.556342776745</v>
      </c>
      <c r="J1464" s="4">
        <f>IF(D1464=50,VLOOKUP(0,'$$$ Replace &amp; Retrofit'!$E$10:$F$13,2),IF(D1464&lt;175,VLOOKUP(50,'$$$ Replace &amp; Retrofit'!$E$10:$F$13,2),IF(D1464&lt;400,VLOOKUP(175,'$$$ Replace &amp; Retrofit'!$E$10:$F$13,2),IF(D1464&gt;=400,VLOOKUP(400,'$$$ Replace &amp; Retrofit'!$E$10:$F$13,2),NA))))*E1464</f>
        <v>9181.1015108357042</v>
      </c>
    </row>
    <row r="1465" spans="1:10" ht="30" x14ac:dyDescent="0.25">
      <c r="A1465" s="255" t="s">
        <v>249</v>
      </c>
      <c r="B1465" s="255" t="s">
        <v>211</v>
      </c>
      <c r="C1465" s="256">
        <v>2016</v>
      </c>
      <c r="D1465" s="256">
        <v>175</v>
      </c>
      <c r="E1465">
        <v>0.700172764805153</v>
      </c>
      <c r="F1465" s="257"/>
      <c r="G1465">
        <f t="shared" si="19"/>
        <v>175</v>
      </c>
      <c r="H1465" s="4">
        <f>IF(B1465="RTG Crane",IF(D1465&lt;600,800000,1200000),VLOOKUP(B1465,'$$$ Replace &amp; Retrofit'!$B$10:$C$14,2)*'CHE Model poplulation'!D1465)*E1465</f>
        <v>122530.23384090177</v>
      </c>
      <c r="I1465" s="4">
        <f>E1465*VLOOKUP('CHE Model poplulation'!G1465,'$$$ Replace &amp; Retrofit'!$I$10:$J$15,2)</f>
        <v>17361.483876108574</v>
      </c>
      <c r="J1465" s="4">
        <f>IF(D1465=50,VLOOKUP(0,'$$$ Replace &amp; Retrofit'!$E$10:$F$13,2),IF(D1465&lt;175,VLOOKUP(50,'$$$ Replace &amp; Retrofit'!$E$10:$F$13,2),IF(D1465&lt;400,VLOOKUP(175,'$$$ Replace &amp; Retrofit'!$E$10:$F$13,2),IF(D1465&gt;=400,VLOOKUP(400,'$$$ Replace &amp; Retrofit'!$E$10:$F$13,2),NA))))*E1465</f>
        <v>12603.109766492755</v>
      </c>
    </row>
    <row r="1466" spans="1:10" ht="30" x14ac:dyDescent="0.25">
      <c r="A1466" s="255" t="s">
        <v>249</v>
      </c>
      <c r="B1466" s="255" t="s">
        <v>211</v>
      </c>
      <c r="C1466" s="256">
        <v>2016</v>
      </c>
      <c r="D1466" s="256">
        <v>300</v>
      </c>
      <c r="E1466">
        <v>0.77281180813289796</v>
      </c>
      <c r="F1466" s="257"/>
      <c r="G1466">
        <f t="shared" si="19"/>
        <v>300</v>
      </c>
      <c r="H1466" s="4">
        <f>IF(B1466="RTG Crane",IF(D1466&lt;600,800000,1200000),VLOOKUP(B1466,'$$$ Replace &amp; Retrofit'!$B$10:$C$14,2)*'CHE Model poplulation'!D1466)*E1466</f>
        <v>231843.5424398694</v>
      </c>
      <c r="I1466" s="4">
        <f>E1466*VLOOKUP('CHE Model poplulation'!G1466,'$$$ Replace &amp; Retrofit'!$I$10:$J$15,2)</f>
        <v>22228.386037326545</v>
      </c>
      <c r="J1466" s="4">
        <f>IF(D1466=50,VLOOKUP(0,'$$$ Replace &amp; Retrofit'!$E$10:$F$13,2),IF(D1466&lt;175,VLOOKUP(50,'$$$ Replace &amp; Retrofit'!$E$10:$F$13,2),IF(D1466&lt;400,VLOOKUP(175,'$$$ Replace &amp; Retrofit'!$E$10:$F$13,2),IF(D1466&gt;=400,VLOOKUP(400,'$$$ Replace &amp; Retrofit'!$E$10:$F$13,2),NA))))*E1466</f>
        <v>13910.612546392163</v>
      </c>
    </row>
    <row r="1467" spans="1:10" ht="30" x14ac:dyDescent="0.25">
      <c r="A1467" s="255" t="s">
        <v>249</v>
      </c>
      <c r="B1467" s="255" t="s">
        <v>211</v>
      </c>
      <c r="C1467" s="256">
        <v>2016</v>
      </c>
      <c r="D1467" s="256">
        <v>600</v>
      </c>
      <c r="E1467">
        <v>0.19320295203322499</v>
      </c>
      <c r="F1467" s="257"/>
      <c r="G1467">
        <f t="shared" si="19"/>
        <v>400</v>
      </c>
      <c r="H1467" s="4">
        <f>IF(B1467="RTG Crane",IF(D1467&lt;600,800000,1200000),VLOOKUP(B1467,'$$$ Replace &amp; Retrofit'!$B$10:$C$14,2)*'CHE Model poplulation'!D1467)*E1467</f>
        <v>115921.77121993499</v>
      </c>
      <c r="I1467" s="4">
        <f>E1467*VLOOKUP('CHE Model poplulation'!G1467,'$$$ Replace &amp; Retrofit'!$I$10:$J$15,2)</f>
        <v>10110.890088754762</v>
      </c>
      <c r="J1467" s="4">
        <f>IF(D1467=50,VLOOKUP(0,'$$$ Replace &amp; Retrofit'!$E$10:$F$13,2),IF(D1467&lt;175,VLOOKUP(50,'$$$ Replace &amp; Retrofit'!$E$10:$F$13,2),IF(D1467&lt;400,VLOOKUP(175,'$$$ Replace &amp; Retrofit'!$E$10:$F$13,2),IF(D1467&gt;=400,VLOOKUP(400,'$$$ Replace &amp; Retrofit'!$E$10:$F$13,2),NA))))*E1467</f>
        <v>5796.0885609967499</v>
      </c>
    </row>
    <row r="1468" spans="1:10" ht="30" x14ac:dyDescent="0.25">
      <c r="A1468" s="255" t="s">
        <v>249</v>
      </c>
      <c r="B1468" s="255" t="s">
        <v>211</v>
      </c>
      <c r="C1468" s="256">
        <v>2017</v>
      </c>
      <c r="D1468" s="256">
        <v>50</v>
      </c>
      <c r="E1468">
        <v>0.25115370949560101</v>
      </c>
      <c r="F1468" s="257"/>
      <c r="G1468">
        <f t="shared" si="19"/>
        <v>50</v>
      </c>
      <c r="H1468" s="4">
        <f>IF(B1468="RTG Crane",IF(D1468&lt;600,800000,1200000),VLOOKUP(B1468,'$$$ Replace &amp; Retrofit'!$B$10:$C$14,2)*'CHE Model poplulation'!D1468)*E1468</f>
        <v>12557.68547478005</v>
      </c>
      <c r="I1468" s="4">
        <f>E1468*VLOOKUP('CHE Model poplulation'!G1468,'$$$ Replace &amp; Retrofit'!$I$10:$J$15,2)</f>
        <v>4417.2914426086309</v>
      </c>
      <c r="J1468" s="4">
        <f>IF(D1468=50,VLOOKUP(0,'$$$ Replace &amp; Retrofit'!$E$10:$F$13,2),IF(D1468&lt;175,VLOOKUP(50,'$$$ Replace &amp; Retrofit'!$E$10:$F$13,2),IF(D1468&lt;400,VLOOKUP(175,'$$$ Replace &amp; Retrofit'!$E$10:$F$13,2),IF(D1468&gt;=400,VLOOKUP(400,'$$$ Replace &amp; Retrofit'!$E$10:$F$13,2),NA))))*E1468</f>
        <v>2009.2296759648082</v>
      </c>
    </row>
    <row r="1469" spans="1:10" ht="30" x14ac:dyDescent="0.25">
      <c r="A1469" s="255" t="s">
        <v>249</v>
      </c>
      <c r="B1469" s="255" t="s">
        <v>211</v>
      </c>
      <c r="C1469" s="256">
        <v>2017</v>
      </c>
      <c r="D1469" s="256">
        <v>75</v>
      </c>
      <c r="E1469">
        <v>0.15069222569735999</v>
      </c>
      <c r="F1469" s="257"/>
      <c r="G1469">
        <f t="shared" si="19"/>
        <v>50</v>
      </c>
      <c r="H1469" s="4">
        <f>IF(B1469="RTG Crane",IF(D1469&lt;600,800000,1200000),VLOOKUP(B1469,'$$$ Replace &amp; Retrofit'!$B$10:$C$14,2)*'CHE Model poplulation'!D1469)*E1469</f>
        <v>11301.916927302</v>
      </c>
      <c r="I1469" s="4">
        <f>E1469*VLOOKUP('CHE Model poplulation'!G1469,'$$$ Replace &amp; Retrofit'!$I$10:$J$15,2)</f>
        <v>2650.3748655651675</v>
      </c>
      <c r="J1469" s="4">
        <f>IF(D1469=50,VLOOKUP(0,'$$$ Replace &amp; Retrofit'!$E$10:$F$13,2),IF(D1469&lt;175,VLOOKUP(50,'$$$ Replace &amp; Retrofit'!$E$10:$F$13,2),IF(D1469&lt;400,VLOOKUP(175,'$$$ Replace &amp; Retrofit'!$E$10:$F$13,2),IF(D1469&gt;=400,VLOOKUP(400,'$$$ Replace &amp; Retrofit'!$E$10:$F$13,2),NA))))*E1469</f>
        <v>1808.30670836832</v>
      </c>
    </row>
    <row r="1470" spans="1:10" ht="30" x14ac:dyDescent="0.25">
      <c r="A1470" s="255" t="s">
        <v>249</v>
      </c>
      <c r="B1470" s="255" t="s">
        <v>211</v>
      </c>
      <c r="C1470" s="256">
        <v>2017</v>
      </c>
      <c r="D1470" s="256">
        <v>100</v>
      </c>
      <c r="E1470">
        <v>0.15069222569735999</v>
      </c>
      <c r="F1470" s="257"/>
      <c r="G1470">
        <f t="shared" si="19"/>
        <v>125</v>
      </c>
      <c r="H1470" s="4">
        <f>IF(B1470="RTG Crane",IF(D1470&lt;600,800000,1200000),VLOOKUP(B1470,'$$$ Replace &amp; Retrofit'!$B$10:$C$14,2)*'CHE Model poplulation'!D1470)*E1470</f>
        <v>15069.222569735999</v>
      </c>
      <c r="I1470" s="4">
        <f>E1470*VLOOKUP('CHE Model poplulation'!G1470,'$$$ Replace &amp; Retrofit'!$I$10:$J$15,2)</f>
        <v>2973.6096896860045</v>
      </c>
      <c r="J1470" s="4">
        <f>IF(D1470=50,VLOOKUP(0,'$$$ Replace &amp; Retrofit'!$E$10:$F$13,2),IF(D1470&lt;175,VLOOKUP(50,'$$$ Replace &amp; Retrofit'!$E$10:$F$13,2),IF(D1470&lt;400,VLOOKUP(175,'$$$ Replace &amp; Retrofit'!$E$10:$F$13,2),IF(D1470&gt;=400,VLOOKUP(400,'$$$ Replace &amp; Retrofit'!$E$10:$F$13,2),NA))))*E1470</f>
        <v>1808.30670836832</v>
      </c>
    </row>
    <row r="1471" spans="1:10" ht="30" x14ac:dyDescent="0.25">
      <c r="A1471" s="255" t="s">
        <v>249</v>
      </c>
      <c r="B1471" s="255" t="s">
        <v>211</v>
      </c>
      <c r="C1471" s="256">
        <v>2017</v>
      </c>
      <c r="D1471" s="256">
        <v>175</v>
      </c>
      <c r="E1471">
        <v>0.15069222569735999</v>
      </c>
      <c r="F1471" s="257"/>
      <c r="G1471">
        <f t="shared" si="19"/>
        <v>175</v>
      </c>
      <c r="H1471" s="4">
        <f>IF(B1471="RTG Crane",IF(D1471&lt;600,800000,1200000),VLOOKUP(B1471,'$$$ Replace &amp; Retrofit'!$B$10:$C$14,2)*'CHE Model poplulation'!D1471)*E1471</f>
        <v>26371.139497037999</v>
      </c>
      <c r="I1471" s="4">
        <f>E1471*VLOOKUP('CHE Model poplulation'!G1471,'$$$ Replace &amp; Retrofit'!$I$10:$J$15,2)</f>
        <v>3736.5644283917381</v>
      </c>
      <c r="J1471" s="4">
        <f>IF(D1471=50,VLOOKUP(0,'$$$ Replace &amp; Retrofit'!$E$10:$F$13,2),IF(D1471&lt;175,VLOOKUP(50,'$$$ Replace &amp; Retrofit'!$E$10:$F$13,2),IF(D1471&lt;400,VLOOKUP(175,'$$$ Replace &amp; Retrofit'!$E$10:$F$13,2),IF(D1471&gt;=400,VLOOKUP(400,'$$$ Replace &amp; Retrofit'!$E$10:$F$13,2),NA))))*E1471</f>
        <v>2712.4600625524799</v>
      </c>
    </row>
    <row r="1472" spans="1:10" ht="30" x14ac:dyDescent="0.25">
      <c r="A1472" s="255" t="s">
        <v>249</v>
      </c>
      <c r="B1472" s="255" t="s">
        <v>211</v>
      </c>
      <c r="C1472" s="256">
        <v>2017</v>
      </c>
      <c r="D1472" s="256">
        <v>300</v>
      </c>
      <c r="E1472">
        <v>0.20092296759648101</v>
      </c>
      <c r="F1472" s="257"/>
      <c r="G1472">
        <f t="shared" ref="G1472:G1473" si="20">IF(OR(D1472=50,D1472=75),50,IF(OR(D1472=100,D1472=125),125,IF(D1472&gt;=400,400,D1472)))</f>
        <v>300</v>
      </c>
      <c r="H1472" s="4">
        <f>IF(B1472="RTG Crane",IF(D1472&lt;600,800000,1200000),VLOOKUP(B1472,'$$$ Replace &amp; Retrofit'!$B$10:$C$14,2)*'CHE Model poplulation'!D1472)*E1472</f>
        <v>60276.890278944302</v>
      </c>
      <c r="I1472" s="4">
        <f>E1472*VLOOKUP('CHE Model poplulation'!G1472,'$$$ Replace &amp; Retrofit'!$I$10:$J$15,2)</f>
        <v>5779.1473169775836</v>
      </c>
      <c r="J1472" s="4">
        <f>IF(D1472=50,VLOOKUP(0,'$$$ Replace &amp; Retrofit'!$E$10:$F$13,2),IF(D1472&lt;175,VLOOKUP(50,'$$$ Replace &amp; Retrofit'!$E$10:$F$13,2),IF(D1472&lt;400,VLOOKUP(175,'$$$ Replace &amp; Retrofit'!$E$10:$F$13,2),IF(D1472&gt;=400,VLOOKUP(400,'$$$ Replace &amp; Retrofit'!$E$10:$F$13,2),NA))))*E1472</f>
        <v>3616.6134167366581</v>
      </c>
    </row>
    <row r="1473" spans="1:10" ht="30" x14ac:dyDescent="0.25">
      <c r="A1473" s="255" t="s">
        <v>249</v>
      </c>
      <c r="B1473" s="255" t="s">
        <v>211</v>
      </c>
      <c r="C1473" s="256">
        <v>2017</v>
      </c>
      <c r="D1473" s="256">
        <v>600</v>
      </c>
      <c r="E1473">
        <v>5.0230741899120197E-2</v>
      </c>
      <c r="F1473" s="257"/>
      <c r="G1473">
        <f t="shared" si="20"/>
        <v>400</v>
      </c>
      <c r="H1473" s="4">
        <f>IF(B1473="RTG Crane",IF(D1473&lt;600,800000,1200000),VLOOKUP(B1473,'$$$ Replace &amp; Retrofit'!$B$10:$C$14,2)*'CHE Model poplulation'!D1473)*E1473</f>
        <v>30138.445139472118</v>
      </c>
      <c r="I1473" s="4">
        <f>E1473*VLOOKUP('CHE Model poplulation'!G1473,'$$$ Replace &amp; Retrofit'!$I$10:$J$15,2)</f>
        <v>2628.7254158066571</v>
      </c>
      <c r="J1473" s="4">
        <f>IF(D1473=50,VLOOKUP(0,'$$$ Replace &amp; Retrofit'!$E$10:$F$13,2),IF(D1473&lt;175,VLOOKUP(50,'$$$ Replace &amp; Retrofit'!$E$10:$F$13,2),IF(D1473&lt;400,VLOOKUP(175,'$$$ Replace &amp; Retrofit'!$E$10:$F$13,2),IF(D1473&gt;=400,VLOOKUP(400,'$$$ Replace &amp; Retrofit'!$E$10:$F$13,2),NA))))*E1473</f>
        <v>1506.922256973606</v>
      </c>
    </row>
    <row r="1474" spans="1:10" ht="30" x14ac:dyDescent="0.25">
      <c r="A1474" s="255" t="s">
        <v>249</v>
      </c>
      <c r="B1474" s="255" t="s">
        <v>211</v>
      </c>
      <c r="C1474" s="256">
        <v>2018</v>
      </c>
      <c r="D1474" s="256">
        <v>50</v>
      </c>
      <c r="E1474">
        <v>0</v>
      </c>
      <c r="F1474" s="257"/>
      <c r="I1474" s="4"/>
    </row>
    <row r="1475" spans="1:10" ht="30" x14ac:dyDescent="0.25">
      <c r="A1475" s="255" t="s">
        <v>249</v>
      </c>
      <c r="B1475" s="255" t="s">
        <v>211</v>
      </c>
      <c r="C1475" s="256">
        <v>2018</v>
      </c>
      <c r="D1475" s="256">
        <v>75</v>
      </c>
      <c r="E1475">
        <v>0</v>
      </c>
      <c r="F1475" s="257"/>
      <c r="I1475" s="4"/>
    </row>
    <row r="1476" spans="1:10" ht="30" x14ac:dyDescent="0.25">
      <c r="A1476" s="255" t="s">
        <v>249</v>
      </c>
      <c r="B1476" s="255" t="s">
        <v>211</v>
      </c>
      <c r="C1476" s="256">
        <v>2018</v>
      </c>
      <c r="D1476" s="256">
        <v>100</v>
      </c>
      <c r="E1476">
        <v>0</v>
      </c>
      <c r="F1476" s="257"/>
      <c r="I1476" s="4"/>
    </row>
    <row r="1477" spans="1:10" ht="30" x14ac:dyDescent="0.25">
      <c r="A1477" s="255" t="s">
        <v>249</v>
      </c>
      <c r="B1477" s="255" t="s">
        <v>211</v>
      </c>
      <c r="C1477" s="256">
        <v>2018</v>
      </c>
      <c r="D1477" s="256">
        <v>175</v>
      </c>
      <c r="E1477">
        <v>0</v>
      </c>
      <c r="F1477" s="257"/>
      <c r="I1477" s="4"/>
    </row>
    <row r="1478" spans="1:10" ht="30" x14ac:dyDescent="0.25">
      <c r="A1478" s="255" t="s">
        <v>249</v>
      </c>
      <c r="B1478" s="255" t="s">
        <v>211</v>
      </c>
      <c r="C1478" s="256">
        <v>2018</v>
      </c>
      <c r="D1478" s="256">
        <v>300</v>
      </c>
      <c r="E1478">
        <v>0</v>
      </c>
      <c r="F1478" s="257"/>
      <c r="I1478" s="4"/>
    </row>
    <row r="1479" spans="1:10" ht="30" x14ac:dyDescent="0.25">
      <c r="A1479" s="255" t="s">
        <v>249</v>
      </c>
      <c r="B1479" s="255" t="s">
        <v>211</v>
      </c>
      <c r="C1479" s="256">
        <v>2018</v>
      </c>
      <c r="D1479" s="256">
        <v>600</v>
      </c>
      <c r="E1479">
        <v>0</v>
      </c>
      <c r="F1479" s="257"/>
      <c r="I1479" s="4"/>
    </row>
    <row r="1480" spans="1:10" ht="30" x14ac:dyDescent="0.25">
      <c r="A1480" s="255" t="s">
        <v>249</v>
      </c>
      <c r="B1480" s="255" t="s">
        <v>211</v>
      </c>
      <c r="C1480" s="256">
        <v>2019</v>
      </c>
      <c r="D1480" s="256">
        <v>50</v>
      </c>
      <c r="E1480">
        <v>0</v>
      </c>
      <c r="F1480" s="257"/>
      <c r="I1480" s="4"/>
    </row>
    <row r="1481" spans="1:10" ht="30" x14ac:dyDescent="0.25">
      <c r="A1481" s="255" t="s">
        <v>249</v>
      </c>
      <c r="B1481" s="255" t="s">
        <v>211</v>
      </c>
      <c r="C1481" s="256">
        <v>2019</v>
      </c>
      <c r="D1481" s="256">
        <v>75</v>
      </c>
      <c r="E1481">
        <v>0</v>
      </c>
      <c r="F1481" s="257"/>
      <c r="I1481" s="4"/>
    </row>
    <row r="1482" spans="1:10" ht="30" x14ac:dyDescent="0.25">
      <c r="A1482" s="255" t="s">
        <v>249</v>
      </c>
      <c r="B1482" s="255" t="s">
        <v>211</v>
      </c>
      <c r="C1482" s="256">
        <v>2019</v>
      </c>
      <c r="D1482" s="256">
        <v>100</v>
      </c>
      <c r="E1482">
        <v>0</v>
      </c>
      <c r="F1482" s="257"/>
      <c r="I1482" s="4"/>
    </row>
    <row r="1483" spans="1:10" ht="30" x14ac:dyDescent="0.25">
      <c r="A1483" s="255" t="s">
        <v>249</v>
      </c>
      <c r="B1483" s="255" t="s">
        <v>211</v>
      </c>
      <c r="C1483" s="256">
        <v>2019</v>
      </c>
      <c r="D1483" s="256">
        <v>175</v>
      </c>
      <c r="E1483">
        <v>0</v>
      </c>
      <c r="F1483" s="257"/>
      <c r="I1483" s="4"/>
    </row>
    <row r="1484" spans="1:10" ht="30" x14ac:dyDescent="0.25">
      <c r="A1484" s="255" t="s">
        <v>249</v>
      </c>
      <c r="B1484" s="255" t="s">
        <v>211</v>
      </c>
      <c r="C1484" s="256">
        <v>2019</v>
      </c>
      <c r="D1484" s="256">
        <v>300</v>
      </c>
      <c r="E1484">
        <v>0</v>
      </c>
      <c r="F1484" s="257"/>
      <c r="I1484" s="4"/>
    </row>
    <row r="1485" spans="1:10" ht="30" x14ac:dyDescent="0.25">
      <c r="A1485" s="255" t="s">
        <v>249</v>
      </c>
      <c r="B1485" s="255" t="s">
        <v>211</v>
      </c>
      <c r="C1485" s="256">
        <v>2019</v>
      </c>
      <c r="D1485" s="256">
        <v>600</v>
      </c>
      <c r="E1485">
        <v>0</v>
      </c>
      <c r="F1485" s="257"/>
      <c r="I1485" s="4"/>
    </row>
    <row r="1486" spans="1:10" ht="30" x14ac:dyDescent="0.25">
      <c r="A1486" s="255" t="s">
        <v>249</v>
      </c>
      <c r="B1486" s="255" t="s">
        <v>211</v>
      </c>
      <c r="C1486" s="256">
        <v>2020</v>
      </c>
      <c r="D1486" s="256">
        <v>50</v>
      </c>
      <c r="E1486">
        <v>0</v>
      </c>
      <c r="F1486" s="257"/>
      <c r="I1486" s="4"/>
    </row>
    <row r="1487" spans="1:10" ht="30" x14ac:dyDescent="0.25">
      <c r="A1487" s="255" t="s">
        <v>249</v>
      </c>
      <c r="B1487" s="255" t="s">
        <v>211</v>
      </c>
      <c r="C1487" s="256">
        <v>2020</v>
      </c>
      <c r="D1487" s="256">
        <v>75</v>
      </c>
      <c r="E1487">
        <v>0</v>
      </c>
      <c r="F1487" s="257"/>
      <c r="I1487" s="4"/>
    </row>
    <row r="1488" spans="1:10" ht="30" x14ac:dyDescent="0.25">
      <c r="A1488" s="255" t="s">
        <v>249</v>
      </c>
      <c r="B1488" s="255" t="s">
        <v>211</v>
      </c>
      <c r="C1488" s="256">
        <v>2020</v>
      </c>
      <c r="D1488" s="256">
        <v>100</v>
      </c>
      <c r="E1488">
        <v>0</v>
      </c>
      <c r="F1488" s="257"/>
      <c r="I1488" s="4"/>
    </row>
    <row r="1489" spans="1:9" ht="30" x14ac:dyDescent="0.25">
      <c r="A1489" s="255" t="s">
        <v>249</v>
      </c>
      <c r="B1489" s="255" t="s">
        <v>211</v>
      </c>
      <c r="C1489" s="256">
        <v>2020</v>
      </c>
      <c r="D1489" s="256">
        <v>175</v>
      </c>
      <c r="E1489">
        <v>0</v>
      </c>
      <c r="F1489" s="257"/>
      <c r="I1489" s="4"/>
    </row>
    <row r="1490" spans="1:9" ht="30" x14ac:dyDescent="0.25">
      <c r="A1490" s="255" t="s">
        <v>249</v>
      </c>
      <c r="B1490" s="255" t="s">
        <v>211</v>
      </c>
      <c r="C1490" s="256">
        <v>2020</v>
      </c>
      <c r="D1490" s="256">
        <v>300</v>
      </c>
      <c r="E1490">
        <v>0</v>
      </c>
      <c r="F1490" s="257"/>
      <c r="I1490" s="4"/>
    </row>
    <row r="1491" spans="1:9" ht="30" x14ac:dyDescent="0.25">
      <c r="A1491" s="255" t="s">
        <v>249</v>
      </c>
      <c r="B1491" s="255" t="s">
        <v>211</v>
      </c>
      <c r="C1491" s="256">
        <v>2020</v>
      </c>
      <c r="D1491" s="256">
        <v>600</v>
      </c>
      <c r="E1491">
        <v>0</v>
      </c>
      <c r="F1491" s="257"/>
      <c r="I1491" s="4"/>
    </row>
    <row r="1492" spans="1:9" ht="30" x14ac:dyDescent="0.25">
      <c r="A1492" s="255" t="s">
        <v>249</v>
      </c>
      <c r="B1492" s="255" t="s">
        <v>211</v>
      </c>
      <c r="C1492" s="256">
        <v>2021</v>
      </c>
      <c r="D1492" s="256">
        <v>50</v>
      </c>
      <c r="E1492">
        <v>0</v>
      </c>
      <c r="F1492" s="257"/>
      <c r="I1492" s="4"/>
    </row>
    <row r="1493" spans="1:9" ht="30" x14ac:dyDescent="0.25">
      <c r="A1493" s="255" t="s">
        <v>249</v>
      </c>
      <c r="B1493" s="255" t="s">
        <v>211</v>
      </c>
      <c r="C1493" s="256">
        <v>2021</v>
      </c>
      <c r="D1493" s="256">
        <v>75</v>
      </c>
      <c r="E1493">
        <v>0</v>
      </c>
      <c r="F1493" s="257"/>
      <c r="I1493" s="4"/>
    </row>
    <row r="1494" spans="1:9" ht="30" x14ac:dyDescent="0.25">
      <c r="A1494" s="255" t="s">
        <v>249</v>
      </c>
      <c r="B1494" s="255" t="s">
        <v>211</v>
      </c>
      <c r="C1494" s="256">
        <v>2021</v>
      </c>
      <c r="D1494" s="256">
        <v>100</v>
      </c>
      <c r="E1494">
        <v>0</v>
      </c>
      <c r="F1494" s="257"/>
      <c r="I1494" s="4"/>
    </row>
    <row r="1495" spans="1:9" ht="30" x14ac:dyDescent="0.25">
      <c r="A1495" s="255" t="s">
        <v>249</v>
      </c>
      <c r="B1495" s="255" t="s">
        <v>211</v>
      </c>
      <c r="C1495" s="256">
        <v>2021</v>
      </c>
      <c r="D1495" s="256">
        <v>175</v>
      </c>
      <c r="E1495">
        <v>0</v>
      </c>
      <c r="F1495" s="257"/>
      <c r="I1495" s="4"/>
    </row>
    <row r="1496" spans="1:9" ht="30" x14ac:dyDescent="0.25">
      <c r="A1496" s="255" t="s">
        <v>249</v>
      </c>
      <c r="B1496" s="255" t="s">
        <v>211</v>
      </c>
      <c r="C1496" s="256">
        <v>2021</v>
      </c>
      <c r="D1496" s="256">
        <v>300</v>
      </c>
      <c r="E1496">
        <v>0</v>
      </c>
      <c r="F1496" s="257"/>
      <c r="I1496" s="4"/>
    </row>
    <row r="1497" spans="1:9" ht="30" x14ac:dyDescent="0.25">
      <c r="A1497" s="255" t="s">
        <v>249</v>
      </c>
      <c r="B1497" s="255" t="s">
        <v>211</v>
      </c>
      <c r="C1497" s="256">
        <v>2021</v>
      </c>
      <c r="D1497" s="256">
        <v>600</v>
      </c>
      <c r="E1497">
        <v>0</v>
      </c>
      <c r="F1497" s="257"/>
      <c r="I1497" s="4"/>
    </row>
    <row r="1498" spans="1:9" ht="30" x14ac:dyDescent="0.25">
      <c r="A1498" s="255" t="s">
        <v>249</v>
      </c>
      <c r="B1498" s="255" t="s">
        <v>211</v>
      </c>
      <c r="C1498" s="256">
        <v>2022</v>
      </c>
      <c r="D1498" s="256">
        <v>50</v>
      </c>
      <c r="E1498">
        <v>0</v>
      </c>
      <c r="F1498" s="257"/>
      <c r="I1498" s="4"/>
    </row>
    <row r="1499" spans="1:9" ht="30" x14ac:dyDescent="0.25">
      <c r="A1499" s="255" t="s">
        <v>249</v>
      </c>
      <c r="B1499" s="255" t="s">
        <v>211</v>
      </c>
      <c r="C1499" s="256">
        <v>2022</v>
      </c>
      <c r="D1499" s="256">
        <v>75</v>
      </c>
      <c r="E1499">
        <v>0</v>
      </c>
      <c r="F1499" s="257"/>
      <c r="I1499" s="4"/>
    </row>
    <row r="1500" spans="1:9" ht="30" x14ac:dyDescent="0.25">
      <c r="A1500" s="255" t="s">
        <v>249</v>
      </c>
      <c r="B1500" s="255" t="s">
        <v>211</v>
      </c>
      <c r="C1500" s="256">
        <v>2022</v>
      </c>
      <c r="D1500" s="256">
        <v>100</v>
      </c>
      <c r="E1500">
        <v>0</v>
      </c>
      <c r="F1500" s="257"/>
      <c r="I1500" s="4"/>
    </row>
    <row r="1501" spans="1:9" ht="30" x14ac:dyDescent="0.25">
      <c r="A1501" s="255" t="s">
        <v>249</v>
      </c>
      <c r="B1501" s="255" t="s">
        <v>211</v>
      </c>
      <c r="C1501" s="256">
        <v>2022</v>
      </c>
      <c r="D1501" s="256">
        <v>175</v>
      </c>
      <c r="E1501">
        <v>0</v>
      </c>
      <c r="F1501" s="257"/>
      <c r="I1501" s="4"/>
    </row>
    <row r="1502" spans="1:9" ht="30" x14ac:dyDescent="0.25">
      <c r="A1502" s="255" t="s">
        <v>249</v>
      </c>
      <c r="B1502" s="255" t="s">
        <v>211</v>
      </c>
      <c r="C1502" s="256">
        <v>2022</v>
      </c>
      <c r="D1502" s="256">
        <v>300</v>
      </c>
      <c r="E1502">
        <v>0</v>
      </c>
      <c r="F1502" s="257"/>
      <c r="I1502" s="4"/>
    </row>
    <row r="1503" spans="1:9" ht="30" x14ac:dyDescent="0.25">
      <c r="A1503" s="255" t="s">
        <v>249</v>
      </c>
      <c r="B1503" s="255" t="s">
        <v>211</v>
      </c>
      <c r="C1503" s="256">
        <v>2022</v>
      </c>
      <c r="D1503" s="256">
        <v>600</v>
      </c>
      <c r="E1503">
        <v>0</v>
      </c>
      <c r="F1503" s="257"/>
      <c r="I1503" s="4"/>
    </row>
    <row r="1504" spans="1:9" ht="30" x14ac:dyDescent="0.25">
      <c r="A1504" s="255" t="s">
        <v>249</v>
      </c>
      <c r="B1504" s="255" t="s">
        <v>211</v>
      </c>
      <c r="C1504" s="256">
        <v>2023</v>
      </c>
      <c r="D1504" s="256">
        <v>50</v>
      </c>
      <c r="E1504">
        <v>0</v>
      </c>
      <c r="F1504" s="257"/>
      <c r="I1504" s="4"/>
    </row>
    <row r="1505" spans="1:9" ht="30" x14ac:dyDescent="0.25">
      <c r="A1505" s="255" t="s">
        <v>249</v>
      </c>
      <c r="B1505" s="255" t="s">
        <v>211</v>
      </c>
      <c r="C1505" s="256">
        <v>2023</v>
      </c>
      <c r="D1505" s="256">
        <v>75</v>
      </c>
      <c r="E1505">
        <v>0</v>
      </c>
      <c r="F1505" s="257"/>
      <c r="I1505" s="4"/>
    </row>
    <row r="1506" spans="1:9" ht="30" x14ac:dyDescent="0.25">
      <c r="A1506" s="255" t="s">
        <v>249</v>
      </c>
      <c r="B1506" s="255" t="s">
        <v>211</v>
      </c>
      <c r="C1506" s="256">
        <v>2023</v>
      </c>
      <c r="D1506" s="256">
        <v>100</v>
      </c>
      <c r="E1506">
        <v>0</v>
      </c>
      <c r="F1506" s="257"/>
      <c r="I1506" s="4"/>
    </row>
    <row r="1507" spans="1:9" ht="30" x14ac:dyDescent="0.25">
      <c r="A1507" s="255" t="s">
        <v>249</v>
      </c>
      <c r="B1507" s="255" t="s">
        <v>211</v>
      </c>
      <c r="C1507" s="256">
        <v>2023</v>
      </c>
      <c r="D1507" s="256">
        <v>175</v>
      </c>
      <c r="E1507">
        <v>0</v>
      </c>
      <c r="F1507" s="257"/>
      <c r="I1507" s="4"/>
    </row>
    <row r="1508" spans="1:9" ht="30" x14ac:dyDescent="0.25">
      <c r="A1508" s="255" t="s">
        <v>249</v>
      </c>
      <c r="B1508" s="255" t="s">
        <v>211</v>
      </c>
      <c r="C1508" s="256">
        <v>2023</v>
      </c>
      <c r="D1508" s="256">
        <v>300</v>
      </c>
      <c r="E1508">
        <v>0</v>
      </c>
      <c r="F1508" s="257"/>
      <c r="I1508" s="4"/>
    </row>
    <row r="1509" spans="1:9" ht="30" x14ac:dyDescent="0.25">
      <c r="A1509" s="255" t="s">
        <v>249</v>
      </c>
      <c r="B1509" s="255" t="s">
        <v>211</v>
      </c>
      <c r="C1509" s="256">
        <v>2023</v>
      </c>
      <c r="D1509" s="256">
        <v>600</v>
      </c>
      <c r="E1509">
        <v>0</v>
      </c>
      <c r="F1509" s="257"/>
      <c r="I1509" s="4"/>
    </row>
    <row r="1510" spans="1:9" ht="30" x14ac:dyDescent="0.25">
      <c r="A1510" s="255" t="s">
        <v>249</v>
      </c>
      <c r="B1510" s="255" t="s">
        <v>211</v>
      </c>
      <c r="C1510" s="256">
        <v>2024</v>
      </c>
      <c r="D1510" s="256">
        <v>50</v>
      </c>
      <c r="E1510">
        <v>0</v>
      </c>
      <c r="F1510" s="257"/>
      <c r="I1510" s="4"/>
    </row>
    <row r="1511" spans="1:9" ht="30" x14ac:dyDescent="0.25">
      <c r="A1511" s="255" t="s">
        <v>249</v>
      </c>
      <c r="B1511" s="255" t="s">
        <v>211</v>
      </c>
      <c r="C1511" s="256">
        <v>2024</v>
      </c>
      <c r="D1511" s="256">
        <v>75</v>
      </c>
      <c r="E1511">
        <v>0</v>
      </c>
      <c r="F1511" s="257"/>
      <c r="I1511" s="4"/>
    </row>
    <row r="1512" spans="1:9" ht="30" x14ac:dyDescent="0.25">
      <c r="A1512" s="255" t="s">
        <v>249</v>
      </c>
      <c r="B1512" s="255" t="s">
        <v>211</v>
      </c>
      <c r="C1512" s="256">
        <v>2024</v>
      </c>
      <c r="D1512" s="256">
        <v>100</v>
      </c>
      <c r="E1512">
        <v>0</v>
      </c>
      <c r="F1512" s="257"/>
      <c r="I1512" s="4"/>
    </row>
    <row r="1513" spans="1:9" ht="30" x14ac:dyDescent="0.25">
      <c r="A1513" s="255" t="s">
        <v>249</v>
      </c>
      <c r="B1513" s="255" t="s">
        <v>211</v>
      </c>
      <c r="C1513" s="256">
        <v>2024</v>
      </c>
      <c r="D1513" s="256">
        <v>175</v>
      </c>
      <c r="E1513">
        <v>0</v>
      </c>
      <c r="F1513" s="257"/>
      <c r="I1513" s="4"/>
    </row>
    <row r="1514" spans="1:9" ht="30" x14ac:dyDescent="0.25">
      <c r="A1514" s="255" t="s">
        <v>249</v>
      </c>
      <c r="B1514" s="255" t="s">
        <v>211</v>
      </c>
      <c r="C1514" s="256">
        <v>2024</v>
      </c>
      <c r="D1514" s="256">
        <v>300</v>
      </c>
      <c r="E1514">
        <v>0</v>
      </c>
      <c r="F1514" s="257"/>
      <c r="I1514" s="4"/>
    </row>
    <row r="1515" spans="1:9" ht="30" x14ac:dyDescent="0.25">
      <c r="A1515" s="255" t="s">
        <v>249</v>
      </c>
      <c r="B1515" s="255" t="s">
        <v>211</v>
      </c>
      <c r="C1515" s="256">
        <v>2024</v>
      </c>
      <c r="D1515" s="256">
        <v>600</v>
      </c>
      <c r="E1515">
        <v>0</v>
      </c>
      <c r="F1515" s="257"/>
      <c r="I1515" s="4"/>
    </row>
    <row r="1516" spans="1:9" ht="30" x14ac:dyDescent="0.25">
      <c r="A1516" s="255" t="s">
        <v>249</v>
      </c>
      <c r="B1516" s="255" t="s">
        <v>211</v>
      </c>
      <c r="C1516" s="256">
        <v>2025</v>
      </c>
      <c r="D1516" s="256">
        <v>50</v>
      </c>
      <c r="E1516">
        <v>0</v>
      </c>
      <c r="F1516" s="257"/>
      <c r="I1516" s="4"/>
    </row>
    <row r="1517" spans="1:9" ht="30" x14ac:dyDescent="0.25">
      <c r="A1517" s="255" t="s">
        <v>249</v>
      </c>
      <c r="B1517" s="255" t="s">
        <v>211</v>
      </c>
      <c r="C1517" s="256">
        <v>2025</v>
      </c>
      <c r="D1517" s="256">
        <v>75</v>
      </c>
      <c r="E1517">
        <v>0</v>
      </c>
      <c r="F1517" s="257"/>
      <c r="I1517" s="4"/>
    </row>
    <row r="1518" spans="1:9" ht="30" x14ac:dyDescent="0.25">
      <c r="A1518" s="255" t="s">
        <v>249</v>
      </c>
      <c r="B1518" s="255" t="s">
        <v>211</v>
      </c>
      <c r="C1518" s="256">
        <v>2025</v>
      </c>
      <c r="D1518" s="256">
        <v>100</v>
      </c>
      <c r="E1518">
        <v>0</v>
      </c>
      <c r="F1518" s="257"/>
      <c r="I1518" s="4"/>
    </row>
    <row r="1519" spans="1:9" ht="30" x14ac:dyDescent="0.25">
      <c r="A1519" s="255" t="s">
        <v>249</v>
      </c>
      <c r="B1519" s="255" t="s">
        <v>211</v>
      </c>
      <c r="C1519" s="256">
        <v>2025</v>
      </c>
      <c r="D1519" s="256">
        <v>175</v>
      </c>
      <c r="E1519">
        <v>0</v>
      </c>
      <c r="F1519" s="257"/>
      <c r="I1519" s="4"/>
    </row>
    <row r="1520" spans="1:9" ht="30" x14ac:dyDescent="0.25">
      <c r="A1520" s="255" t="s">
        <v>249</v>
      </c>
      <c r="B1520" s="255" t="s">
        <v>211</v>
      </c>
      <c r="C1520" s="256">
        <v>2025</v>
      </c>
      <c r="D1520" s="256">
        <v>300</v>
      </c>
      <c r="E1520">
        <v>0</v>
      </c>
      <c r="F1520" s="257"/>
      <c r="I1520" s="4"/>
    </row>
    <row r="1521" spans="1:9" ht="30" x14ac:dyDescent="0.25">
      <c r="A1521" s="255" t="s">
        <v>249</v>
      </c>
      <c r="B1521" s="255" t="s">
        <v>211</v>
      </c>
      <c r="C1521" s="256">
        <v>2025</v>
      </c>
      <c r="D1521" s="256">
        <v>600</v>
      </c>
      <c r="E1521">
        <v>0</v>
      </c>
      <c r="F1521" s="257"/>
      <c r="I1521" s="4"/>
    </row>
    <row r="1522" spans="1:9" x14ac:dyDescent="0.25">
      <c r="A1522" s="255" t="s">
        <v>249</v>
      </c>
      <c r="B1522" s="255" t="s">
        <v>212</v>
      </c>
      <c r="C1522" s="256">
        <v>2006</v>
      </c>
      <c r="D1522" s="256">
        <v>100</v>
      </c>
      <c r="E1522">
        <v>0</v>
      </c>
      <c r="F1522" s="257"/>
      <c r="I1522" s="4"/>
    </row>
    <row r="1523" spans="1:9" x14ac:dyDescent="0.25">
      <c r="A1523" s="255" t="s">
        <v>249</v>
      </c>
      <c r="B1523" s="255" t="s">
        <v>212</v>
      </c>
      <c r="C1523" s="256">
        <v>2006</v>
      </c>
      <c r="D1523" s="256">
        <v>300</v>
      </c>
      <c r="E1523">
        <v>0</v>
      </c>
      <c r="F1523" s="257"/>
      <c r="I1523" s="4"/>
    </row>
    <row r="1524" spans="1:9" x14ac:dyDescent="0.25">
      <c r="A1524" s="255" t="s">
        <v>249</v>
      </c>
      <c r="B1524" s="255" t="s">
        <v>212</v>
      </c>
      <c r="C1524" s="256">
        <v>2006</v>
      </c>
      <c r="D1524" s="256">
        <v>600</v>
      </c>
      <c r="E1524">
        <v>0</v>
      </c>
      <c r="F1524" s="257"/>
      <c r="I1524" s="4"/>
    </row>
    <row r="1525" spans="1:9" x14ac:dyDescent="0.25">
      <c r="A1525" s="255" t="s">
        <v>249</v>
      </c>
      <c r="B1525" s="255" t="s">
        <v>212</v>
      </c>
      <c r="C1525" s="256">
        <v>2006</v>
      </c>
      <c r="D1525" s="256">
        <v>750</v>
      </c>
      <c r="E1525">
        <v>0</v>
      </c>
      <c r="F1525" s="257"/>
      <c r="I1525" s="4"/>
    </row>
    <row r="1526" spans="1:9" x14ac:dyDescent="0.25">
      <c r="A1526" s="255" t="s">
        <v>249</v>
      </c>
      <c r="B1526" s="255" t="s">
        <v>212</v>
      </c>
      <c r="C1526" s="256">
        <v>2006</v>
      </c>
      <c r="D1526" s="256">
        <v>9999</v>
      </c>
      <c r="E1526">
        <v>0</v>
      </c>
      <c r="F1526" s="257"/>
      <c r="I1526" s="4"/>
    </row>
    <row r="1527" spans="1:9" x14ac:dyDescent="0.25">
      <c r="A1527" s="255" t="s">
        <v>249</v>
      </c>
      <c r="B1527" s="255" t="s">
        <v>212</v>
      </c>
      <c r="C1527" s="256">
        <v>2007</v>
      </c>
      <c r="D1527" s="256">
        <v>100</v>
      </c>
      <c r="E1527">
        <v>0</v>
      </c>
      <c r="F1527" s="257"/>
      <c r="I1527" s="4"/>
    </row>
    <row r="1528" spans="1:9" x14ac:dyDescent="0.25">
      <c r="A1528" s="255" t="s">
        <v>249</v>
      </c>
      <c r="B1528" s="255" t="s">
        <v>212</v>
      </c>
      <c r="C1528" s="256">
        <v>2007</v>
      </c>
      <c r="D1528" s="256">
        <v>300</v>
      </c>
      <c r="E1528">
        <v>0</v>
      </c>
      <c r="F1528" s="257"/>
      <c r="I1528" s="4"/>
    </row>
    <row r="1529" spans="1:9" x14ac:dyDescent="0.25">
      <c r="A1529" s="255" t="s">
        <v>249</v>
      </c>
      <c r="B1529" s="255" t="s">
        <v>212</v>
      </c>
      <c r="C1529" s="256">
        <v>2007</v>
      </c>
      <c r="D1529" s="256">
        <v>600</v>
      </c>
      <c r="E1529">
        <v>0</v>
      </c>
      <c r="F1529" s="257"/>
      <c r="I1529" s="4"/>
    </row>
    <row r="1530" spans="1:9" x14ac:dyDescent="0.25">
      <c r="A1530" s="255" t="s">
        <v>249</v>
      </c>
      <c r="B1530" s="255" t="s">
        <v>212</v>
      </c>
      <c r="C1530" s="256">
        <v>2007</v>
      </c>
      <c r="D1530" s="256">
        <v>750</v>
      </c>
      <c r="E1530">
        <v>0</v>
      </c>
      <c r="F1530" s="257"/>
      <c r="I1530" s="4"/>
    </row>
    <row r="1531" spans="1:9" x14ac:dyDescent="0.25">
      <c r="A1531" s="255" t="s">
        <v>249</v>
      </c>
      <c r="B1531" s="255" t="s">
        <v>212</v>
      </c>
      <c r="C1531" s="256">
        <v>2007</v>
      </c>
      <c r="D1531" s="256">
        <v>9999</v>
      </c>
      <c r="E1531">
        <v>0</v>
      </c>
      <c r="F1531" s="257"/>
      <c r="I1531" s="4"/>
    </row>
    <row r="1532" spans="1:9" x14ac:dyDescent="0.25">
      <c r="A1532" s="255" t="s">
        <v>249</v>
      </c>
      <c r="B1532" s="255" t="s">
        <v>212</v>
      </c>
      <c r="C1532" s="256">
        <v>2008</v>
      </c>
      <c r="D1532" s="256">
        <v>100</v>
      </c>
      <c r="E1532">
        <v>0</v>
      </c>
      <c r="F1532" s="257"/>
      <c r="I1532" s="4"/>
    </row>
    <row r="1533" spans="1:9" x14ac:dyDescent="0.25">
      <c r="A1533" s="255" t="s">
        <v>249</v>
      </c>
      <c r="B1533" s="255" t="s">
        <v>212</v>
      </c>
      <c r="C1533" s="256">
        <v>2008</v>
      </c>
      <c r="D1533" s="256">
        <v>300</v>
      </c>
      <c r="E1533">
        <v>0</v>
      </c>
      <c r="F1533" s="257"/>
      <c r="I1533" s="4"/>
    </row>
    <row r="1534" spans="1:9" x14ac:dyDescent="0.25">
      <c r="A1534" s="255" t="s">
        <v>249</v>
      </c>
      <c r="B1534" s="255" t="s">
        <v>212</v>
      </c>
      <c r="C1534" s="256">
        <v>2008</v>
      </c>
      <c r="D1534" s="256">
        <v>600</v>
      </c>
      <c r="E1534">
        <v>0</v>
      </c>
      <c r="F1534" s="257"/>
      <c r="I1534" s="4"/>
    </row>
    <row r="1535" spans="1:9" x14ac:dyDescent="0.25">
      <c r="A1535" s="255" t="s">
        <v>249</v>
      </c>
      <c r="B1535" s="255" t="s">
        <v>212</v>
      </c>
      <c r="C1535" s="256">
        <v>2008</v>
      </c>
      <c r="D1535" s="256">
        <v>750</v>
      </c>
      <c r="E1535">
        <v>0</v>
      </c>
      <c r="F1535" s="257"/>
      <c r="I1535" s="4"/>
    </row>
    <row r="1536" spans="1:9" x14ac:dyDescent="0.25">
      <c r="A1536" s="255" t="s">
        <v>249</v>
      </c>
      <c r="B1536" s="255" t="s">
        <v>212</v>
      </c>
      <c r="C1536" s="256">
        <v>2008</v>
      </c>
      <c r="D1536" s="256">
        <v>9999</v>
      </c>
      <c r="E1536">
        <v>0</v>
      </c>
      <c r="F1536" s="257"/>
      <c r="I1536" s="4"/>
    </row>
    <row r="1537" spans="1:12" x14ac:dyDescent="0.25">
      <c r="A1537" s="255" t="s">
        <v>249</v>
      </c>
      <c r="B1537" s="255" t="s">
        <v>212</v>
      </c>
      <c r="C1537" s="256">
        <v>2009</v>
      </c>
      <c r="D1537" s="256">
        <v>100</v>
      </c>
      <c r="E1537">
        <v>8.9624545821558294E-2</v>
      </c>
      <c r="F1537" s="257"/>
      <c r="G1537">
        <f t="shared" ref="G1537:G1551" si="21">IF(OR(D1537=50,D1537=75),50,IF(OR(D1537=100,D1537=125),125,IF(D1537&gt;=400,400,D1537)))</f>
        <v>125</v>
      </c>
      <c r="H1537" s="4">
        <f>IF(B1537="RTG Crane",IF(D1537&lt;600,800000,1200000),VLOOKUP(B1537,'$$$ Replace &amp; Retrofit'!$B$10:$C$14,2)*'CHE Model poplulation'!D1537)*E1537</f>
        <v>71699.636657246636</v>
      </c>
      <c r="I1537" s="4">
        <f>E1537*VLOOKUP('CHE Model poplulation'!G1537,'$$$ Replace &amp; Retrofit'!$I$10:$J$15,2)</f>
        <v>1768.5611626968098</v>
      </c>
      <c r="J1537" s="4">
        <f>IF(D1537=50,VLOOKUP(0,'$$$ Replace &amp; Retrofit'!$E$10:$F$13,2),IF(D1537&lt;175,VLOOKUP(50,'$$$ Replace &amp; Retrofit'!$E$10:$F$13,2),IF(D1537&lt;400,VLOOKUP(175,'$$$ Replace &amp; Retrofit'!$E$10:$F$13,2),IF(D1537&gt;=400,VLOOKUP(400,'$$$ Replace &amp; Retrofit'!$E$10:$F$13,2),NA))))*E1537</f>
        <v>1075.4945498586994</v>
      </c>
    </row>
    <row r="1538" spans="1:12" x14ac:dyDescent="0.25">
      <c r="A1538" s="255" t="s">
        <v>249</v>
      </c>
      <c r="B1538" s="255" t="s">
        <v>212</v>
      </c>
      <c r="C1538" s="256">
        <v>2009</v>
      </c>
      <c r="D1538" s="256">
        <v>300</v>
      </c>
      <c r="E1538">
        <v>8.6786435203875705</v>
      </c>
      <c r="F1538" s="257"/>
      <c r="G1538">
        <f t="shared" si="21"/>
        <v>300</v>
      </c>
      <c r="H1538" s="4">
        <f>IF(B1538="RTG Crane",IF(D1538&lt;600,800000,1200000),VLOOKUP(B1538,'$$$ Replace &amp; Retrofit'!$B$10:$C$14,2)*'CHE Model poplulation'!D1538)*E1538</f>
        <v>6942914.8163100565</v>
      </c>
      <c r="I1538" s="4">
        <f>E1538*VLOOKUP('CHE Model poplulation'!G1538,'$$$ Replace &amp; Retrofit'!$I$10:$J$15,2)</f>
        <v>249623.82357690769</v>
      </c>
      <c r="J1538" s="4">
        <f>IF(D1538=50,VLOOKUP(0,'$$$ Replace &amp; Retrofit'!$E$10:$F$13,2),IF(D1538&lt;175,VLOOKUP(50,'$$$ Replace &amp; Retrofit'!$E$10:$F$13,2),IF(D1538&lt;400,VLOOKUP(175,'$$$ Replace &amp; Retrofit'!$E$10:$F$13,2),IF(D1538&gt;=400,VLOOKUP(400,'$$$ Replace &amp; Retrofit'!$E$10:$F$13,2),NA))))*E1538</f>
        <v>156215.58336697627</v>
      </c>
    </row>
    <row r="1539" spans="1:12" x14ac:dyDescent="0.25">
      <c r="A1539" s="255" t="s">
        <v>249</v>
      </c>
      <c r="B1539" s="255" t="s">
        <v>212</v>
      </c>
      <c r="C1539" s="256">
        <v>2009</v>
      </c>
      <c r="D1539" s="256">
        <v>600</v>
      </c>
      <c r="E1539">
        <v>15.445296729915199</v>
      </c>
      <c r="F1539" s="257"/>
      <c r="G1539">
        <f t="shared" si="21"/>
        <v>400</v>
      </c>
      <c r="H1539" s="4">
        <f>IF(B1539="RTG Crane",IF(D1539&lt;600,800000,1200000),VLOOKUP(B1539,'$$$ Replace &amp; Retrofit'!$B$10:$C$14,2)*'CHE Model poplulation'!D1539)*E1539</f>
        <v>18534356.075898238</v>
      </c>
      <c r="I1539" s="4">
        <f>E1539*VLOOKUP('CHE Model poplulation'!G1539,'$$$ Replace &amp; Retrofit'!$I$10:$J$15,2)</f>
        <v>808298.71376665216</v>
      </c>
      <c r="J1539" s="4">
        <f>IF(D1539=50,VLOOKUP(0,'$$$ Replace &amp; Retrofit'!$E$10:$F$13,2),IF(D1539&lt;175,VLOOKUP(50,'$$$ Replace &amp; Retrofit'!$E$10:$F$13,2),IF(D1539&lt;400,VLOOKUP(175,'$$$ Replace &amp; Retrofit'!$E$10:$F$13,2),IF(D1539&gt;=400,VLOOKUP(400,'$$$ Replace &amp; Retrofit'!$E$10:$F$13,2),NA))))*E1539</f>
        <v>463358.90189745597</v>
      </c>
    </row>
    <row r="1540" spans="1:12" x14ac:dyDescent="0.25">
      <c r="A1540" s="255" t="s">
        <v>249</v>
      </c>
      <c r="B1540" s="255" t="s">
        <v>212</v>
      </c>
      <c r="C1540" s="256">
        <v>2009</v>
      </c>
      <c r="D1540" s="256">
        <v>750</v>
      </c>
      <c r="E1540">
        <v>8.9624545821558304</v>
      </c>
      <c r="F1540" s="257"/>
      <c r="G1540">
        <f t="shared" si="21"/>
        <v>400</v>
      </c>
      <c r="H1540" s="4">
        <f>IF(B1540="RTG Crane",IF(D1540&lt;600,800000,1200000),VLOOKUP(B1540,'$$$ Replace &amp; Retrofit'!$B$10:$C$14,2)*'CHE Model poplulation'!D1540)*E1540</f>
        <v>10754945.498586996</v>
      </c>
      <c r="I1540" s="4">
        <f>E1540*VLOOKUP('CHE Model poplulation'!G1540,'$$$ Replace &amp; Retrofit'!$I$10:$J$15,2)</f>
        <v>469032.13564796105</v>
      </c>
      <c r="J1540" s="4">
        <f>IF(D1540=50,VLOOKUP(0,'$$$ Replace &amp; Retrofit'!$E$10:$F$13,2),IF(D1540&lt;175,VLOOKUP(50,'$$$ Replace &amp; Retrofit'!$E$10:$F$13,2),IF(D1540&lt;400,VLOOKUP(175,'$$$ Replace &amp; Retrofit'!$E$10:$F$13,2),IF(D1540&gt;=400,VLOOKUP(400,'$$$ Replace &amp; Retrofit'!$E$10:$F$13,2),NA))))*E1540</f>
        <v>268873.63746467489</v>
      </c>
    </row>
    <row r="1541" spans="1:12" x14ac:dyDescent="0.25">
      <c r="A1541" s="255" t="s">
        <v>249</v>
      </c>
      <c r="B1541" s="255" t="s">
        <v>212</v>
      </c>
      <c r="C1541" s="256">
        <v>2009</v>
      </c>
      <c r="D1541" s="256">
        <v>9999</v>
      </c>
      <c r="E1541">
        <v>3.8239806217198198</v>
      </c>
      <c r="F1541" s="257"/>
      <c r="G1541">
        <f t="shared" si="21"/>
        <v>400</v>
      </c>
      <c r="H1541" s="4">
        <f>IF(B1541="RTG Crane",IF(D1541&lt;600,800000,1200000),VLOOKUP(B1541,'$$$ Replace &amp; Retrofit'!$B$10:$C$14,2)*'CHE Model poplulation'!D1541)*E1541</f>
        <v>4588776.7460637838</v>
      </c>
      <c r="I1541" s="4">
        <f>E1541*VLOOKUP('CHE Model poplulation'!G1541,'$$$ Replace &amp; Retrofit'!$I$10:$J$15,2)</f>
        <v>200120.37787646332</v>
      </c>
      <c r="J1541" s="4">
        <f>IF(D1541=50,VLOOKUP(0,'$$$ Replace &amp; Retrofit'!$E$10:$F$13,2),IF(D1541&lt;175,VLOOKUP(50,'$$$ Replace &amp; Retrofit'!$E$10:$F$13,2),IF(D1541&lt;400,VLOOKUP(175,'$$$ Replace &amp; Retrofit'!$E$10:$F$13,2),IF(D1541&gt;=400,VLOOKUP(400,'$$$ Replace &amp; Retrofit'!$E$10:$F$13,2),NA))))*E1541</f>
        <v>114719.41865159459</v>
      </c>
    </row>
    <row r="1542" spans="1:12" x14ac:dyDescent="0.25">
      <c r="A1542" s="255" t="s">
        <v>249</v>
      </c>
      <c r="B1542" s="255" t="s">
        <v>212</v>
      </c>
      <c r="C1542" s="256">
        <v>2010</v>
      </c>
      <c r="D1542" s="256">
        <v>100</v>
      </c>
      <c r="E1542">
        <v>8.9624545821558294E-2</v>
      </c>
      <c r="F1542" s="257"/>
      <c r="G1542">
        <f t="shared" si="21"/>
        <v>125</v>
      </c>
      <c r="H1542" s="4">
        <f>IF(B1542="RTG Crane",IF(D1542&lt;600,800000,1200000),VLOOKUP(B1542,'$$$ Replace &amp; Retrofit'!$B$10:$C$14,2)*'CHE Model poplulation'!D1542)*E1542</f>
        <v>71699.636657246636</v>
      </c>
      <c r="I1542" s="4">
        <f>E1542*VLOOKUP('CHE Model poplulation'!G1542,'$$$ Replace &amp; Retrofit'!$I$10:$J$15,2)</f>
        <v>1768.5611626968098</v>
      </c>
      <c r="J1542" s="4">
        <f>IF(D1542=50,VLOOKUP(0,'$$$ Replace &amp; Retrofit'!$E$10:$F$13,2),IF(D1542&lt;175,VLOOKUP(50,'$$$ Replace &amp; Retrofit'!$E$10:$F$13,2),IF(D1542&lt;400,VLOOKUP(175,'$$$ Replace &amp; Retrofit'!$E$10:$F$13,2),IF(D1542&gt;=400,VLOOKUP(400,'$$$ Replace &amp; Retrofit'!$E$10:$F$13,2),NA))))*E1542</f>
        <v>1075.4945498586994</v>
      </c>
    </row>
    <row r="1543" spans="1:12" x14ac:dyDescent="0.25">
      <c r="A1543" s="255" t="s">
        <v>249</v>
      </c>
      <c r="B1543" s="255" t="s">
        <v>212</v>
      </c>
      <c r="C1543" s="256">
        <v>2010</v>
      </c>
      <c r="D1543" s="256">
        <v>300</v>
      </c>
      <c r="E1543">
        <v>8.6786435203875705</v>
      </c>
      <c r="F1543" s="257"/>
      <c r="G1543">
        <f t="shared" si="21"/>
        <v>300</v>
      </c>
      <c r="H1543" s="4">
        <f>IF(B1543="RTG Crane",IF(D1543&lt;600,800000,1200000),VLOOKUP(B1543,'$$$ Replace &amp; Retrofit'!$B$10:$C$14,2)*'CHE Model poplulation'!D1543)*E1543</f>
        <v>6942914.8163100565</v>
      </c>
      <c r="I1543" s="4">
        <f>E1543*VLOOKUP('CHE Model poplulation'!G1543,'$$$ Replace &amp; Retrofit'!$I$10:$J$15,2)</f>
        <v>249623.82357690769</v>
      </c>
      <c r="J1543" s="4">
        <f>IF(D1543=50,VLOOKUP(0,'$$$ Replace &amp; Retrofit'!$E$10:$F$13,2),IF(D1543&lt;175,VLOOKUP(50,'$$$ Replace &amp; Retrofit'!$E$10:$F$13,2),IF(D1543&lt;400,VLOOKUP(175,'$$$ Replace &amp; Retrofit'!$E$10:$F$13,2),IF(D1543&gt;=400,VLOOKUP(400,'$$$ Replace &amp; Retrofit'!$E$10:$F$13,2),NA))))*E1543</f>
        <v>156215.58336697627</v>
      </c>
    </row>
    <row r="1544" spans="1:12" x14ac:dyDescent="0.25">
      <c r="A1544" s="255" t="s">
        <v>249</v>
      </c>
      <c r="B1544" s="255" t="s">
        <v>212</v>
      </c>
      <c r="C1544" s="256">
        <v>2010</v>
      </c>
      <c r="D1544" s="256">
        <v>600</v>
      </c>
      <c r="E1544">
        <v>15.445296729915199</v>
      </c>
      <c r="F1544" s="257"/>
      <c r="G1544">
        <f t="shared" si="21"/>
        <v>400</v>
      </c>
      <c r="H1544" s="4">
        <f>IF(B1544="RTG Crane",IF(D1544&lt;600,800000,1200000),VLOOKUP(B1544,'$$$ Replace &amp; Retrofit'!$B$10:$C$14,2)*'CHE Model poplulation'!D1544)*E1544</f>
        <v>18534356.075898238</v>
      </c>
      <c r="I1544" s="4">
        <f>E1544*VLOOKUP('CHE Model poplulation'!G1544,'$$$ Replace &amp; Retrofit'!$I$10:$J$15,2)</f>
        <v>808298.71376665216</v>
      </c>
      <c r="J1544" s="4">
        <f>IF(D1544=50,VLOOKUP(0,'$$$ Replace &amp; Retrofit'!$E$10:$F$13,2),IF(D1544&lt;175,VLOOKUP(50,'$$$ Replace &amp; Retrofit'!$E$10:$F$13,2),IF(D1544&lt;400,VLOOKUP(175,'$$$ Replace &amp; Retrofit'!$E$10:$F$13,2),IF(D1544&gt;=400,VLOOKUP(400,'$$$ Replace &amp; Retrofit'!$E$10:$F$13,2),NA))))*E1544</f>
        <v>463358.90189745597</v>
      </c>
      <c r="L1544" s="25"/>
    </row>
    <row r="1545" spans="1:12" x14ac:dyDescent="0.25">
      <c r="A1545" s="255" t="s">
        <v>249</v>
      </c>
      <c r="B1545" s="255" t="s">
        <v>212</v>
      </c>
      <c r="C1545" s="256">
        <v>2010</v>
      </c>
      <c r="D1545" s="256">
        <v>750</v>
      </c>
      <c r="E1545">
        <v>8.9624545821558304</v>
      </c>
      <c r="F1545" s="257"/>
      <c r="G1545">
        <f t="shared" si="21"/>
        <v>400</v>
      </c>
      <c r="H1545" s="4">
        <f>IF(B1545="RTG Crane",IF(D1545&lt;600,800000,1200000),VLOOKUP(B1545,'$$$ Replace &amp; Retrofit'!$B$10:$C$14,2)*'CHE Model poplulation'!D1545)*E1545</f>
        <v>10754945.498586996</v>
      </c>
      <c r="I1545" s="4">
        <f>E1545*VLOOKUP('CHE Model poplulation'!G1545,'$$$ Replace &amp; Retrofit'!$I$10:$J$15,2)</f>
        <v>469032.13564796105</v>
      </c>
      <c r="J1545" s="4">
        <f>IF(D1545=50,VLOOKUP(0,'$$$ Replace &amp; Retrofit'!$E$10:$F$13,2),IF(D1545&lt;175,VLOOKUP(50,'$$$ Replace &amp; Retrofit'!$E$10:$F$13,2),IF(D1545&lt;400,VLOOKUP(175,'$$$ Replace &amp; Retrofit'!$E$10:$F$13,2),IF(D1545&gt;=400,VLOOKUP(400,'$$$ Replace &amp; Retrofit'!$E$10:$F$13,2),NA))))*E1545</f>
        <v>268873.63746467489</v>
      </c>
    </row>
    <row r="1546" spans="1:12" x14ac:dyDescent="0.25">
      <c r="A1546" s="255" t="s">
        <v>249</v>
      </c>
      <c r="B1546" s="255" t="s">
        <v>212</v>
      </c>
      <c r="C1546" s="256">
        <v>2010</v>
      </c>
      <c r="D1546" s="256">
        <v>9999</v>
      </c>
      <c r="E1546">
        <v>3.8239806217198198</v>
      </c>
      <c r="F1546" s="257"/>
      <c r="G1546">
        <f t="shared" si="21"/>
        <v>400</v>
      </c>
      <c r="H1546" s="4">
        <f>IF(B1546="RTG Crane",IF(D1546&lt;600,800000,1200000),VLOOKUP(B1546,'$$$ Replace &amp; Retrofit'!$B$10:$C$14,2)*'CHE Model poplulation'!D1546)*E1546</f>
        <v>4588776.7460637838</v>
      </c>
      <c r="I1546" s="4">
        <f>E1546*VLOOKUP('CHE Model poplulation'!G1546,'$$$ Replace &amp; Retrofit'!$I$10:$J$15,2)</f>
        <v>200120.37787646332</v>
      </c>
      <c r="J1546" s="4">
        <f>IF(D1546=50,VLOOKUP(0,'$$$ Replace &amp; Retrofit'!$E$10:$F$13,2),IF(D1546&lt;175,VLOOKUP(50,'$$$ Replace &amp; Retrofit'!$E$10:$F$13,2),IF(D1546&lt;400,VLOOKUP(175,'$$$ Replace &amp; Retrofit'!$E$10:$F$13,2),IF(D1546&gt;=400,VLOOKUP(400,'$$$ Replace &amp; Retrofit'!$E$10:$F$13,2),NA))))*E1546</f>
        <v>114719.41865159459</v>
      </c>
    </row>
    <row r="1547" spans="1:12" x14ac:dyDescent="0.25">
      <c r="A1547" s="255" t="s">
        <v>249</v>
      </c>
      <c r="B1547" s="255" t="s">
        <v>212</v>
      </c>
      <c r="C1547" s="256">
        <v>2011</v>
      </c>
      <c r="D1547" s="256">
        <v>100</v>
      </c>
      <c r="E1547">
        <v>8.9624545821558294E-2</v>
      </c>
      <c r="F1547" s="257"/>
      <c r="G1547">
        <f t="shared" si="21"/>
        <v>125</v>
      </c>
      <c r="H1547" s="4">
        <f>IF(B1547="RTG Crane",IF(D1547&lt;600,800000,1200000),VLOOKUP(B1547,'$$$ Replace &amp; Retrofit'!$B$10:$C$14,2)*'CHE Model poplulation'!D1547)*E1547</f>
        <v>71699.636657246636</v>
      </c>
      <c r="I1547" s="4">
        <f>E1547*VLOOKUP('CHE Model poplulation'!G1547,'$$$ Replace &amp; Retrofit'!$I$10:$J$15,2)</f>
        <v>1768.5611626968098</v>
      </c>
      <c r="J1547" s="4">
        <f>IF(D1547=50,VLOOKUP(0,'$$$ Replace &amp; Retrofit'!$E$10:$F$13,2),IF(D1547&lt;175,VLOOKUP(50,'$$$ Replace &amp; Retrofit'!$E$10:$F$13,2),IF(D1547&lt;400,VLOOKUP(175,'$$$ Replace &amp; Retrofit'!$E$10:$F$13,2),IF(D1547&gt;=400,VLOOKUP(400,'$$$ Replace &amp; Retrofit'!$E$10:$F$13,2),NA))))*E1547</f>
        <v>1075.4945498586994</v>
      </c>
    </row>
    <row r="1548" spans="1:12" x14ac:dyDescent="0.25">
      <c r="A1548" s="255" t="s">
        <v>249</v>
      </c>
      <c r="B1548" s="255" t="s">
        <v>212</v>
      </c>
      <c r="C1548" s="256">
        <v>2011</v>
      </c>
      <c r="D1548" s="256">
        <v>300</v>
      </c>
      <c r="E1548">
        <v>8.2063178274629198</v>
      </c>
      <c r="F1548" s="257"/>
      <c r="G1548">
        <f t="shared" si="21"/>
        <v>300</v>
      </c>
      <c r="H1548" s="4">
        <f>IF(B1548="RTG Crane",IF(D1548&lt;600,800000,1200000),VLOOKUP(B1548,'$$$ Replace &amp; Retrofit'!$B$10:$C$14,2)*'CHE Model poplulation'!D1548)*E1548</f>
        <v>6565054.2619703356</v>
      </c>
      <c r="I1548" s="4">
        <f>E1548*VLOOKUP('CHE Model poplulation'!G1548,'$$$ Replace &amp; Retrofit'!$I$10:$J$15,2)</f>
        <v>236038.31967131596</v>
      </c>
      <c r="J1548" s="4">
        <f>IF(D1548=50,VLOOKUP(0,'$$$ Replace &amp; Retrofit'!$E$10:$F$13,2),IF(D1548&lt;175,VLOOKUP(50,'$$$ Replace &amp; Retrofit'!$E$10:$F$13,2),IF(D1548&lt;400,VLOOKUP(175,'$$$ Replace &amp; Retrofit'!$E$10:$F$13,2),IF(D1548&gt;=400,VLOOKUP(400,'$$$ Replace &amp; Retrofit'!$E$10:$F$13,2),NA))))*E1548</f>
        <v>147713.72089433257</v>
      </c>
    </row>
    <row r="1549" spans="1:12" x14ac:dyDescent="0.25">
      <c r="A1549" s="255" t="s">
        <v>249</v>
      </c>
      <c r="B1549" s="255" t="s">
        <v>212</v>
      </c>
      <c r="C1549" s="256">
        <v>2011</v>
      </c>
      <c r="D1549" s="256">
        <v>600</v>
      </c>
      <c r="E1549">
        <v>14.0415597811197</v>
      </c>
      <c r="F1549" s="257"/>
      <c r="G1549">
        <f t="shared" si="21"/>
        <v>400</v>
      </c>
      <c r="H1549" s="4">
        <f>IF(B1549="RTG Crane",IF(D1549&lt;600,800000,1200000),VLOOKUP(B1549,'$$$ Replace &amp; Retrofit'!$B$10:$C$14,2)*'CHE Model poplulation'!D1549)*E1549</f>
        <v>16849871.737343639</v>
      </c>
      <c r="I1549" s="4">
        <f>E1549*VLOOKUP('CHE Model poplulation'!G1549,'$$$ Replace &amp; Retrofit'!$I$10:$J$15,2)</f>
        <v>734836.9480253373</v>
      </c>
      <c r="J1549" s="4">
        <f>IF(D1549=50,VLOOKUP(0,'$$$ Replace &amp; Retrofit'!$E$10:$F$13,2),IF(D1549&lt;175,VLOOKUP(50,'$$$ Replace &amp; Retrofit'!$E$10:$F$13,2),IF(D1549&lt;400,VLOOKUP(175,'$$$ Replace &amp; Retrofit'!$E$10:$F$13,2),IF(D1549&gt;=400,VLOOKUP(400,'$$$ Replace &amp; Retrofit'!$E$10:$F$13,2),NA))))*E1549</f>
        <v>421246.79343359102</v>
      </c>
    </row>
    <row r="1550" spans="1:12" x14ac:dyDescent="0.25">
      <c r="A1550" s="255" t="s">
        <v>249</v>
      </c>
      <c r="B1550" s="255" t="s">
        <v>212</v>
      </c>
      <c r="C1550" s="256">
        <v>2011</v>
      </c>
      <c r="D1550" s="256">
        <v>750</v>
      </c>
      <c r="E1550">
        <v>8.3654164743390105</v>
      </c>
      <c r="F1550" s="257"/>
      <c r="G1550">
        <f t="shared" si="21"/>
        <v>400</v>
      </c>
      <c r="H1550" s="4">
        <f>IF(B1550="RTG Crane",IF(D1550&lt;600,800000,1200000),VLOOKUP(B1550,'$$$ Replace &amp; Retrofit'!$B$10:$C$14,2)*'CHE Model poplulation'!D1550)*E1550</f>
        <v>10038499.769206813</v>
      </c>
      <c r="I1550" s="4">
        <f>E1550*VLOOKUP('CHE Model poplulation'!G1550,'$$$ Replace &amp; Retrofit'!$I$10:$J$15,2)</f>
        <v>437787.34035158344</v>
      </c>
      <c r="J1550" s="4">
        <f>IF(D1550=50,VLOOKUP(0,'$$$ Replace &amp; Retrofit'!$E$10:$F$13,2),IF(D1550&lt;175,VLOOKUP(50,'$$$ Replace &amp; Retrofit'!$E$10:$F$13,2),IF(D1550&lt;400,VLOOKUP(175,'$$$ Replace &amp; Retrofit'!$E$10:$F$13,2),IF(D1550&gt;=400,VLOOKUP(400,'$$$ Replace &amp; Retrofit'!$E$10:$F$13,2),NA))))*E1550</f>
        <v>250962.49423017033</v>
      </c>
    </row>
    <row r="1551" spans="1:12" x14ac:dyDescent="0.25">
      <c r="A1551" s="255" t="s">
        <v>249</v>
      </c>
      <c r="B1551" s="255" t="s">
        <v>212</v>
      </c>
      <c r="C1551" s="256">
        <v>2011</v>
      </c>
      <c r="D1551" s="256">
        <v>9999</v>
      </c>
      <c r="E1551">
        <v>3.7163424834051502</v>
      </c>
      <c r="F1551" s="257"/>
      <c r="G1551">
        <f t="shared" si="21"/>
        <v>400</v>
      </c>
      <c r="H1551" s="4">
        <f>IF(B1551="RTG Crane",IF(D1551&lt;600,800000,1200000),VLOOKUP(B1551,'$$$ Replace &amp; Retrofit'!$B$10:$C$14,2)*'CHE Model poplulation'!D1551)*E1551</f>
        <v>4459610.9800861804</v>
      </c>
      <c r="I1551" s="4">
        <f>E1551*VLOOKUP('CHE Model poplulation'!G1551,'$$$ Replace &amp; Retrofit'!$I$10:$J$15,2)</f>
        <v>194487.35118404173</v>
      </c>
      <c r="J1551" s="4">
        <f>IF(D1551=50,VLOOKUP(0,'$$$ Replace &amp; Retrofit'!$E$10:$F$13,2),IF(D1551&lt;175,VLOOKUP(50,'$$$ Replace &amp; Retrofit'!$E$10:$F$13,2),IF(D1551&lt;400,VLOOKUP(175,'$$$ Replace &amp; Retrofit'!$E$10:$F$13,2),IF(D1551&gt;=400,VLOOKUP(400,'$$$ Replace &amp; Retrofit'!$E$10:$F$13,2),NA))))*E1551</f>
        <v>111490.2745021545</v>
      </c>
    </row>
    <row r="1552" spans="1:12" x14ac:dyDescent="0.25">
      <c r="A1552" s="255" t="s">
        <v>249</v>
      </c>
      <c r="B1552" s="255" t="s">
        <v>212</v>
      </c>
      <c r="C1552" s="256">
        <v>2012</v>
      </c>
      <c r="D1552" s="256">
        <v>100</v>
      </c>
      <c r="E1552">
        <v>0</v>
      </c>
      <c r="F1552" s="257"/>
      <c r="I1552" s="4"/>
    </row>
    <row r="1553" spans="1:6" x14ac:dyDescent="0.25">
      <c r="A1553" s="255" t="s">
        <v>249</v>
      </c>
      <c r="B1553" s="255" t="s">
        <v>212</v>
      </c>
      <c r="C1553" s="256">
        <v>2012</v>
      </c>
      <c r="D1553" s="256">
        <v>300</v>
      </c>
      <c r="E1553">
        <v>0</v>
      </c>
      <c r="F1553" s="257"/>
    </row>
    <row r="1554" spans="1:6" x14ac:dyDescent="0.25">
      <c r="A1554" s="255" t="s">
        <v>249</v>
      </c>
      <c r="B1554" s="255" t="s">
        <v>212</v>
      </c>
      <c r="C1554" s="256">
        <v>2012</v>
      </c>
      <c r="D1554" s="256">
        <v>600</v>
      </c>
      <c r="E1554">
        <v>0</v>
      </c>
      <c r="F1554" s="257"/>
    </row>
    <row r="1555" spans="1:6" x14ac:dyDescent="0.25">
      <c r="A1555" s="255" t="s">
        <v>249</v>
      </c>
      <c r="B1555" s="255" t="s">
        <v>212</v>
      </c>
      <c r="C1555" s="256">
        <v>2012</v>
      </c>
      <c r="D1555" s="256">
        <v>750</v>
      </c>
      <c r="E1555">
        <v>0</v>
      </c>
      <c r="F1555" s="257"/>
    </row>
    <row r="1556" spans="1:6" x14ac:dyDescent="0.25">
      <c r="A1556" s="255" t="s">
        <v>249</v>
      </c>
      <c r="B1556" s="255" t="s">
        <v>212</v>
      </c>
      <c r="C1556" s="256">
        <v>2012</v>
      </c>
      <c r="D1556" s="256">
        <v>9999</v>
      </c>
      <c r="E1556">
        <v>0</v>
      </c>
      <c r="F1556" s="257"/>
    </row>
    <row r="1557" spans="1:6" x14ac:dyDescent="0.25">
      <c r="A1557" s="255" t="s">
        <v>249</v>
      </c>
      <c r="B1557" s="255" t="s">
        <v>212</v>
      </c>
      <c r="C1557" s="256">
        <v>2013</v>
      </c>
      <c r="D1557" s="256">
        <v>100</v>
      </c>
      <c r="E1557">
        <v>0</v>
      </c>
      <c r="F1557" s="257"/>
    </row>
    <row r="1558" spans="1:6" x14ac:dyDescent="0.25">
      <c r="A1558" s="255" t="s">
        <v>249</v>
      </c>
      <c r="B1558" s="255" t="s">
        <v>212</v>
      </c>
      <c r="C1558" s="256">
        <v>2013</v>
      </c>
      <c r="D1558" s="256">
        <v>300</v>
      </c>
      <c r="E1558">
        <v>0</v>
      </c>
      <c r="F1558" s="257"/>
    </row>
    <row r="1559" spans="1:6" x14ac:dyDescent="0.25">
      <c r="A1559" s="255" t="s">
        <v>249</v>
      </c>
      <c r="B1559" s="255" t="s">
        <v>212</v>
      </c>
      <c r="C1559" s="256">
        <v>2013</v>
      </c>
      <c r="D1559" s="256">
        <v>600</v>
      </c>
      <c r="E1559">
        <v>0</v>
      </c>
      <c r="F1559" s="257"/>
    </row>
    <row r="1560" spans="1:6" x14ac:dyDescent="0.25">
      <c r="A1560" s="255" t="s">
        <v>249</v>
      </c>
      <c r="B1560" s="255" t="s">
        <v>212</v>
      </c>
      <c r="C1560" s="256">
        <v>2013</v>
      </c>
      <c r="D1560" s="256">
        <v>750</v>
      </c>
      <c r="E1560">
        <v>0</v>
      </c>
      <c r="F1560" s="257"/>
    </row>
    <row r="1561" spans="1:6" x14ac:dyDescent="0.25">
      <c r="A1561" s="255" t="s">
        <v>249</v>
      </c>
      <c r="B1561" s="255" t="s">
        <v>212</v>
      </c>
      <c r="C1561" s="256">
        <v>2013</v>
      </c>
      <c r="D1561" s="256">
        <v>9999</v>
      </c>
      <c r="E1561">
        <v>0</v>
      </c>
      <c r="F1561" s="257"/>
    </row>
    <row r="1562" spans="1:6" x14ac:dyDescent="0.25">
      <c r="A1562" s="255" t="s">
        <v>249</v>
      </c>
      <c r="B1562" s="255" t="s">
        <v>212</v>
      </c>
      <c r="C1562" s="256">
        <v>2014</v>
      </c>
      <c r="D1562" s="256">
        <v>100</v>
      </c>
      <c r="E1562">
        <v>0</v>
      </c>
      <c r="F1562" s="257"/>
    </row>
    <row r="1563" spans="1:6" x14ac:dyDescent="0.25">
      <c r="A1563" s="255" t="s">
        <v>249</v>
      </c>
      <c r="B1563" s="255" t="s">
        <v>212</v>
      </c>
      <c r="C1563" s="256">
        <v>2014</v>
      </c>
      <c r="D1563" s="256">
        <v>300</v>
      </c>
      <c r="E1563">
        <v>0</v>
      </c>
      <c r="F1563" s="257"/>
    </row>
    <row r="1564" spans="1:6" x14ac:dyDescent="0.25">
      <c r="A1564" s="255" t="s">
        <v>249</v>
      </c>
      <c r="B1564" s="255" t="s">
        <v>212</v>
      </c>
      <c r="C1564" s="256">
        <v>2014</v>
      </c>
      <c r="D1564" s="256">
        <v>600</v>
      </c>
      <c r="E1564">
        <v>0</v>
      </c>
      <c r="F1564" s="257"/>
    </row>
    <row r="1565" spans="1:6" x14ac:dyDescent="0.25">
      <c r="A1565" s="255" t="s">
        <v>249</v>
      </c>
      <c r="B1565" s="255" t="s">
        <v>212</v>
      </c>
      <c r="C1565" s="256">
        <v>2014</v>
      </c>
      <c r="D1565" s="256">
        <v>750</v>
      </c>
      <c r="E1565">
        <v>0</v>
      </c>
      <c r="F1565" s="257"/>
    </row>
    <row r="1566" spans="1:6" x14ac:dyDescent="0.25">
      <c r="A1566" s="255" t="s">
        <v>249</v>
      </c>
      <c r="B1566" s="255" t="s">
        <v>212</v>
      </c>
      <c r="C1566" s="256">
        <v>2014</v>
      </c>
      <c r="D1566" s="256">
        <v>9999</v>
      </c>
      <c r="E1566">
        <v>0</v>
      </c>
      <c r="F1566" s="257"/>
    </row>
    <row r="1567" spans="1:6" x14ac:dyDescent="0.25">
      <c r="A1567" s="255" t="s">
        <v>249</v>
      </c>
      <c r="B1567" s="255" t="s">
        <v>212</v>
      </c>
      <c r="C1567" s="256">
        <v>2015</v>
      </c>
      <c r="D1567" s="256">
        <v>100</v>
      </c>
      <c r="E1567">
        <v>0</v>
      </c>
      <c r="F1567" s="257"/>
    </row>
    <row r="1568" spans="1:6" x14ac:dyDescent="0.25">
      <c r="A1568" s="255" t="s">
        <v>249</v>
      </c>
      <c r="B1568" s="255" t="s">
        <v>212</v>
      </c>
      <c r="C1568" s="256">
        <v>2015</v>
      </c>
      <c r="D1568" s="256">
        <v>300</v>
      </c>
      <c r="E1568">
        <v>0</v>
      </c>
      <c r="F1568" s="257"/>
    </row>
    <row r="1569" spans="1:6" x14ac:dyDescent="0.25">
      <c r="A1569" s="255" t="s">
        <v>249</v>
      </c>
      <c r="B1569" s="255" t="s">
        <v>212</v>
      </c>
      <c r="C1569" s="256">
        <v>2015</v>
      </c>
      <c r="D1569" s="256">
        <v>600</v>
      </c>
      <c r="E1569">
        <v>0</v>
      </c>
      <c r="F1569" s="257"/>
    </row>
    <row r="1570" spans="1:6" x14ac:dyDescent="0.25">
      <c r="A1570" s="255" t="s">
        <v>249</v>
      </c>
      <c r="B1570" s="255" t="s">
        <v>212</v>
      </c>
      <c r="C1570" s="256">
        <v>2015</v>
      </c>
      <c r="D1570" s="256">
        <v>750</v>
      </c>
      <c r="E1570">
        <v>0</v>
      </c>
      <c r="F1570" s="257"/>
    </row>
    <row r="1571" spans="1:6" x14ac:dyDescent="0.25">
      <c r="A1571" s="255" t="s">
        <v>249</v>
      </c>
      <c r="B1571" s="255" t="s">
        <v>212</v>
      </c>
      <c r="C1571" s="256">
        <v>2015</v>
      </c>
      <c r="D1571" s="256">
        <v>9999</v>
      </c>
      <c r="E1571">
        <v>0</v>
      </c>
      <c r="F1571" s="257"/>
    </row>
    <row r="1572" spans="1:6" x14ac:dyDescent="0.25">
      <c r="A1572" s="255" t="s">
        <v>249</v>
      </c>
      <c r="B1572" s="255" t="s">
        <v>212</v>
      </c>
      <c r="C1572" s="256">
        <v>2016</v>
      </c>
      <c r="D1572" s="256">
        <v>100</v>
      </c>
      <c r="E1572">
        <v>0</v>
      </c>
      <c r="F1572" s="257"/>
    </row>
    <row r="1573" spans="1:6" x14ac:dyDescent="0.25">
      <c r="A1573" s="255" t="s">
        <v>249</v>
      </c>
      <c r="B1573" s="255" t="s">
        <v>212</v>
      </c>
      <c r="C1573" s="256">
        <v>2016</v>
      </c>
      <c r="D1573" s="256">
        <v>300</v>
      </c>
      <c r="E1573">
        <v>0</v>
      </c>
      <c r="F1573" s="257"/>
    </row>
    <row r="1574" spans="1:6" x14ac:dyDescent="0.25">
      <c r="A1574" s="255" t="s">
        <v>249</v>
      </c>
      <c r="B1574" s="255" t="s">
        <v>212</v>
      </c>
      <c r="C1574" s="256">
        <v>2016</v>
      </c>
      <c r="D1574" s="256">
        <v>600</v>
      </c>
      <c r="E1574">
        <v>0</v>
      </c>
      <c r="F1574" s="257"/>
    </row>
    <row r="1575" spans="1:6" x14ac:dyDescent="0.25">
      <c r="A1575" s="255" t="s">
        <v>249</v>
      </c>
      <c r="B1575" s="255" t="s">
        <v>212</v>
      </c>
      <c r="C1575" s="256">
        <v>2016</v>
      </c>
      <c r="D1575" s="256">
        <v>750</v>
      </c>
      <c r="E1575">
        <v>0</v>
      </c>
      <c r="F1575" s="257"/>
    </row>
    <row r="1576" spans="1:6" x14ac:dyDescent="0.25">
      <c r="A1576" s="255" t="s">
        <v>249</v>
      </c>
      <c r="B1576" s="255" t="s">
        <v>212</v>
      </c>
      <c r="C1576" s="256">
        <v>2016</v>
      </c>
      <c r="D1576" s="256">
        <v>9999</v>
      </c>
      <c r="E1576">
        <v>0</v>
      </c>
      <c r="F1576" s="257"/>
    </row>
    <row r="1577" spans="1:6" x14ac:dyDescent="0.25">
      <c r="A1577" s="255" t="s">
        <v>249</v>
      </c>
      <c r="B1577" s="255" t="s">
        <v>212</v>
      </c>
      <c r="C1577" s="256">
        <v>2017</v>
      </c>
      <c r="D1577" s="256">
        <v>100</v>
      </c>
      <c r="E1577">
        <v>0</v>
      </c>
      <c r="F1577" s="257"/>
    </row>
    <row r="1578" spans="1:6" x14ac:dyDescent="0.25">
      <c r="A1578" s="255" t="s">
        <v>249</v>
      </c>
      <c r="B1578" s="255" t="s">
        <v>212</v>
      </c>
      <c r="C1578" s="256">
        <v>2017</v>
      </c>
      <c r="D1578" s="256">
        <v>300</v>
      </c>
      <c r="E1578">
        <v>0</v>
      </c>
      <c r="F1578" s="257"/>
    </row>
    <row r="1579" spans="1:6" x14ac:dyDescent="0.25">
      <c r="A1579" s="255" t="s">
        <v>249</v>
      </c>
      <c r="B1579" s="255" t="s">
        <v>212</v>
      </c>
      <c r="C1579" s="256">
        <v>2017</v>
      </c>
      <c r="D1579" s="256">
        <v>600</v>
      </c>
      <c r="E1579">
        <v>0</v>
      </c>
      <c r="F1579" s="257"/>
    </row>
    <row r="1580" spans="1:6" x14ac:dyDescent="0.25">
      <c r="A1580" s="255" t="s">
        <v>249</v>
      </c>
      <c r="B1580" s="255" t="s">
        <v>212</v>
      </c>
      <c r="C1580" s="256">
        <v>2017</v>
      </c>
      <c r="D1580" s="256">
        <v>750</v>
      </c>
      <c r="E1580">
        <v>0</v>
      </c>
      <c r="F1580" s="257"/>
    </row>
    <row r="1581" spans="1:6" x14ac:dyDescent="0.25">
      <c r="A1581" s="255" t="s">
        <v>249</v>
      </c>
      <c r="B1581" s="255" t="s">
        <v>212</v>
      </c>
      <c r="C1581" s="256">
        <v>2017</v>
      </c>
      <c r="D1581" s="256">
        <v>9999</v>
      </c>
      <c r="E1581">
        <v>0</v>
      </c>
      <c r="F1581" s="257"/>
    </row>
    <row r="1582" spans="1:6" x14ac:dyDescent="0.25">
      <c r="A1582" s="255" t="s">
        <v>249</v>
      </c>
      <c r="B1582" s="255" t="s">
        <v>212</v>
      </c>
      <c r="C1582" s="256">
        <v>2018</v>
      </c>
      <c r="D1582" s="256">
        <v>100</v>
      </c>
      <c r="E1582">
        <v>0</v>
      </c>
      <c r="F1582" s="257"/>
    </row>
    <row r="1583" spans="1:6" x14ac:dyDescent="0.25">
      <c r="A1583" s="255" t="s">
        <v>249</v>
      </c>
      <c r="B1583" s="255" t="s">
        <v>212</v>
      </c>
      <c r="C1583" s="256">
        <v>2018</v>
      </c>
      <c r="D1583" s="256">
        <v>300</v>
      </c>
      <c r="E1583">
        <v>0</v>
      </c>
      <c r="F1583" s="257"/>
    </row>
    <row r="1584" spans="1:6" x14ac:dyDescent="0.25">
      <c r="A1584" s="255" t="s">
        <v>249</v>
      </c>
      <c r="B1584" s="255" t="s">
        <v>212</v>
      </c>
      <c r="C1584" s="256">
        <v>2018</v>
      </c>
      <c r="D1584" s="256">
        <v>600</v>
      </c>
      <c r="E1584">
        <v>0</v>
      </c>
      <c r="F1584" s="257"/>
    </row>
    <row r="1585" spans="1:6" x14ac:dyDescent="0.25">
      <c r="A1585" s="255" t="s">
        <v>249</v>
      </c>
      <c r="B1585" s="255" t="s">
        <v>212</v>
      </c>
      <c r="C1585" s="256">
        <v>2018</v>
      </c>
      <c r="D1585" s="256">
        <v>750</v>
      </c>
      <c r="E1585">
        <v>0</v>
      </c>
      <c r="F1585" s="257"/>
    </row>
    <row r="1586" spans="1:6" x14ac:dyDescent="0.25">
      <c r="A1586" s="255" t="s">
        <v>249</v>
      </c>
      <c r="B1586" s="255" t="s">
        <v>212</v>
      </c>
      <c r="C1586" s="256">
        <v>2018</v>
      </c>
      <c r="D1586" s="256">
        <v>9999</v>
      </c>
      <c r="E1586">
        <v>0</v>
      </c>
      <c r="F1586" s="257"/>
    </row>
    <row r="1587" spans="1:6" x14ac:dyDescent="0.25">
      <c r="A1587" s="255" t="s">
        <v>249</v>
      </c>
      <c r="B1587" s="255" t="s">
        <v>212</v>
      </c>
      <c r="C1587" s="256">
        <v>2019</v>
      </c>
      <c r="D1587" s="256">
        <v>100</v>
      </c>
      <c r="E1587">
        <v>0</v>
      </c>
      <c r="F1587" s="257"/>
    </row>
    <row r="1588" spans="1:6" x14ac:dyDescent="0.25">
      <c r="A1588" s="255" t="s">
        <v>249</v>
      </c>
      <c r="B1588" s="255" t="s">
        <v>212</v>
      </c>
      <c r="C1588" s="256">
        <v>2019</v>
      </c>
      <c r="D1588" s="256">
        <v>300</v>
      </c>
      <c r="E1588">
        <v>0</v>
      </c>
      <c r="F1588" s="257"/>
    </row>
    <row r="1589" spans="1:6" x14ac:dyDescent="0.25">
      <c r="A1589" s="255" t="s">
        <v>249</v>
      </c>
      <c r="B1589" s="255" t="s">
        <v>212</v>
      </c>
      <c r="C1589" s="256">
        <v>2019</v>
      </c>
      <c r="D1589" s="256">
        <v>600</v>
      </c>
      <c r="E1589">
        <v>0</v>
      </c>
      <c r="F1589" s="257"/>
    </row>
    <row r="1590" spans="1:6" x14ac:dyDescent="0.25">
      <c r="A1590" s="255" t="s">
        <v>249</v>
      </c>
      <c r="B1590" s="255" t="s">
        <v>212</v>
      </c>
      <c r="C1590" s="256">
        <v>2019</v>
      </c>
      <c r="D1590" s="256">
        <v>750</v>
      </c>
      <c r="E1590">
        <v>0</v>
      </c>
      <c r="F1590" s="257"/>
    </row>
    <row r="1591" spans="1:6" x14ac:dyDescent="0.25">
      <c r="A1591" s="255" t="s">
        <v>249</v>
      </c>
      <c r="B1591" s="255" t="s">
        <v>212</v>
      </c>
      <c r="C1591" s="256">
        <v>2019</v>
      </c>
      <c r="D1591" s="256">
        <v>9999</v>
      </c>
      <c r="E1591">
        <v>0</v>
      </c>
      <c r="F1591" s="257"/>
    </row>
    <row r="1592" spans="1:6" x14ac:dyDescent="0.25">
      <c r="A1592" s="255" t="s">
        <v>249</v>
      </c>
      <c r="B1592" s="255" t="s">
        <v>212</v>
      </c>
      <c r="C1592" s="256">
        <v>2020</v>
      </c>
      <c r="D1592" s="256">
        <v>100</v>
      </c>
      <c r="E1592">
        <v>0</v>
      </c>
      <c r="F1592" s="257"/>
    </row>
    <row r="1593" spans="1:6" x14ac:dyDescent="0.25">
      <c r="A1593" s="255" t="s">
        <v>249</v>
      </c>
      <c r="B1593" s="255" t="s">
        <v>212</v>
      </c>
      <c r="C1593" s="256">
        <v>2020</v>
      </c>
      <c r="D1593" s="256">
        <v>300</v>
      </c>
      <c r="E1593">
        <v>0</v>
      </c>
      <c r="F1593" s="257"/>
    </row>
    <row r="1594" spans="1:6" x14ac:dyDescent="0.25">
      <c r="A1594" s="255" t="s">
        <v>249</v>
      </c>
      <c r="B1594" s="255" t="s">
        <v>212</v>
      </c>
      <c r="C1594" s="256">
        <v>2020</v>
      </c>
      <c r="D1594" s="256">
        <v>600</v>
      </c>
      <c r="E1594">
        <v>0</v>
      </c>
      <c r="F1594" s="257"/>
    </row>
    <row r="1595" spans="1:6" x14ac:dyDescent="0.25">
      <c r="A1595" s="255" t="s">
        <v>249</v>
      </c>
      <c r="B1595" s="255" t="s">
        <v>212</v>
      </c>
      <c r="C1595" s="256">
        <v>2020</v>
      </c>
      <c r="D1595" s="256">
        <v>750</v>
      </c>
      <c r="E1595">
        <v>0</v>
      </c>
      <c r="F1595" s="257"/>
    </row>
    <row r="1596" spans="1:6" x14ac:dyDescent="0.25">
      <c r="A1596" s="255" t="s">
        <v>249</v>
      </c>
      <c r="B1596" s="255" t="s">
        <v>212</v>
      </c>
      <c r="C1596" s="256">
        <v>2020</v>
      </c>
      <c r="D1596" s="256">
        <v>9999</v>
      </c>
      <c r="E1596">
        <v>0</v>
      </c>
      <c r="F1596" s="257"/>
    </row>
    <row r="1597" spans="1:6" x14ac:dyDescent="0.25">
      <c r="A1597" s="255" t="s">
        <v>249</v>
      </c>
      <c r="B1597" s="255" t="s">
        <v>212</v>
      </c>
      <c r="C1597" s="256">
        <v>2021</v>
      </c>
      <c r="D1597" s="256">
        <v>100</v>
      </c>
      <c r="E1597">
        <v>0</v>
      </c>
      <c r="F1597" s="257"/>
    </row>
    <row r="1598" spans="1:6" x14ac:dyDescent="0.25">
      <c r="A1598" s="255" t="s">
        <v>249</v>
      </c>
      <c r="B1598" s="255" t="s">
        <v>212</v>
      </c>
      <c r="C1598" s="256">
        <v>2021</v>
      </c>
      <c r="D1598" s="256">
        <v>300</v>
      </c>
      <c r="E1598">
        <v>0</v>
      </c>
      <c r="F1598" s="257"/>
    </row>
    <row r="1599" spans="1:6" x14ac:dyDescent="0.25">
      <c r="A1599" s="255" t="s">
        <v>249</v>
      </c>
      <c r="B1599" s="255" t="s">
        <v>212</v>
      </c>
      <c r="C1599" s="256">
        <v>2021</v>
      </c>
      <c r="D1599" s="256">
        <v>600</v>
      </c>
      <c r="E1599">
        <v>0</v>
      </c>
      <c r="F1599" s="257"/>
    </row>
    <row r="1600" spans="1:6" x14ac:dyDescent="0.25">
      <c r="A1600" s="255" t="s">
        <v>249</v>
      </c>
      <c r="B1600" s="255" t="s">
        <v>212</v>
      </c>
      <c r="C1600" s="256">
        <v>2021</v>
      </c>
      <c r="D1600" s="256">
        <v>750</v>
      </c>
      <c r="E1600">
        <v>0</v>
      </c>
      <c r="F1600" s="257"/>
    </row>
    <row r="1601" spans="1:6" x14ac:dyDescent="0.25">
      <c r="A1601" s="255" t="s">
        <v>249</v>
      </c>
      <c r="B1601" s="255" t="s">
        <v>212</v>
      </c>
      <c r="C1601" s="256">
        <v>2021</v>
      </c>
      <c r="D1601" s="256">
        <v>9999</v>
      </c>
      <c r="E1601">
        <v>0</v>
      </c>
      <c r="F1601" s="257"/>
    </row>
    <row r="1602" spans="1:6" x14ac:dyDescent="0.25">
      <c r="A1602" s="255" t="s">
        <v>249</v>
      </c>
      <c r="B1602" s="255" t="s">
        <v>212</v>
      </c>
      <c r="C1602" s="256">
        <v>2022</v>
      </c>
      <c r="D1602" s="256">
        <v>100</v>
      </c>
      <c r="E1602">
        <v>0</v>
      </c>
      <c r="F1602" s="257"/>
    </row>
    <row r="1603" spans="1:6" x14ac:dyDescent="0.25">
      <c r="A1603" s="255" t="s">
        <v>249</v>
      </c>
      <c r="B1603" s="255" t="s">
        <v>212</v>
      </c>
      <c r="C1603" s="256">
        <v>2022</v>
      </c>
      <c r="D1603" s="256">
        <v>300</v>
      </c>
      <c r="E1603">
        <v>0</v>
      </c>
      <c r="F1603" s="257"/>
    </row>
    <row r="1604" spans="1:6" x14ac:dyDescent="0.25">
      <c r="A1604" s="255" t="s">
        <v>249</v>
      </c>
      <c r="B1604" s="255" t="s">
        <v>212</v>
      </c>
      <c r="C1604" s="256">
        <v>2022</v>
      </c>
      <c r="D1604" s="256">
        <v>600</v>
      </c>
      <c r="E1604">
        <v>0</v>
      </c>
      <c r="F1604" s="257"/>
    </row>
    <row r="1605" spans="1:6" x14ac:dyDescent="0.25">
      <c r="A1605" s="255" t="s">
        <v>249</v>
      </c>
      <c r="B1605" s="255" t="s">
        <v>212</v>
      </c>
      <c r="C1605" s="256">
        <v>2022</v>
      </c>
      <c r="D1605" s="256">
        <v>750</v>
      </c>
      <c r="E1605">
        <v>0</v>
      </c>
      <c r="F1605" s="257"/>
    </row>
    <row r="1606" spans="1:6" x14ac:dyDescent="0.25">
      <c r="A1606" s="255" t="s">
        <v>249</v>
      </c>
      <c r="B1606" s="255" t="s">
        <v>212</v>
      </c>
      <c r="C1606" s="256">
        <v>2022</v>
      </c>
      <c r="D1606" s="256">
        <v>9999</v>
      </c>
      <c r="E1606">
        <v>0</v>
      </c>
      <c r="F1606" s="257"/>
    </row>
    <row r="1607" spans="1:6" x14ac:dyDescent="0.25">
      <c r="A1607" s="255" t="s">
        <v>249</v>
      </c>
      <c r="B1607" s="255" t="s">
        <v>212</v>
      </c>
      <c r="C1607" s="256">
        <v>2023</v>
      </c>
      <c r="D1607" s="256">
        <v>100</v>
      </c>
      <c r="E1607">
        <v>0</v>
      </c>
      <c r="F1607" s="257"/>
    </row>
    <row r="1608" spans="1:6" x14ac:dyDescent="0.25">
      <c r="A1608" s="255" t="s">
        <v>249</v>
      </c>
      <c r="B1608" s="255" t="s">
        <v>212</v>
      </c>
      <c r="C1608" s="256">
        <v>2023</v>
      </c>
      <c r="D1608" s="256">
        <v>300</v>
      </c>
      <c r="E1608">
        <v>0</v>
      </c>
      <c r="F1608" s="257"/>
    </row>
    <row r="1609" spans="1:6" x14ac:dyDescent="0.25">
      <c r="A1609" s="255" t="s">
        <v>249</v>
      </c>
      <c r="B1609" s="255" t="s">
        <v>212</v>
      </c>
      <c r="C1609" s="256">
        <v>2023</v>
      </c>
      <c r="D1609" s="256">
        <v>600</v>
      </c>
      <c r="E1609">
        <v>0</v>
      </c>
      <c r="F1609" s="257"/>
    </row>
    <row r="1610" spans="1:6" x14ac:dyDescent="0.25">
      <c r="A1610" s="255" t="s">
        <v>249</v>
      </c>
      <c r="B1610" s="255" t="s">
        <v>212</v>
      </c>
      <c r="C1610" s="256">
        <v>2023</v>
      </c>
      <c r="D1610" s="256">
        <v>750</v>
      </c>
      <c r="E1610">
        <v>0</v>
      </c>
      <c r="F1610" s="257"/>
    </row>
    <row r="1611" spans="1:6" x14ac:dyDescent="0.25">
      <c r="A1611" s="255" t="s">
        <v>249</v>
      </c>
      <c r="B1611" s="255" t="s">
        <v>212</v>
      </c>
      <c r="C1611" s="256">
        <v>2023</v>
      </c>
      <c r="D1611" s="256">
        <v>9999</v>
      </c>
      <c r="E1611">
        <v>0</v>
      </c>
      <c r="F1611" s="257"/>
    </row>
    <row r="1612" spans="1:6" x14ac:dyDescent="0.25">
      <c r="A1612" s="255" t="s">
        <v>249</v>
      </c>
      <c r="B1612" s="255" t="s">
        <v>212</v>
      </c>
      <c r="C1612" s="256">
        <v>2024</v>
      </c>
      <c r="D1612" s="256">
        <v>100</v>
      </c>
      <c r="E1612">
        <v>0</v>
      </c>
      <c r="F1612" s="257"/>
    </row>
    <row r="1613" spans="1:6" x14ac:dyDescent="0.25">
      <c r="A1613" s="255" t="s">
        <v>249</v>
      </c>
      <c r="B1613" s="255" t="s">
        <v>212</v>
      </c>
      <c r="C1613" s="256">
        <v>2024</v>
      </c>
      <c r="D1613" s="256">
        <v>300</v>
      </c>
      <c r="E1613">
        <v>0</v>
      </c>
      <c r="F1613" s="257"/>
    </row>
    <row r="1614" spans="1:6" x14ac:dyDescent="0.25">
      <c r="A1614" s="255" t="s">
        <v>249</v>
      </c>
      <c r="B1614" s="255" t="s">
        <v>212</v>
      </c>
      <c r="C1614" s="256">
        <v>2024</v>
      </c>
      <c r="D1614" s="256">
        <v>600</v>
      </c>
      <c r="E1614">
        <v>0</v>
      </c>
      <c r="F1614" s="257"/>
    </row>
    <row r="1615" spans="1:6" x14ac:dyDescent="0.25">
      <c r="A1615" s="255" t="s">
        <v>249</v>
      </c>
      <c r="B1615" s="255" t="s">
        <v>212</v>
      </c>
      <c r="C1615" s="256">
        <v>2024</v>
      </c>
      <c r="D1615" s="256">
        <v>750</v>
      </c>
      <c r="E1615">
        <v>0</v>
      </c>
      <c r="F1615" s="257"/>
    </row>
    <row r="1616" spans="1:6" x14ac:dyDescent="0.25">
      <c r="A1616" s="255" t="s">
        <v>249</v>
      </c>
      <c r="B1616" s="255" t="s">
        <v>212</v>
      </c>
      <c r="C1616" s="256">
        <v>2024</v>
      </c>
      <c r="D1616" s="256">
        <v>9999</v>
      </c>
      <c r="E1616">
        <v>0</v>
      </c>
      <c r="F1616" s="257"/>
    </row>
    <row r="1617" spans="1:6" x14ac:dyDescent="0.25">
      <c r="A1617" s="255" t="s">
        <v>249</v>
      </c>
      <c r="B1617" s="255" t="s">
        <v>212</v>
      </c>
      <c r="C1617" s="256">
        <v>2025</v>
      </c>
      <c r="D1617" s="256">
        <v>100</v>
      </c>
      <c r="E1617">
        <v>0</v>
      </c>
      <c r="F1617" s="257"/>
    </row>
    <row r="1618" spans="1:6" x14ac:dyDescent="0.25">
      <c r="A1618" s="255" t="s">
        <v>249</v>
      </c>
      <c r="B1618" s="255" t="s">
        <v>212</v>
      </c>
      <c r="C1618" s="256">
        <v>2025</v>
      </c>
      <c r="D1618" s="256">
        <v>300</v>
      </c>
      <c r="E1618">
        <v>0</v>
      </c>
      <c r="F1618" s="257"/>
    </row>
    <row r="1619" spans="1:6" x14ac:dyDescent="0.25">
      <c r="A1619" s="255" t="s">
        <v>249</v>
      </c>
      <c r="B1619" s="255" t="s">
        <v>212</v>
      </c>
      <c r="C1619" s="256">
        <v>2025</v>
      </c>
      <c r="D1619" s="256">
        <v>600</v>
      </c>
      <c r="E1619">
        <v>0</v>
      </c>
      <c r="F1619" s="257"/>
    </row>
    <row r="1620" spans="1:6" x14ac:dyDescent="0.25">
      <c r="A1620" s="255" t="s">
        <v>249</v>
      </c>
      <c r="B1620" s="255" t="s">
        <v>212</v>
      </c>
      <c r="C1620" s="256">
        <v>2025</v>
      </c>
      <c r="D1620" s="256">
        <v>750</v>
      </c>
      <c r="E1620">
        <v>0</v>
      </c>
      <c r="F1620" s="257"/>
    </row>
    <row r="1621" spans="1:6" x14ac:dyDescent="0.25">
      <c r="A1621" s="255" t="s">
        <v>249</v>
      </c>
      <c r="B1621" s="255" t="s">
        <v>212</v>
      </c>
      <c r="C1621" s="256">
        <v>2025</v>
      </c>
      <c r="D1621" s="256">
        <v>9999</v>
      </c>
      <c r="E1621">
        <v>0</v>
      </c>
      <c r="F1621" s="257"/>
    </row>
  </sheetData>
  <sheetProtection password="CDC6" sheet="1" objects="1" scenarios="1"/>
  <pageMargins left="0.7" right="0.7" top="0.75" bottom="0.75" header="0.3" footer="0.3"/>
  <pageSetup scale="1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82"/>
  <sheetViews>
    <sheetView workbookViewId="0">
      <pane ySplit="1" topLeftCell="A2" activePane="bottomLeft" state="frozenSplit"/>
      <selection activeCell="C22" sqref="C22"/>
      <selection pane="bottomLeft" activeCell="C22" sqref="C22"/>
    </sheetView>
  </sheetViews>
  <sheetFormatPr defaultRowHeight="15" x14ac:dyDescent="0.25"/>
  <cols>
    <col min="1" max="1" width="10.85546875" bestFit="1" customWidth="1"/>
    <col min="2" max="2" width="30.140625" bestFit="1" customWidth="1"/>
    <col min="3" max="3" width="5" bestFit="1" customWidth="1"/>
    <col min="4" max="4" width="18.140625" customWidth="1"/>
    <col min="6" max="6" width="15.28515625" bestFit="1" customWidth="1"/>
    <col min="7" max="7" width="15.28515625" customWidth="1"/>
    <col min="8" max="8" width="10.42578125" bestFit="1" customWidth="1"/>
    <col min="10" max="10" width="10.7109375" bestFit="1" customWidth="1"/>
  </cols>
  <sheetData>
    <row r="1" spans="1:4" x14ac:dyDescent="0.25">
      <c r="A1" s="301" t="s">
        <v>0</v>
      </c>
      <c r="B1" s="301" t="s">
        <v>216</v>
      </c>
      <c r="C1" s="301" t="s">
        <v>241</v>
      </c>
      <c r="D1" s="301" t="s">
        <v>237</v>
      </c>
    </row>
    <row r="2" spans="1:4" x14ac:dyDescent="0.25">
      <c r="A2" s="302" t="s">
        <v>248</v>
      </c>
      <c r="B2" s="302" t="s">
        <v>206</v>
      </c>
      <c r="C2" s="303">
        <v>50</v>
      </c>
      <c r="D2" s="303">
        <v>8.5596357493371986</v>
      </c>
    </row>
    <row r="3" spans="1:4" x14ac:dyDescent="0.25">
      <c r="A3" s="302" t="s">
        <v>248</v>
      </c>
      <c r="B3" s="302" t="s">
        <v>206</v>
      </c>
      <c r="C3" s="303">
        <v>75</v>
      </c>
      <c r="D3" s="303">
        <v>19.014803539324671</v>
      </c>
    </row>
    <row r="4" spans="1:4" x14ac:dyDescent="0.25">
      <c r="A4" s="302" t="s">
        <v>248</v>
      </c>
      <c r="B4" s="302" t="s">
        <v>206</v>
      </c>
      <c r="C4" s="303">
        <v>100</v>
      </c>
      <c r="D4" s="303">
        <v>17.297097716400703</v>
      </c>
    </row>
    <row r="5" spans="1:4" x14ac:dyDescent="0.25">
      <c r="A5" s="302" t="s">
        <v>248</v>
      </c>
      <c r="B5" s="302" t="s">
        <v>206</v>
      </c>
      <c r="C5" s="303">
        <v>175</v>
      </c>
      <c r="D5" s="303">
        <v>36.521587217268312</v>
      </c>
    </row>
    <row r="6" spans="1:4" x14ac:dyDescent="0.25">
      <c r="A6" s="302" t="s">
        <v>248</v>
      </c>
      <c r="B6" s="302" t="s">
        <v>206</v>
      </c>
      <c r="C6" s="303">
        <v>300</v>
      </c>
      <c r="D6" s="303">
        <v>42.978024517170667</v>
      </c>
    </row>
    <row r="7" spans="1:4" x14ac:dyDescent="0.25">
      <c r="A7" s="302" t="s">
        <v>248</v>
      </c>
      <c r="B7" s="302" t="s">
        <v>206</v>
      </c>
      <c r="C7" s="303">
        <v>600</v>
      </c>
      <c r="D7" s="303">
        <v>88.57715927335181</v>
      </c>
    </row>
    <row r="8" spans="1:4" x14ac:dyDescent="0.25">
      <c r="A8" s="302" t="s">
        <v>248</v>
      </c>
      <c r="B8" s="302" t="s">
        <v>208</v>
      </c>
      <c r="C8" s="303">
        <v>100</v>
      </c>
      <c r="D8" s="303">
        <v>1.7934194492144415</v>
      </c>
    </row>
    <row r="9" spans="1:4" x14ac:dyDescent="0.25">
      <c r="A9" s="302" t="s">
        <v>248</v>
      </c>
      <c r="B9" s="302" t="s">
        <v>208</v>
      </c>
      <c r="C9" s="303">
        <v>175</v>
      </c>
      <c r="D9" s="303">
        <v>87.330010784247079</v>
      </c>
    </row>
    <row r="10" spans="1:4" x14ac:dyDescent="0.25">
      <c r="A10" s="302" t="s">
        <v>248</v>
      </c>
      <c r="B10" s="302" t="s">
        <v>208</v>
      </c>
      <c r="C10" s="303">
        <v>300</v>
      </c>
      <c r="D10" s="303">
        <v>379.02095450101911</v>
      </c>
    </row>
    <row r="11" spans="1:4" x14ac:dyDescent="0.25">
      <c r="A11" s="302" t="s">
        <v>248</v>
      </c>
      <c r="B11" s="302" t="s">
        <v>208</v>
      </c>
      <c r="C11" s="303">
        <v>600</v>
      </c>
      <c r="D11" s="303">
        <v>277.0240753709511</v>
      </c>
    </row>
    <row r="12" spans="1:4" x14ac:dyDescent="0.25">
      <c r="A12" s="302" t="s">
        <v>248</v>
      </c>
      <c r="B12" s="302" t="s">
        <v>192</v>
      </c>
      <c r="C12" s="303">
        <v>50</v>
      </c>
      <c r="D12" s="303">
        <v>48.181590803059883</v>
      </c>
    </row>
    <row r="13" spans="1:4" x14ac:dyDescent="0.25">
      <c r="A13" s="302" t="s">
        <v>248</v>
      </c>
      <c r="B13" s="302" t="s">
        <v>192</v>
      </c>
      <c r="C13" s="303">
        <v>75</v>
      </c>
      <c r="D13" s="303">
        <v>69.903709711053139</v>
      </c>
    </row>
    <row r="14" spans="1:4" x14ac:dyDescent="0.25">
      <c r="A14" s="302" t="s">
        <v>248</v>
      </c>
      <c r="B14" s="302" t="s">
        <v>192</v>
      </c>
      <c r="C14" s="303">
        <v>100</v>
      </c>
      <c r="D14" s="303">
        <v>216.53518251679947</v>
      </c>
    </row>
    <row r="15" spans="1:4" x14ac:dyDescent="0.25">
      <c r="A15" s="302" t="s">
        <v>248</v>
      </c>
      <c r="B15" s="302" t="s">
        <v>192</v>
      </c>
      <c r="C15" s="303">
        <v>175</v>
      </c>
      <c r="D15" s="303">
        <v>341.56503321351397</v>
      </c>
    </row>
    <row r="16" spans="1:4" x14ac:dyDescent="0.25">
      <c r="A16" s="302" t="s">
        <v>248</v>
      </c>
      <c r="B16" s="302" t="s">
        <v>192</v>
      </c>
      <c r="C16" s="303">
        <v>300</v>
      </c>
      <c r="D16" s="303">
        <v>143.44012430526541</v>
      </c>
    </row>
    <row r="17" spans="1:4" x14ac:dyDescent="0.25">
      <c r="A17" s="302" t="s">
        <v>248</v>
      </c>
      <c r="B17" s="302" t="s">
        <v>192</v>
      </c>
      <c r="C17" s="303">
        <v>600</v>
      </c>
      <c r="D17" s="303">
        <v>12.594282431652342</v>
      </c>
    </row>
    <row r="18" spans="1:4" ht="30" x14ac:dyDescent="0.25">
      <c r="A18" s="302" t="s">
        <v>248</v>
      </c>
      <c r="B18" s="302" t="s">
        <v>211</v>
      </c>
      <c r="C18" s="303">
        <v>50</v>
      </c>
      <c r="D18" s="303">
        <v>39.849586049280525</v>
      </c>
    </row>
    <row r="19" spans="1:4" ht="30" x14ac:dyDescent="0.25">
      <c r="A19" s="302" t="s">
        <v>248</v>
      </c>
      <c r="B19" s="302" t="s">
        <v>211</v>
      </c>
      <c r="C19" s="303">
        <v>75</v>
      </c>
      <c r="D19" s="303">
        <v>17.387050642858398</v>
      </c>
    </row>
    <row r="20" spans="1:4" ht="30" x14ac:dyDescent="0.25">
      <c r="A20" s="302" t="s">
        <v>248</v>
      </c>
      <c r="B20" s="302" t="s">
        <v>211</v>
      </c>
      <c r="C20" s="303">
        <v>100</v>
      </c>
      <c r="D20" s="303">
        <v>22.301110796803844</v>
      </c>
    </row>
    <row r="21" spans="1:4" ht="30" x14ac:dyDescent="0.25">
      <c r="A21" s="302" t="s">
        <v>248</v>
      </c>
      <c r="B21" s="302" t="s">
        <v>211</v>
      </c>
      <c r="C21" s="303">
        <v>175</v>
      </c>
      <c r="D21" s="303">
        <v>38.044746469225636</v>
      </c>
    </row>
    <row r="22" spans="1:4" ht="30" x14ac:dyDescent="0.25">
      <c r="A22" s="302" t="s">
        <v>248</v>
      </c>
      <c r="B22" s="302" t="s">
        <v>211</v>
      </c>
      <c r="C22" s="303">
        <v>300</v>
      </c>
      <c r="D22" s="303">
        <v>32.239550582045233</v>
      </c>
    </row>
    <row r="23" spans="1:4" ht="30" x14ac:dyDescent="0.25">
      <c r="A23" s="302" t="s">
        <v>248</v>
      </c>
      <c r="B23" s="302" t="s">
        <v>211</v>
      </c>
      <c r="C23" s="303">
        <v>600</v>
      </c>
      <c r="D23" s="303">
        <v>30.547694038848459</v>
      </c>
    </row>
    <row r="24" spans="1:4" x14ac:dyDescent="0.25">
      <c r="A24" s="302" t="s">
        <v>248</v>
      </c>
      <c r="B24" s="302" t="s">
        <v>212</v>
      </c>
      <c r="C24" s="303">
        <v>100</v>
      </c>
      <c r="D24" s="303">
        <v>0.74410354023111169</v>
      </c>
    </row>
    <row r="25" spans="1:4" x14ac:dyDescent="0.25">
      <c r="A25" s="302" t="s">
        <v>248</v>
      </c>
      <c r="B25" s="302" t="s">
        <v>212</v>
      </c>
      <c r="C25" s="303">
        <v>300</v>
      </c>
      <c r="D25" s="303">
        <v>114.38868409840821</v>
      </c>
    </row>
    <row r="26" spans="1:4" x14ac:dyDescent="0.25">
      <c r="A26" s="302" t="s">
        <v>248</v>
      </c>
      <c r="B26" s="302" t="s">
        <v>212</v>
      </c>
      <c r="C26" s="303">
        <v>600</v>
      </c>
      <c r="D26" s="303">
        <v>215.52591384093037</v>
      </c>
    </row>
    <row r="27" spans="1:4" x14ac:dyDescent="0.25">
      <c r="A27" s="302" t="s">
        <v>248</v>
      </c>
      <c r="B27" s="302" t="s">
        <v>212</v>
      </c>
      <c r="C27" s="303">
        <v>750</v>
      </c>
      <c r="D27" s="303">
        <v>132.6557259334881</v>
      </c>
    </row>
    <row r="28" spans="1:4" x14ac:dyDescent="0.25">
      <c r="A28" s="302" t="s">
        <v>248</v>
      </c>
      <c r="B28" s="302" t="s">
        <v>212</v>
      </c>
      <c r="C28" s="303">
        <v>9999</v>
      </c>
      <c r="D28" s="303">
        <v>60.584882105821194</v>
      </c>
    </row>
    <row r="29" spans="1:4" x14ac:dyDescent="0.25">
      <c r="A29" s="302" t="s">
        <v>20</v>
      </c>
      <c r="B29" s="302" t="s">
        <v>206</v>
      </c>
      <c r="C29" s="303">
        <v>50</v>
      </c>
      <c r="D29" s="303">
        <v>3.9533862078513815</v>
      </c>
    </row>
    <row r="30" spans="1:4" x14ac:dyDescent="0.25">
      <c r="A30" s="302" t="s">
        <v>20</v>
      </c>
      <c r="B30" s="302" t="s">
        <v>206</v>
      </c>
      <c r="C30" s="303">
        <v>75</v>
      </c>
      <c r="D30" s="303">
        <v>8.3971852534052545</v>
      </c>
    </row>
    <row r="31" spans="1:4" x14ac:dyDescent="0.25">
      <c r="A31" s="302" t="s">
        <v>20</v>
      </c>
      <c r="B31" s="302" t="s">
        <v>206</v>
      </c>
      <c r="C31" s="303">
        <v>100</v>
      </c>
      <c r="D31" s="303">
        <v>8.8012552587714037</v>
      </c>
    </row>
    <row r="32" spans="1:4" x14ac:dyDescent="0.25">
      <c r="A32" s="302" t="s">
        <v>20</v>
      </c>
      <c r="B32" s="302" t="s">
        <v>206</v>
      </c>
      <c r="C32" s="303">
        <v>175</v>
      </c>
      <c r="D32" s="303">
        <v>16.597374175403559</v>
      </c>
    </row>
    <row r="33" spans="1:4" x14ac:dyDescent="0.25">
      <c r="A33" s="302" t="s">
        <v>20</v>
      </c>
      <c r="B33" s="302" t="s">
        <v>206</v>
      </c>
      <c r="C33" s="303">
        <v>300</v>
      </c>
      <c r="D33" s="303">
        <v>14.241045820383754</v>
      </c>
    </row>
    <row r="34" spans="1:4" x14ac:dyDescent="0.25">
      <c r="A34" s="302" t="s">
        <v>20</v>
      </c>
      <c r="B34" s="302" t="s">
        <v>206</v>
      </c>
      <c r="C34" s="303">
        <v>600</v>
      </c>
      <c r="D34" s="303">
        <v>33.033147153033333</v>
      </c>
    </row>
    <row r="35" spans="1:4" x14ac:dyDescent="0.25">
      <c r="A35" s="302" t="s">
        <v>20</v>
      </c>
      <c r="B35" s="302" t="s">
        <v>208</v>
      </c>
      <c r="C35" s="303">
        <v>100</v>
      </c>
      <c r="D35" s="303">
        <v>0.26169281408914219</v>
      </c>
    </row>
    <row r="36" spans="1:4" x14ac:dyDescent="0.25">
      <c r="A36" s="302" t="s">
        <v>20</v>
      </c>
      <c r="B36" s="302" t="s">
        <v>208</v>
      </c>
      <c r="C36" s="303">
        <v>175</v>
      </c>
      <c r="D36" s="303">
        <v>6.914087700725255</v>
      </c>
    </row>
    <row r="37" spans="1:4" x14ac:dyDescent="0.25">
      <c r="A37" s="302" t="s">
        <v>20</v>
      </c>
      <c r="B37" s="302" t="s">
        <v>208</v>
      </c>
      <c r="C37" s="303">
        <v>300</v>
      </c>
      <c r="D37" s="303">
        <v>19.917107693131644</v>
      </c>
    </row>
    <row r="38" spans="1:4" x14ac:dyDescent="0.25">
      <c r="A38" s="302" t="s">
        <v>20</v>
      </c>
      <c r="B38" s="302" t="s">
        <v>208</v>
      </c>
      <c r="C38" s="303">
        <v>600</v>
      </c>
      <c r="D38" s="303">
        <v>28.265051422777219</v>
      </c>
    </row>
    <row r="39" spans="1:4" x14ac:dyDescent="0.25">
      <c r="A39" s="302" t="s">
        <v>20</v>
      </c>
      <c r="B39" s="302" t="s">
        <v>192</v>
      </c>
      <c r="C39" s="303">
        <v>50</v>
      </c>
      <c r="D39" s="303">
        <v>18.380373982619677</v>
      </c>
    </row>
    <row r="40" spans="1:4" x14ac:dyDescent="0.25">
      <c r="A40" s="302" t="s">
        <v>20</v>
      </c>
      <c r="B40" s="302" t="s">
        <v>192</v>
      </c>
      <c r="C40" s="303">
        <v>75</v>
      </c>
      <c r="D40" s="303">
        <v>31.880058128942686</v>
      </c>
    </row>
    <row r="41" spans="1:4" x14ac:dyDescent="0.25">
      <c r="A41" s="302" t="s">
        <v>20</v>
      </c>
      <c r="B41" s="302" t="s">
        <v>192</v>
      </c>
      <c r="C41" s="303">
        <v>100</v>
      </c>
      <c r="D41" s="303">
        <v>111.52992045186988</v>
      </c>
    </row>
    <row r="42" spans="1:4" x14ac:dyDescent="0.25">
      <c r="A42" s="302" t="s">
        <v>20</v>
      </c>
      <c r="B42" s="302" t="s">
        <v>192</v>
      </c>
      <c r="C42" s="303">
        <v>175</v>
      </c>
      <c r="D42" s="303">
        <v>150.88409867323529</v>
      </c>
    </row>
    <row r="43" spans="1:4" x14ac:dyDescent="0.25">
      <c r="A43" s="302" t="s">
        <v>20</v>
      </c>
      <c r="B43" s="302" t="s">
        <v>192</v>
      </c>
      <c r="C43" s="303">
        <v>300</v>
      </c>
      <c r="D43" s="303">
        <v>46.009520012938339</v>
      </c>
    </row>
    <row r="44" spans="1:4" x14ac:dyDescent="0.25">
      <c r="A44" s="302" t="s">
        <v>20</v>
      </c>
      <c r="B44" s="302" t="s">
        <v>192</v>
      </c>
      <c r="C44" s="303">
        <v>600</v>
      </c>
      <c r="D44" s="303">
        <v>5.6062854640499618</v>
      </c>
    </row>
    <row r="45" spans="1:4" ht="30" x14ac:dyDescent="0.25">
      <c r="A45" s="302" t="s">
        <v>20</v>
      </c>
      <c r="B45" s="302" t="s">
        <v>211</v>
      </c>
      <c r="C45" s="303">
        <v>50</v>
      </c>
      <c r="D45" s="303">
        <v>17.365941277755709</v>
      </c>
    </row>
    <row r="46" spans="1:4" ht="30" x14ac:dyDescent="0.25">
      <c r="A46" s="302" t="s">
        <v>20</v>
      </c>
      <c r="B46" s="302" t="s">
        <v>211</v>
      </c>
      <c r="C46" s="303">
        <v>75</v>
      </c>
      <c r="D46" s="303">
        <v>7.9444831573827495</v>
      </c>
    </row>
    <row r="47" spans="1:4" ht="30" x14ac:dyDescent="0.25">
      <c r="A47" s="302" t="s">
        <v>20</v>
      </c>
      <c r="B47" s="302" t="s">
        <v>211</v>
      </c>
      <c r="C47" s="303">
        <v>100</v>
      </c>
      <c r="D47" s="303">
        <v>9.3941582079718753</v>
      </c>
    </row>
    <row r="48" spans="1:4" ht="30" x14ac:dyDescent="0.25">
      <c r="A48" s="302" t="s">
        <v>20</v>
      </c>
      <c r="B48" s="302" t="s">
        <v>211</v>
      </c>
      <c r="C48" s="303">
        <v>175</v>
      </c>
      <c r="D48" s="303">
        <v>15.876326768048676</v>
      </c>
    </row>
    <row r="49" spans="1:4" ht="30" x14ac:dyDescent="0.25">
      <c r="A49" s="302" t="s">
        <v>20</v>
      </c>
      <c r="B49" s="302" t="s">
        <v>211</v>
      </c>
      <c r="C49" s="303">
        <v>300</v>
      </c>
      <c r="D49" s="303">
        <v>13.325586959947174</v>
      </c>
    </row>
    <row r="50" spans="1:4" ht="30" x14ac:dyDescent="0.25">
      <c r="A50" s="302" t="s">
        <v>20</v>
      </c>
      <c r="B50" s="302" t="s">
        <v>211</v>
      </c>
      <c r="C50" s="303">
        <v>600</v>
      </c>
      <c r="D50" s="303">
        <v>9.6477450072496129</v>
      </c>
    </row>
    <row r="51" spans="1:4" x14ac:dyDescent="0.25">
      <c r="A51" s="302" t="s">
        <v>20</v>
      </c>
      <c r="B51" s="302" t="s">
        <v>212</v>
      </c>
      <c r="C51" s="303">
        <v>100</v>
      </c>
      <c r="D51" s="303">
        <v>0.16071093449687474</v>
      </c>
    </row>
    <row r="52" spans="1:4" x14ac:dyDescent="0.25">
      <c r="A52" s="302" t="s">
        <v>20</v>
      </c>
      <c r="B52" s="302" t="s">
        <v>212</v>
      </c>
      <c r="C52" s="303">
        <v>300</v>
      </c>
      <c r="D52" s="303">
        <v>19.720035109946991</v>
      </c>
    </row>
    <row r="53" spans="1:4" x14ac:dyDescent="0.25">
      <c r="A53" s="302" t="s">
        <v>20</v>
      </c>
      <c r="B53" s="302" t="s">
        <v>212</v>
      </c>
      <c r="C53" s="303">
        <v>600</v>
      </c>
      <c r="D53" s="303">
        <v>40.201488336106614</v>
      </c>
    </row>
    <row r="54" spans="1:4" x14ac:dyDescent="0.25">
      <c r="A54" s="302" t="s">
        <v>20</v>
      </c>
      <c r="B54" s="302" t="s">
        <v>212</v>
      </c>
      <c r="C54" s="303">
        <v>750</v>
      </c>
      <c r="D54" s="303">
        <v>27.676084854521246</v>
      </c>
    </row>
    <row r="55" spans="1:4" x14ac:dyDescent="0.25">
      <c r="A55" s="302" t="s">
        <v>20</v>
      </c>
      <c r="B55" s="302" t="s">
        <v>212</v>
      </c>
      <c r="C55" s="303">
        <v>9999</v>
      </c>
      <c r="D55" s="303">
        <v>11.357297516328964</v>
      </c>
    </row>
    <row r="56" spans="1:4" ht="30" x14ac:dyDescent="0.25">
      <c r="A56" s="302" t="s">
        <v>249</v>
      </c>
      <c r="B56" s="302" t="s">
        <v>206</v>
      </c>
      <c r="C56" s="303">
        <v>50</v>
      </c>
      <c r="D56" s="303">
        <v>8.4748850383505037</v>
      </c>
    </row>
    <row r="57" spans="1:4" ht="30" x14ac:dyDescent="0.25">
      <c r="A57" s="302" t="s">
        <v>249</v>
      </c>
      <c r="B57" s="302" t="s">
        <v>206</v>
      </c>
      <c r="C57" s="303">
        <v>75</v>
      </c>
      <c r="D57" s="303">
        <v>15.031882223297401</v>
      </c>
    </row>
    <row r="58" spans="1:4" ht="30" x14ac:dyDescent="0.25">
      <c r="A58" s="302" t="s">
        <v>249</v>
      </c>
      <c r="B58" s="302" t="s">
        <v>206</v>
      </c>
      <c r="C58" s="303">
        <v>100</v>
      </c>
      <c r="D58" s="303">
        <v>14.882855292553611</v>
      </c>
    </row>
    <row r="59" spans="1:4" ht="30" x14ac:dyDescent="0.25">
      <c r="A59" s="302" t="s">
        <v>249</v>
      </c>
      <c r="B59" s="302" t="s">
        <v>206</v>
      </c>
      <c r="C59" s="303">
        <v>175</v>
      </c>
      <c r="D59" s="303">
        <v>23.742610114664785</v>
      </c>
    </row>
    <row r="60" spans="1:4" ht="30" x14ac:dyDescent="0.25">
      <c r="A60" s="302" t="s">
        <v>249</v>
      </c>
      <c r="B60" s="302" t="s">
        <v>206</v>
      </c>
      <c r="C60" s="303">
        <v>300</v>
      </c>
      <c r="D60" s="303">
        <v>23.262593280605596</v>
      </c>
    </row>
    <row r="61" spans="1:4" ht="30" x14ac:dyDescent="0.25">
      <c r="A61" s="302" t="s">
        <v>249</v>
      </c>
      <c r="B61" s="302" t="s">
        <v>206</v>
      </c>
      <c r="C61" s="303">
        <v>600</v>
      </c>
      <c r="D61" s="303">
        <v>60.466030847669025</v>
      </c>
    </row>
    <row r="62" spans="1:4" ht="30" x14ac:dyDescent="0.25">
      <c r="A62" s="302" t="s">
        <v>249</v>
      </c>
      <c r="B62" s="302" t="s">
        <v>208</v>
      </c>
      <c r="C62" s="303">
        <v>100</v>
      </c>
      <c r="D62" s="303">
        <v>0.16998354874422555</v>
      </c>
    </row>
    <row r="63" spans="1:4" ht="30" x14ac:dyDescent="0.25">
      <c r="A63" s="302" t="s">
        <v>249</v>
      </c>
      <c r="B63" s="302" t="s">
        <v>208</v>
      </c>
      <c r="C63" s="303">
        <v>175</v>
      </c>
      <c r="D63" s="303">
        <v>4.2984964031308284</v>
      </c>
    </row>
    <row r="64" spans="1:4" ht="30" x14ac:dyDescent="0.25">
      <c r="A64" s="302" t="s">
        <v>249</v>
      </c>
      <c r="B64" s="302" t="s">
        <v>208</v>
      </c>
      <c r="C64" s="303">
        <v>300</v>
      </c>
      <c r="D64" s="303">
        <v>13.064007842364624</v>
      </c>
    </row>
    <row r="65" spans="1:4" ht="30" x14ac:dyDescent="0.25">
      <c r="A65" s="302" t="s">
        <v>249</v>
      </c>
      <c r="B65" s="302" t="s">
        <v>208</v>
      </c>
      <c r="C65" s="303">
        <v>600</v>
      </c>
      <c r="D65" s="303">
        <v>19.13852801891986</v>
      </c>
    </row>
    <row r="66" spans="1:4" ht="30" x14ac:dyDescent="0.25">
      <c r="A66" s="302" t="s">
        <v>249</v>
      </c>
      <c r="B66" s="302" t="s">
        <v>192</v>
      </c>
      <c r="C66" s="303">
        <v>50</v>
      </c>
      <c r="D66" s="303">
        <v>45.960992221880353</v>
      </c>
    </row>
    <row r="67" spans="1:4" ht="30" x14ac:dyDescent="0.25">
      <c r="A67" s="302" t="s">
        <v>249</v>
      </c>
      <c r="B67" s="302" t="s">
        <v>192</v>
      </c>
      <c r="C67" s="303">
        <v>75</v>
      </c>
      <c r="D67" s="303">
        <v>130.68578386585969</v>
      </c>
    </row>
    <row r="68" spans="1:4" ht="30" x14ac:dyDescent="0.25">
      <c r="A68" s="302" t="s">
        <v>249</v>
      </c>
      <c r="B68" s="302" t="s">
        <v>192</v>
      </c>
      <c r="C68" s="303">
        <v>100</v>
      </c>
      <c r="D68" s="303">
        <v>623.26458664475149</v>
      </c>
    </row>
    <row r="69" spans="1:4" ht="30" x14ac:dyDescent="0.25">
      <c r="A69" s="302" t="s">
        <v>249</v>
      </c>
      <c r="B69" s="302" t="s">
        <v>192</v>
      </c>
      <c r="C69" s="303">
        <v>175</v>
      </c>
      <c r="D69" s="303">
        <v>761.24581556645217</v>
      </c>
    </row>
    <row r="70" spans="1:4" ht="30" x14ac:dyDescent="0.25">
      <c r="A70" s="302" t="s">
        <v>249</v>
      </c>
      <c r="B70" s="302" t="s">
        <v>192</v>
      </c>
      <c r="C70" s="303">
        <v>300</v>
      </c>
      <c r="D70" s="303">
        <v>247.19345329657008</v>
      </c>
    </row>
    <row r="71" spans="1:4" ht="30" x14ac:dyDescent="0.25">
      <c r="A71" s="302" t="s">
        <v>249</v>
      </c>
      <c r="B71" s="302" t="s">
        <v>192</v>
      </c>
      <c r="C71" s="303">
        <v>600</v>
      </c>
      <c r="D71" s="303">
        <v>64.623660521816419</v>
      </c>
    </row>
    <row r="72" spans="1:4" ht="30" x14ac:dyDescent="0.25">
      <c r="A72" s="302" t="s">
        <v>249</v>
      </c>
      <c r="B72" s="302" t="s">
        <v>211</v>
      </c>
      <c r="C72" s="303">
        <v>50</v>
      </c>
      <c r="D72" s="303">
        <v>21.796869446262857</v>
      </c>
    </row>
    <row r="73" spans="1:4" ht="30" x14ac:dyDescent="0.25">
      <c r="A73" s="302" t="s">
        <v>249</v>
      </c>
      <c r="B73" s="302" t="s">
        <v>211</v>
      </c>
      <c r="C73" s="303">
        <v>75</v>
      </c>
      <c r="D73" s="303">
        <v>10.375252360070208</v>
      </c>
    </row>
    <row r="74" spans="1:4" ht="30" x14ac:dyDescent="0.25">
      <c r="A74" s="302" t="s">
        <v>249</v>
      </c>
      <c r="B74" s="302" t="s">
        <v>211</v>
      </c>
      <c r="C74" s="303">
        <v>100</v>
      </c>
      <c r="D74" s="303">
        <v>13.246334158396134</v>
      </c>
    </row>
    <row r="75" spans="1:4" ht="30" x14ac:dyDescent="0.25">
      <c r="A75" s="302" t="s">
        <v>249</v>
      </c>
      <c r="B75" s="302" t="s">
        <v>211</v>
      </c>
      <c r="C75" s="303">
        <v>175</v>
      </c>
      <c r="D75" s="303">
        <v>12.564630893476538</v>
      </c>
    </row>
    <row r="76" spans="1:4" ht="30" x14ac:dyDescent="0.25">
      <c r="A76" s="302" t="s">
        <v>249</v>
      </c>
      <c r="B76" s="302" t="s">
        <v>211</v>
      </c>
      <c r="C76" s="303">
        <v>300</v>
      </c>
      <c r="D76" s="303">
        <v>12.806454868588913</v>
      </c>
    </row>
    <row r="77" spans="1:4" ht="30" x14ac:dyDescent="0.25">
      <c r="A77" s="302" t="s">
        <v>249</v>
      </c>
      <c r="B77" s="302" t="s">
        <v>211</v>
      </c>
      <c r="C77" s="303">
        <v>600</v>
      </c>
      <c r="D77" s="303">
        <v>3.7724723079174867</v>
      </c>
    </row>
    <row r="78" spans="1:4" ht="30" x14ac:dyDescent="0.25">
      <c r="A78" s="302" t="s">
        <v>249</v>
      </c>
      <c r="B78" s="302" t="s">
        <v>212</v>
      </c>
      <c r="C78" s="303">
        <v>100</v>
      </c>
      <c r="D78" s="303">
        <v>0.26887363746467502</v>
      </c>
    </row>
    <row r="79" spans="1:4" ht="30" x14ac:dyDescent="0.25">
      <c r="A79" s="302" t="s">
        <v>249</v>
      </c>
      <c r="B79" s="302" t="s">
        <v>212</v>
      </c>
      <c r="C79" s="303">
        <v>300</v>
      </c>
      <c r="D79" s="303">
        <v>25.563604868238052</v>
      </c>
    </row>
    <row r="80" spans="1:4" ht="30" x14ac:dyDescent="0.25">
      <c r="A80" s="302" t="s">
        <v>249</v>
      </c>
      <c r="B80" s="302" t="s">
        <v>212</v>
      </c>
      <c r="C80" s="303">
        <v>600</v>
      </c>
      <c r="D80" s="303">
        <v>44.932153240950164</v>
      </c>
    </row>
    <row r="81" spans="1:4" ht="30" x14ac:dyDescent="0.25">
      <c r="A81" s="302" t="s">
        <v>249</v>
      </c>
      <c r="B81" s="302" t="s">
        <v>212</v>
      </c>
      <c r="C81" s="303">
        <v>750</v>
      </c>
      <c r="D81" s="303">
        <v>26.290325638650678</v>
      </c>
    </row>
    <row r="82" spans="1:4" ht="30" x14ac:dyDescent="0.25">
      <c r="A82" s="302" t="s">
        <v>249</v>
      </c>
      <c r="B82" s="302" t="s">
        <v>212</v>
      </c>
      <c r="C82" s="303">
        <v>9999</v>
      </c>
      <c r="D82" s="303">
        <v>11.364303726844799</v>
      </c>
    </row>
  </sheetData>
  <sheetProtection password="CDC6"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1622"/>
  <sheetViews>
    <sheetView workbookViewId="0">
      <pane ySplit="1" topLeftCell="A1109" activePane="bottomLeft" state="frozenSplit"/>
      <selection activeCell="C22" sqref="C22"/>
      <selection pane="bottomLeft" activeCell="C22" sqref="C22"/>
    </sheetView>
  </sheetViews>
  <sheetFormatPr defaultRowHeight="15" x14ac:dyDescent="0.25"/>
  <cols>
    <col min="1" max="1" width="8.5703125" customWidth="1"/>
    <col min="2" max="2" width="16.42578125" customWidth="1"/>
    <col min="3" max="3" width="8.85546875" bestFit="1" customWidth="1"/>
    <col min="4" max="4" width="5" bestFit="1" customWidth="1"/>
    <col min="5" max="5" width="12" bestFit="1" customWidth="1"/>
    <col min="6" max="6" width="5.140625" customWidth="1"/>
    <col min="7" max="7" width="7.140625" bestFit="1" customWidth="1"/>
    <col min="8" max="8" width="15.28515625" bestFit="1" customWidth="1"/>
    <col min="9" max="9" width="11.5703125" customWidth="1"/>
    <col min="10" max="10" width="11.5703125" bestFit="1" customWidth="1"/>
    <col min="11" max="11" width="13" customWidth="1"/>
    <col min="12" max="12" width="12.28515625" customWidth="1"/>
    <col min="13" max="13" width="12" customWidth="1"/>
    <col min="14" max="14" width="13.42578125" bestFit="1" customWidth="1"/>
    <col min="15" max="16" width="11.5703125" bestFit="1" customWidth="1"/>
  </cols>
  <sheetData>
    <row r="1" spans="1:13" ht="45" x14ac:dyDescent="0.25">
      <c r="A1" s="253" t="s">
        <v>0</v>
      </c>
      <c r="B1" s="253" t="s">
        <v>216</v>
      </c>
      <c r="C1" s="253" t="s">
        <v>236</v>
      </c>
      <c r="D1" s="253" t="s">
        <v>241</v>
      </c>
      <c r="E1" s="253" t="s">
        <v>242</v>
      </c>
      <c r="F1" s="254"/>
      <c r="G1" s="254" t="s">
        <v>243</v>
      </c>
      <c r="H1" s="254" t="s">
        <v>244</v>
      </c>
      <c r="I1" s="254" t="s">
        <v>245</v>
      </c>
      <c r="J1" s="254" t="s">
        <v>246</v>
      </c>
      <c r="K1" s="254" t="s">
        <v>244</v>
      </c>
      <c r="L1" s="254" t="s">
        <v>245</v>
      </c>
      <c r="M1" s="254" t="s">
        <v>246</v>
      </c>
    </row>
    <row r="2" spans="1:13" ht="30" x14ac:dyDescent="0.25">
      <c r="A2" s="255" t="s">
        <v>248</v>
      </c>
      <c r="B2" s="255" t="s">
        <v>206</v>
      </c>
      <c r="C2" s="256">
        <v>2006</v>
      </c>
      <c r="D2" s="256">
        <v>50</v>
      </c>
      <c r="E2" s="256">
        <v>0</v>
      </c>
      <c r="F2" s="257"/>
      <c r="G2">
        <f t="shared" ref="G2:G65" si="0">IF(OR(D2=50,D2=75),50,IF(OR(D2=100,D2=125),125,IF(D2&gt;=400,400,D2)))</f>
        <v>50</v>
      </c>
      <c r="K2" t="s">
        <v>275</v>
      </c>
    </row>
    <row r="3" spans="1:13" ht="30" x14ac:dyDescent="0.25">
      <c r="A3" s="255" t="s">
        <v>248</v>
      </c>
      <c r="B3" s="255" t="s">
        <v>206</v>
      </c>
      <c r="C3" s="256">
        <v>2006</v>
      </c>
      <c r="D3" s="256">
        <v>75</v>
      </c>
      <c r="E3" s="256">
        <v>0</v>
      </c>
      <c r="F3" s="257"/>
      <c r="G3">
        <f t="shared" si="0"/>
        <v>50</v>
      </c>
    </row>
    <row r="4" spans="1:13" ht="30" x14ac:dyDescent="0.25">
      <c r="A4" s="255" t="s">
        <v>248</v>
      </c>
      <c r="B4" s="255" t="s">
        <v>206</v>
      </c>
      <c r="C4" s="256">
        <v>2006</v>
      </c>
      <c r="D4" s="256">
        <v>100</v>
      </c>
      <c r="E4" s="256">
        <v>0</v>
      </c>
      <c r="F4" s="257"/>
      <c r="G4">
        <f t="shared" si="0"/>
        <v>125</v>
      </c>
    </row>
    <row r="5" spans="1:13" ht="30" x14ac:dyDescent="0.25">
      <c r="A5" s="255" t="s">
        <v>248</v>
      </c>
      <c r="B5" s="255" t="s">
        <v>206</v>
      </c>
      <c r="C5" s="256">
        <v>2006</v>
      </c>
      <c r="D5" s="256">
        <v>175</v>
      </c>
      <c r="E5" s="256">
        <v>0</v>
      </c>
      <c r="F5" s="257"/>
      <c r="G5">
        <f t="shared" si="0"/>
        <v>175</v>
      </c>
    </row>
    <row r="6" spans="1:13" ht="30" x14ac:dyDescent="0.25">
      <c r="A6" s="255" t="s">
        <v>248</v>
      </c>
      <c r="B6" s="255" t="s">
        <v>206</v>
      </c>
      <c r="C6" s="256">
        <v>2006</v>
      </c>
      <c r="D6" s="256">
        <v>300</v>
      </c>
      <c r="E6" s="256">
        <v>0</v>
      </c>
      <c r="F6" s="257"/>
      <c r="G6">
        <f t="shared" si="0"/>
        <v>300</v>
      </c>
    </row>
    <row r="7" spans="1:13" ht="30" x14ac:dyDescent="0.25">
      <c r="A7" s="255" t="s">
        <v>248</v>
      </c>
      <c r="B7" s="255" t="s">
        <v>206</v>
      </c>
      <c r="C7" s="256">
        <v>2006</v>
      </c>
      <c r="D7" s="256">
        <v>600</v>
      </c>
      <c r="E7" s="256">
        <v>0</v>
      </c>
      <c r="F7" s="257"/>
      <c r="G7">
        <f t="shared" si="0"/>
        <v>400</v>
      </c>
    </row>
    <row r="8" spans="1:13" ht="30" x14ac:dyDescent="0.25">
      <c r="A8" s="255" t="s">
        <v>248</v>
      </c>
      <c r="B8" s="255" t="s">
        <v>206</v>
      </c>
      <c r="C8" s="256">
        <v>2007</v>
      </c>
      <c r="D8" s="256">
        <v>50</v>
      </c>
      <c r="E8" s="256">
        <v>0</v>
      </c>
      <c r="F8" s="257"/>
      <c r="G8">
        <f t="shared" si="0"/>
        <v>50</v>
      </c>
    </row>
    <row r="9" spans="1:13" ht="30" x14ac:dyDescent="0.25">
      <c r="A9" s="255" t="s">
        <v>248</v>
      </c>
      <c r="B9" s="255" t="s">
        <v>206</v>
      </c>
      <c r="C9" s="256">
        <v>2007</v>
      </c>
      <c r="D9" s="256">
        <v>75</v>
      </c>
      <c r="E9" s="256">
        <v>0</v>
      </c>
      <c r="F9" s="257"/>
      <c r="G9">
        <f t="shared" si="0"/>
        <v>50</v>
      </c>
    </row>
    <row r="10" spans="1:13" ht="30" x14ac:dyDescent="0.25">
      <c r="A10" s="255" t="s">
        <v>248</v>
      </c>
      <c r="B10" s="255" t="s">
        <v>206</v>
      </c>
      <c r="C10" s="256">
        <v>2007</v>
      </c>
      <c r="D10" s="256">
        <v>100</v>
      </c>
      <c r="E10" s="256">
        <v>0</v>
      </c>
      <c r="F10" s="257"/>
      <c r="G10">
        <f t="shared" si="0"/>
        <v>125</v>
      </c>
    </row>
    <row r="11" spans="1:13" ht="30" x14ac:dyDescent="0.25">
      <c r="A11" s="255" t="s">
        <v>248</v>
      </c>
      <c r="B11" s="255" t="s">
        <v>206</v>
      </c>
      <c r="C11" s="256">
        <v>2007</v>
      </c>
      <c r="D11" s="256">
        <v>175</v>
      </c>
      <c r="E11" s="256">
        <v>0</v>
      </c>
      <c r="F11" s="257"/>
      <c r="G11">
        <f t="shared" si="0"/>
        <v>175</v>
      </c>
    </row>
    <row r="12" spans="1:13" ht="30" x14ac:dyDescent="0.25">
      <c r="A12" s="255" t="s">
        <v>248</v>
      </c>
      <c r="B12" s="255" t="s">
        <v>206</v>
      </c>
      <c r="C12" s="256">
        <v>2007</v>
      </c>
      <c r="D12" s="256">
        <v>300</v>
      </c>
      <c r="E12" s="256">
        <v>0</v>
      </c>
      <c r="F12" s="257"/>
      <c r="G12">
        <f t="shared" si="0"/>
        <v>300</v>
      </c>
    </row>
    <row r="13" spans="1:13" ht="30" x14ac:dyDescent="0.25">
      <c r="A13" s="255" t="s">
        <v>248</v>
      </c>
      <c r="B13" s="255" t="s">
        <v>206</v>
      </c>
      <c r="C13" s="256">
        <v>2007</v>
      </c>
      <c r="D13" s="256">
        <v>600</v>
      </c>
      <c r="E13" s="256">
        <v>0</v>
      </c>
      <c r="F13" s="257"/>
      <c r="G13">
        <f t="shared" si="0"/>
        <v>400</v>
      </c>
    </row>
    <row r="14" spans="1:13" ht="30" x14ac:dyDescent="0.25">
      <c r="A14" s="255" t="s">
        <v>248</v>
      </c>
      <c r="B14" s="255" t="s">
        <v>206</v>
      </c>
      <c r="C14" s="256">
        <v>2008</v>
      </c>
      <c r="D14" s="256">
        <v>50</v>
      </c>
      <c r="E14" s="256">
        <v>0</v>
      </c>
      <c r="F14" s="257"/>
      <c r="G14">
        <f t="shared" si="0"/>
        <v>50</v>
      </c>
    </row>
    <row r="15" spans="1:13" ht="30" x14ac:dyDescent="0.25">
      <c r="A15" s="255" t="s">
        <v>248</v>
      </c>
      <c r="B15" s="255" t="s">
        <v>206</v>
      </c>
      <c r="C15" s="256">
        <v>2008</v>
      </c>
      <c r="D15" s="256">
        <v>75</v>
      </c>
      <c r="E15" s="256">
        <v>0</v>
      </c>
      <c r="F15" s="257"/>
      <c r="G15">
        <f t="shared" si="0"/>
        <v>50</v>
      </c>
    </row>
    <row r="16" spans="1:13" ht="30" x14ac:dyDescent="0.25">
      <c r="A16" s="255" t="s">
        <v>248</v>
      </c>
      <c r="B16" s="255" t="s">
        <v>206</v>
      </c>
      <c r="C16" s="256">
        <v>2008</v>
      </c>
      <c r="D16" s="256">
        <v>100</v>
      </c>
      <c r="E16" s="256">
        <v>0</v>
      </c>
      <c r="F16" s="257"/>
      <c r="G16">
        <f t="shared" si="0"/>
        <v>125</v>
      </c>
    </row>
    <row r="17" spans="1:9" ht="30" x14ac:dyDescent="0.25">
      <c r="A17" s="255" t="s">
        <v>248</v>
      </c>
      <c r="B17" s="255" t="s">
        <v>206</v>
      </c>
      <c r="C17" s="256">
        <v>2008</v>
      </c>
      <c r="D17" s="256">
        <v>175</v>
      </c>
      <c r="E17" s="256">
        <v>0</v>
      </c>
      <c r="F17" s="257"/>
      <c r="G17">
        <f t="shared" si="0"/>
        <v>175</v>
      </c>
    </row>
    <row r="18" spans="1:9" ht="30" x14ac:dyDescent="0.25">
      <c r="A18" s="255" t="s">
        <v>248</v>
      </c>
      <c r="B18" s="255" t="s">
        <v>206</v>
      </c>
      <c r="C18" s="256">
        <v>2008</v>
      </c>
      <c r="D18" s="256">
        <v>300</v>
      </c>
      <c r="E18" s="256">
        <v>0</v>
      </c>
      <c r="F18" s="257"/>
      <c r="G18">
        <f t="shared" si="0"/>
        <v>300</v>
      </c>
    </row>
    <row r="19" spans="1:9" ht="30" x14ac:dyDescent="0.25">
      <c r="A19" s="255" t="s">
        <v>248</v>
      </c>
      <c r="B19" s="255" t="s">
        <v>206</v>
      </c>
      <c r="C19" s="256">
        <v>2008</v>
      </c>
      <c r="D19" s="256">
        <v>600</v>
      </c>
      <c r="E19" s="256">
        <v>0</v>
      </c>
      <c r="F19" s="257"/>
      <c r="G19">
        <f t="shared" si="0"/>
        <v>400</v>
      </c>
    </row>
    <row r="20" spans="1:9" ht="30" x14ac:dyDescent="0.25">
      <c r="A20" s="255" t="s">
        <v>248</v>
      </c>
      <c r="B20" s="255" t="s">
        <v>206</v>
      </c>
      <c r="C20" s="256">
        <v>2009</v>
      </c>
      <c r="D20" s="256">
        <v>50</v>
      </c>
      <c r="E20" s="256">
        <v>0</v>
      </c>
      <c r="F20" s="257"/>
      <c r="G20">
        <f t="shared" si="0"/>
        <v>50</v>
      </c>
    </row>
    <row r="21" spans="1:9" ht="30" x14ac:dyDescent="0.25">
      <c r="A21" s="255" t="s">
        <v>248</v>
      </c>
      <c r="B21" s="255" t="s">
        <v>206</v>
      </c>
      <c r="C21" s="256">
        <v>2009</v>
      </c>
      <c r="D21" s="256">
        <v>75</v>
      </c>
      <c r="E21" s="256">
        <v>0</v>
      </c>
      <c r="F21" s="257"/>
      <c r="G21">
        <f t="shared" si="0"/>
        <v>50</v>
      </c>
    </row>
    <row r="22" spans="1:9" ht="30" x14ac:dyDescent="0.25">
      <c r="A22" s="255" t="s">
        <v>248</v>
      </c>
      <c r="B22" s="255" t="s">
        <v>206</v>
      </c>
      <c r="C22" s="256">
        <v>2009</v>
      </c>
      <c r="D22" s="256">
        <v>100</v>
      </c>
      <c r="E22" s="256">
        <v>0</v>
      </c>
      <c r="F22" s="257"/>
      <c r="G22">
        <f t="shared" si="0"/>
        <v>125</v>
      </c>
    </row>
    <row r="23" spans="1:9" ht="30" x14ac:dyDescent="0.25">
      <c r="A23" s="255" t="s">
        <v>248</v>
      </c>
      <c r="B23" s="255" t="s">
        <v>206</v>
      </c>
      <c r="C23" s="256">
        <v>2009</v>
      </c>
      <c r="D23" s="256">
        <v>175</v>
      </c>
      <c r="E23" s="256">
        <v>0</v>
      </c>
      <c r="F23" s="257"/>
      <c r="G23">
        <f t="shared" si="0"/>
        <v>175</v>
      </c>
    </row>
    <row r="24" spans="1:9" ht="30" x14ac:dyDescent="0.25">
      <c r="A24" s="255" t="s">
        <v>248</v>
      </c>
      <c r="B24" s="255" t="s">
        <v>206</v>
      </c>
      <c r="C24" s="256">
        <v>2009</v>
      </c>
      <c r="D24" s="256">
        <v>300</v>
      </c>
      <c r="E24" s="256">
        <v>0</v>
      </c>
      <c r="F24" s="257"/>
      <c r="G24">
        <f t="shared" si="0"/>
        <v>300</v>
      </c>
    </row>
    <row r="25" spans="1:9" ht="30" x14ac:dyDescent="0.25">
      <c r="A25" s="255" t="s">
        <v>248</v>
      </c>
      <c r="B25" s="255" t="s">
        <v>206</v>
      </c>
      <c r="C25" s="256">
        <v>2009</v>
      </c>
      <c r="D25" s="256">
        <v>600</v>
      </c>
      <c r="E25" s="256">
        <v>0</v>
      </c>
      <c r="F25" s="257"/>
      <c r="G25">
        <f t="shared" si="0"/>
        <v>400</v>
      </c>
    </row>
    <row r="26" spans="1:9" ht="30" x14ac:dyDescent="0.25">
      <c r="A26" s="255" t="s">
        <v>248</v>
      </c>
      <c r="B26" s="255" t="s">
        <v>206</v>
      </c>
      <c r="C26" s="256">
        <v>2010</v>
      </c>
      <c r="D26" s="256">
        <v>50</v>
      </c>
      <c r="E26" s="256">
        <v>0</v>
      </c>
      <c r="F26" s="257"/>
      <c r="G26">
        <f t="shared" si="0"/>
        <v>50</v>
      </c>
    </row>
    <row r="27" spans="1:9" ht="30" x14ac:dyDescent="0.25">
      <c r="A27" s="255" t="s">
        <v>248</v>
      </c>
      <c r="B27" s="255" t="s">
        <v>206</v>
      </c>
      <c r="C27" s="256">
        <v>2010</v>
      </c>
      <c r="D27" s="256">
        <v>75</v>
      </c>
      <c r="E27" s="256">
        <v>0</v>
      </c>
      <c r="F27" s="257"/>
      <c r="G27">
        <f t="shared" si="0"/>
        <v>50</v>
      </c>
    </row>
    <row r="28" spans="1:9" ht="30" x14ac:dyDescent="0.25">
      <c r="A28" s="255" t="s">
        <v>248</v>
      </c>
      <c r="B28" s="255" t="s">
        <v>206</v>
      </c>
      <c r="C28" s="256">
        <v>2010</v>
      </c>
      <c r="D28" s="256">
        <v>100</v>
      </c>
      <c r="E28" s="256">
        <v>0</v>
      </c>
      <c r="F28" s="257"/>
      <c r="G28">
        <f t="shared" si="0"/>
        <v>125</v>
      </c>
    </row>
    <row r="29" spans="1:9" ht="30" x14ac:dyDescent="0.25">
      <c r="A29" s="255" t="s">
        <v>248</v>
      </c>
      <c r="B29" s="255" t="s">
        <v>206</v>
      </c>
      <c r="C29" s="256">
        <v>2010</v>
      </c>
      <c r="D29" s="256">
        <v>175</v>
      </c>
      <c r="E29" s="256">
        <v>0</v>
      </c>
      <c r="F29" s="257"/>
      <c r="G29">
        <f t="shared" si="0"/>
        <v>175</v>
      </c>
    </row>
    <row r="30" spans="1:9" ht="30" x14ac:dyDescent="0.25">
      <c r="A30" s="255" t="s">
        <v>248</v>
      </c>
      <c r="B30" s="255" t="s">
        <v>206</v>
      </c>
      <c r="C30" s="256">
        <v>2010</v>
      </c>
      <c r="D30" s="256">
        <v>300</v>
      </c>
      <c r="E30" s="256">
        <v>0</v>
      </c>
      <c r="F30" s="257"/>
      <c r="G30">
        <f t="shared" si="0"/>
        <v>300</v>
      </c>
    </row>
    <row r="31" spans="1:9" ht="30" x14ac:dyDescent="0.25">
      <c r="A31" s="255" t="s">
        <v>248</v>
      </c>
      <c r="B31" s="255" t="s">
        <v>206</v>
      </c>
      <c r="C31" s="256">
        <v>2010</v>
      </c>
      <c r="D31" s="256">
        <v>600</v>
      </c>
      <c r="E31" s="256">
        <v>0</v>
      </c>
      <c r="F31" s="257"/>
      <c r="G31">
        <f t="shared" si="0"/>
        <v>400</v>
      </c>
    </row>
    <row r="32" spans="1:9" ht="30" x14ac:dyDescent="0.25">
      <c r="A32" s="255" t="s">
        <v>248</v>
      </c>
      <c r="B32" s="255" t="s">
        <v>206</v>
      </c>
      <c r="C32" s="256">
        <v>2011</v>
      </c>
      <c r="D32" s="256">
        <v>50</v>
      </c>
      <c r="E32" s="256">
        <v>0</v>
      </c>
      <c r="F32" s="257"/>
      <c r="G32">
        <f t="shared" si="0"/>
        <v>50</v>
      </c>
      <c r="H32" s="4">
        <f>IF(B32="RTG Crane",IF(D32&lt;600,800000,1200000),VLOOKUP(B32,'$$$ Replace &amp; Retrofit'!$B$10:$C$14,2)*'CHE Model poplulation'!D32)*E32</f>
        <v>0</v>
      </c>
      <c r="I32" s="197">
        <f>E32*VLOOKUP('CHE Model poplulation'!G32,'$$$ Replace &amp; Retrofit'!$I$10:$J$15,2)</f>
        <v>0</v>
      </c>
    </row>
    <row r="33" spans="1:13" ht="30" x14ac:dyDescent="0.25">
      <c r="A33" s="255" t="s">
        <v>248</v>
      </c>
      <c r="B33" s="255" t="s">
        <v>206</v>
      </c>
      <c r="C33" s="256">
        <v>2011</v>
      </c>
      <c r="D33" s="256">
        <v>75</v>
      </c>
      <c r="E33" s="256">
        <v>0</v>
      </c>
      <c r="F33" s="257"/>
      <c r="G33">
        <f t="shared" si="0"/>
        <v>50</v>
      </c>
      <c r="H33" s="4">
        <f>IF(B33="RTG Crane",IF(D33&lt;600,800000,1200000),VLOOKUP(B33,'$$$ Replace &amp; Retrofit'!$B$10:$C$14,2)*'CHE Model poplulation'!D33)*E33</f>
        <v>0</v>
      </c>
      <c r="I33" s="197">
        <f>E33*VLOOKUP('CHE Model poplulation'!G33,'$$$ Replace &amp; Retrofit'!$I$10:$J$15,2)</f>
        <v>0</v>
      </c>
      <c r="K33" s="239"/>
      <c r="L33" s="239"/>
      <c r="M33" s="239"/>
    </row>
    <row r="34" spans="1:13" ht="30" x14ac:dyDescent="0.25">
      <c r="A34" s="255" t="s">
        <v>248</v>
      </c>
      <c r="B34" s="255" t="s">
        <v>206</v>
      </c>
      <c r="C34" s="256">
        <v>2011</v>
      </c>
      <c r="D34" s="256">
        <v>100</v>
      </c>
      <c r="E34" s="256">
        <v>0</v>
      </c>
      <c r="F34" s="257"/>
      <c r="G34">
        <f t="shared" si="0"/>
        <v>125</v>
      </c>
      <c r="H34" s="4">
        <f>IF(B34="RTG Crane",IF(D34&lt;600,800000,1200000),VLOOKUP(B34,'$$$ Replace &amp; Retrofit'!$B$10:$C$14,2)*'CHE Model poplulation'!D34)*E34</f>
        <v>0</v>
      </c>
      <c r="I34" s="197">
        <f>E34*VLOOKUP('CHE Model poplulation'!G34,'$$$ Replace &amp; Retrofit'!$I$10:$J$15,2)</f>
        <v>0</v>
      </c>
      <c r="K34" s="239"/>
      <c r="L34" s="239"/>
      <c r="M34" s="239"/>
    </row>
    <row r="35" spans="1:13" ht="30" x14ac:dyDescent="0.25">
      <c r="A35" s="255" t="s">
        <v>248</v>
      </c>
      <c r="B35" s="255" t="s">
        <v>206</v>
      </c>
      <c r="C35" s="256">
        <v>2011</v>
      </c>
      <c r="D35" s="256">
        <v>175</v>
      </c>
      <c r="E35" s="256">
        <v>0</v>
      </c>
      <c r="F35" s="257"/>
      <c r="G35">
        <f t="shared" si="0"/>
        <v>175</v>
      </c>
      <c r="H35" s="4">
        <f>IF(B35="RTG Crane",IF(D35&lt;600,800000,1200000),VLOOKUP(B35,'$$$ Replace &amp; Retrofit'!$B$10:$C$14,2)*'CHE Model poplulation'!D35)*E35</f>
        <v>0</v>
      </c>
      <c r="I35" s="197">
        <f>E35*VLOOKUP('CHE Model poplulation'!G35,'$$$ Replace &amp; Retrofit'!$I$10:$J$15,2)</f>
        <v>0</v>
      </c>
      <c r="K35" s="239"/>
      <c r="L35" s="239"/>
      <c r="M35" s="239"/>
    </row>
    <row r="36" spans="1:13" ht="30" x14ac:dyDescent="0.25">
      <c r="A36" s="255" t="s">
        <v>248</v>
      </c>
      <c r="B36" s="255" t="s">
        <v>206</v>
      </c>
      <c r="C36" s="256">
        <v>2011</v>
      </c>
      <c r="D36" s="256">
        <v>300</v>
      </c>
      <c r="E36" s="256">
        <v>0</v>
      </c>
      <c r="F36" s="257"/>
      <c r="G36">
        <f t="shared" si="0"/>
        <v>300</v>
      </c>
      <c r="H36" s="4">
        <f>IF(B36="RTG Crane",IF(D36&lt;600,800000,1200000),VLOOKUP(B36,'$$$ Replace &amp; Retrofit'!$B$10:$C$14,2)*'CHE Model poplulation'!D36)*E36</f>
        <v>0</v>
      </c>
      <c r="I36" s="197">
        <f>E36*VLOOKUP('CHE Model poplulation'!G36,'$$$ Replace &amp; Retrofit'!$I$10:$J$15,2)</f>
        <v>0</v>
      </c>
      <c r="K36" s="239"/>
      <c r="L36" s="239"/>
      <c r="M36" s="239"/>
    </row>
    <row r="37" spans="1:13" ht="30" x14ac:dyDescent="0.25">
      <c r="A37" s="255" t="s">
        <v>248</v>
      </c>
      <c r="B37" s="255" t="s">
        <v>206</v>
      </c>
      <c r="C37" s="256">
        <v>2011</v>
      </c>
      <c r="D37" s="256">
        <v>600</v>
      </c>
      <c r="E37" s="256">
        <v>0</v>
      </c>
      <c r="F37" s="257"/>
      <c r="G37">
        <f t="shared" si="0"/>
        <v>400</v>
      </c>
      <c r="H37" s="4">
        <f>IF(B37="RTG Crane",IF(D37&lt;600,800000,1200000),VLOOKUP(B37,'$$$ Replace &amp; Retrofit'!$B$10:$C$14,2)*'CHE Model poplulation'!D37)*E37</f>
        <v>0</v>
      </c>
      <c r="I37" s="197">
        <f>E37*VLOOKUP('CHE Model poplulation'!G37,'$$$ Replace &amp; Retrofit'!$I$10:$J$15,2)</f>
        <v>0</v>
      </c>
      <c r="K37" s="239"/>
      <c r="L37" s="239"/>
      <c r="M37" s="239"/>
    </row>
    <row r="38" spans="1:13" ht="30" x14ac:dyDescent="0.25">
      <c r="A38" s="255" t="s">
        <v>248</v>
      </c>
      <c r="B38" s="255" t="s">
        <v>206</v>
      </c>
      <c r="C38" s="256">
        <v>2012</v>
      </c>
      <c r="D38" s="256">
        <v>50</v>
      </c>
      <c r="E38">
        <v>0.11372331603794</v>
      </c>
      <c r="F38" s="257"/>
      <c r="G38">
        <f t="shared" si="0"/>
        <v>50</v>
      </c>
      <c r="H38" s="4">
        <f>IF(B38="RTG Crane",IF(D38&lt;600,800000,1200000),VLOOKUP(B38,'$$$ Replace &amp; Retrofit'!$B$10:$C$14,2)*'CHE Model poplulation'!D38)*E38</f>
        <v>5686.1658018970002</v>
      </c>
      <c r="I38" s="197">
        <f>E38*VLOOKUP('CHE Model poplulation'!G38,'$$$ Replace &amp; Retrofit'!$I$10:$J$15,2)</f>
        <v>2000.1656824752888</v>
      </c>
      <c r="K38" s="239"/>
      <c r="L38" s="239"/>
      <c r="M38" s="239"/>
    </row>
    <row r="39" spans="1:13" ht="30" x14ac:dyDescent="0.25">
      <c r="A39" s="255" t="s">
        <v>248</v>
      </c>
      <c r="B39" s="255" t="s">
        <v>206</v>
      </c>
      <c r="C39" s="256">
        <v>2012</v>
      </c>
      <c r="D39" s="256">
        <v>75</v>
      </c>
      <c r="E39">
        <v>0.29217209022802199</v>
      </c>
      <c r="F39" s="257"/>
      <c r="G39">
        <f t="shared" si="0"/>
        <v>50</v>
      </c>
      <c r="H39" s="4">
        <f>IF(B39="RTG Crane",IF(D39&lt;600,800000,1200000),VLOOKUP(B39,'$$$ Replace &amp; Retrofit'!$B$10:$C$14,2)*'CHE Model poplulation'!D39)*E39</f>
        <v>21912.906767101649</v>
      </c>
      <c r="I39" s="197">
        <f>E39*VLOOKUP('CHE Model poplulation'!G39,'$$$ Replace &amp; Retrofit'!$I$10:$J$15,2)</f>
        <v>5138.7227229304508</v>
      </c>
      <c r="K39" s="239"/>
      <c r="L39" s="239"/>
      <c r="M39" s="239"/>
    </row>
    <row r="40" spans="1:13" ht="30" x14ac:dyDescent="0.25">
      <c r="A40" s="255" t="s">
        <v>248</v>
      </c>
      <c r="B40" s="255" t="s">
        <v>206</v>
      </c>
      <c r="C40" s="256">
        <v>2012</v>
      </c>
      <c r="D40" s="256">
        <v>100</v>
      </c>
      <c r="E40">
        <v>2.6834255149593799E-17</v>
      </c>
      <c r="F40" s="257"/>
      <c r="G40">
        <f t="shared" si="0"/>
        <v>125</v>
      </c>
      <c r="H40" s="4">
        <f>IF(B40="RTG Crane",IF(D40&lt;600,800000,1200000),VLOOKUP(B40,'$$$ Replace &amp; Retrofit'!$B$10:$C$14,2)*'CHE Model poplulation'!D40)*E40</f>
        <v>2.6834255149593799E-12</v>
      </c>
      <c r="I40" s="197">
        <f>E40*VLOOKUP('CHE Model poplulation'!G40,'$$$ Replace &amp; Retrofit'!$I$10:$J$15,2)</f>
        <v>5.2952035686693442E-13</v>
      </c>
      <c r="K40" s="239"/>
      <c r="L40" s="239"/>
      <c r="M40" s="239"/>
    </row>
    <row r="41" spans="1:13" ht="30" x14ac:dyDescent="0.25">
      <c r="A41" s="255" t="s">
        <v>248</v>
      </c>
      <c r="B41" s="255" t="s">
        <v>206</v>
      </c>
      <c r="C41" s="256">
        <v>2012</v>
      </c>
      <c r="D41" s="256">
        <v>175</v>
      </c>
      <c r="E41">
        <v>9.6420224033314901E-17</v>
      </c>
      <c r="F41" s="257"/>
      <c r="G41">
        <f t="shared" si="0"/>
        <v>175</v>
      </c>
      <c r="H41" s="4">
        <f>IF(B41="RTG Crane",IF(D41&lt;600,800000,1200000),VLOOKUP(B41,'$$$ Replace &amp; Retrofit'!$B$10:$C$14,2)*'CHE Model poplulation'!D41)*E41</f>
        <v>1.6873539205830108E-11</v>
      </c>
      <c r="I41" s="197">
        <f>E41*VLOOKUP('CHE Model poplulation'!G41,'$$$ Replace &amp; Retrofit'!$I$10:$J$15,2)</f>
        <v>2.3908358751300762E-12</v>
      </c>
      <c r="K41" s="239"/>
      <c r="L41" s="239"/>
      <c r="M41" s="239"/>
    </row>
    <row r="42" spans="1:13" ht="30" x14ac:dyDescent="0.25">
      <c r="A42" s="255" t="s">
        <v>248</v>
      </c>
      <c r="B42" s="255" t="s">
        <v>206</v>
      </c>
      <c r="C42" s="256">
        <v>2012</v>
      </c>
      <c r="D42" s="256">
        <v>300</v>
      </c>
      <c r="E42">
        <v>0.72607518957413897</v>
      </c>
      <c r="F42" s="257"/>
      <c r="G42">
        <f t="shared" si="0"/>
        <v>300</v>
      </c>
      <c r="H42" s="4">
        <f>IF(B42="RTG Crane",IF(D42&lt;600,800000,1200000),VLOOKUP(B42,'$$$ Replace &amp; Retrofit'!$B$10:$C$14,2)*'CHE Model poplulation'!D42)*E42</f>
        <v>217822.55687224169</v>
      </c>
      <c r="I42" s="197">
        <f>E42*VLOOKUP('CHE Model poplulation'!G42,'$$$ Replace &amp; Retrofit'!$I$10:$J$15,2)</f>
        <v>20884.100677720959</v>
      </c>
      <c r="K42" s="239"/>
      <c r="L42" s="239"/>
      <c r="M42" s="239"/>
    </row>
    <row r="43" spans="1:13" ht="30" x14ac:dyDescent="0.25">
      <c r="A43" s="255" t="s">
        <v>248</v>
      </c>
      <c r="B43" s="255" t="s">
        <v>206</v>
      </c>
      <c r="C43" s="256">
        <v>2012</v>
      </c>
      <c r="D43" s="256">
        <v>600</v>
      </c>
      <c r="E43">
        <v>1.24786297062685</v>
      </c>
      <c r="F43" s="257"/>
      <c r="G43">
        <f t="shared" si="0"/>
        <v>400</v>
      </c>
      <c r="H43" s="4">
        <f>IF(B43="RTG Crane",IF(D43&lt;600,800000,1200000),VLOOKUP(B43,'$$$ Replace &amp; Retrofit'!$B$10:$C$14,2)*'CHE Model poplulation'!D43)*E43</f>
        <v>748717.78237610997</v>
      </c>
      <c r="I43" s="197">
        <f>E43*VLOOKUP('CHE Model poplulation'!G43,'$$$ Replace &amp; Retrofit'!$I$10:$J$15,2)</f>
        <v>65304.412841814941</v>
      </c>
      <c r="K43" s="239"/>
      <c r="L43" s="239"/>
      <c r="M43" s="239"/>
    </row>
    <row r="44" spans="1:13" ht="30" x14ac:dyDescent="0.25">
      <c r="A44" s="255" t="s">
        <v>248</v>
      </c>
      <c r="B44" s="255" t="s">
        <v>206</v>
      </c>
      <c r="C44" s="256">
        <v>2013</v>
      </c>
      <c r="D44" s="256">
        <v>50</v>
      </c>
      <c r="E44">
        <v>0.22752123350040901</v>
      </c>
      <c r="F44" s="257"/>
      <c r="G44">
        <f t="shared" si="0"/>
        <v>50</v>
      </c>
      <c r="H44" s="4">
        <f>IF(B44="RTG Crane",IF(D44&lt;600,800000,1200000),VLOOKUP(B44,'$$$ Replace &amp; Retrofit'!$B$10:$C$14,2)*'CHE Model poplulation'!D44)*E44</f>
        <v>11376.06167502045</v>
      </c>
      <c r="I44" s="197">
        <f>E44*VLOOKUP('CHE Model poplulation'!G44,'$$$ Replace &amp; Retrofit'!$I$10:$J$15,2)</f>
        <v>4001.6434548051939</v>
      </c>
      <c r="K44" s="239"/>
      <c r="L44" s="239"/>
      <c r="M44" s="239"/>
    </row>
    <row r="45" spans="1:13" ht="30" x14ac:dyDescent="0.25">
      <c r="A45" s="255" t="s">
        <v>248</v>
      </c>
      <c r="B45" s="255" t="s">
        <v>206</v>
      </c>
      <c r="C45" s="256">
        <v>2013</v>
      </c>
      <c r="D45" s="256">
        <v>75</v>
      </c>
      <c r="E45">
        <v>0.51585335142607003</v>
      </c>
      <c r="F45" s="257"/>
      <c r="G45">
        <f t="shared" si="0"/>
        <v>50</v>
      </c>
      <c r="H45" s="4">
        <f>IF(B45="RTG Crane",IF(D45&lt;600,800000,1200000),VLOOKUP(B45,'$$$ Replace &amp; Retrofit'!$B$10:$C$14,2)*'CHE Model poplulation'!D45)*E45</f>
        <v>38689.001356955254</v>
      </c>
      <c r="I45" s="197">
        <f>E45*VLOOKUP('CHE Model poplulation'!G45,'$$$ Replace &amp; Retrofit'!$I$10:$J$15,2)</f>
        <v>9072.8287448817191</v>
      </c>
      <c r="K45" s="239"/>
      <c r="L45" s="239"/>
      <c r="M45" s="239"/>
    </row>
    <row r="46" spans="1:13" ht="30" x14ac:dyDescent="0.25">
      <c r="A46" s="255" t="s">
        <v>248</v>
      </c>
      <c r="B46" s="255" t="s">
        <v>206</v>
      </c>
      <c r="C46" s="256">
        <v>2013</v>
      </c>
      <c r="D46" s="256">
        <v>100</v>
      </c>
      <c r="E46">
        <v>0.269883124976592</v>
      </c>
      <c r="F46" s="257"/>
      <c r="G46">
        <f t="shared" si="0"/>
        <v>125</v>
      </c>
      <c r="H46" s="4">
        <f>IF(B46="RTG Crane",IF(D46&lt;600,800000,1200000),VLOOKUP(B46,'$$$ Replace &amp; Retrofit'!$B$10:$C$14,2)*'CHE Model poplulation'!D46)*E46</f>
        <v>26988.312497659201</v>
      </c>
      <c r="I46" s="197">
        <f>E46*VLOOKUP('CHE Model poplulation'!G46,'$$$ Replace &amp; Retrofit'!$I$10:$J$15,2)</f>
        <v>5325.6037051630901</v>
      </c>
      <c r="K46" s="239"/>
      <c r="L46" s="239"/>
      <c r="M46" s="239"/>
    </row>
    <row r="47" spans="1:13" ht="30" x14ac:dyDescent="0.25">
      <c r="A47" s="255" t="s">
        <v>248</v>
      </c>
      <c r="B47" s="255" t="s">
        <v>206</v>
      </c>
      <c r="C47" s="256">
        <v>2013</v>
      </c>
      <c r="D47" s="256">
        <v>175</v>
      </c>
      <c r="E47">
        <v>0.45866879758922002</v>
      </c>
      <c r="F47" s="257"/>
      <c r="G47">
        <f t="shared" si="0"/>
        <v>175</v>
      </c>
      <c r="H47" s="4">
        <f>IF(B47="RTG Crane",IF(D47&lt;600,800000,1200000),VLOOKUP(B47,'$$$ Replace &amp; Retrofit'!$B$10:$C$14,2)*'CHE Model poplulation'!D47)*E47</f>
        <v>80267.039578113501</v>
      </c>
      <c r="I47" s="197">
        <f>E47*VLOOKUP('CHE Model poplulation'!G47,'$$$ Replace &amp; Retrofit'!$I$10:$J$15,2)</f>
        <v>11373.151505022299</v>
      </c>
      <c r="K47" s="239"/>
      <c r="L47" s="239"/>
      <c r="M47" s="239"/>
    </row>
    <row r="48" spans="1:13" ht="30" x14ac:dyDescent="0.25">
      <c r="A48" s="255" t="s">
        <v>248</v>
      </c>
      <c r="B48" s="255" t="s">
        <v>206</v>
      </c>
      <c r="C48" s="256">
        <v>2013</v>
      </c>
      <c r="D48" s="256">
        <v>300</v>
      </c>
      <c r="E48">
        <v>1.2558135678854701</v>
      </c>
      <c r="F48" s="257"/>
      <c r="G48">
        <f t="shared" si="0"/>
        <v>300</v>
      </c>
      <c r="H48" s="4">
        <f>IF(B48="RTG Crane",IF(D48&lt;600,800000,1200000),VLOOKUP(B48,'$$$ Replace &amp; Retrofit'!$B$10:$C$14,2)*'CHE Model poplulation'!D48)*E48</f>
        <v>376744.07036564103</v>
      </c>
      <c r="I48" s="197">
        <f>E48*VLOOKUP('CHE Model poplulation'!G48,'$$$ Replace &amp; Retrofit'!$I$10:$J$15,2)</f>
        <v>36120.965653089777</v>
      </c>
      <c r="K48" s="239"/>
      <c r="L48" s="239"/>
      <c r="M48" s="239"/>
    </row>
    <row r="49" spans="1:13" ht="30" x14ac:dyDescent="0.25">
      <c r="A49" s="255" t="s">
        <v>248</v>
      </c>
      <c r="B49" s="255" t="s">
        <v>206</v>
      </c>
      <c r="C49" s="256">
        <v>2013</v>
      </c>
      <c r="D49" s="256">
        <v>600</v>
      </c>
      <c r="E49">
        <v>2.3927452502101998</v>
      </c>
      <c r="F49" s="257"/>
      <c r="G49">
        <f t="shared" si="0"/>
        <v>400</v>
      </c>
      <c r="H49" s="4">
        <f>IF(B49="RTG Crane",IF(D49&lt;600,800000,1200000),VLOOKUP(B49,'$$$ Replace &amp; Retrofit'!$B$10:$C$14,2)*'CHE Model poplulation'!D49)*E49</f>
        <v>1435647.1501261198</v>
      </c>
      <c r="I49" s="197">
        <f>E49*VLOOKUP('CHE Model poplulation'!G49,'$$$ Replace &amp; Retrofit'!$I$10:$J$15,2)</f>
        <v>125219.53717925039</v>
      </c>
      <c r="K49" s="239"/>
      <c r="L49" s="239"/>
      <c r="M49" s="239"/>
    </row>
    <row r="50" spans="1:13" ht="30" x14ac:dyDescent="0.25">
      <c r="A50" s="255" t="s">
        <v>248</v>
      </c>
      <c r="B50" s="255" t="s">
        <v>206</v>
      </c>
      <c r="C50" s="256">
        <v>2014</v>
      </c>
      <c r="D50" s="256">
        <v>50</v>
      </c>
      <c r="E50">
        <v>0.38975147277238698</v>
      </c>
      <c r="F50" s="257"/>
      <c r="G50">
        <f t="shared" si="0"/>
        <v>50</v>
      </c>
      <c r="H50" s="4">
        <f>IF(B50="RTG Crane",IF(D50&lt;600,800000,1200000),VLOOKUP(B50,'$$$ Replace &amp; Retrofit'!$B$10:$C$14,2)*'CHE Model poplulation'!D50)*E50</f>
        <v>19487.573638619349</v>
      </c>
      <c r="I50" s="197">
        <f>E50*VLOOKUP('CHE Model poplulation'!G50,'$$$ Replace &amp; Retrofit'!$I$10:$J$15,2)</f>
        <v>6854.9489031207422</v>
      </c>
      <c r="K50" s="239"/>
      <c r="L50" s="239"/>
      <c r="M50" s="239"/>
    </row>
    <row r="51" spans="1:13" ht="30" x14ac:dyDescent="0.25">
      <c r="A51" s="255" t="s">
        <v>248</v>
      </c>
      <c r="B51" s="255" t="s">
        <v>206</v>
      </c>
      <c r="C51" s="256">
        <v>2014</v>
      </c>
      <c r="D51" s="256">
        <v>75</v>
      </c>
      <c r="E51">
        <v>0.85255746414557998</v>
      </c>
      <c r="F51" s="257"/>
      <c r="G51">
        <f t="shared" si="0"/>
        <v>50</v>
      </c>
      <c r="H51" s="4">
        <f>IF(B51="RTG Crane",IF(D51&lt;600,800000,1200000),VLOOKUP(B51,'$$$ Replace &amp; Retrofit'!$B$10:$C$14,2)*'CHE Model poplulation'!D51)*E51</f>
        <v>63941.809810918501</v>
      </c>
      <c r="I51" s="197">
        <f>E51*VLOOKUP('CHE Model poplulation'!G51,'$$$ Replace &amp; Retrofit'!$I$10:$J$15,2)</f>
        <v>14994.780679392461</v>
      </c>
      <c r="K51" s="239"/>
      <c r="L51" s="239"/>
      <c r="M51" s="239"/>
    </row>
    <row r="52" spans="1:13" ht="30" x14ac:dyDescent="0.25">
      <c r="A52" s="255" t="s">
        <v>248</v>
      </c>
      <c r="B52" s="255" t="s">
        <v>206</v>
      </c>
      <c r="C52" s="256">
        <v>2014</v>
      </c>
      <c r="D52" s="256">
        <v>100</v>
      </c>
      <c r="E52">
        <v>0.66703086201599404</v>
      </c>
      <c r="F52" s="257"/>
      <c r="G52">
        <f t="shared" si="0"/>
        <v>125</v>
      </c>
      <c r="H52" s="4">
        <f>IF(B52="RTG Crane",IF(D52&lt;600,800000,1200000),VLOOKUP(B52,'$$$ Replace &amp; Retrofit'!$B$10:$C$14,2)*'CHE Model poplulation'!D52)*E52</f>
        <v>66703.086201599406</v>
      </c>
      <c r="I52" s="197">
        <f>E52*VLOOKUP('CHE Model poplulation'!G52,'$$$ Replace &amp; Retrofit'!$I$10:$J$15,2)</f>
        <v>13162.52000016161</v>
      </c>
      <c r="K52" s="239"/>
      <c r="L52" s="239"/>
      <c r="M52" s="239"/>
    </row>
    <row r="53" spans="1:13" ht="30" x14ac:dyDescent="0.25">
      <c r="A53" s="255" t="s">
        <v>248</v>
      </c>
      <c r="B53" s="255" t="s">
        <v>206</v>
      </c>
      <c r="C53" s="256">
        <v>2014</v>
      </c>
      <c r="D53" s="256">
        <v>175</v>
      </c>
      <c r="E53">
        <v>1.3737083111196899</v>
      </c>
      <c r="F53" s="257"/>
      <c r="G53">
        <f t="shared" si="0"/>
        <v>175</v>
      </c>
      <c r="H53" s="4">
        <f>IF(B53="RTG Crane",IF(D53&lt;600,800000,1200000),VLOOKUP(B53,'$$$ Replace &amp; Retrofit'!$B$10:$C$14,2)*'CHE Model poplulation'!D53)*E53</f>
        <v>240398.95444594574</v>
      </c>
      <c r="I53" s="197">
        <f>E53*VLOOKUP('CHE Model poplulation'!G53,'$$$ Replace &amp; Retrofit'!$I$10:$J$15,2)</f>
        <v>34062.471282523831</v>
      </c>
      <c r="K53" s="239"/>
      <c r="L53" s="239"/>
      <c r="M53" s="239"/>
    </row>
    <row r="54" spans="1:13" ht="30" x14ac:dyDescent="0.25">
      <c r="A54" s="255" t="s">
        <v>248</v>
      </c>
      <c r="B54" s="255" t="s">
        <v>206</v>
      </c>
      <c r="C54" s="256">
        <v>2014</v>
      </c>
      <c r="D54" s="256">
        <v>300</v>
      </c>
      <c r="E54">
        <v>2.0151162607495698</v>
      </c>
      <c r="F54" s="257"/>
      <c r="G54">
        <f t="shared" si="0"/>
        <v>300</v>
      </c>
      <c r="H54" s="4">
        <f>IF(B54="RTG Crane",IF(D54&lt;600,800000,1200000),VLOOKUP(B54,'$$$ Replace &amp; Retrofit'!$B$10:$C$14,2)*'CHE Model poplulation'!D54)*E54</f>
        <v>604534.878224871</v>
      </c>
      <c r="I54" s="197">
        <f>E54*VLOOKUP('CHE Model poplulation'!G54,'$$$ Replace &amp; Retrofit'!$I$10:$J$15,2)</f>
        <v>57960.789007939879</v>
      </c>
      <c r="K54" s="239"/>
      <c r="L54" s="239"/>
      <c r="M54" s="239"/>
    </row>
    <row r="55" spans="1:13" ht="30" x14ac:dyDescent="0.25">
      <c r="A55" s="255" t="s">
        <v>248</v>
      </c>
      <c r="B55" s="255" t="s">
        <v>206</v>
      </c>
      <c r="C55" s="256">
        <v>2014</v>
      </c>
      <c r="D55" s="256">
        <v>600</v>
      </c>
      <c r="E55">
        <v>4.0194944981947502</v>
      </c>
      <c r="F55" s="257"/>
      <c r="G55">
        <f t="shared" si="0"/>
        <v>400</v>
      </c>
      <c r="H55" s="4">
        <f>IF(B55="RTG Crane",IF(D55&lt;600,800000,1200000),VLOOKUP(B55,'$$$ Replace &amp; Retrofit'!$B$10:$C$14,2)*'CHE Model poplulation'!D55)*E55</f>
        <v>2411696.6989168501</v>
      </c>
      <c r="I55" s="197">
        <f>E55*VLOOKUP('CHE Model poplulation'!G55,'$$$ Replace &amp; Retrofit'!$I$10:$J$15,2)</f>
        <v>210352.20557402587</v>
      </c>
      <c r="K55" s="239"/>
      <c r="L55" s="239"/>
      <c r="M55" s="239"/>
    </row>
    <row r="56" spans="1:13" ht="30" x14ac:dyDescent="0.25">
      <c r="A56" s="255" t="s">
        <v>248</v>
      </c>
      <c r="B56" s="255" t="s">
        <v>206</v>
      </c>
      <c r="C56" s="256">
        <v>2015</v>
      </c>
      <c r="D56" s="256">
        <v>50</v>
      </c>
      <c r="E56">
        <v>0.54455816003788304</v>
      </c>
      <c r="F56" s="257"/>
      <c r="G56">
        <f t="shared" si="0"/>
        <v>50</v>
      </c>
      <c r="H56" s="4">
        <f>IF(B56="RTG Crane",IF(D56&lt;600,800000,1200000),VLOOKUP(B56,'$$$ Replace &amp; Retrofit'!$B$10:$C$14,2)*'CHE Model poplulation'!D56)*E56</f>
        <v>27227.908001894153</v>
      </c>
      <c r="I56" s="197">
        <f>E56*VLOOKUP('CHE Model poplulation'!G56,'$$$ Replace &amp; Retrofit'!$I$10:$J$15,2)</f>
        <v>9577.6889187462875</v>
      </c>
      <c r="K56" s="239"/>
      <c r="L56" s="239"/>
      <c r="M56" s="239"/>
    </row>
    <row r="57" spans="1:13" ht="30" x14ac:dyDescent="0.25">
      <c r="A57" s="255" t="s">
        <v>248</v>
      </c>
      <c r="B57" s="255" t="s">
        <v>206</v>
      </c>
      <c r="C57" s="256">
        <v>2015</v>
      </c>
      <c r="D57" s="256">
        <v>75</v>
      </c>
      <c r="E57">
        <v>1.2217804614908701</v>
      </c>
      <c r="F57" s="257"/>
      <c r="G57">
        <f t="shared" si="0"/>
        <v>50</v>
      </c>
      <c r="H57" s="4">
        <f>IF(B57="RTG Crane",IF(D57&lt;600,800000,1200000),VLOOKUP(B57,'$$$ Replace &amp; Retrofit'!$B$10:$C$14,2)*'CHE Model poplulation'!D57)*E57</f>
        <v>91633.534611815252</v>
      </c>
      <c r="I57" s="197">
        <f>E57*VLOOKUP('CHE Model poplulation'!G57,'$$$ Replace &amp; Retrofit'!$I$10:$J$15,2)</f>
        <v>21488.674756701421</v>
      </c>
      <c r="K57" s="239"/>
      <c r="L57" s="239"/>
      <c r="M57" s="239"/>
    </row>
    <row r="58" spans="1:13" ht="30" x14ac:dyDescent="0.25">
      <c r="A58" s="255" t="s">
        <v>248</v>
      </c>
      <c r="B58" s="255" t="s">
        <v>206</v>
      </c>
      <c r="C58" s="256">
        <v>2015</v>
      </c>
      <c r="D58" s="256">
        <v>100</v>
      </c>
      <c r="E58">
        <v>1.0958162825822</v>
      </c>
      <c r="F58" s="257"/>
      <c r="G58">
        <f t="shared" si="0"/>
        <v>125</v>
      </c>
      <c r="H58" s="4">
        <f>IF(B58="RTG Crane",IF(D58&lt;600,800000,1200000),VLOOKUP(B58,'$$$ Replace &amp; Retrofit'!$B$10:$C$14,2)*'CHE Model poplulation'!D58)*E58</f>
        <v>109581.62825821999</v>
      </c>
      <c r="I58" s="197">
        <f>E58*VLOOKUP('CHE Model poplulation'!G58,'$$$ Replace &amp; Retrofit'!$I$10:$J$15,2)</f>
        <v>21623.742704194552</v>
      </c>
      <c r="K58" s="239"/>
      <c r="L58" s="239"/>
      <c r="M58" s="239"/>
    </row>
    <row r="59" spans="1:13" ht="30" x14ac:dyDescent="0.25">
      <c r="A59" s="255" t="s">
        <v>248</v>
      </c>
      <c r="B59" s="255" t="s">
        <v>206</v>
      </c>
      <c r="C59" s="256">
        <v>2015</v>
      </c>
      <c r="D59" s="256">
        <v>175</v>
      </c>
      <c r="E59">
        <v>2.2209008050094798</v>
      </c>
      <c r="F59" s="257"/>
      <c r="G59">
        <f t="shared" si="0"/>
        <v>175</v>
      </c>
      <c r="H59" s="4">
        <f>IF(B59="RTG Crane",IF(D59&lt;600,800000,1200000),VLOOKUP(B59,'$$$ Replace &amp; Retrofit'!$B$10:$C$14,2)*'CHE Model poplulation'!D59)*E59</f>
        <v>388657.64087665896</v>
      </c>
      <c r="I59" s="197">
        <f>E59*VLOOKUP('CHE Model poplulation'!G59,'$$$ Replace &amp; Retrofit'!$I$10:$J$15,2)</f>
        <v>55069.456361015065</v>
      </c>
      <c r="K59" s="239"/>
      <c r="L59" s="239"/>
      <c r="M59" s="239"/>
    </row>
    <row r="60" spans="1:13" ht="30" x14ac:dyDescent="0.25">
      <c r="A60" s="255" t="s">
        <v>248</v>
      </c>
      <c r="B60" s="255" t="s">
        <v>206</v>
      </c>
      <c r="C60" s="256">
        <v>2015</v>
      </c>
      <c r="D60" s="256">
        <v>300</v>
      </c>
      <c r="E60">
        <v>2.7266707190943702</v>
      </c>
      <c r="F60" s="257"/>
      <c r="G60">
        <f t="shared" si="0"/>
        <v>300</v>
      </c>
      <c r="H60" s="4">
        <f>IF(B60="RTG Crane",IF(D60&lt;600,800000,1200000),VLOOKUP(B60,'$$$ Replace &amp; Retrofit'!$B$10:$C$14,2)*'CHE Model poplulation'!D60)*E60</f>
        <v>818001.2157283111</v>
      </c>
      <c r="I60" s="197">
        <f>E60*VLOOKUP('CHE Model poplulation'!G60,'$$$ Replace &amp; Retrofit'!$I$10:$J$15,2)</f>
        <v>78427.229893311363</v>
      </c>
      <c r="K60" s="239"/>
      <c r="L60" s="239"/>
      <c r="M60" s="239"/>
    </row>
    <row r="61" spans="1:13" ht="30" x14ac:dyDescent="0.25">
      <c r="A61" s="255" t="s">
        <v>248</v>
      </c>
      <c r="B61" s="255" t="s">
        <v>206</v>
      </c>
      <c r="C61" s="256">
        <v>2015</v>
      </c>
      <c r="D61" s="256">
        <v>600</v>
      </c>
      <c r="E61">
        <v>5.7136479227663903</v>
      </c>
      <c r="F61" s="257"/>
      <c r="G61">
        <f t="shared" si="0"/>
        <v>400</v>
      </c>
      <c r="H61" s="4">
        <f>IF(B61="RTG Crane",IF(D61&lt;600,800000,1200000),VLOOKUP(B61,'$$$ Replace &amp; Retrofit'!$B$10:$C$14,2)*'CHE Model poplulation'!D61)*E61</f>
        <v>3428188.7536598342</v>
      </c>
      <c r="I61" s="197">
        <f>E61*VLOOKUP('CHE Model poplulation'!G61,'$$$ Replace &amp; Retrofit'!$I$10:$J$15,2)</f>
        <v>299012.33674213348</v>
      </c>
      <c r="K61" s="239"/>
      <c r="L61" s="239"/>
      <c r="M61" s="239"/>
    </row>
    <row r="62" spans="1:13" ht="30" x14ac:dyDescent="0.25">
      <c r="A62" s="255" t="s">
        <v>248</v>
      </c>
      <c r="B62" s="255" t="s">
        <v>206</v>
      </c>
      <c r="C62" s="256">
        <v>2016</v>
      </c>
      <c r="D62" s="256">
        <v>50</v>
      </c>
      <c r="E62">
        <v>0.70961309827967201</v>
      </c>
      <c r="F62" s="257"/>
      <c r="G62">
        <f t="shared" si="0"/>
        <v>50</v>
      </c>
      <c r="H62" s="4">
        <f>IF(B62="RTG Crane",IF(D62&lt;600,800000,1200000),VLOOKUP(B62,'$$$ Replace &amp; Retrofit'!$B$10:$C$14,2)*'CHE Model poplulation'!D62)*E62</f>
        <v>35480.654913983599</v>
      </c>
      <c r="I62" s="197">
        <f>E62*VLOOKUP('CHE Model poplulation'!G62,'$$$ Replace &amp; Retrofit'!$I$10:$J$15,2)</f>
        <v>12480.675172542871</v>
      </c>
      <c r="K62" s="239"/>
      <c r="L62" s="239"/>
      <c r="M62" s="239"/>
    </row>
    <row r="63" spans="1:13" ht="30" x14ac:dyDescent="0.25">
      <c r="A63" s="255" t="s">
        <v>248</v>
      </c>
      <c r="B63" s="255" t="s">
        <v>206</v>
      </c>
      <c r="C63" s="256">
        <v>2016</v>
      </c>
      <c r="D63" s="256">
        <v>75</v>
      </c>
      <c r="E63">
        <v>1.5703586522539601</v>
      </c>
      <c r="F63" s="257"/>
      <c r="G63">
        <f t="shared" si="0"/>
        <v>50</v>
      </c>
      <c r="H63" s="4">
        <f>IF(B63="RTG Crane",IF(D63&lt;600,800000,1200000),VLOOKUP(B63,'$$$ Replace &amp; Retrofit'!$B$10:$C$14,2)*'CHE Model poplulation'!D63)*E63</f>
        <v>117776.898919047</v>
      </c>
      <c r="I63" s="197">
        <f>E63*VLOOKUP('CHE Model poplulation'!G63,'$$$ Replace &amp; Retrofit'!$I$10:$J$15,2)</f>
        <v>27619.46797584265</v>
      </c>
      <c r="K63" s="239"/>
      <c r="L63" s="239"/>
      <c r="M63" s="239"/>
    </row>
    <row r="64" spans="1:13" ht="30" x14ac:dyDescent="0.25">
      <c r="A64" s="255" t="s">
        <v>248</v>
      </c>
      <c r="B64" s="255" t="s">
        <v>206</v>
      </c>
      <c r="C64" s="256">
        <v>2016</v>
      </c>
      <c r="D64" s="256">
        <v>100</v>
      </c>
      <c r="E64">
        <v>1.4751939967758101</v>
      </c>
      <c r="F64" s="257"/>
      <c r="G64">
        <f t="shared" si="0"/>
        <v>125</v>
      </c>
      <c r="H64" s="4">
        <f>IF(B64="RTG Crane",IF(D64&lt;600,800000,1200000),VLOOKUP(B64,'$$$ Replace &amp; Retrofit'!$B$10:$C$14,2)*'CHE Model poplulation'!D64)*E64</f>
        <v>147519.39967758101</v>
      </c>
      <c r="I64" s="197">
        <f>E64*VLOOKUP('CHE Model poplulation'!G64,'$$$ Replace &amp; Retrofit'!$I$10:$J$15,2)</f>
        <v>29110.003138377062</v>
      </c>
      <c r="K64" s="239"/>
      <c r="L64" s="239"/>
      <c r="M64" s="239"/>
    </row>
    <row r="65" spans="1:13" ht="30" x14ac:dyDescent="0.25">
      <c r="A65" s="255" t="s">
        <v>248</v>
      </c>
      <c r="B65" s="255" t="s">
        <v>206</v>
      </c>
      <c r="C65" s="256">
        <v>2016</v>
      </c>
      <c r="D65" s="256">
        <v>175</v>
      </c>
      <c r="E65">
        <v>3.05612009949684</v>
      </c>
      <c r="F65" s="257"/>
      <c r="G65">
        <f t="shared" si="0"/>
        <v>175</v>
      </c>
      <c r="H65" s="4">
        <f>IF(B65="RTG Crane",IF(D65&lt;600,800000,1200000),VLOOKUP(B65,'$$$ Replace &amp; Retrofit'!$B$10:$C$14,2)*'CHE Model poplulation'!D65)*E65</f>
        <v>534821.01741194702</v>
      </c>
      <c r="I65" s="197">
        <f>E65*VLOOKUP('CHE Model poplulation'!G65,'$$$ Replace &amp; Retrofit'!$I$10:$J$15,2)</f>
        <v>75779.55398712364</v>
      </c>
      <c r="K65" s="239"/>
      <c r="L65" s="239"/>
      <c r="M65" s="239"/>
    </row>
    <row r="66" spans="1:13" ht="30" x14ac:dyDescent="0.25">
      <c r="A66" s="255" t="s">
        <v>248</v>
      </c>
      <c r="B66" s="255" t="s">
        <v>206</v>
      </c>
      <c r="C66" s="256">
        <v>2016</v>
      </c>
      <c r="D66" s="256">
        <v>300</v>
      </c>
      <c r="E66">
        <v>3.5052324593916002</v>
      </c>
      <c r="F66" s="257"/>
      <c r="G66">
        <f t="shared" ref="G66:G121" si="1">IF(OR(D66=50,D66=75),50,IF(OR(D66=100,D66=125),125,IF(D66&gt;=400,400,D66)))</f>
        <v>300</v>
      </c>
      <c r="H66" s="4">
        <f>IF(B66="RTG Crane",IF(D66&lt;600,800000,1200000),VLOOKUP(B66,'$$$ Replace &amp; Retrofit'!$B$10:$C$14,2)*'CHE Model poplulation'!D66)*E66</f>
        <v>1051569.73781748</v>
      </c>
      <c r="I66" s="197">
        <f>E66*VLOOKUP('CHE Model poplulation'!G66,'$$$ Replace &amp; Retrofit'!$I$10:$J$15,2)</f>
        <v>100821.00122948059</v>
      </c>
      <c r="K66" s="239"/>
      <c r="L66" s="239"/>
      <c r="M66" s="239"/>
    </row>
    <row r="67" spans="1:13" ht="30" x14ac:dyDescent="0.25">
      <c r="A67" s="255" t="s">
        <v>248</v>
      </c>
      <c r="B67" s="255" t="s">
        <v>206</v>
      </c>
      <c r="C67" s="256">
        <v>2016</v>
      </c>
      <c r="D67" s="256">
        <v>600</v>
      </c>
      <c r="E67">
        <v>7.3658304368498397</v>
      </c>
      <c r="F67" s="257"/>
      <c r="G67">
        <f t="shared" si="1"/>
        <v>400</v>
      </c>
      <c r="H67" s="4">
        <f>IF(B67="RTG Crane",IF(D67&lt;600,800000,1200000),VLOOKUP(B67,'$$$ Replace &amp; Retrofit'!$B$10:$C$14,2)*'CHE Model poplulation'!D67)*E67</f>
        <v>4419498.2621099036</v>
      </c>
      <c r="I67" s="197">
        <f>E67*VLOOKUP('CHE Model poplulation'!G67,'$$$ Replace &amp; Retrofit'!$I$10:$J$15,2)</f>
        <v>385476.00425166264</v>
      </c>
      <c r="K67" s="239"/>
      <c r="L67" s="239"/>
      <c r="M67" s="239"/>
    </row>
    <row r="68" spans="1:13" ht="30" x14ac:dyDescent="0.25">
      <c r="A68" s="255" t="s">
        <v>248</v>
      </c>
      <c r="B68" s="255" t="s">
        <v>206</v>
      </c>
      <c r="C68" s="256">
        <v>2017</v>
      </c>
      <c r="D68" s="256">
        <v>50</v>
      </c>
      <c r="E68">
        <v>0.70516930791940502</v>
      </c>
      <c r="F68" s="257"/>
      <c r="G68">
        <f t="shared" si="1"/>
        <v>50</v>
      </c>
      <c r="H68" s="4">
        <f>IF(B68="RTG Crane",IF(D68&lt;600,800000,1200000),VLOOKUP(B68,'$$$ Replace &amp; Retrofit'!$B$10:$C$14,2)*'CHE Model poplulation'!D68)*E68</f>
        <v>35258.465395970248</v>
      </c>
      <c r="I68" s="197">
        <f>E68*VLOOKUP('CHE Model poplulation'!G68,'$$$ Replace &amp; Retrofit'!$I$10:$J$15,2)</f>
        <v>12402.517787686496</v>
      </c>
      <c r="K68" s="239"/>
      <c r="L68" s="239"/>
      <c r="M68" s="239"/>
    </row>
    <row r="69" spans="1:13" ht="30" x14ac:dyDescent="0.25">
      <c r="A69" s="255" t="s">
        <v>248</v>
      </c>
      <c r="B69" s="255" t="s">
        <v>206</v>
      </c>
      <c r="C69" s="256">
        <v>2017</v>
      </c>
      <c r="D69" s="256">
        <v>75</v>
      </c>
      <c r="E69">
        <v>1.5678211052636299</v>
      </c>
      <c r="F69" s="257"/>
      <c r="G69">
        <f t="shared" si="1"/>
        <v>50</v>
      </c>
      <c r="H69" s="4">
        <f>IF(B69="RTG Crane",IF(D69&lt;600,800000,1200000),VLOOKUP(B69,'$$$ Replace &amp; Retrofit'!$B$10:$C$14,2)*'CHE Model poplulation'!D69)*E69</f>
        <v>117586.58289477225</v>
      </c>
      <c r="I69" s="197">
        <f>E69*VLOOKUP('CHE Model poplulation'!G69,'$$$ Replace &amp; Retrofit'!$I$10:$J$15,2)</f>
        <v>27574.837599376722</v>
      </c>
      <c r="K69" s="239"/>
      <c r="L69" s="239"/>
      <c r="M69" s="239"/>
    </row>
    <row r="70" spans="1:13" ht="30" x14ac:dyDescent="0.25">
      <c r="A70" s="255" t="s">
        <v>248</v>
      </c>
      <c r="B70" s="255" t="s">
        <v>206</v>
      </c>
      <c r="C70" s="256">
        <v>2017</v>
      </c>
      <c r="D70" s="256">
        <v>100</v>
      </c>
      <c r="E70">
        <v>1.46717865918053</v>
      </c>
      <c r="F70" s="257"/>
      <c r="G70">
        <f t="shared" si="1"/>
        <v>125</v>
      </c>
      <c r="H70" s="4">
        <f>IF(B70="RTG Crane",IF(D70&lt;600,800000,1200000),VLOOKUP(B70,'$$$ Replace &amp; Retrofit'!$B$10:$C$14,2)*'CHE Model poplulation'!D70)*E70</f>
        <v>146717.86591805299</v>
      </c>
      <c r="I70" s="197">
        <f>E70*VLOOKUP('CHE Model poplulation'!G70,'$$$ Replace &amp; Retrofit'!$I$10:$J$15,2)</f>
        <v>28951.8364816094</v>
      </c>
      <c r="K70" s="239"/>
      <c r="L70" s="239"/>
      <c r="M70" s="239"/>
    </row>
    <row r="71" spans="1:13" ht="30" x14ac:dyDescent="0.25">
      <c r="A71" s="255" t="s">
        <v>248</v>
      </c>
      <c r="B71" s="255" t="s">
        <v>206</v>
      </c>
      <c r="C71" s="256">
        <v>2017</v>
      </c>
      <c r="D71" s="256">
        <v>175</v>
      </c>
      <c r="E71">
        <v>3.0694908670627798</v>
      </c>
      <c r="F71" s="257"/>
      <c r="G71">
        <f t="shared" si="1"/>
        <v>175</v>
      </c>
      <c r="H71" s="4">
        <f>IF(B71="RTG Crane",IF(D71&lt;600,800000,1200000),VLOOKUP(B71,'$$$ Replace &amp; Retrofit'!$B$10:$C$14,2)*'CHE Model poplulation'!D71)*E71</f>
        <v>537160.90173598647</v>
      </c>
      <c r="I71" s="197">
        <f>E71*VLOOKUP('CHE Model poplulation'!G71,'$$$ Replace &amp; Retrofit'!$I$10:$J$15,2)</f>
        <v>76111.095539688686</v>
      </c>
      <c r="K71" s="239"/>
      <c r="L71" s="239"/>
      <c r="M71" s="239"/>
    </row>
    <row r="72" spans="1:13" ht="30" x14ac:dyDescent="0.25">
      <c r="A72" s="255" t="s">
        <v>248</v>
      </c>
      <c r="B72" s="255" t="s">
        <v>206</v>
      </c>
      <c r="C72" s="256">
        <v>2017</v>
      </c>
      <c r="D72" s="256">
        <v>300</v>
      </c>
      <c r="E72">
        <v>3.5270289080925799</v>
      </c>
      <c r="F72" s="257"/>
      <c r="G72">
        <f t="shared" si="1"/>
        <v>300</v>
      </c>
      <c r="H72" s="4">
        <f>IF(B72="RTG Crane",IF(D72&lt;600,800000,1200000),VLOOKUP(B72,'$$$ Replace &amp; Retrofit'!$B$10:$C$14,2)*'CHE Model poplulation'!D72)*E72</f>
        <v>1058108.6724277739</v>
      </c>
      <c r="I72" s="197">
        <f>E72*VLOOKUP('CHE Model poplulation'!G72,'$$$ Replace &amp; Retrofit'!$I$10:$J$15,2)</f>
        <v>101447.93248346688</v>
      </c>
      <c r="K72" s="239"/>
      <c r="L72" s="239"/>
      <c r="M72" s="239"/>
    </row>
    <row r="73" spans="1:13" ht="30" x14ac:dyDescent="0.25">
      <c r="A73" s="255" t="s">
        <v>248</v>
      </c>
      <c r="B73" s="255" t="s">
        <v>206</v>
      </c>
      <c r="C73" s="256">
        <v>2017</v>
      </c>
      <c r="D73" s="256">
        <v>600</v>
      </c>
      <c r="E73">
        <v>7.3535623867427997</v>
      </c>
      <c r="F73" s="257"/>
      <c r="G73">
        <f t="shared" si="1"/>
        <v>400</v>
      </c>
      <c r="H73" s="4">
        <f>IF(B73="RTG Crane",IF(D73&lt;600,800000,1200000),VLOOKUP(B73,'$$$ Replace &amp; Retrofit'!$B$10:$C$14,2)*'CHE Model poplulation'!D73)*E73</f>
        <v>4412137.4320456795</v>
      </c>
      <c r="I73" s="197">
        <f>E73*VLOOKUP('CHE Model poplulation'!G73,'$$$ Replace &amp; Retrofit'!$I$10:$J$15,2)</f>
        <v>384833.98038541095</v>
      </c>
      <c r="K73" s="239"/>
      <c r="L73" s="239"/>
      <c r="M73" s="239"/>
    </row>
    <row r="74" spans="1:13" ht="30" x14ac:dyDescent="0.25">
      <c r="A74" s="255" t="s">
        <v>248</v>
      </c>
      <c r="B74" s="255" t="s">
        <v>206</v>
      </c>
      <c r="C74" s="256">
        <v>2018</v>
      </c>
      <c r="D74" s="256">
        <v>50</v>
      </c>
      <c r="E74">
        <v>0.69874419560126899</v>
      </c>
      <c r="F74" s="257"/>
      <c r="G74">
        <f t="shared" si="1"/>
        <v>50</v>
      </c>
      <c r="H74" s="4">
        <f>IF(B74="RTG Crane",IF(D74&lt;600,800000,1200000),VLOOKUP(B74,'$$$ Replace &amp; Retrofit'!$B$10:$C$14,2)*'CHE Model poplulation'!D74)*E74</f>
        <v>34937.209780063451</v>
      </c>
      <c r="I74" s="197">
        <f>E74*VLOOKUP('CHE Model poplulation'!G74,'$$$ Replace &amp; Retrofit'!$I$10:$J$15,2)</f>
        <v>12289.512912235119</v>
      </c>
      <c r="K74" s="239"/>
      <c r="L74" s="239"/>
      <c r="M74" s="239"/>
    </row>
    <row r="75" spans="1:13" ht="30" x14ac:dyDescent="0.25">
      <c r="A75" s="255" t="s">
        <v>248</v>
      </c>
      <c r="B75" s="255" t="s">
        <v>206</v>
      </c>
      <c r="C75" s="256">
        <v>2018</v>
      </c>
      <c r="D75" s="256">
        <v>75</v>
      </c>
      <c r="E75">
        <v>1.5591149648885601</v>
      </c>
      <c r="F75" s="257"/>
      <c r="G75">
        <f t="shared" si="1"/>
        <v>50</v>
      </c>
      <c r="H75" s="4">
        <f>IF(B75="RTG Crane",IF(D75&lt;600,800000,1200000),VLOOKUP(B75,'$$$ Replace &amp; Retrofit'!$B$10:$C$14,2)*'CHE Model poplulation'!D75)*E75</f>
        <v>116933.622366642</v>
      </c>
      <c r="I75" s="197">
        <f>E75*VLOOKUP('CHE Model poplulation'!G75,'$$$ Replace &amp; Retrofit'!$I$10:$J$15,2)</f>
        <v>27421.714002459994</v>
      </c>
      <c r="K75" s="239"/>
      <c r="L75" s="239"/>
      <c r="M75" s="239"/>
    </row>
    <row r="76" spans="1:13" ht="30" x14ac:dyDescent="0.25">
      <c r="A76" s="255" t="s">
        <v>248</v>
      </c>
      <c r="B76" s="255" t="s">
        <v>206</v>
      </c>
      <c r="C76" s="256">
        <v>2018</v>
      </c>
      <c r="D76" s="256">
        <v>100</v>
      </c>
      <c r="E76">
        <v>1.45436555493124</v>
      </c>
      <c r="F76" s="257"/>
      <c r="G76">
        <f t="shared" si="1"/>
        <v>125</v>
      </c>
      <c r="H76" s="4">
        <f>IF(B76="RTG Crane",IF(D76&lt;600,800000,1200000),VLOOKUP(B76,'$$$ Replace &amp; Retrofit'!$B$10:$C$14,2)*'CHE Model poplulation'!D76)*E76</f>
        <v>145436.555493124</v>
      </c>
      <c r="I76" s="197">
        <f>E76*VLOOKUP('CHE Model poplulation'!G76,'$$$ Replace &amp; Retrofit'!$I$10:$J$15,2)</f>
        <v>28698.995495458159</v>
      </c>
      <c r="K76" s="239"/>
      <c r="L76" s="239"/>
      <c r="M76" s="239"/>
    </row>
    <row r="77" spans="1:13" ht="30" x14ac:dyDescent="0.25">
      <c r="A77" s="255" t="s">
        <v>248</v>
      </c>
      <c r="B77" s="255" t="s">
        <v>206</v>
      </c>
      <c r="C77" s="256">
        <v>2018</v>
      </c>
      <c r="D77" s="256">
        <v>175</v>
      </c>
      <c r="E77">
        <v>3.0674335838455802</v>
      </c>
      <c r="F77" s="257"/>
      <c r="G77">
        <f t="shared" si="1"/>
        <v>175</v>
      </c>
      <c r="H77" s="4">
        <f>IF(B77="RTG Crane",IF(D77&lt;600,800000,1200000),VLOOKUP(B77,'$$$ Replace &amp; Retrofit'!$B$10:$C$14,2)*'CHE Model poplulation'!D77)*E77</f>
        <v>536800.8771729765</v>
      </c>
      <c r="I77" s="197">
        <f>E77*VLOOKUP('CHE Model poplulation'!G77,'$$$ Replace &amp; Retrofit'!$I$10:$J$15,2)</f>
        <v>76060.083145035009</v>
      </c>
      <c r="K77" s="239"/>
      <c r="L77" s="239"/>
      <c r="M77" s="239"/>
    </row>
    <row r="78" spans="1:13" ht="30" x14ac:dyDescent="0.25">
      <c r="A78" s="255" t="s">
        <v>248</v>
      </c>
      <c r="B78" s="255" t="s">
        <v>206</v>
      </c>
      <c r="C78" s="256">
        <v>2018</v>
      </c>
      <c r="D78" s="256">
        <v>300</v>
      </c>
      <c r="E78">
        <v>3.52858730693423</v>
      </c>
      <c r="F78" s="257"/>
      <c r="G78">
        <f t="shared" si="1"/>
        <v>300</v>
      </c>
      <c r="H78" s="4">
        <f>IF(B78="RTG Crane",IF(D78&lt;600,800000,1200000),VLOOKUP(B78,'$$$ Replace &amp; Retrofit'!$B$10:$C$14,2)*'CHE Model poplulation'!D78)*E78</f>
        <v>1058576.1920802689</v>
      </c>
      <c r="I78" s="197">
        <f>E78*VLOOKUP('CHE Model poplulation'!G78,'$$$ Replace &amp; Retrofit'!$I$10:$J$15,2)</f>
        <v>101492.75670934925</v>
      </c>
      <c r="K78" s="239"/>
      <c r="L78" s="239"/>
      <c r="M78" s="239"/>
    </row>
    <row r="79" spans="1:13" ht="30" x14ac:dyDescent="0.25">
      <c r="A79" s="255" t="s">
        <v>248</v>
      </c>
      <c r="B79" s="255" t="s">
        <v>206</v>
      </c>
      <c r="C79" s="256">
        <v>2018</v>
      </c>
      <c r="D79" s="256">
        <v>600</v>
      </c>
      <c r="E79">
        <v>7.3118572324002296</v>
      </c>
      <c r="F79" s="257"/>
      <c r="G79">
        <f t="shared" si="1"/>
        <v>400</v>
      </c>
      <c r="H79" s="4">
        <f>IF(B79="RTG Crane",IF(D79&lt;600,800000,1200000),VLOOKUP(B79,'$$$ Replace &amp; Retrofit'!$B$10:$C$14,2)*'CHE Model poplulation'!D79)*E79</f>
        <v>4387114.3394401381</v>
      </c>
      <c r="I79" s="197">
        <f>E79*VLOOKUP('CHE Model poplulation'!G79,'$$$ Replace &amp; Retrofit'!$I$10:$J$15,2)</f>
        <v>382651.42454320122</v>
      </c>
      <c r="K79" s="239"/>
      <c r="L79" s="239"/>
      <c r="M79" s="239"/>
    </row>
    <row r="80" spans="1:13" ht="30" x14ac:dyDescent="0.25">
      <c r="A80" s="255" t="s">
        <v>248</v>
      </c>
      <c r="B80" s="255" t="s">
        <v>206</v>
      </c>
      <c r="C80" s="256">
        <v>2019</v>
      </c>
      <c r="D80" s="256">
        <v>50</v>
      </c>
      <c r="E80">
        <v>0.69282053882410199</v>
      </c>
      <c r="F80" s="257"/>
      <c r="G80">
        <f t="shared" si="1"/>
        <v>50</v>
      </c>
      <c r="H80" s="4">
        <f>IF(B80="RTG Crane",IF(D80&lt;600,800000,1200000),VLOOKUP(B80,'$$$ Replace &amp; Retrofit'!$B$10:$C$14,2)*'CHE Model poplulation'!D80)*E80</f>
        <v>34641.026941205098</v>
      </c>
      <c r="I80" s="197">
        <f>E80*VLOOKUP('CHE Model poplulation'!G80,'$$$ Replace &amp; Retrofit'!$I$10:$J$15,2)</f>
        <v>12185.327636838307</v>
      </c>
      <c r="K80" s="239"/>
      <c r="L80" s="239"/>
      <c r="M80" s="239"/>
    </row>
    <row r="81" spans="1:13" ht="30" x14ac:dyDescent="0.25">
      <c r="A81" s="255" t="s">
        <v>248</v>
      </c>
      <c r="B81" s="255" t="s">
        <v>206</v>
      </c>
      <c r="C81" s="256">
        <v>2019</v>
      </c>
      <c r="D81" s="256">
        <v>75</v>
      </c>
      <c r="E81">
        <v>1.55221547348943</v>
      </c>
      <c r="F81" s="257"/>
      <c r="G81">
        <f t="shared" si="1"/>
        <v>50</v>
      </c>
      <c r="H81" s="4">
        <f>IF(B81="RTG Crane",IF(D81&lt;600,800000,1200000),VLOOKUP(B81,'$$$ Replace &amp; Retrofit'!$B$10:$C$14,2)*'CHE Model poplulation'!D81)*E81</f>
        <v>116416.16051170725</v>
      </c>
      <c r="I81" s="197">
        <f>E81*VLOOKUP('CHE Model poplulation'!G81,'$$$ Replace &amp; Retrofit'!$I$10:$J$15,2)</f>
        <v>27300.365747732096</v>
      </c>
      <c r="K81" s="239"/>
      <c r="L81" s="239"/>
      <c r="M81" s="239"/>
    </row>
    <row r="82" spans="1:13" ht="30" x14ac:dyDescent="0.25">
      <c r="A82" s="255" t="s">
        <v>248</v>
      </c>
      <c r="B82" s="255" t="s">
        <v>206</v>
      </c>
      <c r="C82" s="256">
        <v>2019</v>
      </c>
      <c r="D82" s="256">
        <v>100</v>
      </c>
      <c r="E82">
        <v>1.44419865198872</v>
      </c>
      <c r="F82" s="257"/>
      <c r="G82">
        <f t="shared" si="1"/>
        <v>125</v>
      </c>
      <c r="H82" s="4">
        <f>IF(B82="RTG Crane",IF(D82&lt;600,800000,1200000),VLOOKUP(B82,'$$$ Replace &amp; Retrofit'!$B$10:$C$14,2)*'CHE Model poplulation'!D82)*E82</f>
        <v>144419.86519887199</v>
      </c>
      <c r="I82" s="197">
        <f>E82*VLOOKUP('CHE Model poplulation'!G82,'$$$ Replace &amp; Retrofit'!$I$10:$J$15,2)</f>
        <v>28498.371999693412</v>
      </c>
      <c r="K82" s="239"/>
      <c r="L82" s="239"/>
      <c r="M82" s="239"/>
    </row>
    <row r="83" spans="1:13" ht="30" x14ac:dyDescent="0.25">
      <c r="A83" s="255" t="s">
        <v>248</v>
      </c>
      <c r="B83" s="255" t="s">
        <v>206</v>
      </c>
      <c r="C83" s="256">
        <v>2019</v>
      </c>
      <c r="D83" s="256">
        <v>175</v>
      </c>
      <c r="E83">
        <v>3.0684553126132599</v>
      </c>
      <c r="F83" s="257"/>
      <c r="G83">
        <f t="shared" si="1"/>
        <v>175</v>
      </c>
      <c r="H83" s="4">
        <f>IF(B83="RTG Crane",IF(D83&lt;600,800000,1200000),VLOOKUP(B83,'$$$ Replace &amp; Retrofit'!$B$10:$C$14,2)*'CHE Model poplulation'!D83)*E83</f>
        <v>536979.67970732052</v>
      </c>
      <c r="I83" s="197">
        <f>E83*VLOOKUP('CHE Model poplulation'!G83,'$$$ Replace &amp; Retrofit'!$I$10:$J$15,2)</f>
        <v>76085.41793155839</v>
      </c>
      <c r="K83" s="239"/>
      <c r="L83" s="239"/>
      <c r="M83" s="239"/>
    </row>
    <row r="84" spans="1:13" ht="30" x14ac:dyDescent="0.25">
      <c r="A84" s="255" t="s">
        <v>248</v>
      </c>
      <c r="B84" s="255" t="s">
        <v>206</v>
      </c>
      <c r="C84" s="256">
        <v>2019</v>
      </c>
      <c r="D84" s="256">
        <v>300</v>
      </c>
      <c r="E84">
        <v>3.5315139603808001</v>
      </c>
      <c r="F84" s="257"/>
      <c r="G84">
        <f t="shared" si="1"/>
        <v>300</v>
      </c>
      <c r="H84" s="4">
        <f>IF(B84="RTG Crane",IF(D84&lt;600,800000,1200000),VLOOKUP(B84,'$$$ Replace &amp; Retrofit'!$B$10:$C$14,2)*'CHE Model poplulation'!D84)*E84</f>
        <v>1059454.1881142401</v>
      </c>
      <c r="I84" s="197">
        <f>E84*VLOOKUP('CHE Model poplulation'!G84,'$$$ Replace &amp; Retrofit'!$I$10:$J$15,2)</f>
        <v>101576.93604243295</v>
      </c>
      <c r="K84" s="239"/>
      <c r="L84" s="239"/>
      <c r="M84" s="239"/>
    </row>
    <row r="85" spans="1:13" ht="30" x14ac:dyDescent="0.25">
      <c r="A85" s="255" t="s">
        <v>248</v>
      </c>
      <c r="B85" s="255" t="s">
        <v>206</v>
      </c>
      <c r="C85" s="256">
        <v>2019</v>
      </c>
      <c r="D85" s="256">
        <v>600</v>
      </c>
      <c r="E85">
        <v>7.2780387356394698</v>
      </c>
      <c r="F85" s="257"/>
      <c r="G85">
        <f t="shared" si="1"/>
        <v>400</v>
      </c>
      <c r="H85" s="4">
        <f>IF(B85="RTG Crane",IF(D85&lt;600,800000,1200000),VLOOKUP(B85,'$$$ Replace &amp; Retrofit'!$B$10:$C$14,2)*'CHE Model poplulation'!D85)*E85</f>
        <v>4366823.241383682</v>
      </c>
      <c r="I85" s="197">
        <f>E85*VLOOKUP('CHE Model poplulation'!G85,'$$$ Replace &amp; Retrofit'!$I$10:$J$15,2)</f>
        <v>380881.60115222039</v>
      </c>
      <c r="K85" s="239"/>
      <c r="L85" s="239"/>
      <c r="M85" s="239"/>
    </row>
    <row r="86" spans="1:13" ht="30" x14ac:dyDescent="0.25">
      <c r="A86" s="255" t="s">
        <v>248</v>
      </c>
      <c r="B86" s="255" t="s">
        <v>206</v>
      </c>
      <c r="C86" s="256">
        <v>2020</v>
      </c>
      <c r="D86" s="256">
        <v>50</v>
      </c>
      <c r="E86">
        <v>0.68571250481874002</v>
      </c>
      <c r="F86" s="257"/>
      <c r="G86">
        <f t="shared" si="1"/>
        <v>50</v>
      </c>
      <c r="H86" s="4">
        <f>IF(B86="RTG Crane",IF(D86&lt;600,800000,1200000),VLOOKUP(B86,'$$$ Replace &amp; Retrofit'!$B$10:$C$14,2)*'CHE Model poplulation'!D86)*E86</f>
        <v>34285.625240936999</v>
      </c>
      <c r="I86" s="197">
        <f>E86*VLOOKUP('CHE Model poplulation'!G86,'$$$ Replace &amp; Retrofit'!$I$10:$J$15,2)</f>
        <v>12060.311534752</v>
      </c>
      <c r="K86" s="239"/>
      <c r="L86" s="239"/>
      <c r="M86" s="239"/>
    </row>
    <row r="87" spans="1:13" ht="30" x14ac:dyDescent="0.25">
      <c r="A87" s="255" t="s">
        <v>248</v>
      </c>
      <c r="B87" s="255" t="s">
        <v>206</v>
      </c>
      <c r="C87" s="256">
        <v>2020</v>
      </c>
      <c r="D87" s="256">
        <v>75</v>
      </c>
      <c r="E87">
        <v>1.5383517371969599</v>
      </c>
      <c r="F87" s="257"/>
      <c r="G87">
        <f t="shared" si="1"/>
        <v>50</v>
      </c>
      <c r="H87" s="4">
        <f>IF(B87="RTG Crane",IF(D87&lt;600,800000,1200000),VLOOKUP(B87,'$$$ Replace &amp; Retrofit'!$B$10:$C$14,2)*'CHE Model poplulation'!D87)*E87</f>
        <v>115376.380289772</v>
      </c>
      <c r="I87" s="197">
        <f>E87*VLOOKUP('CHE Model poplulation'!G87,'$$$ Replace &amp; Retrofit'!$I$10:$J$15,2)</f>
        <v>27056.530353820133</v>
      </c>
      <c r="K87" s="239"/>
      <c r="L87" s="239"/>
      <c r="M87" s="239"/>
    </row>
    <row r="88" spans="1:13" ht="30" x14ac:dyDescent="0.25">
      <c r="A88" s="255" t="s">
        <v>248</v>
      </c>
      <c r="B88" s="255" t="s">
        <v>206</v>
      </c>
      <c r="C88" s="256">
        <v>2020</v>
      </c>
      <c r="D88" s="256">
        <v>100</v>
      </c>
      <c r="E88">
        <v>1.4288095772668099</v>
      </c>
      <c r="F88" s="257"/>
      <c r="G88">
        <f t="shared" si="1"/>
        <v>125</v>
      </c>
      <c r="H88" s="4">
        <f>IF(B88="RTG Crane",IF(D88&lt;600,800000,1200000),VLOOKUP(B88,'$$$ Replace &amp; Retrofit'!$B$10:$C$14,2)*'CHE Model poplulation'!D88)*E88</f>
        <v>142880.95772668099</v>
      </c>
      <c r="I88" s="197">
        <f>E88*VLOOKUP('CHE Model poplulation'!G88,'$$$ Replace &amp; Retrofit'!$I$10:$J$15,2)</f>
        <v>28194.699388205961</v>
      </c>
      <c r="K88" s="239"/>
      <c r="L88" s="239"/>
      <c r="M88" s="239"/>
    </row>
    <row r="89" spans="1:13" ht="30" x14ac:dyDescent="0.25">
      <c r="A89" s="255" t="s">
        <v>248</v>
      </c>
      <c r="B89" s="255" t="s">
        <v>206</v>
      </c>
      <c r="C89" s="256">
        <v>2020</v>
      </c>
      <c r="D89" s="256">
        <v>175</v>
      </c>
      <c r="E89">
        <v>3.0582491894525501</v>
      </c>
      <c r="F89" s="257"/>
      <c r="G89">
        <f t="shared" si="1"/>
        <v>175</v>
      </c>
      <c r="H89" s="4">
        <f>IF(B89="RTG Crane",IF(D89&lt;600,800000,1200000),VLOOKUP(B89,'$$$ Replace &amp; Retrofit'!$B$10:$C$14,2)*'CHE Model poplulation'!D89)*E89</f>
        <v>535193.60815419629</v>
      </c>
      <c r="I89" s="197">
        <f>E89*VLOOKUP('CHE Model poplulation'!G89,'$$$ Replace &amp; Retrofit'!$I$10:$J$15,2)</f>
        <v>75832.346901665427</v>
      </c>
      <c r="K89" s="239"/>
      <c r="L89" s="239"/>
      <c r="M89" s="239"/>
    </row>
    <row r="90" spans="1:13" ht="30" x14ac:dyDescent="0.25">
      <c r="A90" s="255" t="s">
        <v>248</v>
      </c>
      <c r="B90" s="255" t="s">
        <v>206</v>
      </c>
      <c r="C90" s="256">
        <v>2020</v>
      </c>
      <c r="D90" s="256">
        <v>300</v>
      </c>
      <c r="E90">
        <v>3.5097540611376701</v>
      </c>
      <c r="F90" s="257"/>
      <c r="G90">
        <f t="shared" si="1"/>
        <v>300</v>
      </c>
      <c r="H90" s="4">
        <f>IF(B90="RTG Crane",IF(D90&lt;600,800000,1200000),VLOOKUP(B90,'$$$ Replace &amp; Retrofit'!$B$10:$C$14,2)*'CHE Model poplulation'!D90)*E90</f>
        <v>1052926.218341301</v>
      </c>
      <c r="I90" s="197">
        <f>E90*VLOOKUP('CHE Model poplulation'!G90,'$$$ Replace &amp; Retrofit'!$I$10:$J$15,2)</f>
        <v>100951.0560605028</v>
      </c>
      <c r="K90" s="239"/>
      <c r="L90" s="239"/>
      <c r="M90" s="239"/>
    </row>
    <row r="91" spans="1:13" ht="30" x14ac:dyDescent="0.25">
      <c r="A91" s="255" t="s">
        <v>248</v>
      </c>
      <c r="B91" s="255" t="s">
        <v>206</v>
      </c>
      <c r="C91" s="256">
        <v>2020</v>
      </c>
      <c r="D91" s="256">
        <v>600</v>
      </c>
      <c r="E91">
        <v>7.2043840148343801</v>
      </c>
      <c r="F91" s="257"/>
      <c r="G91">
        <f t="shared" si="1"/>
        <v>400</v>
      </c>
      <c r="H91" s="4">
        <f>IF(B91="RTG Crane",IF(D91&lt;600,800000,1200000),VLOOKUP(B91,'$$$ Replace &amp; Retrofit'!$B$10:$C$14,2)*'CHE Model poplulation'!D91)*E91</f>
        <v>4322630.4089006279</v>
      </c>
      <c r="I91" s="197">
        <f>E91*VLOOKUP('CHE Model poplulation'!G91,'$$$ Replace &amp; Retrofit'!$I$10:$J$15,2)</f>
        <v>377027.02864832763</v>
      </c>
      <c r="K91" s="239"/>
      <c r="L91" s="239"/>
      <c r="M91" s="239"/>
    </row>
    <row r="92" spans="1:13" ht="30" x14ac:dyDescent="0.25">
      <c r="A92" s="255" t="s">
        <v>248</v>
      </c>
      <c r="B92" s="255" t="s">
        <v>206</v>
      </c>
      <c r="C92" s="256">
        <v>2021</v>
      </c>
      <c r="D92" s="256">
        <v>50</v>
      </c>
      <c r="E92">
        <v>0.67785852656787504</v>
      </c>
      <c r="F92" s="257"/>
      <c r="G92">
        <f t="shared" si="1"/>
        <v>50</v>
      </c>
      <c r="H92" s="4">
        <f>IF(B92="RTG Crane",IF(D92&lt;600,800000,1200000),VLOOKUP(B92,'$$$ Replace &amp; Retrofit'!$B$10:$C$14,2)*'CHE Model poplulation'!D92)*E92</f>
        <v>33892.926328393754</v>
      </c>
      <c r="I92" s="197">
        <f>E92*VLOOKUP('CHE Model poplulation'!G92,'$$$ Replace &amp; Retrofit'!$I$10:$J$15,2)</f>
        <v>11922.175765275786</v>
      </c>
      <c r="K92" s="239"/>
      <c r="L92" s="239"/>
      <c r="M92" s="239"/>
    </row>
    <row r="93" spans="1:13" ht="30" x14ac:dyDescent="0.25">
      <c r="A93" s="255" t="s">
        <v>248</v>
      </c>
      <c r="B93" s="255" t="s">
        <v>206</v>
      </c>
      <c r="C93" s="256">
        <v>2021</v>
      </c>
      <c r="D93" s="256">
        <v>75</v>
      </c>
      <c r="E93">
        <v>1.52130386052138</v>
      </c>
      <c r="F93" s="257"/>
      <c r="G93">
        <f t="shared" si="1"/>
        <v>50</v>
      </c>
      <c r="H93" s="4">
        <f>IF(B93="RTG Crane",IF(D93&lt;600,800000,1200000),VLOOKUP(B93,'$$$ Replace &amp; Retrofit'!$B$10:$C$14,2)*'CHE Model poplulation'!D93)*E93</f>
        <v>114097.7895391035</v>
      </c>
      <c r="I93" s="197">
        <f>E93*VLOOKUP('CHE Model poplulation'!G93,'$$$ Replace &amp; Retrofit'!$I$10:$J$15,2)</f>
        <v>26756.69229885003</v>
      </c>
      <c r="K93" s="239"/>
      <c r="L93" s="239"/>
      <c r="M93" s="239"/>
    </row>
    <row r="94" spans="1:13" ht="30" x14ac:dyDescent="0.25">
      <c r="A94" s="255" t="s">
        <v>248</v>
      </c>
      <c r="B94" s="255" t="s">
        <v>206</v>
      </c>
      <c r="C94" s="256">
        <v>2021</v>
      </c>
      <c r="D94" s="256">
        <v>100</v>
      </c>
      <c r="E94">
        <v>1.4118503290423301</v>
      </c>
      <c r="F94" s="257"/>
      <c r="G94">
        <f t="shared" si="1"/>
        <v>125</v>
      </c>
      <c r="H94" s="4">
        <f>IF(B94="RTG Crane",IF(D94&lt;600,800000,1200000),VLOOKUP(B94,'$$$ Replace &amp; Retrofit'!$B$10:$C$14,2)*'CHE Model poplulation'!D94)*E94</f>
        <v>141185.032904233</v>
      </c>
      <c r="I94" s="197">
        <f>E94*VLOOKUP('CHE Model poplulation'!G94,'$$$ Replace &amp; Retrofit'!$I$10:$J$15,2)</f>
        <v>27860.042542992302</v>
      </c>
      <c r="K94" s="239"/>
      <c r="L94" s="239"/>
      <c r="M94" s="239"/>
    </row>
    <row r="95" spans="1:13" ht="30" x14ac:dyDescent="0.25">
      <c r="A95" s="255" t="s">
        <v>248</v>
      </c>
      <c r="B95" s="255" t="s">
        <v>206</v>
      </c>
      <c r="C95" s="256">
        <v>2021</v>
      </c>
      <c r="D95" s="256">
        <v>175</v>
      </c>
      <c r="E95">
        <v>3.0432907568788901</v>
      </c>
      <c r="F95" s="257"/>
      <c r="G95">
        <f t="shared" si="1"/>
        <v>175</v>
      </c>
      <c r="H95" s="4">
        <f>IF(B95="RTG Crane",IF(D95&lt;600,800000,1200000),VLOOKUP(B95,'$$$ Replace &amp; Retrofit'!$B$10:$C$14,2)*'CHE Model poplulation'!D95)*E95</f>
        <v>532575.88245380577</v>
      </c>
      <c r="I95" s="197">
        <f>E95*VLOOKUP('CHE Model poplulation'!G95,'$$$ Replace &amp; Retrofit'!$I$10:$J$15,2)</f>
        <v>75461.437607568951</v>
      </c>
      <c r="K95" s="239"/>
      <c r="L95" s="239"/>
      <c r="M95" s="239"/>
    </row>
    <row r="96" spans="1:13" ht="30" x14ac:dyDescent="0.25">
      <c r="A96" s="255" t="s">
        <v>248</v>
      </c>
      <c r="B96" s="255" t="s">
        <v>206</v>
      </c>
      <c r="C96" s="256">
        <v>2021</v>
      </c>
      <c r="D96" s="256">
        <v>300</v>
      </c>
      <c r="E96">
        <v>3.4800031136135599</v>
      </c>
      <c r="F96" s="257"/>
      <c r="G96">
        <f t="shared" si="1"/>
        <v>300</v>
      </c>
      <c r="H96" s="4">
        <f>IF(B96="RTG Crane",IF(D96&lt;600,800000,1200000),VLOOKUP(B96,'$$$ Replace &amp; Retrofit'!$B$10:$C$14,2)*'CHE Model poplulation'!D96)*E96</f>
        <v>1044000.9340840679</v>
      </c>
      <c r="I96" s="197">
        <f>E96*VLOOKUP('CHE Model poplulation'!G96,'$$$ Replace &amp; Retrofit'!$I$10:$J$15,2)</f>
        <v>100095.32955686683</v>
      </c>
      <c r="K96" s="239"/>
      <c r="L96" s="239"/>
      <c r="M96" s="239"/>
    </row>
    <row r="97" spans="1:13" ht="30" x14ac:dyDescent="0.25">
      <c r="A97" s="255" t="s">
        <v>248</v>
      </c>
      <c r="B97" s="255" t="s">
        <v>206</v>
      </c>
      <c r="C97" s="256">
        <v>2021</v>
      </c>
      <c r="D97" s="256">
        <v>600</v>
      </c>
      <c r="E97">
        <v>7.1189144931377397</v>
      </c>
      <c r="F97" s="257"/>
      <c r="G97">
        <f t="shared" si="1"/>
        <v>400</v>
      </c>
      <c r="H97" s="4">
        <f>IF(B97="RTG Crane",IF(D97&lt;600,800000,1200000),VLOOKUP(B97,'$$$ Replace &amp; Retrofit'!$B$10:$C$14,2)*'CHE Model poplulation'!D97)*E97</f>
        <v>4271348.6958826436</v>
      </c>
      <c r="I97" s="197">
        <f>E97*VLOOKUP('CHE Model poplulation'!G97,'$$$ Replace &amp; Retrofit'!$I$10:$J$15,2)</f>
        <v>372554.15216937731</v>
      </c>
      <c r="K97" s="239"/>
      <c r="L97" s="239"/>
      <c r="M97" s="239"/>
    </row>
    <row r="98" spans="1:13" ht="30" x14ac:dyDescent="0.25">
      <c r="A98" s="255" t="s">
        <v>248</v>
      </c>
      <c r="B98" s="255" t="s">
        <v>206</v>
      </c>
      <c r="C98" s="256">
        <v>2022</v>
      </c>
      <c r="D98" s="256">
        <v>50</v>
      </c>
      <c r="E98">
        <v>0.66993254653716705</v>
      </c>
      <c r="F98" s="257"/>
      <c r="G98">
        <f t="shared" si="1"/>
        <v>50</v>
      </c>
      <c r="H98" s="4">
        <f>IF(B98="RTG Crane",IF(D98&lt;600,800000,1200000),VLOOKUP(B98,'$$$ Replace &amp; Retrofit'!$B$10:$C$14,2)*'CHE Model poplulation'!D98)*E98</f>
        <v>33496.627326858354</v>
      </c>
      <c r="I98" s="197">
        <f>E98*VLOOKUP('CHE Model poplulation'!G98,'$$$ Replace &amp; Retrofit'!$I$10:$J$15,2)</f>
        <v>11782.773628495694</v>
      </c>
      <c r="K98" s="239"/>
      <c r="L98" s="239"/>
      <c r="M98" s="239"/>
    </row>
    <row r="99" spans="1:13" ht="30" x14ac:dyDescent="0.25">
      <c r="A99" s="255" t="s">
        <v>248</v>
      </c>
      <c r="B99" s="255" t="s">
        <v>206</v>
      </c>
      <c r="C99" s="256">
        <v>2022</v>
      </c>
      <c r="D99" s="256">
        <v>75</v>
      </c>
      <c r="E99">
        <v>1.50150437966058</v>
      </c>
      <c r="F99" s="257"/>
      <c r="G99">
        <f t="shared" si="1"/>
        <v>50</v>
      </c>
      <c r="H99" s="4">
        <f>IF(B99="RTG Crane",IF(D99&lt;600,800000,1200000),VLOOKUP(B99,'$$$ Replace &amp; Retrofit'!$B$10:$C$14,2)*'CHE Model poplulation'!D99)*E99</f>
        <v>112612.82847454351</v>
      </c>
      <c r="I99" s="197">
        <f>E99*VLOOKUP('CHE Model poplulation'!G99,'$$$ Replace &amp; Retrofit'!$I$10:$J$15,2)</f>
        <v>26408.459029470283</v>
      </c>
      <c r="K99" s="239"/>
      <c r="L99" s="239"/>
      <c r="M99" s="239"/>
    </row>
    <row r="100" spans="1:13" ht="30" x14ac:dyDescent="0.25">
      <c r="A100" s="255" t="s">
        <v>248</v>
      </c>
      <c r="B100" s="255" t="s">
        <v>206</v>
      </c>
      <c r="C100" s="256">
        <v>2022</v>
      </c>
      <c r="D100" s="256">
        <v>100</v>
      </c>
      <c r="E100">
        <v>1.39112605942462</v>
      </c>
      <c r="F100" s="257"/>
      <c r="G100">
        <f t="shared" si="1"/>
        <v>125</v>
      </c>
      <c r="H100" s="4">
        <f>IF(B100="RTG Crane",IF(D100&lt;600,800000,1200000),VLOOKUP(B100,'$$$ Replace &amp; Retrofit'!$B$10:$C$14,2)*'CHE Model poplulation'!D100)*E100</f>
        <v>139112.60594246199</v>
      </c>
      <c r="I100" s="197">
        <f>E100*VLOOKUP('CHE Model poplulation'!G100,'$$$ Replace &amp; Retrofit'!$I$10:$J$15,2)</f>
        <v>27451.090530626025</v>
      </c>
      <c r="K100" s="239"/>
      <c r="L100" s="239"/>
      <c r="M100" s="239"/>
    </row>
    <row r="101" spans="1:13" ht="30" x14ac:dyDescent="0.25">
      <c r="A101" s="255" t="s">
        <v>248</v>
      </c>
      <c r="B101" s="255" t="s">
        <v>206</v>
      </c>
      <c r="C101" s="256">
        <v>2022</v>
      </c>
      <c r="D101" s="256">
        <v>175</v>
      </c>
      <c r="E101">
        <v>3.0216677583401901</v>
      </c>
      <c r="F101" s="257"/>
      <c r="G101">
        <f t="shared" si="1"/>
        <v>175</v>
      </c>
      <c r="H101" s="4">
        <f>IF(B101="RTG Crane",IF(D101&lt;600,800000,1200000),VLOOKUP(B101,'$$$ Replace &amp; Retrofit'!$B$10:$C$14,2)*'CHE Model poplulation'!D101)*E101</f>
        <v>528791.8577095333</v>
      </c>
      <c r="I101" s="197">
        <f>E101*VLOOKUP('CHE Model poplulation'!G101,'$$$ Replace &amp; Retrofit'!$I$10:$J$15,2)</f>
        <v>74925.273735803348</v>
      </c>
      <c r="K101" s="239"/>
      <c r="L101" s="239"/>
      <c r="M101" s="239"/>
    </row>
    <row r="102" spans="1:13" ht="30" x14ac:dyDescent="0.25">
      <c r="A102" s="255" t="s">
        <v>248</v>
      </c>
      <c r="B102" s="255" t="s">
        <v>206</v>
      </c>
      <c r="C102" s="256">
        <v>2022</v>
      </c>
      <c r="D102" s="256">
        <v>300</v>
      </c>
      <c r="E102">
        <v>3.4397607187489401</v>
      </c>
      <c r="F102" s="257"/>
      <c r="G102">
        <f t="shared" si="1"/>
        <v>300</v>
      </c>
      <c r="H102" s="4">
        <f>IF(B102="RTG Crane",IF(D102&lt;600,800000,1200000),VLOOKUP(B102,'$$$ Replace &amp; Retrofit'!$B$10:$C$14,2)*'CHE Model poplulation'!D102)*E102</f>
        <v>1031928.215624682</v>
      </c>
      <c r="I102" s="197">
        <f>E102*VLOOKUP('CHE Model poplulation'!G102,'$$$ Replace &amp; Retrofit'!$I$10:$J$15,2)</f>
        <v>98937.837553375764</v>
      </c>
      <c r="K102" s="239"/>
      <c r="L102" s="239"/>
      <c r="M102" s="239"/>
    </row>
    <row r="103" spans="1:13" ht="30" x14ac:dyDescent="0.25">
      <c r="A103" s="255" t="s">
        <v>248</v>
      </c>
      <c r="B103" s="255" t="s">
        <v>206</v>
      </c>
      <c r="C103" s="256">
        <v>2022</v>
      </c>
      <c r="D103" s="256">
        <v>600</v>
      </c>
      <c r="E103">
        <v>7.0152992470564604</v>
      </c>
      <c r="F103" s="257"/>
      <c r="G103">
        <f t="shared" si="1"/>
        <v>400</v>
      </c>
      <c r="H103" s="4">
        <f>IF(B103="RTG Crane",IF(D103&lt;600,800000,1200000),VLOOKUP(B103,'$$$ Replace &amp; Retrofit'!$B$10:$C$14,2)*'CHE Model poplulation'!D103)*E103</f>
        <v>4209179.548233876</v>
      </c>
      <c r="I103" s="197">
        <f>E103*VLOOKUP('CHE Model poplulation'!G103,'$$$ Replace &amp; Retrofit'!$I$10:$J$15,2)</f>
        <v>367131.65549620573</v>
      </c>
      <c r="K103" s="239"/>
      <c r="L103" s="239"/>
      <c r="M103" s="239"/>
    </row>
    <row r="104" spans="1:13" ht="30" x14ac:dyDescent="0.25">
      <c r="A104" s="255" t="s">
        <v>248</v>
      </c>
      <c r="B104" s="255" t="s">
        <v>206</v>
      </c>
      <c r="C104" s="256">
        <v>2023</v>
      </c>
      <c r="D104" s="256">
        <v>50</v>
      </c>
      <c r="E104">
        <v>0.66071775318083703</v>
      </c>
      <c r="F104" s="257"/>
      <c r="G104">
        <f t="shared" si="1"/>
        <v>50</v>
      </c>
      <c r="H104" s="4">
        <f>IF(B104="RTG Crane",IF(D104&lt;600,800000,1200000),VLOOKUP(B104,'$$$ Replace &amp; Retrofit'!$B$10:$C$14,2)*'CHE Model poplulation'!D104)*E104</f>
        <v>33035.887659041851</v>
      </c>
      <c r="I104" s="197">
        <f>E104*VLOOKUP('CHE Model poplulation'!G104,'$$$ Replace &amp; Retrofit'!$I$10:$J$15,2)</f>
        <v>11620.703842944562</v>
      </c>
      <c r="K104" s="239"/>
      <c r="L104" s="239"/>
      <c r="M104" s="239"/>
    </row>
    <row r="105" spans="1:13" ht="30" x14ac:dyDescent="0.25">
      <c r="A105" s="255" t="s">
        <v>248</v>
      </c>
      <c r="B105" s="255" t="s">
        <v>206</v>
      </c>
      <c r="C105" s="256">
        <v>2023</v>
      </c>
      <c r="D105" s="256">
        <v>75</v>
      </c>
      <c r="E105">
        <v>1.4768010055515299</v>
      </c>
      <c r="F105" s="257"/>
      <c r="G105">
        <f t="shared" si="1"/>
        <v>50</v>
      </c>
      <c r="H105" s="4">
        <f>IF(B105="RTG Crane",IF(D105&lt;600,800000,1200000),VLOOKUP(B105,'$$$ Replace &amp; Retrofit'!$B$10:$C$14,2)*'CHE Model poplulation'!D105)*E105</f>
        <v>110760.07541636475</v>
      </c>
      <c r="I105" s="197">
        <f>E105*VLOOKUP('CHE Model poplulation'!G105,'$$$ Replace &amp; Retrofit'!$I$10:$J$15,2)</f>
        <v>25973.976085640308</v>
      </c>
      <c r="K105" s="239"/>
      <c r="L105" s="239"/>
      <c r="M105" s="239"/>
    </row>
    <row r="106" spans="1:13" ht="30" x14ac:dyDescent="0.25">
      <c r="A106" s="255" t="s">
        <v>248</v>
      </c>
      <c r="B106" s="255" t="s">
        <v>206</v>
      </c>
      <c r="C106" s="256">
        <v>2023</v>
      </c>
      <c r="D106" s="256">
        <v>100</v>
      </c>
      <c r="E106">
        <v>1.36673205122151</v>
      </c>
      <c r="F106" s="257"/>
      <c r="G106">
        <f t="shared" si="1"/>
        <v>125</v>
      </c>
      <c r="H106" s="4">
        <f>IF(B106="RTG Crane",IF(D106&lt;600,800000,1200000),VLOOKUP(B106,'$$$ Replace &amp; Retrofit'!$B$10:$C$14,2)*'CHE Model poplulation'!D106)*E106</f>
        <v>136673.205122151</v>
      </c>
      <c r="I106" s="197">
        <f>E106*VLOOKUP('CHE Model poplulation'!G106,'$$$ Replace &amp; Retrofit'!$I$10:$J$15,2)</f>
        <v>26969.723566754055</v>
      </c>
      <c r="K106" s="239"/>
      <c r="L106" s="239"/>
      <c r="M106" s="239"/>
    </row>
    <row r="107" spans="1:13" ht="30" x14ac:dyDescent="0.25">
      <c r="A107" s="255" t="s">
        <v>248</v>
      </c>
      <c r="B107" s="255" t="s">
        <v>206</v>
      </c>
      <c r="C107" s="256">
        <v>2023</v>
      </c>
      <c r="D107" s="256">
        <v>175</v>
      </c>
      <c r="E107">
        <v>2.9904316514708098</v>
      </c>
      <c r="F107" s="257"/>
      <c r="G107">
        <f t="shared" si="1"/>
        <v>175</v>
      </c>
      <c r="H107" s="4">
        <f>IF(B107="RTG Crane",IF(D107&lt;600,800000,1200000),VLOOKUP(B107,'$$$ Replace &amp; Retrofit'!$B$10:$C$14,2)*'CHE Model poplulation'!D107)*E107</f>
        <v>523325.53900739172</v>
      </c>
      <c r="I107" s="197">
        <f>E107*VLOOKUP('CHE Model poplulation'!G107,'$$$ Replace &amp; Retrofit'!$I$10:$J$15,2)</f>
        <v>74150.743229870204</v>
      </c>
      <c r="K107" s="239"/>
      <c r="L107" s="239"/>
      <c r="M107" s="239"/>
    </row>
    <row r="108" spans="1:13" ht="30" x14ac:dyDescent="0.25">
      <c r="A108" s="255" t="s">
        <v>248</v>
      </c>
      <c r="B108" s="255" t="s">
        <v>206</v>
      </c>
      <c r="C108" s="256">
        <v>2023</v>
      </c>
      <c r="D108" s="256">
        <v>300</v>
      </c>
      <c r="E108">
        <v>3.3860345921101098</v>
      </c>
      <c r="F108" s="257"/>
      <c r="G108">
        <f t="shared" si="1"/>
        <v>300</v>
      </c>
      <c r="H108" s="4">
        <f>IF(B108="RTG Crane",IF(D108&lt;600,800000,1200000),VLOOKUP(B108,'$$$ Replace &amp; Retrofit'!$B$10:$C$14,2)*'CHE Model poplulation'!D108)*E108</f>
        <v>1015810.377633033</v>
      </c>
      <c r="I108" s="197">
        <f>E108*VLOOKUP('CHE Model poplulation'!G108,'$$$ Replace &amp; Retrofit'!$I$10:$J$15,2)</f>
        <v>97392.512972863085</v>
      </c>
      <c r="K108" s="239"/>
      <c r="L108" s="239"/>
      <c r="M108" s="239"/>
    </row>
    <row r="109" spans="1:13" ht="30" x14ac:dyDescent="0.25">
      <c r="A109" s="255" t="s">
        <v>248</v>
      </c>
      <c r="B109" s="255" t="s">
        <v>206</v>
      </c>
      <c r="C109" s="256">
        <v>2023</v>
      </c>
      <c r="D109" s="256">
        <v>600</v>
      </c>
      <c r="E109">
        <v>6.8891460215129099</v>
      </c>
      <c r="F109" s="257"/>
      <c r="G109">
        <f t="shared" si="1"/>
        <v>400</v>
      </c>
      <c r="H109" s="4">
        <f>IF(B109="RTG Crane",IF(D109&lt;600,800000,1200000),VLOOKUP(B109,'$$$ Replace &amp; Retrofit'!$B$10:$C$14,2)*'CHE Model poplulation'!D109)*E109</f>
        <v>4133487.6129077459</v>
      </c>
      <c r="I109" s="197">
        <f>E109*VLOOKUP('CHE Model poplulation'!G109,'$$$ Replace &amp; Retrofit'!$I$10:$J$15,2)</f>
        <v>360529.67874383513</v>
      </c>
      <c r="K109" s="239"/>
      <c r="L109" s="239"/>
      <c r="M109" s="239"/>
    </row>
    <row r="110" spans="1:13" ht="30" x14ac:dyDescent="0.25">
      <c r="A110" s="255" t="s">
        <v>248</v>
      </c>
      <c r="B110" s="255" t="s">
        <v>206</v>
      </c>
      <c r="C110" s="256">
        <v>2024</v>
      </c>
      <c r="D110" s="256">
        <v>50</v>
      </c>
      <c r="E110">
        <v>0.64302415994015505</v>
      </c>
      <c r="F110" s="257"/>
      <c r="G110">
        <f t="shared" si="1"/>
        <v>50</v>
      </c>
      <c r="H110" s="4">
        <f>IF(B110="RTG Crane",IF(D110&lt;600,800000,1200000),VLOOKUP(B110,'$$$ Replace &amp; Retrofit'!$B$10:$C$14,2)*'CHE Model poplulation'!D110)*E110</f>
        <v>32151.207997007754</v>
      </c>
      <c r="I110" s="197">
        <f>E110*VLOOKUP('CHE Model poplulation'!G110,'$$$ Replace &amp; Retrofit'!$I$10:$J$15,2)</f>
        <v>11309.508925027447</v>
      </c>
      <c r="K110" s="239"/>
      <c r="L110" s="239"/>
      <c r="M110" s="239"/>
    </row>
    <row r="111" spans="1:13" ht="30" x14ac:dyDescent="0.25">
      <c r="A111" s="255" t="s">
        <v>248</v>
      </c>
      <c r="B111" s="255" t="s">
        <v>206</v>
      </c>
      <c r="C111" s="256">
        <v>2024</v>
      </c>
      <c r="D111" s="256">
        <v>75</v>
      </c>
      <c r="E111">
        <v>1.4231484440536299</v>
      </c>
      <c r="F111" s="257"/>
      <c r="G111">
        <f t="shared" si="1"/>
        <v>50</v>
      </c>
      <c r="H111" s="4">
        <f>IF(B111="RTG Crane",IF(D111&lt;600,800000,1200000),VLOOKUP(B111,'$$$ Replace &amp; Retrofit'!$B$10:$C$14,2)*'CHE Model poplulation'!D111)*E111</f>
        <v>106736.13330402225</v>
      </c>
      <c r="I111" s="197">
        <f>E111*VLOOKUP('CHE Model poplulation'!G111,'$$$ Replace &amp; Retrofit'!$I$10:$J$15,2)</f>
        <v>25030.334834015244</v>
      </c>
      <c r="K111" s="239"/>
      <c r="L111" s="239"/>
      <c r="M111" s="239"/>
    </row>
    <row r="112" spans="1:13" ht="30" x14ac:dyDescent="0.25">
      <c r="A112" s="255" t="s">
        <v>248</v>
      </c>
      <c r="B112" s="255" t="s">
        <v>206</v>
      </c>
      <c r="C112" s="256">
        <v>2024</v>
      </c>
      <c r="D112" s="256">
        <v>100</v>
      </c>
      <c r="E112">
        <v>1.3225156968578899</v>
      </c>
      <c r="F112" s="257"/>
      <c r="G112">
        <f t="shared" si="1"/>
        <v>125</v>
      </c>
      <c r="H112" s="4">
        <f>IF(B112="RTG Crane",IF(D112&lt;600,800000,1200000),VLOOKUP(B112,'$$$ Replace &amp; Retrofit'!$B$10:$C$14,2)*'CHE Model poplulation'!D112)*E112</f>
        <v>132251.569685789</v>
      </c>
      <c r="I112" s="197">
        <f>E112*VLOOKUP('CHE Model poplulation'!G112,'$$$ Replace &amp; Retrofit'!$I$10:$J$15,2)</f>
        <v>26097.202246096742</v>
      </c>
      <c r="K112" s="239"/>
      <c r="L112" s="239"/>
      <c r="M112" s="239"/>
    </row>
    <row r="113" spans="1:13" ht="30" x14ac:dyDescent="0.25">
      <c r="A113" s="255" t="s">
        <v>248</v>
      </c>
      <c r="B113" s="255" t="s">
        <v>206</v>
      </c>
      <c r="C113" s="256">
        <v>2024</v>
      </c>
      <c r="D113" s="256">
        <v>175</v>
      </c>
      <c r="E113">
        <v>2.9241766737557802</v>
      </c>
      <c r="F113" s="257"/>
      <c r="G113">
        <f t="shared" si="1"/>
        <v>175</v>
      </c>
      <c r="H113" s="4">
        <f>IF(B113="RTG Crane",IF(D113&lt;600,800000,1200000),VLOOKUP(B113,'$$$ Replace &amp; Retrofit'!$B$10:$C$14,2)*'CHE Model poplulation'!D113)*E113</f>
        <v>511730.91790726152</v>
      </c>
      <c r="I113" s="197">
        <f>E113*VLOOKUP('CHE Model poplulation'!G113,'$$$ Replace &amp; Retrofit'!$I$10:$J$15,2)</f>
        <v>72507.88480244833</v>
      </c>
      <c r="K113" s="239"/>
      <c r="L113" s="239"/>
      <c r="M113" s="239"/>
    </row>
    <row r="114" spans="1:13" ht="30" x14ac:dyDescent="0.25">
      <c r="A114" s="255" t="s">
        <v>248</v>
      </c>
      <c r="B114" s="255" t="s">
        <v>206</v>
      </c>
      <c r="C114" s="256">
        <v>2024</v>
      </c>
      <c r="D114" s="256">
        <v>300</v>
      </c>
      <c r="E114">
        <v>3.2656311873455399</v>
      </c>
      <c r="F114" s="257"/>
      <c r="G114">
        <f t="shared" si="1"/>
        <v>300</v>
      </c>
      <c r="H114" s="4">
        <f>IF(B114="RTG Crane",IF(D114&lt;600,800000,1200000),VLOOKUP(B114,'$$$ Replace &amp; Retrofit'!$B$10:$C$14,2)*'CHE Model poplulation'!D114)*E114</f>
        <v>979689.356203662</v>
      </c>
      <c r="I114" s="197">
        <f>E114*VLOOKUP('CHE Model poplulation'!G114,'$$$ Replace &amp; Retrofit'!$I$10:$J$15,2)</f>
        <v>93929.349841619769</v>
      </c>
      <c r="K114" s="239"/>
      <c r="L114" s="239"/>
      <c r="M114" s="239"/>
    </row>
    <row r="115" spans="1:13" ht="30" x14ac:dyDescent="0.25">
      <c r="A115" s="255" t="s">
        <v>248</v>
      </c>
      <c r="B115" s="255" t="s">
        <v>206</v>
      </c>
      <c r="C115" s="256">
        <v>2024</v>
      </c>
      <c r="D115" s="256">
        <v>600</v>
      </c>
      <c r="E115">
        <v>6.6240310390311201</v>
      </c>
      <c r="F115" s="257"/>
      <c r="G115">
        <f t="shared" si="1"/>
        <v>400</v>
      </c>
      <c r="H115" s="4">
        <f>IF(B115="RTG Crane",IF(D115&lt;600,800000,1200000),VLOOKUP(B115,'$$$ Replace &amp; Retrofit'!$B$10:$C$14,2)*'CHE Model poplulation'!D115)*E115</f>
        <v>3974418.623418672</v>
      </c>
      <c r="I115" s="197">
        <f>E115*VLOOKUP('CHE Model poplulation'!G115,'$$$ Replace &amp; Retrofit'!$I$10:$J$15,2)</f>
        <v>346655.41636561562</v>
      </c>
      <c r="K115" s="239"/>
      <c r="L115" s="239"/>
      <c r="M115" s="239"/>
    </row>
    <row r="116" spans="1:13" ht="30" x14ac:dyDescent="0.25">
      <c r="A116" s="255" t="s">
        <v>248</v>
      </c>
      <c r="B116" s="255" t="s">
        <v>206</v>
      </c>
      <c r="C116" s="256">
        <v>2025</v>
      </c>
      <c r="D116" s="256">
        <v>50</v>
      </c>
      <c r="E116">
        <v>0.62473211403908901</v>
      </c>
      <c r="F116" s="257"/>
      <c r="G116">
        <f t="shared" si="1"/>
        <v>50</v>
      </c>
      <c r="H116" s="4">
        <f>IF(B116="RTG Crane",IF(D116&lt;600,800000,1200000),VLOOKUP(B116,'$$$ Replace &amp; Retrofit'!$B$10:$C$14,2)*'CHE Model poplulation'!D116)*E116</f>
        <v>31236.60570195445</v>
      </c>
      <c r="I116" s="197">
        <f>E116*VLOOKUP('CHE Model poplulation'!G116,'$$$ Replace &amp; Retrofit'!$I$10:$J$15,2)</f>
        <v>10987.788421719497</v>
      </c>
      <c r="K116" s="239"/>
      <c r="L116" s="239"/>
      <c r="M116" s="239"/>
    </row>
    <row r="117" spans="1:13" ht="30" x14ac:dyDescent="0.25">
      <c r="A117" s="255" t="s">
        <v>248</v>
      </c>
      <c r="B117" s="255" t="s">
        <v>206</v>
      </c>
      <c r="C117" s="256">
        <v>2025</v>
      </c>
      <c r="D117" s="256">
        <v>75</v>
      </c>
      <c r="E117">
        <v>1.3672562134553901</v>
      </c>
      <c r="F117" s="257"/>
      <c r="G117">
        <f t="shared" si="1"/>
        <v>50</v>
      </c>
      <c r="H117" s="4">
        <f>IF(B117="RTG Crane",IF(D117&lt;600,800000,1200000),VLOOKUP(B117,'$$$ Replace &amp; Retrofit'!$B$10:$C$14,2)*'CHE Model poplulation'!D117)*E117</f>
        <v>102544.21600915426</v>
      </c>
      <c r="I117" s="197">
        <f>E117*VLOOKUP('CHE Model poplulation'!G117,'$$$ Replace &amp; Retrofit'!$I$10:$J$15,2)</f>
        <v>24047.3022822534</v>
      </c>
      <c r="K117" s="239"/>
      <c r="L117" s="239"/>
      <c r="M117" s="239"/>
    </row>
    <row r="118" spans="1:13" ht="30" x14ac:dyDescent="0.25">
      <c r="A118" s="255" t="s">
        <v>248</v>
      </c>
      <c r="B118" s="255" t="s">
        <v>206</v>
      </c>
      <c r="C118" s="256">
        <v>2025</v>
      </c>
      <c r="D118" s="256">
        <v>100</v>
      </c>
      <c r="E118">
        <v>1.29112793673658</v>
      </c>
      <c r="F118" s="257"/>
      <c r="G118">
        <f t="shared" si="1"/>
        <v>125</v>
      </c>
      <c r="H118" s="4">
        <f>IF(B118="RTG Crane",IF(D118&lt;600,800000,1200000),VLOOKUP(B118,'$$$ Replace &amp; Retrofit'!$B$10:$C$14,2)*'CHE Model poplulation'!D118)*E118</f>
        <v>129112.793673658</v>
      </c>
      <c r="I118" s="197">
        <f>E118*VLOOKUP('CHE Model poplulation'!G118,'$$$ Replace &amp; Retrofit'!$I$10:$J$15,2)</f>
        <v>25477.827575622934</v>
      </c>
      <c r="K118" s="239"/>
      <c r="L118" s="239"/>
      <c r="M118" s="239"/>
    </row>
    <row r="119" spans="1:13" ht="30" x14ac:dyDescent="0.25">
      <c r="A119" s="255" t="s">
        <v>248</v>
      </c>
      <c r="B119" s="255" t="s">
        <v>206</v>
      </c>
      <c r="C119" s="256">
        <v>2025</v>
      </c>
      <c r="D119" s="256">
        <v>175</v>
      </c>
      <c r="E119">
        <v>2.8784501033982499</v>
      </c>
      <c r="F119" s="257"/>
      <c r="G119">
        <f t="shared" si="1"/>
        <v>175</v>
      </c>
      <c r="H119" s="4">
        <f>IF(B119="RTG Crane",IF(D119&lt;600,800000,1200000),VLOOKUP(B119,'$$$ Replace &amp; Retrofit'!$B$10:$C$14,2)*'CHE Model poplulation'!D119)*E119</f>
        <v>503728.76809469372</v>
      </c>
      <c r="I119" s="197">
        <f>E119*VLOOKUP('CHE Model poplulation'!G119,'$$$ Replace &amp; Retrofit'!$I$10:$J$15,2)</f>
        <v>71374.048763863</v>
      </c>
      <c r="K119" s="239"/>
      <c r="L119" s="239"/>
      <c r="M119" s="239"/>
    </row>
    <row r="120" spans="1:13" ht="30" x14ac:dyDescent="0.25">
      <c r="A120" s="255" t="s">
        <v>248</v>
      </c>
      <c r="B120" s="255" t="s">
        <v>206</v>
      </c>
      <c r="C120" s="256">
        <v>2025</v>
      </c>
      <c r="D120" s="256">
        <v>300</v>
      </c>
      <c r="E120">
        <v>3.1359145591677402</v>
      </c>
      <c r="F120" s="257"/>
      <c r="G120">
        <f t="shared" si="1"/>
        <v>300</v>
      </c>
      <c r="H120" s="4">
        <f>IF(B120="RTG Crane",IF(D120&lt;600,800000,1200000),VLOOKUP(B120,'$$$ Replace &amp; Retrofit'!$B$10:$C$14,2)*'CHE Model poplulation'!D120)*E120</f>
        <v>940774.3677503221</v>
      </c>
      <c r="I120" s="197">
        <f>E120*VLOOKUP('CHE Model poplulation'!G120,'$$$ Replace &amp; Retrofit'!$I$10:$J$15,2)</f>
        <v>90198.31046534171</v>
      </c>
      <c r="K120" s="239"/>
      <c r="L120" s="239"/>
      <c r="M120" s="239"/>
    </row>
    <row r="121" spans="1:13" ht="30" x14ac:dyDescent="0.25">
      <c r="A121" s="255" t="s">
        <v>248</v>
      </c>
      <c r="B121" s="255" t="s">
        <v>206</v>
      </c>
      <c r="C121" s="256">
        <v>2025</v>
      </c>
      <c r="D121" s="256">
        <v>600</v>
      </c>
      <c r="E121">
        <v>6.3462954559235802</v>
      </c>
      <c r="F121" s="257"/>
      <c r="G121">
        <f t="shared" si="1"/>
        <v>400</v>
      </c>
      <c r="H121" s="4">
        <f>IF(B121="RTG Crane",IF(D121&lt;600,800000,1200000),VLOOKUP(B121,'$$$ Replace &amp; Retrofit'!$B$10:$C$14,2)*'CHE Model poplulation'!D121)*E121</f>
        <v>3807777.2735541482</v>
      </c>
      <c r="I121" s="197">
        <f>E121*VLOOKUP('CHE Model poplulation'!G121,'$$$ Replace &amp; Retrofit'!$I$10:$J$15,2)</f>
        <v>332120.68009484874</v>
      </c>
      <c r="K121" s="239"/>
      <c r="L121" s="239"/>
      <c r="M121" s="239"/>
    </row>
    <row r="122" spans="1:13" ht="45" x14ac:dyDescent="0.25">
      <c r="A122" s="255" t="s">
        <v>248</v>
      </c>
      <c r="B122" s="255" t="s">
        <v>208</v>
      </c>
      <c r="C122" s="256">
        <v>2006</v>
      </c>
      <c r="D122" s="256">
        <v>100</v>
      </c>
      <c r="E122" s="256">
        <v>0</v>
      </c>
      <c r="F122" s="257"/>
      <c r="H122" s="239"/>
      <c r="I122" s="4"/>
      <c r="K122" s="239"/>
      <c r="L122" s="239"/>
      <c r="M122" s="239"/>
    </row>
    <row r="123" spans="1:13" ht="45" x14ac:dyDescent="0.25">
      <c r="A123" s="255" t="s">
        <v>248</v>
      </c>
      <c r="B123" s="255" t="s">
        <v>208</v>
      </c>
      <c r="C123" s="256">
        <v>2006</v>
      </c>
      <c r="D123" s="256">
        <v>175</v>
      </c>
      <c r="E123" s="256">
        <v>0</v>
      </c>
      <c r="F123" s="257"/>
      <c r="H123" s="239"/>
      <c r="I123" s="4"/>
      <c r="K123" s="239"/>
      <c r="L123" s="239"/>
      <c r="M123" s="239"/>
    </row>
    <row r="124" spans="1:13" ht="45" x14ac:dyDescent="0.25">
      <c r="A124" s="255" t="s">
        <v>248</v>
      </c>
      <c r="B124" s="255" t="s">
        <v>208</v>
      </c>
      <c r="C124" s="256">
        <v>2006</v>
      </c>
      <c r="D124" s="256">
        <v>300</v>
      </c>
      <c r="E124" s="256">
        <v>0</v>
      </c>
      <c r="F124" s="257"/>
      <c r="H124" s="239"/>
      <c r="I124" s="4"/>
      <c r="K124" s="239"/>
      <c r="L124" s="239"/>
      <c r="M124" s="239"/>
    </row>
    <row r="125" spans="1:13" ht="45" x14ac:dyDescent="0.25">
      <c r="A125" s="255" t="s">
        <v>248</v>
      </c>
      <c r="B125" s="255" t="s">
        <v>208</v>
      </c>
      <c r="C125" s="256">
        <v>2006</v>
      </c>
      <c r="D125" s="256">
        <v>600</v>
      </c>
      <c r="E125" s="256">
        <v>0</v>
      </c>
      <c r="F125" s="257"/>
      <c r="H125" s="239"/>
      <c r="I125" s="4"/>
      <c r="K125" s="239"/>
      <c r="L125" s="239"/>
      <c r="M125" s="239"/>
    </row>
    <row r="126" spans="1:13" ht="45" x14ac:dyDescent="0.25">
      <c r="A126" s="255" t="s">
        <v>248</v>
      </c>
      <c r="B126" s="255" t="s">
        <v>208</v>
      </c>
      <c r="C126" s="256">
        <v>2007</v>
      </c>
      <c r="D126" s="256">
        <v>100</v>
      </c>
      <c r="E126" s="256">
        <v>0</v>
      </c>
      <c r="F126" s="257"/>
      <c r="H126" s="239"/>
      <c r="I126" s="4"/>
      <c r="K126" s="239"/>
      <c r="L126" s="239"/>
      <c r="M126" s="239"/>
    </row>
    <row r="127" spans="1:13" ht="45" x14ac:dyDescent="0.25">
      <c r="A127" s="255" t="s">
        <v>248</v>
      </c>
      <c r="B127" s="255" t="s">
        <v>208</v>
      </c>
      <c r="C127" s="256">
        <v>2007</v>
      </c>
      <c r="D127" s="256">
        <v>175</v>
      </c>
      <c r="E127" s="256">
        <v>0</v>
      </c>
      <c r="F127" s="257"/>
      <c r="H127" s="239"/>
      <c r="I127" s="4"/>
      <c r="K127" s="239"/>
      <c r="L127" s="239"/>
      <c r="M127" s="239"/>
    </row>
    <row r="128" spans="1:13" ht="45" x14ac:dyDescent="0.25">
      <c r="A128" s="255" t="s">
        <v>248</v>
      </c>
      <c r="B128" s="255" t="s">
        <v>208</v>
      </c>
      <c r="C128" s="256">
        <v>2007</v>
      </c>
      <c r="D128" s="256">
        <v>300</v>
      </c>
      <c r="E128" s="256">
        <v>0</v>
      </c>
      <c r="F128" s="257"/>
      <c r="H128" s="239"/>
      <c r="I128" s="4"/>
      <c r="K128" s="239"/>
      <c r="L128" s="239"/>
      <c r="M128" s="239"/>
    </row>
    <row r="129" spans="1:13" ht="45" x14ac:dyDescent="0.25">
      <c r="A129" s="255" t="s">
        <v>248</v>
      </c>
      <c r="B129" s="255" t="s">
        <v>208</v>
      </c>
      <c r="C129" s="256">
        <v>2007</v>
      </c>
      <c r="D129" s="256">
        <v>600</v>
      </c>
      <c r="E129" s="256">
        <v>0</v>
      </c>
      <c r="F129" s="257"/>
      <c r="H129" s="239"/>
      <c r="I129" s="4"/>
      <c r="K129" s="239"/>
      <c r="L129" s="239"/>
      <c r="M129" s="239"/>
    </row>
    <row r="130" spans="1:13" ht="45" x14ac:dyDescent="0.25">
      <c r="A130" s="255" t="s">
        <v>248</v>
      </c>
      <c r="B130" s="255" t="s">
        <v>208</v>
      </c>
      <c r="C130" s="256">
        <v>2008</v>
      </c>
      <c r="D130" s="256">
        <v>100</v>
      </c>
      <c r="E130" s="256">
        <v>0</v>
      </c>
      <c r="F130" s="257"/>
      <c r="H130" s="239"/>
      <c r="I130" s="4"/>
      <c r="K130" s="239"/>
      <c r="L130" s="239"/>
      <c r="M130" s="239"/>
    </row>
    <row r="131" spans="1:13" ht="45" x14ac:dyDescent="0.25">
      <c r="A131" s="255" t="s">
        <v>248</v>
      </c>
      <c r="B131" s="255" t="s">
        <v>208</v>
      </c>
      <c r="C131" s="256">
        <v>2008</v>
      </c>
      <c r="D131" s="256">
        <v>175</v>
      </c>
      <c r="E131" s="256">
        <v>0</v>
      </c>
      <c r="F131" s="257"/>
      <c r="H131" s="239"/>
      <c r="I131" s="4"/>
      <c r="K131" s="239"/>
      <c r="L131" s="239"/>
      <c r="M131" s="239"/>
    </row>
    <row r="132" spans="1:13" ht="45" x14ac:dyDescent="0.25">
      <c r="A132" s="255" t="s">
        <v>248</v>
      </c>
      <c r="B132" s="255" t="s">
        <v>208</v>
      </c>
      <c r="C132" s="256">
        <v>2008</v>
      </c>
      <c r="D132" s="256">
        <v>300</v>
      </c>
      <c r="E132" s="256">
        <v>0</v>
      </c>
      <c r="F132" s="257"/>
      <c r="H132" s="239"/>
      <c r="I132" s="4"/>
      <c r="K132" s="239"/>
      <c r="L132" s="239"/>
      <c r="M132" s="239"/>
    </row>
    <row r="133" spans="1:13" ht="45" x14ac:dyDescent="0.25">
      <c r="A133" s="255" t="s">
        <v>248</v>
      </c>
      <c r="B133" s="255" t="s">
        <v>208</v>
      </c>
      <c r="C133" s="256">
        <v>2008</v>
      </c>
      <c r="D133" s="256">
        <v>600</v>
      </c>
      <c r="E133" s="256">
        <v>0</v>
      </c>
      <c r="F133" s="257"/>
      <c r="H133" s="239"/>
      <c r="I133" s="4"/>
      <c r="K133" s="239"/>
      <c r="L133" s="239"/>
      <c r="M133" s="239"/>
    </row>
    <row r="134" spans="1:13" ht="45" x14ac:dyDescent="0.25">
      <c r="A134" s="255" t="s">
        <v>248</v>
      </c>
      <c r="B134" s="255" t="s">
        <v>208</v>
      </c>
      <c r="C134" s="256">
        <v>2009</v>
      </c>
      <c r="D134" s="256">
        <v>100</v>
      </c>
      <c r="E134" s="256">
        <v>0</v>
      </c>
      <c r="F134" s="257"/>
      <c r="H134" s="239"/>
      <c r="I134" s="4"/>
      <c r="K134" s="239"/>
      <c r="L134" s="239"/>
      <c r="M134" s="239"/>
    </row>
    <row r="135" spans="1:13" ht="45" x14ac:dyDescent="0.25">
      <c r="A135" s="255" t="s">
        <v>248</v>
      </c>
      <c r="B135" s="255" t="s">
        <v>208</v>
      </c>
      <c r="C135" s="256">
        <v>2009</v>
      </c>
      <c r="D135" s="256">
        <v>175</v>
      </c>
      <c r="E135" s="256">
        <v>0</v>
      </c>
      <c r="F135" s="257"/>
      <c r="H135" s="239"/>
      <c r="I135" s="4"/>
      <c r="K135" s="239"/>
      <c r="L135" s="239"/>
      <c r="M135" s="239"/>
    </row>
    <row r="136" spans="1:13" ht="45" x14ac:dyDescent="0.25">
      <c r="A136" s="255" t="s">
        <v>248</v>
      </c>
      <c r="B136" s="255" t="s">
        <v>208</v>
      </c>
      <c r="C136" s="256">
        <v>2009</v>
      </c>
      <c r="D136" s="256">
        <v>300</v>
      </c>
      <c r="E136" s="256">
        <v>0</v>
      </c>
      <c r="F136" s="257"/>
      <c r="H136" s="239"/>
      <c r="I136" s="4"/>
      <c r="K136" s="239"/>
      <c r="L136" s="239"/>
      <c r="M136" s="239"/>
    </row>
    <row r="137" spans="1:13" ht="45" x14ac:dyDescent="0.25">
      <c r="A137" s="255" t="s">
        <v>248</v>
      </c>
      <c r="B137" s="255" t="s">
        <v>208</v>
      </c>
      <c r="C137" s="256">
        <v>2009</v>
      </c>
      <c r="D137" s="256">
        <v>600</v>
      </c>
      <c r="E137" s="256">
        <v>0</v>
      </c>
      <c r="F137" s="257"/>
      <c r="H137" s="239"/>
      <c r="I137" s="4"/>
      <c r="K137" s="239"/>
      <c r="L137" s="239"/>
      <c r="M137" s="239"/>
    </row>
    <row r="138" spans="1:13" ht="45" x14ac:dyDescent="0.25">
      <c r="A138" s="255" t="s">
        <v>248</v>
      </c>
      <c r="B138" s="255" t="s">
        <v>208</v>
      </c>
      <c r="C138" s="256">
        <v>2010</v>
      </c>
      <c r="D138" s="256">
        <v>100</v>
      </c>
      <c r="E138" s="256">
        <v>0</v>
      </c>
      <c r="F138" s="257"/>
      <c r="H138" s="239"/>
      <c r="I138" s="4"/>
      <c r="K138" s="239"/>
      <c r="L138" s="239"/>
      <c r="M138" s="239"/>
    </row>
    <row r="139" spans="1:13" ht="45" x14ac:dyDescent="0.25">
      <c r="A139" s="255" t="s">
        <v>248</v>
      </c>
      <c r="B139" s="255" t="s">
        <v>208</v>
      </c>
      <c r="C139" s="256">
        <v>2010</v>
      </c>
      <c r="D139" s="256">
        <v>175</v>
      </c>
      <c r="E139" s="256">
        <v>0</v>
      </c>
      <c r="F139" s="257"/>
      <c r="H139" s="239"/>
      <c r="I139" s="4"/>
      <c r="K139" s="239"/>
      <c r="L139" s="239"/>
      <c r="M139" s="239"/>
    </row>
    <row r="140" spans="1:13" ht="45" x14ac:dyDescent="0.25">
      <c r="A140" s="255" t="s">
        <v>248</v>
      </c>
      <c r="B140" s="255" t="s">
        <v>208</v>
      </c>
      <c r="C140" s="256">
        <v>2010</v>
      </c>
      <c r="D140" s="256">
        <v>300</v>
      </c>
      <c r="E140" s="256">
        <v>0</v>
      </c>
      <c r="F140" s="257"/>
      <c r="H140" s="239"/>
      <c r="I140" s="4"/>
      <c r="K140" s="239"/>
      <c r="L140" s="239"/>
      <c r="M140" s="239"/>
    </row>
    <row r="141" spans="1:13" ht="45" x14ac:dyDescent="0.25">
      <c r="A141" s="255" t="s">
        <v>248</v>
      </c>
      <c r="B141" s="255" t="s">
        <v>208</v>
      </c>
      <c r="C141" s="256">
        <v>2010</v>
      </c>
      <c r="D141" s="256">
        <v>600</v>
      </c>
      <c r="E141" s="256">
        <v>0</v>
      </c>
      <c r="F141" s="257"/>
      <c r="H141" s="239"/>
      <c r="I141" s="4"/>
      <c r="K141" s="239"/>
      <c r="L141" s="239"/>
      <c r="M141" s="239"/>
    </row>
    <row r="142" spans="1:13" ht="45" x14ac:dyDescent="0.25">
      <c r="A142" s="255" t="s">
        <v>248</v>
      </c>
      <c r="B142" s="255" t="s">
        <v>208</v>
      </c>
      <c r="C142" s="256">
        <v>2011</v>
      </c>
      <c r="D142" s="256">
        <v>100</v>
      </c>
      <c r="E142">
        <v>0</v>
      </c>
      <c r="F142" s="257"/>
      <c r="G142">
        <f t="shared" ref="G142:G201" si="2">IF(OR(D142=50,D142=75),50,IF(OR(D142=100,D142=125),125,IF(D142&gt;=400,400,D142)))</f>
        <v>125</v>
      </c>
      <c r="H142" s="4">
        <f>IF(B142="RTG Crane",IF(D142&lt;600,800000,1200000),VLOOKUP(B142,'$$$ Replace &amp; Retrofit'!$B$10:$C$14,2)*'CHE Model poplulation'!D142)*E142</f>
        <v>0</v>
      </c>
      <c r="I142" s="197">
        <f>E142*VLOOKUP('CHE Model poplulation'!G142,'$$$ Replace &amp; Retrofit'!$I$10:$J$15,2)</f>
        <v>0</v>
      </c>
      <c r="K142" s="239"/>
      <c r="L142" s="239"/>
      <c r="M142" s="239"/>
    </row>
    <row r="143" spans="1:13" ht="45" x14ac:dyDescent="0.25">
      <c r="A143" s="255" t="s">
        <v>248</v>
      </c>
      <c r="B143" s="255" t="s">
        <v>208</v>
      </c>
      <c r="C143" s="256">
        <v>2011</v>
      </c>
      <c r="D143" s="256">
        <v>175</v>
      </c>
      <c r="E143">
        <v>0</v>
      </c>
      <c r="F143" s="257"/>
      <c r="G143">
        <f t="shared" si="2"/>
        <v>175</v>
      </c>
      <c r="H143" s="4">
        <f>IF(B143="RTG Crane",IF(D143&lt;600,800000,1200000),VLOOKUP(B143,'$$$ Replace &amp; Retrofit'!$B$10:$C$14,2)*'CHE Model poplulation'!D143)*E143</f>
        <v>0</v>
      </c>
      <c r="I143" s="197">
        <f>E143*VLOOKUP('CHE Model poplulation'!G143,'$$$ Replace &amp; Retrofit'!$I$10:$J$15,2)</f>
        <v>0</v>
      </c>
      <c r="K143" s="239"/>
      <c r="L143" s="239"/>
      <c r="M143" s="239"/>
    </row>
    <row r="144" spans="1:13" ht="45" x14ac:dyDescent="0.25">
      <c r="A144" s="255" t="s">
        <v>248</v>
      </c>
      <c r="B144" s="255" t="s">
        <v>208</v>
      </c>
      <c r="C144" s="256">
        <v>2011</v>
      </c>
      <c r="D144" s="256">
        <v>300</v>
      </c>
      <c r="E144">
        <v>0</v>
      </c>
      <c r="F144" s="257"/>
      <c r="G144">
        <f t="shared" si="2"/>
        <v>300</v>
      </c>
      <c r="H144" s="4">
        <f>IF(B144="RTG Crane",IF(D144&lt;600,800000,1200000),VLOOKUP(B144,'$$$ Replace &amp; Retrofit'!$B$10:$C$14,2)*'CHE Model poplulation'!D144)*E144</f>
        <v>0</v>
      </c>
      <c r="I144" s="197">
        <f>E144*VLOOKUP('CHE Model poplulation'!G144,'$$$ Replace &amp; Retrofit'!$I$10:$J$15,2)</f>
        <v>0</v>
      </c>
      <c r="K144" s="239"/>
      <c r="L144" s="239"/>
      <c r="M144" s="239"/>
    </row>
    <row r="145" spans="1:13" ht="45" x14ac:dyDescent="0.25">
      <c r="A145" s="255" t="s">
        <v>248</v>
      </c>
      <c r="B145" s="255" t="s">
        <v>208</v>
      </c>
      <c r="C145" s="256">
        <v>2011</v>
      </c>
      <c r="D145" s="256">
        <v>600</v>
      </c>
      <c r="E145">
        <v>0</v>
      </c>
      <c r="F145" s="257"/>
      <c r="G145">
        <f t="shared" si="2"/>
        <v>400</v>
      </c>
      <c r="H145" s="4">
        <f>IF(B145="RTG Crane",IF(D145&lt;600,800000,1200000),VLOOKUP(B145,'$$$ Replace &amp; Retrofit'!$B$10:$C$14,2)*'CHE Model poplulation'!D145)*E145</f>
        <v>0</v>
      </c>
      <c r="I145" s="197">
        <f>E145*VLOOKUP('CHE Model poplulation'!G145,'$$$ Replace &amp; Retrofit'!$I$10:$J$15,2)</f>
        <v>0</v>
      </c>
      <c r="K145" s="239"/>
      <c r="L145" s="239"/>
      <c r="M145" s="239"/>
    </row>
    <row r="146" spans="1:13" ht="45" x14ac:dyDescent="0.25">
      <c r="A146" s="255" t="s">
        <v>248</v>
      </c>
      <c r="B146" s="255" t="s">
        <v>208</v>
      </c>
      <c r="C146" s="256">
        <v>2012</v>
      </c>
      <c r="D146" s="256">
        <v>100</v>
      </c>
      <c r="E146">
        <v>0</v>
      </c>
      <c r="F146" s="257"/>
      <c r="G146">
        <f t="shared" si="2"/>
        <v>125</v>
      </c>
      <c r="H146" s="4">
        <f>IF(B146="RTG Crane",IF(D146&lt;600,800000,1200000),VLOOKUP(B146,'$$$ Replace &amp; Retrofit'!$B$10:$C$14,2)*'CHE Model poplulation'!D146)*E146</f>
        <v>0</v>
      </c>
      <c r="I146" s="197">
        <f>E146*VLOOKUP('CHE Model poplulation'!G146,'$$$ Replace &amp; Retrofit'!$I$10:$J$15,2)</f>
        <v>0</v>
      </c>
      <c r="K146" s="239"/>
      <c r="L146" s="239"/>
      <c r="M146" s="239"/>
    </row>
    <row r="147" spans="1:13" ht="45" x14ac:dyDescent="0.25">
      <c r="A147" s="255" t="s">
        <v>248</v>
      </c>
      <c r="B147" s="255" t="s">
        <v>208</v>
      </c>
      <c r="C147" s="256">
        <v>2012</v>
      </c>
      <c r="D147" s="256">
        <v>175</v>
      </c>
      <c r="E147">
        <v>0</v>
      </c>
      <c r="F147" s="257"/>
      <c r="G147">
        <f t="shared" si="2"/>
        <v>175</v>
      </c>
      <c r="H147" s="4">
        <f>IF(B147="RTG Crane",IF(D147&lt;600,800000,1200000),VLOOKUP(B147,'$$$ Replace &amp; Retrofit'!$B$10:$C$14,2)*'CHE Model poplulation'!D147)*E147</f>
        <v>0</v>
      </c>
      <c r="I147" s="197">
        <f>E147*VLOOKUP('CHE Model poplulation'!G147,'$$$ Replace &amp; Retrofit'!$I$10:$J$15,2)</f>
        <v>0</v>
      </c>
      <c r="K147" s="239"/>
      <c r="L147" s="239"/>
      <c r="M147" s="239"/>
    </row>
    <row r="148" spans="1:13" ht="45" x14ac:dyDescent="0.25">
      <c r="A148" s="255" t="s">
        <v>248</v>
      </c>
      <c r="B148" s="255" t="s">
        <v>208</v>
      </c>
      <c r="C148" s="256">
        <v>2012</v>
      </c>
      <c r="D148" s="256">
        <v>300</v>
      </c>
      <c r="E148">
        <v>9.42721259781767</v>
      </c>
      <c r="F148" s="257"/>
      <c r="G148">
        <f t="shared" si="2"/>
        <v>300</v>
      </c>
      <c r="H148" s="4">
        <f>IF(B148="RTG Crane",IF(D148&lt;600,800000,1200000),VLOOKUP(B148,'$$$ Replace &amp; Retrofit'!$B$10:$C$14,2)*'CHE Model poplulation'!D148)*E148</f>
        <v>2254046.5321382047</v>
      </c>
      <c r="I148" s="197">
        <f>E148*VLOOKUP('CHE Model poplulation'!G148,'$$$ Replace &amp; Retrofit'!$I$10:$J$15,2)</f>
        <v>271154.91595102963</v>
      </c>
      <c r="K148" s="239"/>
      <c r="L148" s="239"/>
      <c r="M148" s="239"/>
    </row>
    <row r="149" spans="1:13" ht="45" x14ac:dyDescent="0.25">
      <c r="A149" s="255" t="s">
        <v>248</v>
      </c>
      <c r="B149" s="255" t="s">
        <v>208</v>
      </c>
      <c r="C149" s="256">
        <v>2012</v>
      </c>
      <c r="D149" s="256">
        <v>600</v>
      </c>
      <c r="E149">
        <v>6.2083990370383697</v>
      </c>
      <c r="F149" s="257"/>
      <c r="G149">
        <f t="shared" si="2"/>
        <v>400</v>
      </c>
      <c r="H149" s="4">
        <f>IF(B149="RTG Crane",IF(D149&lt;600,800000,1200000),VLOOKUP(B149,'$$$ Replace &amp; Retrofit'!$B$10:$C$14,2)*'CHE Model poplulation'!D149)*E149</f>
        <v>2968856.4195117485</v>
      </c>
      <c r="I149" s="197">
        <f>E149*VLOOKUP('CHE Model poplulation'!G149,'$$$ Replace &amp; Retrofit'!$I$10:$J$15,2)</f>
        <v>324904.14680532902</v>
      </c>
      <c r="K149" s="239"/>
      <c r="L149" s="239"/>
      <c r="M149" s="239"/>
    </row>
    <row r="150" spans="1:13" ht="45" x14ac:dyDescent="0.25">
      <c r="A150" s="255" t="s">
        <v>248</v>
      </c>
      <c r="B150" s="255" t="s">
        <v>208</v>
      </c>
      <c r="C150" s="256">
        <v>2013</v>
      </c>
      <c r="D150" s="256">
        <v>100</v>
      </c>
      <c r="E150">
        <v>5.6636233103553799E-2</v>
      </c>
      <c r="F150" s="257"/>
      <c r="G150">
        <f t="shared" si="2"/>
        <v>125</v>
      </c>
      <c r="H150" s="4">
        <f>IF(B150="RTG Crane",IF(D150&lt;600,800000,1200000),VLOOKUP(B150,'$$$ Replace &amp; Retrofit'!$B$10:$C$14,2)*'CHE Model poplulation'!D150)*E150</f>
        <v>4513.9077783532375</v>
      </c>
      <c r="I150" s="197">
        <f>E150*VLOOKUP('CHE Model poplulation'!G150,'$$$ Replace &amp; Retrofit'!$I$10:$J$15,2)</f>
        <v>1117.6027878324271</v>
      </c>
      <c r="K150" s="239"/>
      <c r="L150" s="239"/>
      <c r="M150" s="239"/>
    </row>
    <row r="151" spans="1:13" ht="45" x14ac:dyDescent="0.25">
      <c r="A151" s="255" t="s">
        <v>248</v>
      </c>
      <c r="B151" s="255" t="s">
        <v>208</v>
      </c>
      <c r="C151" s="256">
        <v>2013</v>
      </c>
      <c r="D151" s="256">
        <v>175</v>
      </c>
      <c r="E151">
        <v>2.2487387481718999</v>
      </c>
      <c r="F151" s="257"/>
      <c r="G151">
        <f t="shared" si="2"/>
        <v>175</v>
      </c>
      <c r="H151" s="4">
        <f>IF(B151="RTG Crane",IF(D151&lt;600,800000,1200000),VLOOKUP(B151,'$$$ Replace &amp; Retrofit'!$B$10:$C$14,2)*'CHE Model poplulation'!D151)*E151</f>
        <v>313642.83690127573</v>
      </c>
      <c r="I151" s="197">
        <f>E151*VLOOKUP('CHE Model poplulation'!G151,'$$$ Replace &amp; Retrofit'!$I$10:$J$15,2)</f>
        <v>55759.725999670431</v>
      </c>
      <c r="K151" s="239"/>
      <c r="L151" s="239"/>
      <c r="M151" s="239"/>
    </row>
    <row r="152" spans="1:13" ht="45" x14ac:dyDescent="0.25">
      <c r="A152" s="255" t="s">
        <v>248</v>
      </c>
      <c r="B152" s="255" t="s">
        <v>208</v>
      </c>
      <c r="C152" s="256">
        <v>2013</v>
      </c>
      <c r="D152" s="256">
        <v>300</v>
      </c>
      <c r="E152">
        <v>17.061142795339599</v>
      </c>
      <c r="F152" s="257"/>
      <c r="G152">
        <f t="shared" si="2"/>
        <v>300</v>
      </c>
      <c r="H152" s="4">
        <f>IF(B152="RTG Crane",IF(D152&lt;600,800000,1200000),VLOOKUP(B152,'$$$ Replace &amp; Retrofit'!$B$10:$C$14,2)*'CHE Model poplulation'!D152)*E152</f>
        <v>4079319.2423656979</v>
      </c>
      <c r="I152" s="197">
        <f>E152*VLOOKUP('CHE Model poplulation'!G152,'$$$ Replace &amp; Retrofit'!$I$10:$J$15,2)</f>
        <v>490729.65022235288</v>
      </c>
      <c r="K152" s="239"/>
      <c r="L152" s="239"/>
      <c r="M152" s="239"/>
    </row>
    <row r="153" spans="1:13" ht="45" x14ac:dyDescent="0.25">
      <c r="A153" s="255" t="s">
        <v>248</v>
      </c>
      <c r="B153" s="255" t="s">
        <v>208</v>
      </c>
      <c r="C153" s="256">
        <v>2013</v>
      </c>
      <c r="D153" s="256">
        <v>600</v>
      </c>
      <c r="E153">
        <v>11.467220656086701</v>
      </c>
      <c r="F153" s="257"/>
      <c r="G153">
        <f t="shared" si="2"/>
        <v>400</v>
      </c>
      <c r="H153" s="4">
        <f>IF(B153="RTG Crane",IF(D153&lt;600,800000,1200000),VLOOKUP(B153,'$$$ Replace &amp; Retrofit'!$B$10:$C$14,2)*'CHE Model poplulation'!D153)*E153</f>
        <v>5483624.9177406607</v>
      </c>
      <c r="I153" s="197">
        <f>E153*VLOOKUP('CHE Model poplulation'!G153,'$$$ Replace &amp; Retrofit'!$I$10:$J$15,2)</f>
        <v>600114.05859498528</v>
      </c>
      <c r="K153" s="239"/>
      <c r="L153" s="239"/>
      <c r="M153" s="239"/>
    </row>
    <row r="154" spans="1:13" ht="45" x14ac:dyDescent="0.25">
      <c r="A154" s="255" t="s">
        <v>248</v>
      </c>
      <c r="B154" s="255" t="s">
        <v>208</v>
      </c>
      <c r="C154" s="256">
        <v>2014</v>
      </c>
      <c r="D154" s="256">
        <v>100</v>
      </c>
      <c r="E154">
        <v>0.129563237599638</v>
      </c>
      <c r="F154" s="257"/>
      <c r="G154">
        <f t="shared" si="2"/>
        <v>125</v>
      </c>
      <c r="H154" s="4">
        <f>IF(B154="RTG Crane",IF(D154&lt;600,800000,1200000),VLOOKUP(B154,'$$$ Replace &amp; Retrofit'!$B$10:$C$14,2)*'CHE Model poplulation'!D154)*E154</f>
        <v>10326.190036691149</v>
      </c>
      <c r="I154" s="197">
        <f>E154*VLOOKUP('CHE Model poplulation'!G154,'$$$ Replace &amp; Retrofit'!$I$10:$J$15,2)</f>
        <v>2556.6713675536566</v>
      </c>
      <c r="K154" s="239"/>
      <c r="L154" s="239"/>
      <c r="M154" s="239"/>
    </row>
    <row r="155" spans="1:13" ht="45" x14ac:dyDescent="0.25">
      <c r="A155" s="255" t="s">
        <v>248</v>
      </c>
      <c r="B155" s="255" t="s">
        <v>208</v>
      </c>
      <c r="C155" s="256">
        <v>2014</v>
      </c>
      <c r="D155" s="256">
        <v>175</v>
      </c>
      <c r="E155">
        <v>4.8184880598023199</v>
      </c>
      <c r="F155" s="257"/>
      <c r="G155">
        <f t="shared" si="2"/>
        <v>175</v>
      </c>
      <c r="H155" s="4">
        <f>IF(B155="RTG Crane",IF(D155&lt;600,800000,1200000),VLOOKUP(B155,'$$$ Replace &amp; Retrofit'!$B$10:$C$14,2)*'CHE Model poplulation'!D155)*E155</f>
        <v>672058.62214092852</v>
      </c>
      <c r="I155" s="197">
        <f>E155*VLOOKUP('CHE Model poplulation'!G155,'$$$ Replace &amp; Retrofit'!$I$10:$J$15,2)</f>
        <v>119479.22993085832</v>
      </c>
      <c r="K155" s="239"/>
      <c r="L155" s="239"/>
      <c r="M155" s="239"/>
    </row>
    <row r="156" spans="1:13" ht="45" x14ac:dyDescent="0.25">
      <c r="A156" s="255" t="s">
        <v>248</v>
      </c>
      <c r="B156" s="255" t="s">
        <v>208</v>
      </c>
      <c r="C156" s="256">
        <v>2014</v>
      </c>
      <c r="D156" s="256">
        <v>300</v>
      </c>
      <c r="E156">
        <v>26.0168805388153</v>
      </c>
      <c r="F156" s="257"/>
      <c r="G156">
        <f t="shared" si="2"/>
        <v>300</v>
      </c>
      <c r="H156" s="4">
        <f>IF(B156="RTG Crane",IF(D156&lt;600,800000,1200000),VLOOKUP(B156,'$$$ Replace &amp; Retrofit'!$B$10:$C$14,2)*'CHE Model poplulation'!D156)*E156</f>
        <v>6220636.1368307387</v>
      </c>
      <c r="I156" s="197">
        <f>E156*VLOOKUP('CHE Model poplulation'!G156,'$$$ Replace &amp; Retrofit'!$I$10:$J$15,2)</f>
        <v>748323.5349379445</v>
      </c>
      <c r="K156" s="239"/>
      <c r="L156" s="239"/>
      <c r="M156" s="239"/>
    </row>
    <row r="157" spans="1:13" ht="45" x14ac:dyDescent="0.25">
      <c r="A157" s="255" t="s">
        <v>248</v>
      </c>
      <c r="B157" s="255" t="s">
        <v>208</v>
      </c>
      <c r="C157" s="256">
        <v>2014</v>
      </c>
      <c r="D157" s="256">
        <v>600</v>
      </c>
      <c r="E157">
        <v>18.335355842819101</v>
      </c>
      <c r="F157" s="257"/>
      <c r="G157">
        <f t="shared" si="2"/>
        <v>400</v>
      </c>
      <c r="H157" s="4">
        <f>IF(B157="RTG Crane",IF(D157&lt;600,800000,1200000),VLOOKUP(B157,'$$$ Replace &amp; Retrofit'!$B$10:$C$14,2)*'CHE Model poplulation'!D157)*E157</f>
        <v>8767967.1640360951</v>
      </c>
      <c r="I157" s="197">
        <f>E157*VLOOKUP('CHE Model poplulation'!G157,'$$$ Replace &amp; Retrofit'!$I$10:$J$15,2)</f>
        <v>959544.17732225207</v>
      </c>
      <c r="K157" s="239"/>
      <c r="L157" s="239"/>
      <c r="M157" s="239"/>
    </row>
    <row r="158" spans="1:13" ht="45" x14ac:dyDescent="0.25">
      <c r="A158" s="255" t="s">
        <v>248</v>
      </c>
      <c r="B158" s="255" t="s">
        <v>208</v>
      </c>
      <c r="C158" s="256">
        <v>2015</v>
      </c>
      <c r="D158" s="256">
        <v>100</v>
      </c>
      <c r="E158">
        <v>0.15088400879157601</v>
      </c>
      <c r="F158" s="257"/>
      <c r="G158">
        <f t="shared" si="2"/>
        <v>125</v>
      </c>
      <c r="H158" s="4">
        <f>IF(B158="RTG Crane",IF(D158&lt;600,800000,1200000),VLOOKUP(B158,'$$$ Replace &amp; Retrofit'!$B$10:$C$14,2)*'CHE Model poplulation'!D158)*E158</f>
        <v>12025.455500688608</v>
      </c>
      <c r="I158" s="197">
        <f>E158*VLOOKUP('CHE Model poplulation'!G158,'$$$ Replace &amp; Retrofit'!$I$10:$J$15,2)</f>
        <v>2977.3941454841693</v>
      </c>
      <c r="K158" s="239"/>
      <c r="L158" s="239"/>
      <c r="M158" s="239"/>
    </row>
    <row r="159" spans="1:13" ht="45" x14ac:dyDescent="0.25">
      <c r="A159" s="255" t="s">
        <v>248</v>
      </c>
      <c r="B159" s="255" t="s">
        <v>208</v>
      </c>
      <c r="C159" s="256">
        <v>2015</v>
      </c>
      <c r="D159" s="256">
        <v>175</v>
      </c>
      <c r="E159">
        <v>6.6148506254252197</v>
      </c>
      <c r="F159" s="257"/>
      <c r="G159">
        <f t="shared" si="2"/>
        <v>175</v>
      </c>
      <c r="H159" s="4">
        <f>IF(B159="RTG Crane",IF(D159&lt;600,800000,1200000),VLOOKUP(B159,'$$$ Replace &amp; Retrofit'!$B$10:$C$14,2)*'CHE Model poplulation'!D159)*E159</f>
        <v>922606.29098118248</v>
      </c>
      <c r="I159" s="197">
        <f>E159*VLOOKUP('CHE Model poplulation'!G159,'$$$ Replace &amp; Retrofit'!$I$10:$J$15,2)</f>
        <v>164021.83610804376</v>
      </c>
      <c r="K159" s="239"/>
      <c r="L159" s="239"/>
      <c r="M159" s="239"/>
    </row>
    <row r="160" spans="1:13" ht="45" x14ac:dyDescent="0.25">
      <c r="A160" s="255" t="s">
        <v>248</v>
      </c>
      <c r="B160" s="255" t="s">
        <v>208</v>
      </c>
      <c r="C160" s="256">
        <v>2015</v>
      </c>
      <c r="D160" s="256">
        <v>300</v>
      </c>
      <c r="E160">
        <v>32.8183972336547</v>
      </c>
      <c r="F160" s="257"/>
      <c r="G160">
        <f t="shared" si="2"/>
        <v>300</v>
      </c>
      <c r="H160" s="4">
        <f>IF(B160="RTG Crane",IF(D160&lt;600,800000,1200000),VLOOKUP(B160,'$$$ Replace &amp; Retrofit'!$B$10:$C$14,2)*'CHE Model poplulation'!D160)*E160</f>
        <v>7846878.7785668392</v>
      </c>
      <c r="I160" s="197">
        <f>E160*VLOOKUP('CHE Model poplulation'!G160,'$$$ Replace &amp; Retrofit'!$I$10:$J$15,2)</f>
        <v>943955.55963161017</v>
      </c>
      <c r="K160" s="239"/>
      <c r="L160" s="239"/>
      <c r="M160" s="239"/>
    </row>
    <row r="161" spans="1:13" ht="45" x14ac:dyDescent="0.25">
      <c r="A161" s="255" t="s">
        <v>248</v>
      </c>
      <c r="B161" s="255" t="s">
        <v>208</v>
      </c>
      <c r="C161" s="256">
        <v>2015</v>
      </c>
      <c r="D161" s="256">
        <v>600</v>
      </c>
      <c r="E161">
        <v>24.7524108193637</v>
      </c>
      <c r="F161" s="257"/>
      <c r="G161">
        <f t="shared" si="2"/>
        <v>400</v>
      </c>
      <c r="H161" s="4">
        <f>IF(B161="RTG Crane",IF(D161&lt;600,800000,1200000),VLOOKUP(B161,'$$$ Replace &amp; Retrofit'!$B$10:$C$14,2)*'CHE Model poplulation'!D161)*E161</f>
        <v>11836602.85381972</v>
      </c>
      <c r="I161" s="197">
        <f>E161*VLOOKUP('CHE Model poplulation'!G161,'$$$ Replace &amp; Retrofit'!$I$10:$J$15,2)</f>
        <v>1295367.9154097605</v>
      </c>
      <c r="K161" s="239"/>
      <c r="L161" s="239"/>
      <c r="M161" s="239"/>
    </row>
    <row r="162" spans="1:13" ht="45" x14ac:dyDescent="0.25">
      <c r="A162" s="255" t="s">
        <v>248</v>
      </c>
      <c r="B162" s="255" t="s">
        <v>208</v>
      </c>
      <c r="C162" s="256">
        <v>2016</v>
      </c>
      <c r="D162" s="256">
        <v>100</v>
      </c>
      <c r="E162">
        <v>0.18408944862051699</v>
      </c>
      <c r="F162" s="257"/>
      <c r="G162">
        <f t="shared" si="2"/>
        <v>125</v>
      </c>
      <c r="H162" s="4">
        <f>IF(B162="RTG Crane",IF(D162&lt;600,800000,1200000),VLOOKUP(B162,'$$$ Replace &amp; Retrofit'!$B$10:$C$14,2)*'CHE Model poplulation'!D162)*E162</f>
        <v>14671.929055055203</v>
      </c>
      <c r="I162" s="197">
        <f>E162*VLOOKUP('CHE Model poplulation'!G162,'$$$ Replace &amp; Retrofit'!$I$10:$J$15,2)</f>
        <v>3632.6370896286617</v>
      </c>
      <c r="K162" s="239"/>
      <c r="L162" s="239"/>
      <c r="M162" s="239"/>
    </row>
    <row r="163" spans="1:13" ht="45" x14ac:dyDescent="0.25">
      <c r="A163" s="255" t="s">
        <v>248</v>
      </c>
      <c r="B163" s="255" t="s">
        <v>208</v>
      </c>
      <c r="C163" s="256">
        <v>2016</v>
      </c>
      <c r="D163" s="256">
        <v>175</v>
      </c>
      <c r="E163">
        <v>8.4346363389910302</v>
      </c>
      <c r="F163" s="257"/>
      <c r="G163">
        <f t="shared" si="2"/>
        <v>175</v>
      </c>
      <c r="H163" s="4">
        <f>IF(B163="RTG Crane",IF(D163&lt;600,800000,1200000),VLOOKUP(B163,'$$$ Replace &amp; Retrofit'!$B$10:$C$14,2)*'CHE Model poplulation'!D163)*E163</f>
        <v>1176420.903380774</v>
      </c>
      <c r="I163" s="197">
        <f>E163*VLOOKUP('CHE Model poplulation'!G163,'$$$ Replace &amp; Retrofit'!$I$10:$J$15,2)</f>
        <v>209145.2426616216</v>
      </c>
      <c r="K163" s="239"/>
      <c r="L163" s="239"/>
      <c r="M163" s="239"/>
    </row>
    <row r="164" spans="1:13" ht="45" x14ac:dyDescent="0.25">
      <c r="A164" s="255" t="s">
        <v>248</v>
      </c>
      <c r="B164" s="255" t="s">
        <v>208</v>
      </c>
      <c r="C164" s="256">
        <v>2016</v>
      </c>
      <c r="D164" s="256">
        <v>300</v>
      </c>
      <c r="E164">
        <v>38.490784788686497</v>
      </c>
      <c r="F164" s="257"/>
      <c r="G164">
        <f t="shared" si="2"/>
        <v>300</v>
      </c>
      <c r="H164" s="4">
        <f>IF(B164="RTG Crane",IF(D164&lt;600,800000,1200000),VLOOKUP(B164,'$$$ Replace &amp; Retrofit'!$B$10:$C$14,2)*'CHE Model poplulation'!D164)*E164</f>
        <v>9203146.6429749411</v>
      </c>
      <c r="I164" s="197">
        <f>E164*VLOOKUP('CHE Model poplulation'!G164,'$$$ Replace &amp; Retrofit'!$I$10:$J$15,2)</f>
        <v>1107110.4428769897</v>
      </c>
      <c r="K164" s="239"/>
      <c r="L164" s="239"/>
      <c r="M164" s="239"/>
    </row>
    <row r="165" spans="1:13" ht="45" x14ac:dyDescent="0.25">
      <c r="A165" s="255" t="s">
        <v>248</v>
      </c>
      <c r="B165" s="255" t="s">
        <v>208</v>
      </c>
      <c r="C165" s="256">
        <v>2016</v>
      </c>
      <c r="D165" s="256">
        <v>600</v>
      </c>
      <c r="E165">
        <v>29.172386276402602</v>
      </c>
      <c r="F165" s="257"/>
      <c r="G165">
        <f t="shared" si="2"/>
        <v>400</v>
      </c>
      <c r="H165" s="4">
        <f>IF(B165="RTG Crane",IF(D165&lt;600,800000,1200000),VLOOKUP(B165,'$$$ Replace &amp; Retrofit'!$B$10:$C$14,2)*'CHE Model poplulation'!D165)*E165</f>
        <v>13950235.117375724</v>
      </c>
      <c r="I165" s="197">
        <f>E165*VLOOKUP('CHE Model poplulation'!G165,'$$$ Replace &amp; Retrofit'!$I$10:$J$15,2)</f>
        <v>1526678.4910029774</v>
      </c>
      <c r="K165" s="239"/>
      <c r="L165" s="239"/>
      <c r="M165" s="239"/>
    </row>
    <row r="166" spans="1:13" ht="45" x14ac:dyDescent="0.25">
      <c r="A166" s="255" t="s">
        <v>248</v>
      </c>
      <c r="B166" s="255" t="s">
        <v>208</v>
      </c>
      <c r="C166" s="256">
        <v>2017</v>
      </c>
      <c r="D166" s="256">
        <v>100</v>
      </c>
      <c r="E166">
        <v>0.18110090443198101</v>
      </c>
      <c r="F166" s="257"/>
      <c r="G166">
        <f t="shared" si="2"/>
        <v>125</v>
      </c>
      <c r="H166" s="4">
        <f>IF(B166="RTG Crane",IF(D166&lt;600,800000,1200000),VLOOKUP(B166,'$$$ Replace &amp; Retrofit'!$B$10:$C$14,2)*'CHE Model poplulation'!D166)*E166</f>
        <v>14433.742083228886</v>
      </c>
      <c r="I166" s="197">
        <f>E166*VLOOKUP('CHE Model poplulation'!G166,'$$$ Replace &amp; Retrofit'!$I$10:$J$15,2)</f>
        <v>3573.6641471562812</v>
      </c>
      <c r="K166" s="239"/>
      <c r="L166" s="239"/>
      <c r="M166" s="239"/>
    </row>
    <row r="167" spans="1:13" ht="45" x14ac:dyDescent="0.25">
      <c r="A167" s="255" t="s">
        <v>248</v>
      </c>
      <c r="B167" s="255" t="s">
        <v>208</v>
      </c>
      <c r="C167" s="256">
        <v>2017</v>
      </c>
      <c r="D167" s="256">
        <v>175</v>
      </c>
      <c r="E167">
        <v>8.3581766549544092</v>
      </c>
      <c r="F167" s="257"/>
      <c r="G167">
        <f t="shared" si="2"/>
        <v>175</v>
      </c>
      <c r="H167" s="4">
        <f>IF(B167="RTG Crane",IF(D167&lt;600,800000,1200000),VLOOKUP(B167,'$$$ Replace &amp; Retrofit'!$B$10:$C$14,2)*'CHE Model poplulation'!D167)*E167</f>
        <v>1165756.6889497663</v>
      </c>
      <c r="I167" s="197">
        <f>E167*VLOOKUP('CHE Model poplulation'!G167,'$$$ Replace &amp; Retrofit'!$I$10:$J$15,2)</f>
        <v>207249.34833624953</v>
      </c>
      <c r="K167" s="239"/>
      <c r="L167" s="239"/>
      <c r="M167" s="239"/>
    </row>
    <row r="168" spans="1:13" ht="45" x14ac:dyDescent="0.25">
      <c r="A168" s="255" t="s">
        <v>248</v>
      </c>
      <c r="B168" s="255" t="s">
        <v>208</v>
      </c>
      <c r="C168" s="256">
        <v>2017</v>
      </c>
      <c r="D168" s="256">
        <v>300</v>
      </c>
      <c r="E168">
        <v>37.486870914839002</v>
      </c>
      <c r="F168" s="257"/>
      <c r="G168">
        <f t="shared" si="2"/>
        <v>300</v>
      </c>
      <c r="H168" s="4">
        <f>IF(B168="RTG Crane",IF(D168&lt;600,800000,1200000),VLOOKUP(B168,'$$$ Replace &amp; Retrofit'!$B$10:$C$14,2)*'CHE Model poplulation'!D168)*E168</f>
        <v>8963110.8357380051</v>
      </c>
      <c r="I168" s="197">
        <f>E168*VLOOKUP('CHE Model poplulation'!G168,'$$$ Replace &amp; Retrofit'!$I$10:$J$15,2)</f>
        <v>1078234.8681235141</v>
      </c>
      <c r="K168" s="239"/>
      <c r="L168" s="239"/>
      <c r="M168" s="239"/>
    </row>
    <row r="169" spans="1:13" ht="45" x14ac:dyDescent="0.25">
      <c r="A169" s="255" t="s">
        <v>248</v>
      </c>
      <c r="B169" s="255" t="s">
        <v>208</v>
      </c>
      <c r="C169" s="256">
        <v>2017</v>
      </c>
      <c r="D169" s="256">
        <v>600</v>
      </c>
      <c r="E169">
        <v>28.302116283710401</v>
      </c>
      <c r="F169" s="257"/>
      <c r="G169">
        <f t="shared" si="2"/>
        <v>400</v>
      </c>
      <c r="H169" s="4">
        <f>IF(B169="RTG Crane",IF(D169&lt;600,800000,1200000),VLOOKUP(B169,'$$$ Replace &amp; Retrofit'!$B$10:$C$14,2)*'CHE Model poplulation'!D169)*E169</f>
        <v>13534072.006870314</v>
      </c>
      <c r="I169" s="197">
        <f>E169*VLOOKUP('CHE Model poplulation'!G169,'$$$ Replace &amp; Retrofit'!$I$10:$J$15,2)</f>
        <v>1481134.6514754165</v>
      </c>
      <c r="K169" s="239"/>
      <c r="L169" s="239"/>
      <c r="M169" s="239"/>
    </row>
    <row r="170" spans="1:13" ht="45" x14ac:dyDescent="0.25">
      <c r="A170" s="255" t="s">
        <v>248</v>
      </c>
      <c r="B170" s="255" t="s">
        <v>208</v>
      </c>
      <c r="C170" s="256">
        <v>2018</v>
      </c>
      <c r="D170" s="256">
        <v>100</v>
      </c>
      <c r="E170">
        <v>0.17559624716236399</v>
      </c>
      <c r="F170" s="257"/>
      <c r="G170">
        <f t="shared" si="2"/>
        <v>125</v>
      </c>
      <c r="H170" s="4">
        <f>IF(B170="RTG Crane",IF(D170&lt;600,800000,1200000),VLOOKUP(B170,'$$$ Replace &amp; Retrofit'!$B$10:$C$14,2)*'CHE Model poplulation'!D170)*E170</f>
        <v>13995.02089884041</v>
      </c>
      <c r="I170" s="197">
        <f>E170*VLOOKUP('CHE Model poplulation'!G170,'$$$ Replace &amp; Retrofit'!$I$10:$J$15,2)</f>
        <v>3465.0407452549289</v>
      </c>
      <c r="K170" s="239"/>
      <c r="L170" s="239"/>
      <c r="M170" s="239"/>
    </row>
    <row r="171" spans="1:13" ht="45" x14ac:dyDescent="0.25">
      <c r="A171" s="255" t="s">
        <v>248</v>
      </c>
      <c r="B171" s="255" t="s">
        <v>208</v>
      </c>
      <c r="C171" s="256">
        <v>2018</v>
      </c>
      <c r="D171" s="256">
        <v>175</v>
      </c>
      <c r="E171">
        <v>8.1897744367180607</v>
      </c>
      <c r="F171" s="257"/>
      <c r="G171">
        <f t="shared" si="2"/>
        <v>175</v>
      </c>
      <c r="H171" s="4">
        <f>IF(B171="RTG Crane",IF(D171&lt;600,800000,1200000),VLOOKUP(B171,'$$$ Replace &amp; Retrofit'!$B$10:$C$14,2)*'CHE Model poplulation'!D171)*E171</f>
        <v>1142268.7895612514</v>
      </c>
      <c r="I171" s="197">
        <f>E171*VLOOKUP('CHE Model poplulation'!G171,'$$$ Replace &amp; Retrofit'!$I$10:$J$15,2)</f>
        <v>203073.64693286104</v>
      </c>
      <c r="K171" s="239"/>
      <c r="L171" s="239"/>
      <c r="M171" s="239"/>
    </row>
    <row r="172" spans="1:13" ht="45" x14ac:dyDescent="0.25">
      <c r="A172" s="255" t="s">
        <v>248</v>
      </c>
      <c r="B172" s="255" t="s">
        <v>208</v>
      </c>
      <c r="C172" s="256">
        <v>2018</v>
      </c>
      <c r="D172" s="256">
        <v>300</v>
      </c>
      <c r="E172">
        <v>36.4133177877682</v>
      </c>
      <c r="F172" s="257"/>
      <c r="G172">
        <f t="shared" si="2"/>
        <v>300</v>
      </c>
      <c r="H172" s="4">
        <f>IF(B172="RTG Crane",IF(D172&lt;600,800000,1200000),VLOOKUP(B172,'$$$ Replace &amp; Retrofit'!$B$10:$C$14,2)*'CHE Model poplulation'!D172)*E172</f>
        <v>8706424.2830553763</v>
      </c>
      <c r="I172" s="197">
        <f>E172*VLOOKUP('CHE Model poplulation'!G172,'$$$ Replace &amp; Retrofit'!$I$10:$J$15,2)</f>
        <v>1047356.2595295768</v>
      </c>
    </row>
    <row r="173" spans="1:13" ht="45" x14ac:dyDescent="0.25">
      <c r="A173" s="255" t="s">
        <v>248</v>
      </c>
      <c r="B173" s="255" t="s">
        <v>208</v>
      </c>
      <c r="C173" s="256">
        <v>2018</v>
      </c>
      <c r="D173" s="256">
        <v>600</v>
      </c>
      <c r="E173">
        <v>27.418196425395902</v>
      </c>
      <c r="F173" s="257"/>
      <c r="G173">
        <f t="shared" si="2"/>
        <v>400</v>
      </c>
      <c r="H173" s="4">
        <f>IF(B173="RTG Crane",IF(D173&lt;600,800000,1200000),VLOOKUP(B173,'$$$ Replace &amp; Retrofit'!$B$10:$C$14,2)*'CHE Model poplulation'!D173)*E173</f>
        <v>13111381.530624321</v>
      </c>
      <c r="I173" s="197">
        <f>E173*VLOOKUP('CHE Model poplulation'!G173,'$$$ Replace &amp; Retrofit'!$I$10:$J$15,2)</f>
        <v>1434876.4735302436</v>
      </c>
      <c r="K173" s="239"/>
      <c r="L173" s="239"/>
      <c r="M173" s="239"/>
    </row>
    <row r="174" spans="1:13" ht="45" x14ac:dyDescent="0.25">
      <c r="A174" s="255" t="s">
        <v>248</v>
      </c>
      <c r="B174" s="255" t="s">
        <v>208</v>
      </c>
      <c r="C174" s="256">
        <v>2019</v>
      </c>
      <c r="D174" s="256">
        <v>100</v>
      </c>
      <c r="E174">
        <v>0.169112892003387</v>
      </c>
      <c r="F174" s="257"/>
      <c r="G174">
        <f t="shared" si="2"/>
        <v>125</v>
      </c>
      <c r="H174" s="4">
        <f>IF(B174="RTG Crane",IF(D174&lt;600,800000,1200000),VLOOKUP(B174,'$$$ Replace &amp; Retrofit'!$B$10:$C$14,2)*'CHE Model poplulation'!D174)*E174</f>
        <v>13478.297492669944</v>
      </c>
      <c r="I174" s="197">
        <f>E174*VLOOKUP('CHE Model poplulation'!G174,'$$$ Replace &amp; Retrofit'!$I$10:$J$15,2)</f>
        <v>3337.1046979028356</v>
      </c>
      <c r="K174" s="239"/>
      <c r="L174" s="239"/>
      <c r="M174" s="239"/>
    </row>
    <row r="175" spans="1:13" ht="45" x14ac:dyDescent="0.25">
      <c r="A175" s="255" t="s">
        <v>248</v>
      </c>
      <c r="B175" s="255" t="s">
        <v>208</v>
      </c>
      <c r="C175" s="256">
        <v>2019</v>
      </c>
      <c r="D175" s="256">
        <v>175</v>
      </c>
      <c r="E175">
        <v>7.9854026835353498</v>
      </c>
      <c r="F175" s="257"/>
      <c r="G175">
        <f t="shared" si="2"/>
        <v>175</v>
      </c>
      <c r="H175" s="4">
        <f>IF(B175="RTG Crane",IF(D175&lt;600,800000,1200000),VLOOKUP(B175,'$$$ Replace &amp; Retrofit'!$B$10:$C$14,2)*'CHE Model poplulation'!D175)*E175</f>
        <v>1113764.0392860929</v>
      </c>
      <c r="I175" s="197">
        <f>E175*VLOOKUP('CHE Model poplulation'!G175,'$$$ Replace &amp; Retrofit'!$I$10:$J$15,2)</f>
        <v>198006.04494094252</v>
      </c>
      <c r="K175" s="239"/>
      <c r="L175" s="239"/>
      <c r="M175" s="239"/>
    </row>
    <row r="176" spans="1:13" ht="45" x14ac:dyDescent="0.25">
      <c r="A176" s="255" t="s">
        <v>248</v>
      </c>
      <c r="B176" s="255" t="s">
        <v>208</v>
      </c>
      <c r="C176" s="256">
        <v>2019</v>
      </c>
      <c r="D176" s="256">
        <v>300</v>
      </c>
      <c r="E176">
        <v>35.063382593606498</v>
      </c>
      <c r="F176" s="257"/>
      <c r="G176">
        <f t="shared" si="2"/>
        <v>300</v>
      </c>
      <c r="H176" s="4">
        <f>IF(B176="RTG Crane",IF(D176&lt;600,800000,1200000),VLOOKUP(B176,'$$$ Replace &amp; Retrofit'!$B$10:$C$14,2)*'CHE Model poplulation'!D176)*E176</f>
        <v>8383654.7781313136</v>
      </c>
      <c r="I176" s="197">
        <f>E176*VLOOKUP('CHE Model poplulation'!G176,'$$$ Replace &amp; Retrofit'!$I$10:$J$15,2)</f>
        <v>1008528.0735399037</v>
      </c>
      <c r="K176" s="239"/>
      <c r="L176" s="239"/>
      <c r="M176" s="239"/>
    </row>
    <row r="177" spans="1:13" ht="45" x14ac:dyDescent="0.25">
      <c r="A177" s="255" t="s">
        <v>248</v>
      </c>
      <c r="B177" s="255" t="s">
        <v>208</v>
      </c>
      <c r="C177" s="256">
        <v>2019</v>
      </c>
      <c r="D177" s="256">
        <v>600</v>
      </c>
      <c r="E177">
        <v>26.308833962460898</v>
      </c>
      <c r="F177" s="257"/>
      <c r="G177">
        <f t="shared" si="2"/>
        <v>400</v>
      </c>
      <c r="H177" s="4">
        <f>IF(B177="RTG Crane",IF(D177&lt;600,800000,1200000),VLOOKUP(B177,'$$$ Replace &amp; Retrofit'!$B$10:$C$14,2)*'CHE Model poplulation'!D177)*E177</f>
        <v>12580884.400848802</v>
      </c>
      <c r="I177" s="197">
        <f>E177*VLOOKUP('CHE Model poplulation'!G177,'$$$ Replace &amp; Retrofit'!$I$10:$J$15,2)</f>
        <v>1376820.2077574662</v>
      </c>
      <c r="K177" s="239"/>
      <c r="L177" s="239"/>
      <c r="M177" s="239"/>
    </row>
    <row r="178" spans="1:13" ht="45" x14ac:dyDescent="0.25">
      <c r="A178" s="255" t="s">
        <v>248</v>
      </c>
      <c r="B178" s="255" t="s">
        <v>208</v>
      </c>
      <c r="C178" s="256">
        <v>2020</v>
      </c>
      <c r="D178" s="256">
        <v>100</v>
      </c>
      <c r="E178">
        <v>0.16126683320017801</v>
      </c>
      <c r="F178" s="257"/>
      <c r="G178">
        <f t="shared" si="2"/>
        <v>125</v>
      </c>
      <c r="H178" s="4">
        <f>IF(B178="RTG Crane",IF(D178&lt;600,800000,1200000),VLOOKUP(B178,'$$$ Replace &amp; Retrofit'!$B$10:$C$14,2)*'CHE Model poplulation'!D178)*E178</f>
        <v>12852.966606054188</v>
      </c>
      <c r="I178" s="197">
        <f>E178*VLOOKUP('CHE Model poplulation'!G178,'$$$ Replace &amp; Retrofit'!$I$10:$J$15,2)</f>
        <v>3182.2784195391127</v>
      </c>
      <c r="K178" s="239"/>
      <c r="L178" s="239"/>
      <c r="M178" s="239"/>
    </row>
    <row r="179" spans="1:13" ht="45" x14ac:dyDescent="0.25">
      <c r="A179" s="255" t="s">
        <v>248</v>
      </c>
      <c r="B179" s="255" t="s">
        <v>208</v>
      </c>
      <c r="C179" s="256">
        <v>2020</v>
      </c>
      <c r="D179" s="256">
        <v>175</v>
      </c>
      <c r="E179">
        <v>7.7163645176029299</v>
      </c>
      <c r="F179" s="257"/>
      <c r="G179">
        <f t="shared" si="2"/>
        <v>175</v>
      </c>
      <c r="H179" s="4">
        <f>IF(B179="RTG Crane",IF(D179&lt;600,800000,1200000),VLOOKUP(B179,'$$$ Replace &amp; Retrofit'!$B$10:$C$14,2)*'CHE Model poplulation'!D179)*E179</f>
        <v>1076239.9410926686</v>
      </c>
      <c r="I179" s="197">
        <f>E179*VLOOKUP('CHE Model poplulation'!G179,'$$$ Replace &amp; Retrofit'!$I$10:$J$15,2)</f>
        <v>191334.97457848224</v>
      </c>
      <c r="K179" s="239"/>
      <c r="L179" s="239"/>
      <c r="M179" s="239"/>
    </row>
    <row r="180" spans="1:13" ht="45" x14ac:dyDescent="0.25">
      <c r="A180" s="255" t="s">
        <v>248</v>
      </c>
      <c r="B180" s="255" t="s">
        <v>208</v>
      </c>
      <c r="C180" s="256">
        <v>2020</v>
      </c>
      <c r="D180" s="256">
        <v>300</v>
      </c>
      <c r="E180">
        <v>31.560406871338898</v>
      </c>
      <c r="F180" s="257"/>
      <c r="G180">
        <f t="shared" si="2"/>
        <v>300</v>
      </c>
      <c r="H180" s="4">
        <f>IF(B180="RTG Crane",IF(D180&lt;600,800000,1200000),VLOOKUP(B180,'$$$ Replace &amp; Retrofit'!$B$10:$C$14,2)*'CHE Model poplulation'!D180)*E180</f>
        <v>7546093.2829371309</v>
      </c>
      <c r="I180" s="197">
        <f>E180*VLOOKUP('CHE Model poplulation'!G180,'$$$ Replace &amp; Retrofit'!$I$10:$J$15,2)</f>
        <v>907771.98284032068</v>
      </c>
      <c r="K180" s="239"/>
      <c r="L180" s="239"/>
      <c r="M180" s="239"/>
    </row>
    <row r="181" spans="1:13" ht="45" x14ac:dyDescent="0.25">
      <c r="A181" s="255" t="s">
        <v>248</v>
      </c>
      <c r="B181" s="255" t="s">
        <v>208</v>
      </c>
      <c r="C181" s="256">
        <v>2020</v>
      </c>
      <c r="D181" s="256">
        <v>600</v>
      </c>
      <c r="E181">
        <v>23.7446798894611</v>
      </c>
      <c r="F181" s="257"/>
      <c r="G181">
        <f t="shared" si="2"/>
        <v>400</v>
      </c>
      <c r="H181" s="4">
        <f>IF(B181="RTG Crane",IF(D181&lt;600,800000,1200000),VLOOKUP(B181,'$$$ Replace &amp; Retrofit'!$B$10:$C$14,2)*'CHE Model poplulation'!D181)*E181</f>
        <v>11354705.923140299</v>
      </c>
      <c r="I181" s="197">
        <f>E181*VLOOKUP('CHE Model poplulation'!G181,'$$$ Replace &amp; Retrofit'!$I$10:$J$15,2)</f>
        <v>1242630.3326551677</v>
      </c>
      <c r="K181" s="239"/>
      <c r="L181" s="239"/>
      <c r="M181" s="239"/>
    </row>
    <row r="182" spans="1:13" ht="45" x14ac:dyDescent="0.25">
      <c r="A182" s="255" t="s">
        <v>248</v>
      </c>
      <c r="B182" s="255" t="s">
        <v>208</v>
      </c>
      <c r="C182" s="256">
        <v>2021</v>
      </c>
      <c r="D182" s="256">
        <v>100</v>
      </c>
      <c r="E182">
        <v>0.14031403047515001</v>
      </c>
      <c r="F182" s="257"/>
      <c r="G182">
        <f t="shared" si="2"/>
        <v>125</v>
      </c>
      <c r="H182" s="4">
        <f>IF(B182="RTG Crane",IF(D182&lt;600,800000,1200000),VLOOKUP(B182,'$$$ Replace &amp; Retrofit'!$B$10:$C$14,2)*'CHE Model poplulation'!D182)*E182</f>
        <v>11183.028228869456</v>
      </c>
      <c r="I182" s="197">
        <f>E182*VLOOKUP('CHE Model poplulation'!G182,'$$$ Replace &amp; Retrofit'!$I$10:$J$15,2)</f>
        <v>2768.8167633661351</v>
      </c>
      <c r="K182" s="239"/>
      <c r="L182" s="239"/>
      <c r="M182" s="239"/>
    </row>
    <row r="183" spans="1:13" ht="45" x14ac:dyDescent="0.25">
      <c r="A183" s="255" t="s">
        <v>248</v>
      </c>
      <c r="B183" s="255" t="s">
        <v>208</v>
      </c>
      <c r="C183" s="256">
        <v>2021</v>
      </c>
      <c r="D183" s="256">
        <v>175</v>
      </c>
      <c r="E183">
        <v>7.0398012021474496</v>
      </c>
      <c r="F183" s="257"/>
      <c r="G183">
        <f t="shared" si="2"/>
        <v>175</v>
      </c>
      <c r="H183" s="4">
        <f>IF(B183="RTG Crane",IF(D183&lt;600,800000,1200000),VLOOKUP(B183,'$$$ Replace &amp; Retrofit'!$B$10:$C$14,2)*'CHE Model poplulation'!D183)*E183</f>
        <v>981876.27266951557</v>
      </c>
      <c r="I183" s="197">
        <f>E183*VLOOKUP('CHE Model poplulation'!G183,'$$$ Replace &amp; Retrofit'!$I$10:$J$15,2)</f>
        <v>174558.91060844818</v>
      </c>
      <c r="K183" s="239"/>
      <c r="L183" s="239"/>
      <c r="M183" s="239"/>
    </row>
    <row r="184" spans="1:13" ht="45" x14ac:dyDescent="0.25">
      <c r="A184" s="255" t="s">
        <v>248</v>
      </c>
      <c r="B184" s="255" t="s">
        <v>208</v>
      </c>
      <c r="C184" s="256">
        <v>2021</v>
      </c>
      <c r="D184" s="256">
        <v>300</v>
      </c>
      <c r="E184">
        <v>26.644359698272801</v>
      </c>
      <c r="F184" s="257"/>
      <c r="G184">
        <f t="shared" si="2"/>
        <v>300</v>
      </c>
      <c r="H184" s="4">
        <f>IF(B184="RTG Crane",IF(D184&lt;600,800000,1200000),VLOOKUP(B184,'$$$ Replace &amp; Retrofit'!$B$10:$C$14,2)*'CHE Model poplulation'!D184)*E184</f>
        <v>6370666.4038570272</v>
      </c>
      <c r="I184" s="197">
        <f>E184*VLOOKUP('CHE Model poplulation'!G184,'$$$ Replace &amp; Retrofit'!$I$10:$J$15,2)</f>
        <v>766371.71800142061</v>
      </c>
      <c r="K184" s="239"/>
      <c r="L184" s="239"/>
      <c r="M184" s="239"/>
    </row>
    <row r="185" spans="1:13" ht="45" x14ac:dyDescent="0.25">
      <c r="A185" s="255" t="s">
        <v>248</v>
      </c>
      <c r="B185" s="255" t="s">
        <v>208</v>
      </c>
      <c r="C185" s="256">
        <v>2021</v>
      </c>
      <c r="D185" s="256">
        <v>600</v>
      </c>
      <c r="E185">
        <v>20.1663642172579</v>
      </c>
      <c r="F185" s="257"/>
      <c r="G185">
        <f t="shared" si="2"/>
        <v>400</v>
      </c>
      <c r="H185" s="4">
        <f>IF(B185="RTG Crane",IF(D185&lt;600,800000,1200000),VLOOKUP(B185,'$$$ Replace &amp; Retrofit'!$B$10:$C$14,2)*'CHE Model poplulation'!D185)*E185</f>
        <v>9643555.3686927278</v>
      </c>
      <c r="I185" s="197">
        <f>E185*VLOOKUP('CHE Model poplulation'!G185,'$$$ Replace &amp; Retrofit'!$I$10:$J$15,2)</f>
        <v>1055366.3385817576</v>
      </c>
      <c r="K185" s="239"/>
      <c r="L185" s="239"/>
      <c r="M185" s="239"/>
    </row>
    <row r="186" spans="1:13" ht="45" x14ac:dyDescent="0.25">
      <c r="A186" s="255" t="s">
        <v>248</v>
      </c>
      <c r="B186" s="255" t="s">
        <v>208</v>
      </c>
      <c r="C186" s="256">
        <v>2022</v>
      </c>
      <c r="D186" s="256">
        <v>100</v>
      </c>
      <c r="E186">
        <v>0.104461138216418</v>
      </c>
      <c r="F186" s="257"/>
      <c r="G186">
        <f t="shared" si="2"/>
        <v>125</v>
      </c>
      <c r="H186" s="4">
        <f>IF(B186="RTG Crane",IF(D186&lt;600,800000,1200000),VLOOKUP(B186,'$$$ Replace &amp; Retrofit'!$B$10:$C$14,2)*'CHE Model poplulation'!D186)*E186</f>
        <v>8325.5527158485147</v>
      </c>
      <c r="I186" s="197">
        <f>E186*VLOOKUP('CHE Model poplulation'!G186,'$$$ Replace &amp; Retrofit'!$I$10:$J$15,2)</f>
        <v>2061.3316404245766</v>
      </c>
      <c r="K186" s="239"/>
      <c r="L186" s="239"/>
      <c r="M186" s="239"/>
    </row>
    <row r="187" spans="1:13" ht="45" x14ac:dyDescent="0.25">
      <c r="A187" s="255" t="s">
        <v>248</v>
      </c>
      <c r="B187" s="255" t="s">
        <v>208</v>
      </c>
      <c r="C187" s="256">
        <v>2022</v>
      </c>
      <c r="D187" s="256">
        <v>175</v>
      </c>
      <c r="E187">
        <v>5.93044143446504</v>
      </c>
      <c r="F187" s="257"/>
      <c r="G187">
        <f t="shared" si="2"/>
        <v>175</v>
      </c>
      <c r="H187" s="4">
        <f>IF(B187="RTG Crane",IF(D187&lt;600,800000,1200000),VLOOKUP(B187,'$$$ Replace &amp; Retrofit'!$B$10:$C$14,2)*'CHE Model poplulation'!D187)*E187</f>
        <v>827148.31907201151</v>
      </c>
      <c r="I187" s="197">
        <f>E187*VLOOKUP('CHE Model poplulation'!G187,'$$$ Replace &amp; Retrofit'!$I$10:$J$15,2)</f>
        <v>147051.22580899514</v>
      </c>
      <c r="K187" s="239"/>
      <c r="L187" s="239"/>
      <c r="M187" s="239"/>
    </row>
    <row r="188" spans="1:13" ht="45" x14ac:dyDescent="0.25">
      <c r="A188" s="255" t="s">
        <v>248</v>
      </c>
      <c r="B188" s="255" t="s">
        <v>208</v>
      </c>
      <c r="C188" s="256">
        <v>2022</v>
      </c>
      <c r="D188" s="256">
        <v>300</v>
      </c>
      <c r="E188">
        <v>21.538115076800299</v>
      </c>
      <c r="F188" s="257"/>
      <c r="G188">
        <f t="shared" si="2"/>
        <v>300</v>
      </c>
      <c r="H188" s="4">
        <f>IF(B188="RTG Crane",IF(D188&lt;600,800000,1200000),VLOOKUP(B188,'$$$ Replace &amp; Retrofit'!$B$10:$C$14,2)*'CHE Model poplulation'!D188)*E188</f>
        <v>5149763.3148629516</v>
      </c>
      <c r="I188" s="197">
        <f>E188*VLOOKUP('CHE Model poplulation'!G188,'$$$ Replace &amp; Retrofit'!$I$10:$J$15,2)</f>
        <v>619500.80395400699</v>
      </c>
      <c r="K188" s="239"/>
      <c r="L188" s="239"/>
      <c r="M188" s="239"/>
    </row>
    <row r="189" spans="1:13" ht="45" x14ac:dyDescent="0.25">
      <c r="A189" s="255" t="s">
        <v>248</v>
      </c>
      <c r="B189" s="255" t="s">
        <v>208</v>
      </c>
      <c r="C189" s="256">
        <v>2022</v>
      </c>
      <c r="D189" s="256">
        <v>600</v>
      </c>
      <c r="E189">
        <v>16.238397953216701</v>
      </c>
      <c r="F189" s="257"/>
      <c r="G189">
        <f t="shared" si="2"/>
        <v>400</v>
      </c>
      <c r="H189" s="4">
        <f>IF(B189="RTG Crane",IF(D189&lt;600,800000,1200000),VLOOKUP(B189,'$$$ Replace &amp; Retrofit'!$B$10:$C$14,2)*'CHE Model poplulation'!D189)*E189</f>
        <v>7765201.9012282267</v>
      </c>
      <c r="I189" s="197">
        <f>E189*VLOOKUP('CHE Model poplulation'!G189,'$$$ Replace &amp; Retrofit'!$I$10:$J$15,2)</f>
        <v>849804.08008568967</v>
      </c>
      <c r="K189" s="239"/>
      <c r="L189" s="239"/>
      <c r="M189" s="239"/>
    </row>
    <row r="190" spans="1:13" ht="45" x14ac:dyDescent="0.25">
      <c r="A190" s="255" t="s">
        <v>248</v>
      </c>
      <c r="B190" s="255" t="s">
        <v>208</v>
      </c>
      <c r="C190" s="256">
        <v>2023</v>
      </c>
      <c r="D190" s="256">
        <v>100</v>
      </c>
      <c r="E190">
        <v>7.5470753918960104E-2</v>
      </c>
      <c r="F190" s="257"/>
      <c r="G190">
        <f t="shared" si="2"/>
        <v>125</v>
      </c>
      <c r="H190" s="4">
        <f>IF(B190="RTG Crane",IF(D190&lt;600,800000,1200000),VLOOKUP(B190,'$$$ Replace &amp; Retrofit'!$B$10:$C$14,2)*'CHE Model poplulation'!D190)*E190</f>
        <v>6015.0190873411202</v>
      </c>
      <c r="I190" s="197">
        <f>E190*VLOOKUP('CHE Model poplulation'!G190,'$$$ Replace &amp; Retrofit'!$I$10:$J$15,2)</f>
        <v>1489.2643870828397</v>
      </c>
      <c r="K190" s="239"/>
      <c r="L190" s="239"/>
      <c r="M190" s="239"/>
    </row>
    <row r="191" spans="1:13" ht="45" x14ac:dyDescent="0.25">
      <c r="A191" s="255" t="s">
        <v>248</v>
      </c>
      <c r="B191" s="255" t="s">
        <v>208</v>
      </c>
      <c r="C191" s="256">
        <v>2023</v>
      </c>
      <c r="D191" s="256">
        <v>175</v>
      </c>
      <c r="E191">
        <v>4.8864657686646797</v>
      </c>
      <c r="F191" s="257"/>
      <c r="G191">
        <f t="shared" si="2"/>
        <v>175</v>
      </c>
      <c r="H191" s="4">
        <f>IF(B191="RTG Crane",IF(D191&lt;600,800000,1200000),VLOOKUP(B191,'$$$ Replace &amp; Retrofit'!$B$10:$C$14,2)*'CHE Model poplulation'!D191)*E191</f>
        <v>681539.8130845062</v>
      </c>
      <c r="I191" s="197">
        <f>E191*VLOOKUP('CHE Model poplulation'!G191,'$$$ Replace &amp; Retrofit'!$I$10:$J$15,2)</f>
        <v>121164.8051998094</v>
      </c>
      <c r="K191" s="239"/>
      <c r="L191" s="239"/>
      <c r="M191" s="239"/>
    </row>
    <row r="192" spans="1:13" ht="45" x14ac:dyDescent="0.25">
      <c r="A192" s="255" t="s">
        <v>248</v>
      </c>
      <c r="B192" s="255" t="s">
        <v>208</v>
      </c>
      <c r="C192" s="256">
        <v>2023</v>
      </c>
      <c r="D192" s="256">
        <v>300</v>
      </c>
      <c r="E192">
        <v>16.740759850171099</v>
      </c>
      <c r="F192" s="257"/>
      <c r="G192">
        <f t="shared" si="2"/>
        <v>300</v>
      </c>
      <c r="H192" s="4">
        <f>IF(B192="RTG Crane",IF(D192&lt;600,800000,1200000),VLOOKUP(B192,'$$$ Replace &amp; Retrofit'!$B$10:$C$14,2)*'CHE Model poplulation'!D192)*E192</f>
        <v>4002715.6801759098</v>
      </c>
      <c r="I192" s="197">
        <f>E192*VLOOKUP('CHE Model poplulation'!G192,'$$$ Replace &amp; Retrofit'!$I$10:$J$15,2)</f>
        <v>481514.47557047132</v>
      </c>
      <c r="K192" s="239"/>
      <c r="L192" s="239"/>
      <c r="M192" s="239"/>
    </row>
    <row r="193" spans="1:13" ht="45" x14ac:dyDescent="0.25">
      <c r="A193" s="255" t="s">
        <v>248</v>
      </c>
      <c r="B193" s="255" t="s">
        <v>208</v>
      </c>
      <c r="C193" s="256">
        <v>2023</v>
      </c>
      <c r="D193" s="256">
        <v>600</v>
      </c>
      <c r="E193">
        <v>12.138081322337101</v>
      </c>
      <c r="F193" s="257"/>
      <c r="G193">
        <f t="shared" si="2"/>
        <v>400</v>
      </c>
      <c r="H193" s="4">
        <f>IF(B193="RTG Crane",IF(D193&lt;600,800000,1200000),VLOOKUP(B193,'$$$ Replace &amp; Retrofit'!$B$10:$C$14,2)*'CHE Model poplulation'!D193)*E193</f>
        <v>5804430.4883416016</v>
      </c>
      <c r="I193" s="197">
        <f>E193*VLOOKUP('CHE Model poplulation'!G193,'$$$ Replace &amp; Retrofit'!$I$10:$J$15,2)</f>
        <v>635222.20984186744</v>
      </c>
      <c r="K193" s="239"/>
      <c r="L193" s="239"/>
      <c r="M193" s="239"/>
    </row>
    <row r="194" spans="1:13" ht="45" x14ac:dyDescent="0.25">
      <c r="A194" s="255" t="s">
        <v>248</v>
      </c>
      <c r="B194" s="255" t="s">
        <v>208</v>
      </c>
      <c r="C194" s="256">
        <v>2024</v>
      </c>
      <c r="D194" s="256">
        <v>100</v>
      </c>
      <c r="E194">
        <v>4.2149724760989098E-2</v>
      </c>
      <c r="F194" s="257"/>
      <c r="G194">
        <f t="shared" si="2"/>
        <v>125</v>
      </c>
      <c r="H194" s="4">
        <f>IF(B194="RTG Crane",IF(D194&lt;600,800000,1200000),VLOOKUP(B194,'$$$ Replace &amp; Retrofit'!$B$10:$C$14,2)*'CHE Model poplulation'!D194)*E194</f>
        <v>3359.3330634508311</v>
      </c>
      <c r="I194" s="197">
        <f>E194*VLOOKUP('CHE Model poplulation'!G194,'$$$ Replace &amp; Retrofit'!$I$10:$J$15,2)</f>
        <v>831.74051870859785</v>
      </c>
      <c r="K194" s="239"/>
      <c r="L194" s="239"/>
      <c r="M194" s="239"/>
    </row>
    <row r="195" spans="1:13" ht="45" x14ac:dyDescent="0.25">
      <c r="A195" s="255" t="s">
        <v>248</v>
      </c>
      <c r="B195" s="255" t="s">
        <v>208</v>
      </c>
      <c r="C195" s="256">
        <v>2024</v>
      </c>
      <c r="D195" s="256">
        <v>175</v>
      </c>
      <c r="E195">
        <v>3.48782523789207</v>
      </c>
      <c r="F195" s="257"/>
      <c r="G195">
        <f t="shared" si="2"/>
        <v>175</v>
      </c>
      <c r="H195" s="4">
        <f>IF(B195="RTG Crane",IF(D195&lt;600,800000,1200000),VLOOKUP(B195,'$$$ Replace &amp; Retrofit'!$B$10:$C$14,2)*'CHE Model poplulation'!D195)*E195</f>
        <v>486464.42505499645</v>
      </c>
      <c r="I195" s="197">
        <f>E195*VLOOKUP('CHE Model poplulation'!G195,'$$$ Replace &amp; Retrofit'!$I$10:$J$15,2)</f>
        <v>86484.114598771761</v>
      </c>
      <c r="K195" s="239"/>
      <c r="L195" s="239"/>
      <c r="M195" s="239"/>
    </row>
    <row r="196" spans="1:13" ht="45" x14ac:dyDescent="0.25">
      <c r="A196" s="255" t="s">
        <v>248</v>
      </c>
      <c r="B196" s="255" t="s">
        <v>208</v>
      </c>
      <c r="C196" s="256">
        <v>2024</v>
      </c>
      <c r="D196" s="256">
        <v>300</v>
      </c>
      <c r="E196">
        <v>10.3595081301685</v>
      </c>
      <c r="F196" s="257"/>
      <c r="G196">
        <f t="shared" si="2"/>
        <v>300</v>
      </c>
      <c r="H196" s="4">
        <f>IF(B196="RTG Crane",IF(D196&lt;600,800000,1200000),VLOOKUP(B196,'$$$ Replace &amp; Retrofit'!$B$10:$C$14,2)*'CHE Model poplulation'!D196)*E196</f>
        <v>2476958.3939232882</v>
      </c>
      <c r="I196" s="197">
        <f>E196*VLOOKUP('CHE Model poplulation'!G196,'$$$ Replace &amp; Retrofit'!$I$10:$J$15,2)</f>
        <v>297970.53234803659</v>
      </c>
      <c r="K196" s="239"/>
      <c r="L196" s="239"/>
      <c r="M196" s="239"/>
    </row>
    <row r="197" spans="1:13" ht="45" x14ac:dyDescent="0.25">
      <c r="A197" s="255" t="s">
        <v>248</v>
      </c>
      <c r="B197" s="255" t="s">
        <v>208</v>
      </c>
      <c r="C197" s="256">
        <v>2024</v>
      </c>
      <c r="D197" s="256">
        <v>600</v>
      </c>
      <c r="E197">
        <v>6.67865945673885</v>
      </c>
      <c r="F197" s="257"/>
      <c r="G197">
        <f t="shared" si="2"/>
        <v>400</v>
      </c>
      <c r="H197" s="4">
        <f>IF(B197="RTG Crane",IF(D197&lt;600,800000,1200000),VLOOKUP(B197,'$$$ Replace &amp; Retrofit'!$B$10:$C$14,2)*'CHE Model poplulation'!D197)*E197</f>
        <v>3193734.9522125181</v>
      </c>
      <c r="I197" s="197">
        <f>E197*VLOOKUP('CHE Model poplulation'!G197,'$$$ Replace &amp; Retrofit'!$I$10:$J$15,2)</f>
        <v>349514.28534951422</v>
      </c>
      <c r="K197" s="239"/>
      <c r="L197" s="239"/>
      <c r="M197" s="239"/>
    </row>
    <row r="198" spans="1:13" ht="45" x14ac:dyDescent="0.25">
      <c r="A198" s="255" t="s">
        <v>248</v>
      </c>
      <c r="B198" s="255" t="s">
        <v>208</v>
      </c>
      <c r="C198" s="256">
        <v>2025</v>
      </c>
      <c r="D198" s="256">
        <v>100</v>
      </c>
      <c r="E198">
        <v>3.2138831774417898E-2</v>
      </c>
      <c r="F198" s="257"/>
      <c r="G198">
        <f t="shared" si="2"/>
        <v>125</v>
      </c>
      <c r="H198" s="4">
        <f>IF(B198="RTG Crane",IF(D198&lt;600,800000,1200000),VLOOKUP(B198,'$$$ Replace &amp; Retrofit'!$B$10:$C$14,2)*'CHE Model poplulation'!D198)*E198</f>
        <v>2561.4648924211065</v>
      </c>
      <c r="I198" s="197">
        <f>E198*VLOOKUP('CHE Model poplulation'!G198,'$$$ Replace &amp; Retrofit'!$I$10:$J$15,2)</f>
        <v>634.19556740458836</v>
      </c>
      <c r="K198" s="239"/>
      <c r="L198" s="239"/>
      <c r="M198" s="239"/>
    </row>
    <row r="199" spans="1:13" ht="45" x14ac:dyDescent="0.25">
      <c r="A199" s="255" t="s">
        <v>248</v>
      </c>
      <c r="B199" s="255" t="s">
        <v>208</v>
      </c>
      <c r="C199" s="256">
        <v>2025</v>
      </c>
      <c r="D199" s="256">
        <v>175</v>
      </c>
      <c r="E199">
        <v>3.1250411071508499</v>
      </c>
      <c r="F199" s="257"/>
      <c r="G199">
        <f t="shared" si="2"/>
        <v>175</v>
      </c>
      <c r="H199" s="4">
        <f>IF(B199="RTG Crane",IF(D199&lt;600,800000,1200000),VLOOKUP(B199,'$$$ Replace &amp; Retrofit'!$B$10:$C$14,2)*'CHE Model poplulation'!D199)*E199</f>
        <v>435865.10841986479</v>
      </c>
      <c r="I199" s="197">
        <f>E199*VLOOKUP('CHE Model poplulation'!G199,'$$$ Replace &amp; Retrofit'!$I$10:$J$15,2)</f>
        <v>77488.519292912475</v>
      </c>
      <c r="K199" s="239"/>
      <c r="L199" s="239"/>
      <c r="M199" s="239"/>
    </row>
    <row r="200" spans="1:13" ht="45" x14ac:dyDescent="0.25">
      <c r="A200" s="255" t="s">
        <v>248</v>
      </c>
      <c r="B200" s="255" t="s">
        <v>208</v>
      </c>
      <c r="C200" s="256">
        <v>2025</v>
      </c>
      <c r="D200" s="256">
        <v>300</v>
      </c>
      <c r="E200">
        <v>8.4982298933669806</v>
      </c>
      <c r="F200" s="257"/>
      <c r="G200">
        <f t="shared" si="2"/>
        <v>300</v>
      </c>
      <c r="H200" s="4">
        <f>IF(B200="RTG Crane",IF(D200&lt;600,800000,1200000),VLOOKUP(B200,'$$$ Replace &amp; Retrofit'!$B$10:$C$14,2)*'CHE Model poplulation'!D200)*E200</f>
        <v>2031926.767504045</v>
      </c>
      <c r="I200" s="197">
        <f>E200*VLOOKUP('CHE Model poplulation'!G200,'$$$ Replace &amp; Retrofit'!$I$10:$J$15,2)</f>
        <v>244434.58642291446</v>
      </c>
      <c r="K200" s="239"/>
      <c r="L200" s="239"/>
      <c r="M200" s="239"/>
    </row>
    <row r="201" spans="1:13" ht="45" x14ac:dyDescent="0.25">
      <c r="A201" s="255" t="s">
        <v>248</v>
      </c>
      <c r="B201" s="255" t="s">
        <v>208</v>
      </c>
      <c r="C201" s="256">
        <v>2025</v>
      </c>
      <c r="D201" s="256">
        <v>600</v>
      </c>
      <c r="E201">
        <v>5.2463631876218102</v>
      </c>
      <c r="F201" s="257"/>
      <c r="G201">
        <f t="shared" si="2"/>
        <v>400</v>
      </c>
      <c r="H201" s="4">
        <f>IF(B201="RTG Crane",IF(D201&lt;600,800000,1200000),VLOOKUP(B201,'$$$ Replace &amp; Retrofit'!$B$10:$C$14,2)*'CHE Model poplulation'!D201)*E201</f>
        <v>2508810.8763207495</v>
      </c>
      <c r="I201" s="197">
        <f>E201*VLOOKUP('CHE Model poplulation'!G201,'$$$ Replace &amp; Retrofit'!$I$10:$J$15,2)</f>
        <v>274557.92469781218</v>
      </c>
      <c r="K201" s="239"/>
      <c r="L201" s="239"/>
      <c r="M201" s="239"/>
    </row>
    <row r="202" spans="1:13" x14ac:dyDescent="0.25">
      <c r="A202" s="255" t="s">
        <v>248</v>
      </c>
      <c r="B202" s="255" t="s">
        <v>192</v>
      </c>
      <c r="C202" s="256">
        <v>2006</v>
      </c>
      <c r="D202" s="256">
        <v>50</v>
      </c>
      <c r="E202">
        <v>0</v>
      </c>
      <c r="F202" s="257"/>
      <c r="H202" s="239"/>
      <c r="I202" s="4"/>
      <c r="K202" s="239"/>
      <c r="L202" s="239"/>
      <c r="M202" s="239"/>
    </row>
    <row r="203" spans="1:13" x14ac:dyDescent="0.25">
      <c r="A203" s="255" t="s">
        <v>248</v>
      </c>
      <c r="B203" s="255" t="s">
        <v>192</v>
      </c>
      <c r="C203" s="256">
        <v>2006</v>
      </c>
      <c r="D203" s="256">
        <v>75</v>
      </c>
      <c r="E203">
        <v>0</v>
      </c>
      <c r="F203" s="257"/>
      <c r="H203" s="239"/>
      <c r="I203" s="4"/>
      <c r="K203" s="239"/>
      <c r="L203" s="239"/>
      <c r="M203" s="239"/>
    </row>
    <row r="204" spans="1:13" x14ac:dyDescent="0.25">
      <c r="A204" s="255" t="s">
        <v>248</v>
      </c>
      <c r="B204" s="255" t="s">
        <v>192</v>
      </c>
      <c r="C204" s="256">
        <v>2006</v>
      </c>
      <c r="D204" s="256">
        <v>100</v>
      </c>
      <c r="E204">
        <v>0</v>
      </c>
      <c r="F204" s="257"/>
      <c r="H204" s="239"/>
      <c r="I204" s="4"/>
      <c r="K204" s="239"/>
      <c r="L204" s="239"/>
      <c r="M204" s="239"/>
    </row>
    <row r="205" spans="1:13" x14ac:dyDescent="0.25">
      <c r="A205" s="255" t="s">
        <v>248</v>
      </c>
      <c r="B205" s="255" t="s">
        <v>192</v>
      </c>
      <c r="C205" s="256">
        <v>2006</v>
      </c>
      <c r="D205" s="256">
        <v>175</v>
      </c>
      <c r="E205">
        <v>0</v>
      </c>
      <c r="F205" s="257"/>
      <c r="H205" s="239"/>
      <c r="I205" s="4"/>
      <c r="K205" s="239"/>
      <c r="L205" s="239"/>
      <c r="M205" s="239"/>
    </row>
    <row r="206" spans="1:13" x14ac:dyDescent="0.25">
      <c r="A206" s="255" t="s">
        <v>248</v>
      </c>
      <c r="B206" s="255" t="s">
        <v>192</v>
      </c>
      <c r="C206" s="256">
        <v>2006</v>
      </c>
      <c r="D206" s="256">
        <v>300</v>
      </c>
      <c r="E206">
        <v>0</v>
      </c>
      <c r="F206" s="257"/>
      <c r="H206" s="239"/>
      <c r="I206" s="4"/>
      <c r="K206" s="239"/>
      <c r="L206" s="239"/>
      <c r="M206" s="239"/>
    </row>
    <row r="207" spans="1:13" x14ac:dyDescent="0.25">
      <c r="A207" s="255" t="s">
        <v>248</v>
      </c>
      <c r="B207" s="255" t="s">
        <v>192</v>
      </c>
      <c r="C207" s="256">
        <v>2006</v>
      </c>
      <c r="D207" s="256">
        <v>600</v>
      </c>
      <c r="E207">
        <v>0</v>
      </c>
      <c r="F207" s="257"/>
      <c r="H207" s="239"/>
      <c r="I207" s="4"/>
      <c r="K207" s="239"/>
      <c r="L207" s="239"/>
      <c r="M207" s="239"/>
    </row>
    <row r="208" spans="1:13" x14ac:dyDescent="0.25">
      <c r="A208" s="255" t="s">
        <v>248</v>
      </c>
      <c r="B208" s="255" t="s">
        <v>192</v>
      </c>
      <c r="C208" s="256">
        <v>2007</v>
      </c>
      <c r="D208" s="256">
        <v>50</v>
      </c>
      <c r="E208">
        <v>0</v>
      </c>
      <c r="F208" s="257"/>
      <c r="H208" s="239"/>
      <c r="I208" s="4"/>
      <c r="K208" s="239"/>
      <c r="L208" s="239"/>
      <c r="M208" s="239"/>
    </row>
    <row r="209" spans="1:13" x14ac:dyDescent="0.25">
      <c r="A209" s="255" t="s">
        <v>248</v>
      </c>
      <c r="B209" s="255" t="s">
        <v>192</v>
      </c>
      <c r="C209" s="256">
        <v>2007</v>
      </c>
      <c r="D209" s="256">
        <v>75</v>
      </c>
      <c r="E209">
        <v>0</v>
      </c>
      <c r="F209" s="257"/>
      <c r="H209" s="239"/>
      <c r="I209" s="4"/>
      <c r="K209" s="239"/>
      <c r="L209" s="239"/>
      <c r="M209" s="239"/>
    </row>
    <row r="210" spans="1:13" x14ac:dyDescent="0.25">
      <c r="A210" s="255" t="s">
        <v>248</v>
      </c>
      <c r="B210" s="255" t="s">
        <v>192</v>
      </c>
      <c r="C210" s="256">
        <v>2007</v>
      </c>
      <c r="D210" s="256">
        <v>100</v>
      </c>
      <c r="E210">
        <v>0</v>
      </c>
      <c r="F210" s="257"/>
      <c r="H210" s="239"/>
      <c r="I210" s="4"/>
      <c r="K210" s="239"/>
      <c r="L210" s="239"/>
      <c r="M210" s="239"/>
    </row>
    <row r="211" spans="1:13" x14ac:dyDescent="0.25">
      <c r="A211" s="255" t="s">
        <v>248</v>
      </c>
      <c r="B211" s="255" t="s">
        <v>192</v>
      </c>
      <c r="C211" s="256">
        <v>2007</v>
      </c>
      <c r="D211" s="256">
        <v>175</v>
      </c>
      <c r="E211">
        <v>0</v>
      </c>
      <c r="F211" s="257"/>
      <c r="H211" s="239"/>
      <c r="I211" s="4"/>
      <c r="K211" s="239"/>
      <c r="L211" s="239"/>
      <c r="M211" s="239"/>
    </row>
    <row r="212" spans="1:13" x14ac:dyDescent="0.25">
      <c r="A212" s="255" t="s">
        <v>248</v>
      </c>
      <c r="B212" s="255" t="s">
        <v>192</v>
      </c>
      <c r="C212" s="256">
        <v>2007</v>
      </c>
      <c r="D212" s="256">
        <v>300</v>
      </c>
      <c r="E212">
        <v>0</v>
      </c>
      <c r="F212" s="257"/>
      <c r="H212" s="239"/>
      <c r="I212" s="4"/>
      <c r="K212" s="239"/>
      <c r="L212" s="239"/>
      <c r="M212" s="239"/>
    </row>
    <row r="213" spans="1:13" x14ac:dyDescent="0.25">
      <c r="A213" s="255" t="s">
        <v>248</v>
      </c>
      <c r="B213" s="255" t="s">
        <v>192</v>
      </c>
      <c r="C213" s="256">
        <v>2007</v>
      </c>
      <c r="D213" s="256">
        <v>600</v>
      </c>
      <c r="E213">
        <v>0</v>
      </c>
      <c r="F213" s="257"/>
      <c r="H213" s="239"/>
      <c r="I213" s="4"/>
      <c r="K213" s="239"/>
      <c r="L213" s="239"/>
      <c r="M213" s="239"/>
    </row>
    <row r="214" spans="1:13" x14ac:dyDescent="0.25">
      <c r="A214" s="255" t="s">
        <v>248</v>
      </c>
      <c r="B214" s="255" t="s">
        <v>192</v>
      </c>
      <c r="C214" s="256">
        <v>2008</v>
      </c>
      <c r="D214" s="256">
        <v>50</v>
      </c>
      <c r="E214">
        <v>0</v>
      </c>
      <c r="F214" s="257"/>
      <c r="H214" s="239"/>
      <c r="I214" s="4"/>
      <c r="K214" s="239"/>
      <c r="L214" s="239"/>
      <c r="M214" s="239"/>
    </row>
    <row r="215" spans="1:13" x14ac:dyDescent="0.25">
      <c r="A215" s="255" t="s">
        <v>248</v>
      </c>
      <c r="B215" s="255" t="s">
        <v>192</v>
      </c>
      <c r="C215" s="256">
        <v>2008</v>
      </c>
      <c r="D215" s="256">
        <v>75</v>
      </c>
      <c r="E215">
        <v>0</v>
      </c>
      <c r="F215" s="257"/>
      <c r="H215" s="239"/>
      <c r="I215" s="4"/>
      <c r="K215" s="239"/>
      <c r="L215" s="239"/>
      <c r="M215" s="239"/>
    </row>
    <row r="216" spans="1:13" x14ac:dyDescent="0.25">
      <c r="A216" s="255" t="s">
        <v>248</v>
      </c>
      <c r="B216" s="255" t="s">
        <v>192</v>
      </c>
      <c r="C216" s="256">
        <v>2008</v>
      </c>
      <c r="D216" s="256">
        <v>100</v>
      </c>
      <c r="E216">
        <v>0</v>
      </c>
      <c r="F216" s="257"/>
      <c r="H216" s="239"/>
      <c r="I216" s="4"/>
      <c r="K216" s="239"/>
      <c r="L216" s="239"/>
      <c r="M216" s="239"/>
    </row>
    <row r="217" spans="1:13" x14ac:dyDescent="0.25">
      <c r="A217" s="255" t="s">
        <v>248</v>
      </c>
      <c r="B217" s="255" t="s">
        <v>192</v>
      </c>
      <c r="C217" s="256">
        <v>2008</v>
      </c>
      <c r="D217" s="256">
        <v>175</v>
      </c>
      <c r="E217">
        <v>0</v>
      </c>
      <c r="F217" s="257"/>
      <c r="H217" s="239"/>
      <c r="I217" s="4"/>
      <c r="K217" s="239"/>
      <c r="L217" s="239"/>
      <c r="M217" s="239"/>
    </row>
    <row r="218" spans="1:13" x14ac:dyDescent="0.25">
      <c r="A218" s="255" t="s">
        <v>248</v>
      </c>
      <c r="B218" s="255" t="s">
        <v>192</v>
      </c>
      <c r="C218" s="256">
        <v>2008</v>
      </c>
      <c r="D218" s="256">
        <v>300</v>
      </c>
      <c r="E218">
        <v>0</v>
      </c>
      <c r="F218" s="257"/>
      <c r="H218" s="239"/>
      <c r="I218" s="4"/>
      <c r="K218" s="239"/>
      <c r="L218" s="239"/>
      <c r="M218" s="239"/>
    </row>
    <row r="219" spans="1:13" x14ac:dyDescent="0.25">
      <c r="A219" s="255" t="s">
        <v>248</v>
      </c>
      <c r="B219" s="255" t="s">
        <v>192</v>
      </c>
      <c r="C219" s="256">
        <v>2008</v>
      </c>
      <c r="D219" s="256">
        <v>600</v>
      </c>
      <c r="E219">
        <v>0</v>
      </c>
      <c r="F219" s="257"/>
      <c r="H219" s="239"/>
      <c r="I219" s="4"/>
      <c r="K219" s="239"/>
      <c r="L219" s="239"/>
      <c r="M219" s="239"/>
    </row>
    <row r="220" spans="1:13" x14ac:dyDescent="0.25">
      <c r="A220" s="255" t="s">
        <v>248</v>
      </c>
      <c r="B220" s="255" t="s">
        <v>192</v>
      </c>
      <c r="C220" s="256">
        <v>2009</v>
      </c>
      <c r="D220" s="256">
        <v>50</v>
      </c>
      <c r="E220">
        <v>0</v>
      </c>
      <c r="F220" s="257"/>
      <c r="H220" s="239"/>
      <c r="I220" s="4"/>
      <c r="K220" s="239"/>
      <c r="L220" s="239"/>
      <c r="M220" s="239"/>
    </row>
    <row r="221" spans="1:13" x14ac:dyDescent="0.25">
      <c r="A221" s="255" t="s">
        <v>248</v>
      </c>
      <c r="B221" s="255" t="s">
        <v>192</v>
      </c>
      <c r="C221" s="256">
        <v>2009</v>
      </c>
      <c r="D221" s="256">
        <v>75</v>
      </c>
      <c r="E221">
        <v>0</v>
      </c>
      <c r="F221" s="257"/>
      <c r="H221" s="239"/>
      <c r="I221" s="4"/>
      <c r="K221" s="239"/>
      <c r="L221" s="239"/>
      <c r="M221" s="239"/>
    </row>
    <row r="222" spans="1:13" x14ac:dyDescent="0.25">
      <c r="A222" s="255" t="s">
        <v>248</v>
      </c>
      <c r="B222" s="255" t="s">
        <v>192</v>
      </c>
      <c r="C222" s="256">
        <v>2009</v>
      </c>
      <c r="D222" s="256">
        <v>100</v>
      </c>
      <c r="E222">
        <v>0</v>
      </c>
      <c r="F222" s="257"/>
      <c r="H222" s="239"/>
      <c r="I222" s="4"/>
      <c r="K222" s="239"/>
      <c r="L222" s="239"/>
      <c r="M222" s="239"/>
    </row>
    <row r="223" spans="1:13" x14ac:dyDescent="0.25">
      <c r="A223" s="255" t="s">
        <v>248</v>
      </c>
      <c r="B223" s="255" t="s">
        <v>192</v>
      </c>
      <c r="C223" s="256">
        <v>2009</v>
      </c>
      <c r="D223" s="256">
        <v>175</v>
      </c>
      <c r="E223">
        <v>0</v>
      </c>
      <c r="F223" s="257"/>
      <c r="H223" s="239"/>
      <c r="I223" s="4"/>
      <c r="K223" s="239"/>
      <c r="L223" s="239"/>
      <c r="M223" s="239"/>
    </row>
    <row r="224" spans="1:13" x14ac:dyDescent="0.25">
      <c r="A224" s="255" t="s">
        <v>248</v>
      </c>
      <c r="B224" s="255" t="s">
        <v>192</v>
      </c>
      <c r="C224" s="256">
        <v>2009</v>
      </c>
      <c r="D224" s="256">
        <v>300</v>
      </c>
      <c r="E224">
        <v>0</v>
      </c>
      <c r="F224" s="257"/>
      <c r="H224" s="239"/>
      <c r="I224" s="4"/>
      <c r="K224" s="239"/>
      <c r="L224" s="239"/>
      <c r="M224" s="239"/>
    </row>
    <row r="225" spans="1:13" x14ac:dyDescent="0.25">
      <c r="A225" s="255" t="s">
        <v>248</v>
      </c>
      <c r="B225" s="255" t="s">
        <v>192</v>
      </c>
      <c r="C225" s="256">
        <v>2009</v>
      </c>
      <c r="D225" s="256">
        <v>600</v>
      </c>
      <c r="E225">
        <v>0</v>
      </c>
      <c r="F225" s="257"/>
      <c r="H225" s="239"/>
      <c r="I225" s="4"/>
      <c r="K225" s="239"/>
      <c r="L225" s="239"/>
      <c r="M225" s="239"/>
    </row>
    <row r="226" spans="1:13" x14ac:dyDescent="0.25">
      <c r="A226" s="255" t="s">
        <v>248</v>
      </c>
      <c r="B226" s="255" t="s">
        <v>192</v>
      </c>
      <c r="C226" s="256">
        <v>2010</v>
      </c>
      <c r="D226" s="256">
        <v>50</v>
      </c>
      <c r="E226">
        <v>0</v>
      </c>
      <c r="F226" s="257"/>
      <c r="H226" s="239"/>
      <c r="I226" s="4"/>
      <c r="K226" s="239"/>
      <c r="L226" s="239"/>
      <c r="M226" s="239"/>
    </row>
    <row r="227" spans="1:13" x14ac:dyDescent="0.25">
      <c r="A227" s="255" t="s">
        <v>248</v>
      </c>
      <c r="B227" s="255" t="s">
        <v>192</v>
      </c>
      <c r="C227" s="256">
        <v>2010</v>
      </c>
      <c r="D227" s="256">
        <v>75</v>
      </c>
      <c r="E227">
        <v>0</v>
      </c>
      <c r="F227" s="257"/>
      <c r="H227" s="239"/>
      <c r="I227" s="4"/>
      <c r="K227" s="239"/>
      <c r="L227" s="239"/>
      <c r="M227" s="239"/>
    </row>
    <row r="228" spans="1:13" x14ac:dyDescent="0.25">
      <c r="A228" s="255" t="s">
        <v>248</v>
      </c>
      <c r="B228" s="255" t="s">
        <v>192</v>
      </c>
      <c r="C228" s="256">
        <v>2010</v>
      </c>
      <c r="D228" s="256">
        <v>100</v>
      </c>
      <c r="E228">
        <v>0</v>
      </c>
      <c r="F228" s="257"/>
      <c r="H228" s="239"/>
      <c r="I228" s="4"/>
      <c r="K228" s="239"/>
      <c r="L228" s="239"/>
      <c r="M228" s="239"/>
    </row>
    <row r="229" spans="1:13" x14ac:dyDescent="0.25">
      <c r="A229" s="255" t="s">
        <v>248</v>
      </c>
      <c r="B229" s="255" t="s">
        <v>192</v>
      </c>
      <c r="C229" s="256">
        <v>2010</v>
      </c>
      <c r="D229" s="256">
        <v>175</v>
      </c>
      <c r="E229">
        <v>0</v>
      </c>
      <c r="F229" s="257"/>
      <c r="H229" s="239"/>
      <c r="I229" s="4"/>
      <c r="K229" s="239"/>
      <c r="L229" s="239"/>
      <c r="M229" s="239"/>
    </row>
    <row r="230" spans="1:13" x14ac:dyDescent="0.25">
      <c r="A230" s="255" t="s">
        <v>248</v>
      </c>
      <c r="B230" s="255" t="s">
        <v>192</v>
      </c>
      <c r="C230" s="256">
        <v>2010</v>
      </c>
      <c r="D230" s="256">
        <v>300</v>
      </c>
      <c r="E230">
        <v>0</v>
      </c>
      <c r="F230" s="257"/>
      <c r="H230" s="239"/>
      <c r="I230" s="4"/>
      <c r="K230" s="239"/>
      <c r="L230" s="239"/>
      <c r="M230" s="239"/>
    </row>
    <row r="231" spans="1:13" x14ac:dyDescent="0.25">
      <c r="A231" s="255" t="s">
        <v>248</v>
      </c>
      <c r="B231" s="255" t="s">
        <v>192</v>
      </c>
      <c r="C231" s="256">
        <v>2010</v>
      </c>
      <c r="D231" s="256">
        <v>600</v>
      </c>
      <c r="E231">
        <v>0</v>
      </c>
      <c r="F231" s="257"/>
      <c r="H231" s="239"/>
      <c r="I231" s="4"/>
      <c r="K231" s="239"/>
      <c r="L231" s="239"/>
      <c r="M231" s="239"/>
    </row>
    <row r="232" spans="1:13" x14ac:dyDescent="0.25">
      <c r="A232" s="255" t="s">
        <v>248</v>
      </c>
      <c r="B232" s="255" t="s">
        <v>192</v>
      </c>
      <c r="C232" s="256">
        <v>2011</v>
      </c>
      <c r="D232" s="256">
        <v>50</v>
      </c>
      <c r="E232">
        <v>0</v>
      </c>
      <c r="F232" s="257"/>
      <c r="G232">
        <f t="shared" ref="G232:G295" si="3">IF(OR(D232=50,D232=75),50,IF(OR(D232=100,D232=125),125,IF(D232&gt;=400,400,D232)))</f>
        <v>50</v>
      </c>
      <c r="H232" s="4">
        <f>IF(B232="RTG Crane",IF(D232&lt;600,800000,1200000),VLOOKUP(B232,'$$$ Replace &amp; Retrofit'!$B$10:$C$14,2)*'CHE Model poplulation'!D232)*E232</f>
        <v>0</v>
      </c>
      <c r="I232" s="197">
        <f>E232*VLOOKUP('CHE Model poplulation'!G232,'$$$ Replace &amp; Retrofit'!$I$10:$J$15,2)</f>
        <v>0</v>
      </c>
      <c r="K232" s="239"/>
      <c r="L232" s="239"/>
      <c r="M232" s="239"/>
    </row>
    <row r="233" spans="1:13" x14ac:dyDescent="0.25">
      <c r="A233" s="255" t="s">
        <v>248</v>
      </c>
      <c r="B233" s="255" t="s">
        <v>192</v>
      </c>
      <c r="C233" s="256">
        <v>2011</v>
      </c>
      <c r="D233" s="256">
        <v>75</v>
      </c>
      <c r="E233">
        <v>0</v>
      </c>
      <c r="F233" s="257"/>
      <c r="G233">
        <f t="shared" si="3"/>
        <v>50</v>
      </c>
      <c r="H233" s="4">
        <f>IF(B233="RTG Crane",IF(D233&lt;600,800000,1200000),VLOOKUP(B233,'$$$ Replace &amp; Retrofit'!$B$10:$C$14,2)*'CHE Model poplulation'!D233)*E233</f>
        <v>0</v>
      </c>
      <c r="I233" s="197">
        <f>E233*VLOOKUP('CHE Model poplulation'!G233,'$$$ Replace &amp; Retrofit'!$I$10:$J$15,2)</f>
        <v>0</v>
      </c>
      <c r="K233" s="239"/>
      <c r="L233" s="239"/>
      <c r="M233" s="239"/>
    </row>
    <row r="234" spans="1:13" x14ac:dyDescent="0.25">
      <c r="A234" s="255" t="s">
        <v>248</v>
      </c>
      <c r="B234" s="255" t="s">
        <v>192</v>
      </c>
      <c r="C234" s="256">
        <v>2011</v>
      </c>
      <c r="D234" s="256">
        <v>100</v>
      </c>
      <c r="E234">
        <v>0</v>
      </c>
      <c r="F234" s="257"/>
      <c r="G234">
        <f t="shared" si="3"/>
        <v>125</v>
      </c>
      <c r="H234" s="4">
        <f>IF(B234="RTG Crane",IF(D234&lt;600,800000,1200000),VLOOKUP(B234,'$$$ Replace &amp; Retrofit'!$B$10:$C$14,2)*'CHE Model poplulation'!D234)*E234</f>
        <v>0</v>
      </c>
      <c r="I234" s="197">
        <f>E234*VLOOKUP('CHE Model poplulation'!G234,'$$$ Replace &amp; Retrofit'!$I$10:$J$15,2)</f>
        <v>0</v>
      </c>
      <c r="K234" s="239"/>
      <c r="L234" s="239"/>
      <c r="M234" s="239"/>
    </row>
    <row r="235" spans="1:13" x14ac:dyDescent="0.25">
      <c r="A235" s="255" t="s">
        <v>248</v>
      </c>
      <c r="B235" s="255" t="s">
        <v>192</v>
      </c>
      <c r="C235" s="256">
        <v>2011</v>
      </c>
      <c r="D235" s="256">
        <v>175</v>
      </c>
      <c r="E235">
        <v>0</v>
      </c>
      <c r="F235" s="257"/>
      <c r="G235">
        <f t="shared" si="3"/>
        <v>175</v>
      </c>
      <c r="H235" s="4">
        <f>IF(B235="RTG Crane",IF(D235&lt;600,800000,1200000),VLOOKUP(B235,'$$$ Replace &amp; Retrofit'!$B$10:$C$14,2)*'CHE Model poplulation'!D235)*E235</f>
        <v>0</v>
      </c>
      <c r="I235" s="197">
        <f>E235*VLOOKUP('CHE Model poplulation'!G235,'$$$ Replace &amp; Retrofit'!$I$10:$J$15,2)</f>
        <v>0</v>
      </c>
      <c r="K235" s="239"/>
      <c r="L235" s="239"/>
      <c r="M235" s="239"/>
    </row>
    <row r="236" spans="1:13" x14ac:dyDescent="0.25">
      <c r="A236" s="255" t="s">
        <v>248</v>
      </c>
      <c r="B236" s="255" t="s">
        <v>192</v>
      </c>
      <c r="C236" s="256">
        <v>2011</v>
      </c>
      <c r="D236" s="256">
        <v>300</v>
      </c>
      <c r="E236">
        <v>0</v>
      </c>
      <c r="F236" s="257"/>
      <c r="G236">
        <f t="shared" si="3"/>
        <v>300</v>
      </c>
      <c r="H236" s="4">
        <f>IF(B236="RTG Crane",IF(D236&lt;600,800000,1200000),VLOOKUP(B236,'$$$ Replace &amp; Retrofit'!$B$10:$C$14,2)*'CHE Model poplulation'!D236)*E236</f>
        <v>0</v>
      </c>
      <c r="I236" s="197">
        <f>E236*VLOOKUP('CHE Model poplulation'!G236,'$$$ Replace &amp; Retrofit'!$I$10:$J$15,2)</f>
        <v>0</v>
      </c>
      <c r="K236" s="239"/>
      <c r="L236" s="239"/>
      <c r="M236" s="239"/>
    </row>
    <row r="237" spans="1:13" x14ac:dyDescent="0.25">
      <c r="A237" s="255" t="s">
        <v>248</v>
      </c>
      <c r="B237" s="255" t="s">
        <v>192</v>
      </c>
      <c r="C237" s="256">
        <v>2011</v>
      </c>
      <c r="D237" s="256">
        <v>600</v>
      </c>
      <c r="E237">
        <v>0</v>
      </c>
      <c r="F237" s="257"/>
      <c r="G237">
        <f t="shared" si="3"/>
        <v>400</v>
      </c>
      <c r="H237" s="4">
        <f>IF(B237="RTG Crane",IF(D237&lt;600,800000,1200000),VLOOKUP(B237,'$$$ Replace &amp; Retrofit'!$B$10:$C$14,2)*'CHE Model poplulation'!D237)*E237</f>
        <v>0</v>
      </c>
      <c r="I237" s="197">
        <f>E237*VLOOKUP('CHE Model poplulation'!G237,'$$$ Replace &amp; Retrofit'!$I$10:$J$15,2)</f>
        <v>0</v>
      </c>
      <c r="K237" s="239"/>
      <c r="L237" s="239"/>
      <c r="M237" s="239"/>
    </row>
    <row r="238" spans="1:13" x14ac:dyDescent="0.25">
      <c r="A238" s="255" t="s">
        <v>248</v>
      </c>
      <c r="B238" s="255" t="s">
        <v>192</v>
      </c>
      <c r="C238" s="256">
        <v>2012</v>
      </c>
      <c r="D238" s="256">
        <v>50</v>
      </c>
      <c r="E238">
        <v>0.81871852867061501</v>
      </c>
      <c r="F238" s="257"/>
      <c r="G238">
        <f t="shared" si="3"/>
        <v>50</v>
      </c>
      <c r="H238" s="4">
        <f>IF(B238="RTG Crane",IF(D238&lt;600,800000,1200000),VLOOKUP(B238,'$$$ Replace &amp; Retrofit'!$B$10:$C$14,2)*'CHE Model poplulation'!D238)*E238</f>
        <v>35818.935629339408</v>
      </c>
      <c r="I238" s="197">
        <f>E238*VLOOKUP('CHE Model poplulation'!G238,'$$$ Replace &amp; Retrofit'!$I$10:$J$15,2)</f>
        <v>14399.621482258777</v>
      </c>
      <c r="K238" s="239"/>
      <c r="L238" s="239"/>
      <c r="M238" s="239"/>
    </row>
    <row r="239" spans="1:13" x14ac:dyDescent="0.25">
      <c r="A239" s="255" t="s">
        <v>248</v>
      </c>
      <c r="B239" s="255" t="s">
        <v>192</v>
      </c>
      <c r="C239" s="256">
        <v>2012</v>
      </c>
      <c r="D239" s="256">
        <v>75</v>
      </c>
      <c r="E239">
        <v>1.0277117798591</v>
      </c>
      <c r="F239" s="257"/>
      <c r="G239">
        <f t="shared" si="3"/>
        <v>50</v>
      </c>
      <c r="H239" s="4">
        <f>IF(B239="RTG Crane",IF(D239&lt;600,800000,1200000),VLOOKUP(B239,'$$$ Replace &amp; Retrofit'!$B$10:$C$14,2)*'CHE Model poplulation'!D239)*E239</f>
        <v>67443.585553253433</v>
      </c>
      <c r="I239" s="197">
        <f>E239*VLOOKUP('CHE Model poplulation'!G239,'$$$ Replace &amp; Retrofit'!$I$10:$J$15,2)</f>
        <v>18075.39478416185</v>
      </c>
      <c r="K239" s="239"/>
      <c r="L239" s="239"/>
      <c r="M239" s="239"/>
    </row>
    <row r="240" spans="1:13" x14ac:dyDescent="0.25">
      <c r="A240" s="255" t="s">
        <v>248</v>
      </c>
      <c r="B240" s="255" t="s">
        <v>192</v>
      </c>
      <c r="C240" s="256">
        <v>2012</v>
      </c>
      <c r="D240" s="256">
        <v>100</v>
      </c>
      <c r="E240">
        <v>5.38909812474813E-16</v>
      </c>
      <c r="F240" s="257"/>
      <c r="G240">
        <f t="shared" si="3"/>
        <v>125</v>
      </c>
      <c r="H240" s="4">
        <f>IF(B240="RTG Crane",IF(D240&lt;600,800000,1200000),VLOOKUP(B240,'$$$ Replace &amp; Retrofit'!$B$10:$C$14,2)*'CHE Model poplulation'!D240)*E240</f>
        <v>4.7154608591546135E-11</v>
      </c>
      <c r="I240" s="197">
        <f>E240*VLOOKUP('CHE Model poplulation'!G240,'$$$ Replace &amp; Retrofit'!$I$10:$J$15,2)</f>
        <v>1.0634307329565485E-11</v>
      </c>
      <c r="K240" s="239"/>
      <c r="L240" s="239"/>
      <c r="M240" s="239"/>
    </row>
    <row r="241" spans="1:13" x14ac:dyDescent="0.25">
      <c r="A241" s="255" t="s">
        <v>248</v>
      </c>
      <c r="B241" s="255" t="s">
        <v>192</v>
      </c>
      <c r="C241" s="256">
        <v>2012</v>
      </c>
      <c r="D241" s="256">
        <v>175</v>
      </c>
      <c r="E241">
        <v>1.3079583944291999E-15</v>
      </c>
      <c r="F241" s="257"/>
      <c r="G241">
        <f t="shared" si="3"/>
        <v>175</v>
      </c>
      <c r="H241" s="4">
        <f>IF(B241="RTG Crane",IF(D241&lt;600,800000,1200000),VLOOKUP(B241,'$$$ Replace &amp; Retrofit'!$B$10:$C$14,2)*'CHE Model poplulation'!D241)*E241</f>
        <v>2.0028112914697123E-10</v>
      </c>
      <c r="I241" s="197">
        <f>E241*VLOOKUP('CHE Model poplulation'!G241,'$$$ Replace &amp; Retrofit'!$I$10:$J$15,2)</f>
        <v>3.2432136348266441E-11</v>
      </c>
      <c r="K241" s="239"/>
      <c r="L241" s="239"/>
      <c r="M241" s="239"/>
    </row>
    <row r="242" spans="1:13" x14ac:dyDescent="0.25">
      <c r="A242" s="255" t="s">
        <v>248</v>
      </c>
      <c r="B242" s="255" t="s">
        <v>192</v>
      </c>
      <c r="C242" s="256">
        <v>2012</v>
      </c>
      <c r="D242" s="256">
        <v>300</v>
      </c>
      <c r="E242">
        <v>1.9372523153424599</v>
      </c>
      <c r="F242" s="257"/>
      <c r="G242">
        <f t="shared" si="3"/>
        <v>300</v>
      </c>
      <c r="H242" s="4">
        <f>IF(B242="RTG Crane",IF(D242&lt;600,800000,1200000),VLOOKUP(B242,'$$$ Replace &amp; Retrofit'!$B$10:$C$14,2)*'CHE Model poplulation'!D242)*E242</f>
        <v>508528.73277739575</v>
      </c>
      <c r="I242" s="197">
        <f>E242*VLOOKUP('CHE Model poplulation'!G242,'$$$ Replace &amp; Retrofit'!$I$10:$J$15,2)</f>
        <v>55721.188346195173</v>
      </c>
      <c r="K242" s="239"/>
      <c r="L242" s="239"/>
      <c r="M242" s="239"/>
    </row>
    <row r="243" spans="1:13" x14ac:dyDescent="0.25">
      <c r="A243" s="255" t="s">
        <v>248</v>
      </c>
      <c r="B243" s="255" t="s">
        <v>192</v>
      </c>
      <c r="C243" s="256">
        <v>2012</v>
      </c>
      <c r="D243" s="256">
        <v>600</v>
      </c>
      <c r="E243">
        <v>5.5627733519147897E-2</v>
      </c>
      <c r="F243" s="257"/>
      <c r="G243">
        <f t="shared" si="3"/>
        <v>400</v>
      </c>
      <c r="H243" s="4">
        <f>IF(B243="RTG Crane",IF(D243&lt;600,800000,1200000),VLOOKUP(B243,'$$$ Replace &amp; Retrofit'!$B$10:$C$14,2)*'CHE Model poplulation'!D243)*E243</f>
        <v>29204.560097552647</v>
      </c>
      <c r="I243" s="197">
        <f>E243*VLOOKUP('CHE Model poplulation'!G243,'$$$ Replace &amp; Retrofit'!$I$10:$J$15,2)</f>
        <v>2911.166178257567</v>
      </c>
      <c r="K243" s="239"/>
      <c r="L243" s="239"/>
      <c r="M243" s="239"/>
    </row>
    <row r="244" spans="1:13" x14ac:dyDescent="0.25">
      <c r="A244" s="255" t="s">
        <v>248</v>
      </c>
      <c r="B244" s="255" t="s">
        <v>192</v>
      </c>
      <c r="C244" s="256">
        <v>2013</v>
      </c>
      <c r="D244" s="256">
        <v>50</v>
      </c>
      <c r="E244">
        <v>1.1887600273702701</v>
      </c>
      <c r="F244" s="257"/>
      <c r="G244">
        <f t="shared" si="3"/>
        <v>50</v>
      </c>
      <c r="H244" s="4">
        <f>IF(B244="RTG Crane",IF(D244&lt;600,800000,1200000),VLOOKUP(B244,'$$$ Replace &amp; Retrofit'!$B$10:$C$14,2)*'CHE Model poplulation'!D244)*E244</f>
        <v>52008.251197449317</v>
      </c>
      <c r="I244" s="197">
        <f>E244*VLOOKUP('CHE Model poplulation'!G244,'$$$ Replace &amp; Retrofit'!$I$10:$J$15,2)</f>
        <v>20907.911361388309</v>
      </c>
      <c r="K244" s="239"/>
      <c r="L244" s="239"/>
      <c r="M244" s="239"/>
    </row>
    <row r="245" spans="1:13" x14ac:dyDescent="0.25">
      <c r="A245" s="255" t="s">
        <v>248</v>
      </c>
      <c r="B245" s="255" t="s">
        <v>192</v>
      </c>
      <c r="C245" s="256">
        <v>2013</v>
      </c>
      <c r="D245" s="256">
        <v>75</v>
      </c>
      <c r="E245">
        <v>1.3373090890788699</v>
      </c>
      <c r="F245" s="257"/>
      <c r="G245">
        <f t="shared" si="3"/>
        <v>50</v>
      </c>
      <c r="H245" s="4">
        <f>IF(B245="RTG Crane",IF(D245&lt;600,800000,1200000),VLOOKUP(B245,'$$$ Replace &amp; Retrofit'!$B$10:$C$14,2)*'CHE Model poplulation'!D245)*E245</f>
        <v>87760.90897080084</v>
      </c>
      <c r="I245" s="197">
        <f>E245*VLOOKUP('CHE Model poplulation'!G245,'$$$ Replace &amp; Retrofit'!$I$10:$J$15,2)</f>
        <v>23520.592258719164</v>
      </c>
      <c r="K245" s="239"/>
      <c r="L245" s="239"/>
      <c r="M245" s="239"/>
    </row>
    <row r="246" spans="1:13" x14ac:dyDescent="0.25">
      <c r="A246" s="255" t="s">
        <v>248</v>
      </c>
      <c r="B246" s="255" t="s">
        <v>192</v>
      </c>
      <c r="C246" s="256">
        <v>2013</v>
      </c>
      <c r="D246" s="256">
        <v>100</v>
      </c>
      <c r="E246">
        <v>1.7523681840829699</v>
      </c>
      <c r="F246" s="257"/>
      <c r="G246">
        <f t="shared" si="3"/>
        <v>125</v>
      </c>
      <c r="H246" s="4">
        <f>IF(B246="RTG Crane",IF(D246&lt;600,800000,1200000),VLOOKUP(B246,'$$$ Replace &amp; Retrofit'!$B$10:$C$14,2)*'CHE Model poplulation'!D246)*E246</f>
        <v>153332.21610725985</v>
      </c>
      <c r="I246" s="197">
        <f>E246*VLOOKUP('CHE Model poplulation'!G246,'$$$ Replace &amp; Retrofit'!$I$10:$J$15,2)</f>
        <v>34579.481376509248</v>
      </c>
      <c r="K246" s="239"/>
      <c r="L246" s="239"/>
      <c r="M246" s="239"/>
    </row>
    <row r="247" spans="1:13" x14ac:dyDescent="0.25">
      <c r="A247" s="255" t="s">
        <v>248</v>
      </c>
      <c r="B247" s="255" t="s">
        <v>192</v>
      </c>
      <c r="C247" s="256">
        <v>2013</v>
      </c>
      <c r="D247" s="256">
        <v>175</v>
      </c>
      <c r="E247">
        <v>2.2614382719273598</v>
      </c>
      <c r="F247" s="257"/>
      <c r="G247">
        <f t="shared" si="3"/>
        <v>175</v>
      </c>
      <c r="H247" s="4">
        <f>IF(B247="RTG Crane",IF(D247&lt;600,800000,1200000),VLOOKUP(B247,'$$$ Replace &amp; Retrofit'!$B$10:$C$14,2)*'CHE Model poplulation'!D247)*E247</f>
        <v>346282.73538887699</v>
      </c>
      <c r="I247" s="197">
        <f>E247*VLOOKUP('CHE Model poplulation'!G247,'$$$ Replace &amp; Retrofit'!$I$10:$J$15,2)</f>
        <v>56074.623390710811</v>
      </c>
      <c r="K247" s="239"/>
      <c r="L247" s="239"/>
      <c r="M247" s="239"/>
    </row>
    <row r="248" spans="1:13" x14ac:dyDescent="0.25">
      <c r="A248" s="255" t="s">
        <v>248</v>
      </c>
      <c r="B248" s="255" t="s">
        <v>192</v>
      </c>
      <c r="C248" s="256">
        <v>2013</v>
      </c>
      <c r="D248" s="256">
        <v>300</v>
      </c>
      <c r="E248">
        <v>3.2968799706429901</v>
      </c>
      <c r="F248" s="257"/>
      <c r="G248">
        <f t="shared" si="3"/>
        <v>300</v>
      </c>
      <c r="H248" s="4">
        <f>IF(B248="RTG Crane",IF(D248&lt;600,800000,1200000),VLOOKUP(B248,'$$$ Replace &amp; Retrofit'!$B$10:$C$14,2)*'CHE Model poplulation'!D248)*E248</f>
        <v>865430.99229378486</v>
      </c>
      <c r="I248" s="197">
        <f>E248*VLOOKUP('CHE Model poplulation'!G248,'$$$ Replace &amp; Retrofit'!$I$10:$J$15,2)</f>
        <v>94828.158595604327</v>
      </c>
      <c r="K248" s="239"/>
      <c r="L248" s="239"/>
      <c r="M248" s="239"/>
    </row>
    <row r="249" spans="1:13" x14ac:dyDescent="0.25">
      <c r="A249" s="255" t="s">
        <v>248</v>
      </c>
      <c r="B249" s="255" t="s">
        <v>192</v>
      </c>
      <c r="C249" s="256">
        <v>2013</v>
      </c>
      <c r="D249" s="256">
        <v>600</v>
      </c>
      <c r="E249">
        <v>0.106267876795976</v>
      </c>
      <c r="F249" s="257"/>
      <c r="G249">
        <f t="shared" si="3"/>
        <v>400</v>
      </c>
      <c r="H249" s="4">
        <f>IF(B249="RTG Crane",IF(D249&lt;600,800000,1200000),VLOOKUP(B249,'$$$ Replace &amp; Retrofit'!$B$10:$C$14,2)*'CHE Model poplulation'!D249)*E249</f>
        <v>55790.635317887405</v>
      </c>
      <c r="I249" s="197">
        <f>E249*VLOOKUP('CHE Model poplulation'!G249,'$$$ Replace &amp; Retrofit'!$I$10:$J$15,2)</f>
        <v>5561.3167963638125</v>
      </c>
      <c r="K249" s="239"/>
      <c r="L249" s="239"/>
      <c r="M249" s="239"/>
    </row>
    <row r="250" spans="1:13" x14ac:dyDescent="0.25">
      <c r="A250" s="255" t="s">
        <v>248</v>
      </c>
      <c r="B250" s="255" t="s">
        <v>192</v>
      </c>
      <c r="C250" s="256">
        <v>2014</v>
      </c>
      <c r="D250" s="256">
        <v>50</v>
      </c>
      <c r="E250">
        <v>2.2104016570648199</v>
      </c>
      <c r="F250" s="257"/>
      <c r="G250">
        <f t="shared" si="3"/>
        <v>50</v>
      </c>
      <c r="H250" s="4">
        <f>IF(B250="RTG Crane",IF(D250&lt;600,800000,1200000),VLOOKUP(B250,'$$$ Replace &amp; Retrofit'!$B$10:$C$14,2)*'CHE Model poplulation'!D250)*E250</f>
        <v>96705.072496585868</v>
      </c>
      <c r="I250" s="197">
        <f>E250*VLOOKUP('CHE Model poplulation'!G250,'$$$ Replace &amp; Retrofit'!$I$10:$J$15,2)</f>
        <v>38876.544344456051</v>
      </c>
      <c r="K250" s="239"/>
      <c r="L250" s="239"/>
      <c r="M250" s="239"/>
    </row>
    <row r="251" spans="1:13" x14ac:dyDescent="0.25">
      <c r="A251" s="255" t="s">
        <v>248</v>
      </c>
      <c r="B251" s="255" t="s">
        <v>192</v>
      </c>
      <c r="C251" s="256">
        <v>2014</v>
      </c>
      <c r="D251" s="256">
        <v>75</v>
      </c>
      <c r="E251">
        <v>2.9250915796096901</v>
      </c>
      <c r="F251" s="257"/>
      <c r="G251">
        <f t="shared" si="3"/>
        <v>50</v>
      </c>
      <c r="H251" s="4">
        <f>IF(B251="RTG Crane",IF(D251&lt;600,800000,1200000),VLOOKUP(B251,'$$$ Replace &amp; Retrofit'!$B$10:$C$14,2)*'CHE Model poplulation'!D251)*E251</f>
        <v>191959.13491188592</v>
      </c>
      <c r="I251" s="197">
        <f>E251*VLOOKUP('CHE Model poplulation'!G251,'$$$ Replace &amp; Retrofit'!$I$10:$J$15,2)</f>
        <v>51446.510702175226</v>
      </c>
      <c r="K251" s="239"/>
      <c r="L251" s="239"/>
      <c r="M251" s="239"/>
    </row>
    <row r="252" spans="1:13" x14ac:dyDescent="0.25">
      <c r="A252" s="255" t="s">
        <v>248</v>
      </c>
      <c r="B252" s="255" t="s">
        <v>192</v>
      </c>
      <c r="C252" s="256">
        <v>2014</v>
      </c>
      <c r="D252" s="256">
        <v>100</v>
      </c>
      <c r="E252">
        <v>6.3052632382994904</v>
      </c>
      <c r="F252" s="257"/>
      <c r="G252">
        <f t="shared" si="3"/>
        <v>125</v>
      </c>
      <c r="H252" s="4">
        <f>IF(B252="RTG Crane",IF(D252&lt;600,800000,1200000),VLOOKUP(B252,'$$$ Replace &amp; Retrofit'!$B$10:$C$14,2)*'CHE Model poplulation'!D252)*E252</f>
        <v>551710.53335120541</v>
      </c>
      <c r="I252" s="197">
        <f>E252*VLOOKUP('CHE Model poplulation'!G252,'$$$ Replace &amp; Retrofit'!$I$10:$J$15,2)</f>
        <v>124421.75948136384</v>
      </c>
      <c r="K252" s="239"/>
      <c r="L252" s="239"/>
      <c r="M252" s="239"/>
    </row>
    <row r="253" spans="1:13" x14ac:dyDescent="0.25">
      <c r="A253" s="255" t="s">
        <v>248</v>
      </c>
      <c r="B253" s="255" t="s">
        <v>192</v>
      </c>
      <c r="C253" s="256">
        <v>2014</v>
      </c>
      <c r="D253" s="256">
        <v>175</v>
      </c>
      <c r="E253">
        <v>10.912222776127299</v>
      </c>
      <c r="F253" s="257"/>
      <c r="G253">
        <f t="shared" si="3"/>
        <v>175</v>
      </c>
      <c r="H253" s="4">
        <f>IF(B253="RTG Crane",IF(D253&lt;600,800000,1200000),VLOOKUP(B253,'$$$ Replace &amp; Retrofit'!$B$10:$C$14,2)*'CHE Model poplulation'!D253)*E253</f>
        <v>1670934.1125944927</v>
      </c>
      <c r="I253" s="197">
        <f>E253*VLOOKUP('CHE Model poplulation'!G253,'$$$ Replace &amp; Retrofit'!$I$10:$J$15,2)</f>
        <v>270579.47595685249</v>
      </c>
      <c r="K253" s="239"/>
      <c r="L253" s="239"/>
      <c r="M253" s="239"/>
    </row>
    <row r="254" spans="1:13" x14ac:dyDescent="0.25">
      <c r="A254" s="255" t="s">
        <v>248</v>
      </c>
      <c r="B254" s="255" t="s">
        <v>192</v>
      </c>
      <c r="C254" s="256">
        <v>2014</v>
      </c>
      <c r="D254" s="256">
        <v>300</v>
      </c>
      <c r="E254">
        <v>5.9088656995226199</v>
      </c>
      <c r="F254" s="257"/>
      <c r="G254">
        <f t="shared" si="3"/>
        <v>300</v>
      </c>
      <c r="H254" s="4">
        <f>IF(B254="RTG Crane",IF(D254&lt;600,800000,1200000),VLOOKUP(B254,'$$$ Replace &amp; Retrofit'!$B$10:$C$14,2)*'CHE Model poplulation'!D254)*E254</f>
        <v>1551077.2461246876</v>
      </c>
      <c r="I254" s="197">
        <f>E254*VLOOKUP('CHE Model poplulation'!G254,'$$$ Replace &amp; Retrofit'!$I$10:$J$15,2)</f>
        <v>169956.70411536912</v>
      </c>
      <c r="K254" s="239"/>
      <c r="L254" s="239"/>
      <c r="M254" s="239"/>
    </row>
    <row r="255" spans="1:13" x14ac:dyDescent="0.25">
      <c r="A255" s="255" t="s">
        <v>248</v>
      </c>
      <c r="B255" s="255" t="s">
        <v>192</v>
      </c>
      <c r="C255" s="256">
        <v>2014</v>
      </c>
      <c r="D255" s="256">
        <v>600</v>
      </c>
      <c r="E255">
        <v>0.26419519750424902</v>
      </c>
      <c r="F255" s="257"/>
      <c r="G255">
        <f t="shared" si="3"/>
        <v>400</v>
      </c>
      <c r="H255" s="4">
        <f>IF(B255="RTG Crane",IF(D255&lt;600,800000,1200000),VLOOKUP(B255,'$$$ Replace &amp; Retrofit'!$B$10:$C$14,2)*'CHE Model poplulation'!D255)*E255</f>
        <v>138702.47868973075</v>
      </c>
      <c r="I255" s="197">
        <f>E255*VLOOKUP('CHE Model poplulation'!G255,'$$$ Replace &amp; Retrofit'!$I$10:$J$15,2)</f>
        <v>13826.127270989864</v>
      </c>
      <c r="K255" s="239"/>
      <c r="L255" s="239"/>
      <c r="M255" s="239"/>
    </row>
    <row r="256" spans="1:13" x14ac:dyDescent="0.25">
      <c r="A256" s="255" t="s">
        <v>248</v>
      </c>
      <c r="B256" s="255" t="s">
        <v>192</v>
      </c>
      <c r="C256" s="256">
        <v>2015</v>
      </c>
      <c r="D256" s="256">
        <v>50</v>
      </c>
      <c r="E256">
        <v>3.24722710222653</v>
      </c>
      <c r="F256" s="257"/>
      <c r="G256">
        <f t="shared" si="3"/>
        <v>50</v>
      </c>
      <c r="H256" s="4">
        <f>IF(B256="RTG Crane",IF(D256&lt;600,800000,1200000),VLOOKUP(B256,'$$$ Replace &amp; Retrofit'!$B$10:$C$14,2)*'CHE Model poplulation'!D256)*E256</f>
        <v>142066.18572241068</v>
      </c>
      <c r="I256" s="197">
        <f>E256*VLOOKUP('CHE Model poplulation'!G256,'$$$ Replace &amp; Retrofit'!$I$10:$J$15,2)</f>
        <v>57112.230273960209</v>
      </c>
      <c r="K256" s="239"/>
      <c r="L256" s="239"/>
      <c r="M256" s="239"/>
    </row>
    <row r="257" spans="1:13" x14ac:dyDescent="0.25">
      <c r="A257" s="255" t="s">
        <v>248</v>
      </c>
      <c r="B257" s="255" t="s">
        <v>192</v>
      </c>
      <c r="C257" s="256">
        <v>2015</v>
      </c>
      <c r="D257" s="256">
        <v>75</v>
      </c>
      <c r="E257">
        <v>4.2887878741579897</v>
      </c>
      <c r="F257" s="257"/>
      <c r="G257">
        <f t="shared" si="3"/>
        <v>50</v>
      </c>
      <c r="H257" s="4">
        <f>IF(B257="RTG Crane",IF(D257&lt;600,800000,1200000),VLOOKUP(B257,'$$$ Replace &amp; Retrofit'!$B$10:$C$14,2)*'CHE Model poplulation'!D257)*E257</f>
        <v>281451.70424161805</v>
      </c>
      <c r="I257" s="197">
        <f>E257*VLOOKUP('CHE Model poplulation'!G257,'$$$ Replace &amp; Retrofit'!$I$10:$J$15,2)</f>
        <v>75431.201130690722</v>
      </c>
      <c r="K257" s="239"/>
      <c r="L257" s="239"/>
      <c r="M257" s="239"/>
    </row>
    <row r="258" spans="1:13" x14ac:dyDescent="0.25">
      <c r="A258" s="255" t="s">
        <v>248</v>
      </c>
      <c r="B258" s="255" t="s">
        <v>192</v>
      </c>
      <c r="C258" s="256">
        <v>2015</v>
      </c>
      <c r="D258" s="256">
        <v>100</v>
      </c>
      <c r="E258">
        <v>12.3001360227889</v>
      </c>
      <c r="F258" s="257"/>
      <c r="G258">
        <f t="shared" si="3"/>
        <v>125</v>
      </c>
      <c r="H258" s="4">
        <f>IF(B258="RTG Crane",IF(D258&lt;600,800000,1200000),VLOOKUP(B258,'$$$ Replace &amp; Retrofit'!$B$10:$C$14,2)*'CHE Model poplulation'!D258)*E258</f>
        <v>1076261.9019940288</v>
      </c>
      <c r="I258" s="197">
        <f>E258*VLOOKUP('CHE Model poplulation'!G258,'$$$ Replace &amp; Retrofit'!$I$10:$J$15,2)</f>
        <v>242718.58413769337</v>
      </c>
      <c r="K258" s="239"/>
      <c r="L258" s="239"/>
      <c r="M258" s="239"/>
    </row>
    <row r="259" spans="1:13" x14ac:dyDescent="0.25">
      <c r="A259" s="255" t="s">
        <v>248</v>
      </c>
      <c r="B259" s="255" t="s">
        <v>192</v>
      </c>
      <c r="C259" s="256">
        <v>2015</v>
      </c>
      <c r="D259" s="256">
        <v>175</v>
      </c>
      <c r="E259">
        <v>19.7497212217163</v>
      </c>
      <c r="F259" s="257"/>
      <c r="G259">
        <f t="shared" si="3"/>
        <v>175</v>
      </c>
      <c r="H259" s="4">
        <f>IF(B259="RTG Crane",IF(D259&lt;600,800000,1200000),VLOOKUP(B259,'$$$ Replace &amp; Retrofit'!$B$10:$C$14,2)*'CHE Model poplulation'!D259)*E259</f>
        <v>3024176.0620753085</v>
      </c>
      <c r="I259" s="197">
        <f>E259*VLOOKUP('CHE Model poplulation'!G259,'$$$ Replace &amp; Retrofit'!$I$10:$J$15,2)</f>
        <v>489714.08741367736</v>
      </c>
      <c r="K259" s="239"/>
      <c r="L259" s="239"/>
      <c r="M259" s="239"/>
    </row>
    <row r="260" spans="1:13" x14ac:dyDescent="0.25">
      <c r="A260" s="255" t="s">
        <v>248</v>
      </c>
      <c r="B260" s="255" t="s">
        <v>192</v>
      </c>
      <c r="C260" s="256">
        <v>2015</v>
      </c>
      <c r="D260" s="256">
        <v>300</v>
      </c>
      <c r="E260">
        <v>8.7596056345094393</v>
      </c>
      <c r="F260" s="257"/>
      <c r="G260">
        <f t="shared" si="3"/>
        <v>300</v>
      </c>
      <c r="H260" s="4">
        <f>IF(B260="RTG Crane",IF(D260&lt;600,800000,1200000),VLOOKUP(B260,'$$$ Replace &amp; Retrofit'!$B$10:$C$14,2)*'CHE Model poplulation'!D260)*E260</f>
        <v>2299396.4790587276</v>
      </c>
      <c r="I260" s="197">
        <f>E260*VLOOKUP('CHE Model poplulation'!G260,'$$$ Replace &amp; Retrofit'!$I$10:$J$15,2)</f>
        <v>251952.536865395</v>
      </c>
      <c r="K260" s="239"/>
      <c r="L260" s="239"/>
      <c r="M260" s="239"/>
    </row>
    <row r="261" spans="1:13" x14ac:dyDescent="0.25">
      <c r="A261" s="255" t="s">
        <v>248</v>
      </c>
      <c r="B261" s="255" t="s">
        <v>192</v>
      </c>
      <c r="C261" s="256">
        <v>2015</v>
      </c>
      <c r="D261" s="256">
        <v>600</v>
      </c>
      <c r="E261">
        <v>0.56792037101741899</v>
      </c>
      <c r="F261" s="257"/>
      <c r="G261">
        <f t="shared" si="3"/>
        <v>400</v>
      </c>
      <c r="H261" s="4">
        <f>IF(B261="RTG Crane",IF(D261&lt;600,800000,1200000),VLOOKUP(B261,'$$$ Replace &amp; Retrofit'!$B$10:$C$14,2)*'CHE Model poplulation'!D261)*E261</f>
        <v>298158.19478414499</v>
      </c>
      <c r="I261" s="197">
        <f>E261*VLOOKUP('CHE Model poplulation'!G261,'$$$ Replace &amp; Retrofit'!$I$10:$J$15,2)</f>
        <v>29720.976776454587</v>
      </c>
      <c r="K261" s="239"/>
      <c r="L261" s="239"/>
      <c r="M261" s="239"/>
    </row>
    <row r="262" spans="1:13" x14ac:dyDescent="0.25">
      <c r="A262" s="255" t="s">
        <v>248</v>
      </c>
      <c r="B262" s="255" t="s">
        <v>192</v>
      </c>
      <c r="C262" s="256">
        <v>2016</v>
      </c>
      <c r="D262" s="256">
        <v>50</v>
      </c>
      <c r="E262">
        <v>4.0194979452104302</v>
      </c>
      <c r="F262" s="257"/>
      <c r="G262">
        <f t="shared" si="3"/>
        <v>50</v>
      </c>
      <c r="H262" s="4">
        <f>IF(B262="RTG Crane",IF(D262&lt;600,800000,1200000),VLOOKUP(B262,'$$$ Replace &amp; Retrofit'!$B$10:$C$14,2)*'CHE Model poplulation'!D262)*E262</f>
        <v>175853.03510295632</v>
      </c>
      <c r="I262" s="197">
        <f>E262*VLOOKUP('CHE Model poplulation'!G262,'$$$ Replace &amp; Retrofit'!$I$10:$J$15,2)</f>
        <v>70694.929860361051</v>
      </c>
      <c r="K262" s="239"/>
      <c r="L262" s="239"/>
      <c r="M262" s="239"/>
    </row>
    <row r="263" spans="1:13" x14ac:dyDescent="0.25">
      <c r="A263" s="255" t="s">
        <v>248</v>
      </c>
      <c r="B263" s="255" t="s">
        <v>192</v>
      </c>
      <c r="C263" s="256">
        <v>2016</v>
      </c>
      <c r="D263" s="256">
        <v>75</v>
      </c>
      <c r="E263">
        <v>5.9166027724269199</v>
      </c>
      <c r="F263" s="257"/>
      <c r="G263">
        <f t="shared" si="3"/>
        <v>50</v>
      </c>
      <c r="H263" s="4">
        <f>IF(B263="RTG Crane",IF(D263&lt;600,800000,1200000),VLOOKUP(B263,'$$$ Replace &amp; Retrofit'!$B$10:$C$14,2)*'CHE Model poplulation'!D263)*E263</f>
        <v>388277.05694051663</v>
      </c>
      <c r="I263" s="197">
        <f>E263*VLOOKUP('CHE Model poplulation'!G263,'$$$ Replace &amp; Retrofit'!$I$10:$J$15,2)</f>
        <v>104061.20956144467</v>
      </c>
      <c r="K263" s="239"/>
      <c r="L263" s="239"/>
      <c r="M263" s="239"/>
    </row>
    <row r="264" spans="1:13" x14ac:dyDescent="0.25">
      <c r="A264" s="255" t="s">
        <v>248</v>
      </c>
      <c r="B264" s="255" t="s">
        <v>192</v>
      </c>
      <c r="C264" s="256">
        <v>2016</v>
      </c>
      <c r="D264" s="256">
        <v>100</v>
      </c>
      <c r="E264">
        <v>19.130197466216799</v>
      </c>
      <c r="F264" s="257"/>
      <c r="G264">
        <f t="shared" si="3"/>
        <v>125</v>
      </c>
      <c r="H264" s="4">
        <f>IF(B264="RTG Crane",IF(D264&lt;600,800000,1200000),VLOOKUP(B264,'$$$ Replace &amp; Retrofit'!$B$10:$C$14,2)*'CHE Model poplulation'!D264)*E264</f>
        <v>1673892.27829397</v>
      </c>
      <c r="I264" s="197">
        <f>E264*VLOOKUP('CHE Model poplulation'!G264,'$$$ Replace &amp; Retrofit'!$I$10:$J$15,2)</f>
        <v>377496.18660085608</v>
      </c>
      <c r="K264" s="239"/>
      <c r="L264" s="239"/>
      <c r="M264" s="239"/>
    </row>
    <row r="265" spans="1:13" x14ac:dyDescent="0.25">
      <c r="A265" s="255" t="s">
        <v>248</v>
      </c>
      <c r="B265" s="255" t="s">
        <v>192</v>
      </c>
      <c r="C265" s="256">
        <v>2016</v>
      </c>
      <c r="D265" s="256">
        <v>175</v>
      </c>
      <c r="E265">
        <v>29.732602821813799</v>
      </c>
      <c r="F265" s="257"/>
      <c r="G265">
        <f t="shared" si="3"/>
        <v>175</v>
      </c>
      <c r="H265" s="4">
        <f>IF(B265="RTG Crane",IF(D265&lt;600,800000,1200000),VLOOKUP(B265,'$$$ Replace &amp; Retrofit'!$B$10:$C$14,2)*'CHE Model poplulation'!D265)*E265</f>
        <v>4552804.8070902377</v>
      </c>
      <c r="I265" s="197">
        <f>E265*VLOOKUP('CHE Model poplulation'!G265,'$$$ Replace &amp; Retrofit'!$I$10:$J$15,2)</f>
        <v>737249.61956969497</v>
      </c>
      <c r="K265" s="239"/>
      <c r="L265" s="239"/>
      <c r="M265" s="239"/>
    </row>
    <row r="266" spans="1:13" x14ac:dyDescent="0.25">
      <c r="A266" s="255" t="s">
        <v>248</v>
      </c>
      <c r="B266" s="255" t="s">
        <v>192</v>
      </c>
      <c r="C266" s="256">
        <v>2016</v>
      </c>
      <c r="D266" s="256">
        <v>300</v>
      </c>
      <c r="E266">
        <v>12.0351066031588</v>
      </c>
      <c r="F266" s="257"/>
      <c r="G266">
        <f t="shared" si="3"/>
        <v>300</v>
      </c>
      <c r="H266" s="4">
        <f>IF(B266="RTG Crane",IF(D266&lt;600,800000,1200000),VLOOKUP(B266,'$$$ Replace &amp; Retrofit'!$B$10:$C$14,2)*'CHE Model poplulation'!D266)*E266</f>
        <v>3159215.4833291848</v>
      </c>
      <c r="I266" s="197">
        <f>E266*VLOOKUP('CHE Model poplulation'!G266,'$$$ Replace &amp; Retrofit'!$I$10:$J$15,2)</f>
        <v>346165.77122665656</v>
      </c>
      <c r="K266" s="239"/>
      <c r="L266" s="239"/>
      <c r="M266" s="239"/>
    </row>
    <row r="267" spans="1:13" x14ac:dyDescent="0.25">
      <c r="A267" s="255" t="s">
        <v>248</v>
      </c>
      <c r="B267" s="255" t="s">
        <v>192</v>
      </c>
      <c r="C267" s="256">
        <v>2016</v>
      </c>
      <c r="D267" s="256">
        <v>600</v>
      </c>
      <c r="E267">
        <v>1.13093758696332</v>
      </c>
      <c r="F267" s="257"/>
      <c r="G267">
        <f t="shared" si="3"/>
        <v>400</v>
      </c>
      <c r="H267" s="4">
        <f>IF(B267="RTG Crane",IF(D267&lt;600,800000,1200000),VLOOKUP(B267,'$$$ Replace &amp; Retrofit'!$B$10:$C$14,2)*'CHE Model poplulation'!D267)*E267</f>
        <v>593742.23315574299</v>
      </c>
      <c r="I267" s="197">
        <f>E267*VLOOKUP('CHE Model poplulation'!G267,'$$$ Replace &amp; Retrofit'!$I$10:$J$15,2)</f>
        <v>59185.356738551425</v>
      </c>
      <c r="K267" s="239"/>
      <c r="L267" s="239"/>
      <c r="M267" s="239"/>
    </row>
    <row r="268" spans="1:13" x14ac:dyDescent="0.25">
      <c r="A268" s="255" t="s">
        <v>248</v>
      </c>
      <c r="B268" s="255" t="s">
        <v>192</v>
      </c>
      <c r="C268" s="256">
        <v>2017</v>
      </c>
      <c r="D268" s="256">
        <v>50</v>
      </c>
      <c r="E268">
        <v>4.0295999015308999</v>
      </c>
      <c r="F268" s="257"/>
      <c r="G268">
        <f t="shared" si="3"/>
        <v>50</v>
      </c>
      <c r="H268" s="4">
        <f>IF(B268="RTG Crane",IF(D268&lt;600,800000,1200000),VLOOKUP(B268,'$$$ Replace &amp; Retrofit'!$B$10:$C$14,2)*'CHE Model poplulation'!D268)*E268</f>
        <v>176294.99569197686</v>
      </c>
      <c r="I268" s="197">
        <f>E268*VLOOKUP('CHE Model poplulation'!G268,'$$$ Replace &amp; Retrofit'!$I$10:$J$15,2)</f>
        <v>70872.603068125463</v>
      </c>
      <c r="K268" s="239"/>
      <c r="L268" s="239"/>
      <c r="M268" s="239"/>
    </row>
    <row r="269" spans="1:13" x14ac:dyDescent="0.25">
      <c r="A269" s="255" t="s">
        <v>248</v>
      </c>
      <c r="B269" s="255" t="s">
        <v>192</v>
      </c>
      <c r="C269" s="256">
        <v>2017</v>
      </c>
      <c r="D269" s="256">
        <v>75</v>
      </c>
      <c r="E269">
        <v>5.94145025131645</v>
      </c>
      <c r="F269" s="257"/>
      <c r="G269">
        <f t="shared" si="3"/>
        <v>50</v>
      </c>
      <c r="H269" s="4">
        <f>IF(B269="RTG Crane",IF(D269&lt;600,800000,1200000),VLOOKUP(B269,'$$$ Replace &amp; Retrofit'!$B$10:$C$14,2)*'CHE Model poplulation'!D269)*E269</f>
        <v>389907.67274264205</v>
      </c>
      <c r="I269" s="197">
        <f>E269*VLOOKUP('CHE Model poplulation'!G269,'$$$ Replace &amp; Retrofit'!$I$10:$J$15,2)</f>
        <v>104498.22702015372</v>
      </c>
      <c r="K269" s="239"/>
      <c r="L269" s="239"/>
      <c r="M269" s="239"/>
    </row>
    <row r="270" spans="1:13" x14ac:dyDescent="0.25">
      <c r="A270" s="255" t="s">
        <v>248</v>
      </c>
      <c r="B270" s="255" t="s">
        <v>192</v>
      </c>
      <c r="C270" s="256">
        <v>2017</v>
      </c>
      <c r="D270" s="256">
        <v>100</v>
      </c>
      <c r="E270">
        <v>19.0424751747938</v>
      </c>
      <c r="F270" s="257"/>
      <c r="G270">
        <f t="shared" si="3"/>
        <v>125</v>
      </c>
      <c r="H270" s="4">
        <f>IF(B270="RTG Crane",IF(D270&lt;600,800000,1200000),VLOOKUP(B270,'$$$ Replace &amp; Retrofit'!$B$10:$C$14,2)*'CHE Model poplulation'!D270)*E270</f>
        <v>1666216.5777944576</v>
      </c>
      <c r="I270" s="197">
        <f>E270*VLOOKUP('CHE Model poplulation'!G270,'$$$ Replace &amp; Retrofit'!$I$10:$J$15,2)</f>
        <v>375765.16262420604</v>
      </c>
      <c r="K270" s="239"/>
      <c r="L270" s="239"/>
      <c r="M270" s="239"/>
    </row>
    <row r="271" spans="1:13" x14ac:dyDescent="0.25">
      <c r="A271" s="255" t="s">
        <v>248</v>
      </c>
      <c r="B271" s="255" t="s">
        <v>192</v>
      </c>
      <c r="C271" s="256">
        <v>2017</v>
      </c>
      <c r="D271" s="256">
        <v>175</v>
      </c>
      <c r="E271">
        <v>29.7727660927949</v>
      </c>
      <c r="F271" s="257"/>
      <c r="G271">
        <f t="shared" si="3"/>
        <v>175</v>
      </c>
      <c r="H271" s="4">
        <f>IF(B271="RTG Crane",IF(D271&lt;600,800000,1200000),VLOOKUP(B271,'$$$ Replace &amp; Retrofit'!$B$10:$C$14,2)*'CHE Model poplulation'!D271)*E271</f>
        <v>4558954.8079592194</v>
      </c>
      <c r="I271" s="197">
        <f>E271*VLOOKUP('CHE Model poplulation'!G271,'$$$ Replace &amp; Retrofit'!$I$10:$J$15,2)</f>
        <v>738245.50803694234</v>
      </c>
      <c r="K271" s="239"/>
      <c r="L271" s="239"/>
      <c r="M271" s="239"/>
    </row>
    <row r="272" spans="1:13" x14ac:dyDescent="0.25">
      <c r="A272" s="255" t="s">
        <v>248</v>
      </c>
      <c r="B272" s="255" t="s">
        <v>192</v>
      </c>
      <c r="C272" s="256">
        <v>2017</v>
      </c>
      <c r="D272" s="256">
        <v>300</v>
      </c>
      <c r="E272">
        <v>12.006593347490799</v>
      </c>
      <c r="F272" s="257"/>
      <c r="G272">
        <f t="shared" si="3"/>
        <v>300</v>
      </c>
      <c r="H272" s="4">
        <f>IF(B272="RTG Crane",IF(D272&lt;600,800000,1200000),VLOOKUP(B272,'$$$ Replace &amp; Retrofit'!$B$10:$C$14,2)*'CHE Model poplulation'!D272)*E272</f>
        <v>3151730.7537163347</v>
      </c>
      <c r="I272" s="197">
        <f>E272*VLOOKUP('CHE Model poplulation'!G272,'$$$ Replace &amp; Retrofit'!$I$10:$J$15,2)</f>
        <v>345345.64445387787</v>
      </c>
      <c r="K272" s="239"/>
      <c r="L272" s="239"/>
      <c r="M272" s="239"/>
    </row>
    <row r="273" spans="1:13" x14ac:dyDescent="0.25">
      <c r="A273" s="255" t="s">
        <v>248</v>
      </c>
      <c r="B273" s="255" t="s">
        <v>192</v>
      </c>
      <c r="C273" s="256">
        <v>2017</v>
      </c>
      <c r="D273" s="256">
        <v>600</v>
      </c>
      <c r="E273">
        <v>1.1220753452557899</v>
      </c>
      <c r="F273" s="257"/>
      <c r="G273">
        <f t="shared" si="3"/>
        <v>400</v>
      </c>
      <c r="H273" s="4">
        <f>IF(B273="RTG Crane",IF(D273&lt;600,800000,1200000),VLOOKUP(B273,'$$$ Replace &amp; Retrofit'!$B$10:$C$14,2)*'CHE Model poplulation'!D273)*E273</f>
        <v>589089.55625928973</v>
      </c>
      <c r="I273" s="197">
        <f>E273*VLOOKUP('CHE Model poplulation'!G273,'$$$ Replace &amp; Retrofit'!$I$10:$J$15,2)</f>
        <v>58721.569043271251</v>
      </c>
      <c r="K273" s="239"/>
      <c r="L273" s="239"/>
      <c r="M273" s="239"/>
    </row>
    <row r="274" spans="1:13" x14ac:dyDescent="0.25">
      <c r="A274" s="255" t="s">
        <v>248</v>
      </c>
      <c r="B274" s="255" t="s">
        <v>192</v>
      </c>
      <c r="C274" s="256">
        <v>2018</v>
      </c>
      <c r="D274" s="256">
        <v>50</v>
      </c>
      <c r="E274">
        <v>4.0027391634640104</v>
      </c>
      <c r="F274" s="257"/>
      <c r="G274">
        <f t="shared" si="3"/>
        <v>50</v>
      </c>
      <c r="H274" s="4">
        <f>IF(B274="RTG Crane",IF(D274&lt;600,800000,1200000),VLOOKUP(B274,'$$$ Replace &amp; Retrofit'!$B$10:$C$14,2)*'CHE Model poplulation'!D274)*E274</f>
        <v>175119.83840155046</v>
      </c>
      <c r="I274" s="197">
        <f>E274*VLOOKUP('CHE Model poplulation'!G274,'$$$ Replace &amp; Retrofit'!$I$10:$J$15,2)</f>
        <v>70400.176407005012</v>
      </c>
      <c r="K274" s="239"/>
      <c r="L274" s="239"/>
      <c r="M274" s="239"/>
    </row>
    <row r="275" spans="1:13" x14ac:dyDescent="0.25">
      <c r="A275" s="255" t="s">
        <v>248</v>
      </c>
      <c r="B275" s="255" t="s">
        <v>192</v>
      </c>
      <c r="C275" s="256">
        <v>2018</v>
      </c>
      <c r="D275" s="256">
        <v>75</v>
      </c>
      <c r="E275">
        <v>5.90000524239841</v>
      </c>
      <c r="F275" s="257"/>
      <c r="G275">
        <f t="shared" si="3"/>
        <v>50</v>
      </c>
      <c r="H275" s="4">
        <f>IF(B275="RTG Crane",IF(D275&lt;600,800000,1200000),VLOOKUP(B275,'$$$ Replace &amp; Retrofit'!$B$10:$C$14,2)*'CHE Model poplulation'!D275)*E275</f>
        <v>387187.84403239563</v>
      </c>
      <c r="I275" s="197">
        <f>E275*VLOOKUP('CHE Model poplulation'!G275,'$$$ Replace &amp; Retrofit'!$I$10:$J$15,2)</f>
        <v>103769.29220330324</v>
      </c>
      <c r="K275" s="239"/>
      <c r="L275" s="239"/>
      <c r="M275" s="239"/>
    </row>
    <row r="276" spans="1:13" x14ac:dyDescent="0.25">
      <c r="A276" s="255" t="s">
        <v>248</v>
      </c>
      <c r="B276" s="255" t="s">
        <v>192</v>
      </c>
      <c r="C276" s="256">
        <v>2018</v>
      </c>
      <c r="D276" s="256">
        <v>100</v>
      </c>
      <c r="E276">
        <v>18.807959671928799</v>
      </c>
      <c r="F276" s="257"/>
      <c r="G276">
        <f t="shared" si="3"/>
        <v>125</v>
      </c>
      <c r="H276" s="4">
        <f>IF(B276="RTG Crane",IF(D276&lt;600,800000,1200000),VLOOKUP(B276,'$$$ Replace &amp; Retrofit'!$B$10:$C$14,2)*'CHE Model poplulation'!D276)*E276</f>
        <v>1645696.47129377</v>
      </c>
      <c r="I276" s="197">
        <f>E276*VLOOKUP('CHE Model poplulation'!G276,'$$$ Replace &amp; Retrofit'!$I$10:$J$15,2)</f>
        <v>371137.468206171</v>
      </c>
      <c r="K276" s="239"/>
      <c r="L276" s="239"/>
      <c r="M276" s="239"/>
    </row>
    <row r="277" spans="1:13" x14ac:dyDescent="0.25">
      <c r="A277" s="255" t="s">
        <v>248</v>
      </c>
      <c r="B277" s="255" t="s">
        <v>192</v>
      </c>
      <c r="C277" s="256">
        <v>2018</v>
      </c>
      <c r="D277" s="256">
        <v>175</v>
      </c>
      <c r="E277">
        <v>29.509544546865001</v>
      </c>
      <c r="F277" s="257"/>
      <c r="G277">
        <f t="shared" si="3"/>
        <v>175</v>
      </c>
      <c r="H277" s="4">
        <f>IF(B277="RTG Crane",IF(D277&lt;600,800000,1200000),VLOOKUP(B277,'$$$ Replace &amp; Retrofit'!$B$10:$C$14,2)*'CHE Model poplulation'!D277)*E277</f>
        <v>4518649.0087387031</v>
      </c>
      <c r="I277" s="197">
        <f>E277*VLOOKUP('CHE Model poplulation'!G277,'$$$ Replace &amp; Retrofit'!$I$10:$J$15,2)</f>
        <v>731718.6665840646</v>
      </c>
      <c r="K277" s="239"/>
      <c r="L277" s="239"/>
      <c r="M277" s="239"/>
    </row>
    <row r="278" spans="1:13" x14ac:dyDescent="0.25">
      <c r="A278" s="255" t="s">
        <v>248</v>
      </c>
      <c r="B278" s="255" t="s">
        <v>192</v>
      </c>
      <c r="C278" s="256">
        <v>2018</v>
      </c>
      <c r="D278" s="256">
        <v>300</v>
      </c>
      <c r="E278">
        <v>11.892274496109801</v>
      </c>
      <c r="F278" s="257"/>
      <c r="G278">
        <f t="shared" si="3"/>
        <v>300</v>
      </c>
      <c r="H278" s="4">
        <f>IF(B278="RTG Crane",IF(D278&lt;600,800000,1200000),VLOOKUP(B278,'$$$ Replace &amp; Retrofit'!$B$10:$C$14,2)*'CHE Model poplulation'!D278)*E278</f>
        <v>3121722.0552288229</v>
      </c>
      <c r="I278" s="197">
        <f>E278*VLOOKUP('CHE Model poplulation'!G278,'$$$ Replace &amp; Retrofit'!$I$10:$J$15,2)</f>
        <v>342057.49133160617</v>
      </c>
      <c r="K278" s="239"/>
      <c r="L278" s="239"/>
      <c r="M278" s="239"/>
    </row>
    <row r="279" spans="1:13" x14ac:dyDescent="0.25">
      <c r="A279" s="255" t="s">
        <v>248</v>
      </c>
      <c r="B279" s="255" t="s">
        <v>192</v>
      </c>
      <c r="C279" s="256">
        <v>2018</v>
      </c>
      <c r="D279" s="256">
        <v>600</v>
      </c>
      <c r="E279">
        <v>1.1048088511259</v>
      </c>
      <c r="F279" s="257"/>
      <c r="G279">
        <f t="shared" si="3"/>
        <v>400</v>
      </c>
      <c r="H279" s="4">
        <f>IF(B279="RTG Crane",IF(D279&lt;600,800000,1200000),VLOOKUP(B279,'$$$ Replace &amp; Retrofit'!$B$10:$C$14,2)*'CHE Model poplulation'!D279)*E279</f>
        <v>580024.64684109751</v>
      </c>
      <c r="I279" s="197">
        <f>E279*VLOOKUP('CHE Model poplulation'!G279,'$$$ Replace &amp; Retrofit'!$I$10:$J$15,2)</f>
        <v>57817.961605971723</v>
      </c>
      <c r="K279" s="239"/>
      <c r="L279" s="239"/>
      <c r="M279" s="239"/>
    </row>
    <row r="280" spans="1:13" x14ac:dyDescent="0.25">
      <c r="A280" s="255" t="s">
        <v>248</v>
      </c>
      <c r="B280" s="255" t="s">
        <v>192</v>
      </c>
      <c r="C280" s="256">
        <v>2019</v>
      </c>
      <c r="D280" s="256">
        <v>50</v>
      </c>
      <c r="E280">
        <v>3.95652447526962</v>
      </c>
      <c r="F280" s="257"/>
      <c r="G280">
        <f t="shared" si="3"/>
        <v>50</v>
      </c>
      <c r="H280" s="4">
        <f>IF(B280="RTG Crane",IF(D280&lt;600,800000,1200000),VLOOKUP(B280,'$$$ Replace &amp; Retrofit'!$B$10:$C$14,2)*'CHE Model poplulation'!D280)*E280</f>
        <v>173097.94579304589</v>
      </c>
      <c r="I280" s="197">
        <f>E280*VLOOKUP('CHE Model poplulation'!G280,'$$$ Replace &amp; Retrofit'!$I$10:$J$15,2)</f>
        <v>69587.352471042075</v>
      </c>
      <c r="K280" s="239"/>
      <c r="L280" s="239"/>
      <c r="M280" s="239"/>
    </row>
    <row r="281" spans="1:13" x14ac:dyDescent="0.25">
      <c r="A281" s="255" t="s">
        <v>248</v>
      </c>
      <c r="B281" s="255" t="s">
        <v>192</v>
      </c>
      <c r="C281" s="256">
        <v>2019</v>
      </c>
      <c r="D281" s="256">
        <v>75</v>
      </c>
      <c r="E281">
        <v>5.8360396746262202</v>
      </c>
      <c r="F281" s="257"/>
      <c r="G281">
        <f t="shared" si="3"/>
        <v>50</v>
      </c>
      <c r="H281" s="4">
        <f>IF(B281="RTG Crane",IF(D281&lt;600,800000,1200000),VLOOKUP(B281,'$$$ Replace &amp; Retrofit'!$B$10:$C$14,2)*'CHE Model poplulation'!D281)*E281</f>
        <v>382990.10364734568</v>
      </c>
      <c r="I281" s="197">
        <f>E281*VLOOKUP('CHE Model poplulation'!G281,'$$$ Replace &amp; Retrofit'!$I$10:$J$15,2)</f>
        <v>102644.26579732596</v>
      </c>
      <c r="K281" s="239"/>
      <c r="L281" s="239"/>
      <c r="M281" s="239"/>
    </row>
    <row r="282" spans="1:13" x14ac:dyDescent="0.25">
      <c r="A282" s="255" t="s">
        <v>248</v>
      </c>
      <c r="B282" s="255" t="s">
        <v>192</v>
      </c>
      <c r="C282" s="256">
        <v>2019</v>
      </c>
      <c r="D282" s="256">
        <v>100</v>
      </c>
      <c r="E282">
        <v>18.550875017477999</v>
      </c>
      <c r="F282" s="257"/>
      <c r="G282">
        <f t="shared" si="3"/>
        <v>125</v>
      </c>
      <c r="H282" s="4">
        <f>IF(B282="RTG Crane",IF(D282&lt;600,800000,1200000),VLOOKUP(B282,'$$$ Replace &amp; Retrofit'!$B$10:$C$14,2)*'CHE Model poplulation'!D282)*E282</f>
        <v>1623201.564029325</v>
      </c>
      <c r="I282" s="197">
        <f>E282*VLOOKUP('CHE Model poplulation'!G282,'$$$ Replace &amp; Retrofit'!$I$10:$J$15,2)</f>
        <v>366064.41671989334</v>
      </c>
      <c r="K282" s="239"/>
      <c r="L282" s="239"/>
      <c r="M282" s="239"/>
    </row>
    <row r="283" spans="1:13" x14ac:dyDescent="0.25">
      <c r="A283" s="255" t="s">
        <v>248</v>
      </c>
      <c r="B283" s="255" t="s">
        <v>192</v>
      </c>
      <c r="C283" s="256">
        <v>2019</v>
      </c>
      <c r="D283" s="256">
        <v>175</v>
      </c>
      <c r="E283">
        <v>29.173131304955401</v>
      </c>
      <c r="F283" s="257"/>
      <c r="G283">
        <f t="shared" si="3"/>
        <v>175</v>
      </c>
      <c r="H283" s="4">
        <f>IF(B283="RTG Crane",IF(D283&lt;600,800000,1200000),VLOOKUP(B283,'$$$ Replace &amp; Retrofit'!$B$10:$C$14,2)*'CHE Model poplulation'!D283)*E283</f>
        <v>4467135.7310712961</v>
      </c>
      <c r="I283" s="197">
        <f>E283*VLOOKUP('CHE Model poplulation'!G283,'$$$ Replace &amp; Retrofit'!$I$10:$J$15,2)</f>
        <v>723376.96383767412</v>
      </c>
      <c r="K283" s="239"/>
      <c r="L283" s="239"/>
      <c r="M283" s="239"/>
    </row>
    <row r="284" spans="1:13" x14ac:dyDescent="0.25">
      <c r="A284" s="255" t="s">
        <v>248</v>
      </c>
      <c r="B284" s="255" t="s">
        <v>192</v>
      </c>
      <c r="C284" s="256">
        <v>2019</v>
      </c>
      <c r="D284" s="256">
        <v>300</v>
      </c>
      <c r="E284">
        <v>11.751950064450201</v>
      </c>
      <c r="F284" s="257"/>
      <c r="G284">
        <f t="shared" si="3"/>
        <v>300</v>
      </c>
      <c r="H284" s="4">
        <f>IF(B284="RTG Crane",IF(D284&lt;600,800000,1200000),VLOOKUP(B284,'$$$ Replace &amp; Retrofit'!$B$10:$C$14,2)*'CHE Model poplulation'!D284)*E284</f>
        <v>3084886.8919181777</v>
      </c>
      <c r="I284" s="197">
        <f>E284*VLOOKUP('CHE Model poplulation'!G284,'$$$ Replace &amp; Retrofit'!$I$10:$J$15,2)</f>
        <v>338021.33970378112</v>
      </c>
      <c r="K284" s="239"/>
      <c r="L284" s="239"/>
      <c r="M284" s="239"/>
    </row>
    <row r="285" spans="1:13" x14ac:dyDescent="0.25">
      <c r="A285" s="255" t="s">
        <v>248</v>
      </c>
      <c r="B285" s="255" t="s">
        <v>192</v>
      </c>
      <c r="C285" s="256">
        <v>2019</v>
      </c>
      <c r="D285" s="256">
        <v>600</v>
      </c>
      <c r="E285">
        <v>1.0885714971732501</v>
      </c>
      <c r="F285" s="257"/>
      <c r="G285">
        <f t="shared" si="3"/>
        <v>400</v>
      </c>
      <c r="H285" s="4">
        <f>IF(B285="RTG Crane",IF(D285&lt;600,800000,1200000),VLOOKUP(B285,'$$$ Replace &amp; Retrofit'!$B$10:$C$14,2)*'CHE Model poplulation'!D285)*E285</f>
        <v>571500.03601595631</v>
      </c>
      <c r="I285" s="197">
        <f>E285*VLOOKUP('CHE Model poplulation'!G285,'$$$ Replace &amp; Retrofit'!$I$10:$J$15,2)</f>
        <v>56968.212161567695</v>
      </c>
      <c r="K285" s="239"/>
      <c r="L285" s="239"/>
      <c r="M285" s="239"/>
    </row>
    <row r="286" spans="1:13" x14ac:dyDescent="0.25">
      <c r="A286" s="255" t="s">
        <v>248</v>
      </c>
      <c r="B286" s="255" t="s">
        <v>192</v>
      </c>
      <c r="C286" s="256">
        <v>2020</v>
      </c>
      <c r="D286" s="256">
        <v>50</v>
      </c>
      <c r="E286">
        <v>3.90045950959541</v>
      </c>
      <c r="F286" s="257"/>
      <c r="G286">
        <f t="shared" si="3"/>
        <v>50</v>
      </c>
      <c r="H286" s="4">
        <f>IF(B286="RTG Crane",IF(D286&lt;600,800000,1200000),VLOOKUP(B286,'$$$ Replace &amp; Retrofit'!$B$10:$C$14,2)*'CHE Model poplulation'!D286)*E286</f>
        <v>170645.10354479917</v>
      </c>
      <c r="I286" s="197">
        <f>E286*VLOOKUP('CHE Model poplulation'!G286,'$$$ Replace &amp; Retrofit'!$I$10:$J$15,2)</f>
        <v>68601.281854764078</v>
      </c>
      <c r="K286" s="239"/>
      <c r="L286" s="239"/>
      <c r="M286" s="239"/>
    </row>
    <row r="287" spans="1:13" x14ac:dyDescent="0.25">
      <c r="A287" s="255" t="s">
        <v>248</v>
      </c>
      <c r="B287" s="255" t="s">
        <v>192</v>
      </c>
      <c r="C287" s="256">
        <v>2020</v>
      </c>
      <c r="D287" s="256">
        <v>75</v>
      </c>
      <c r="E287">
        <v>5.7596144076628599</v>
      </c>
      <c r="F287" s="257"/>
      <c r="G287">
        <f t="shared" si="3"/>
        <v>50</v>
      </c>
      <c r="H287" s="4">
        <f>IF(B287="RTG Crane",IF(D287&lt;600,800000,1200000),VLOOKUP(B287,'$$$ Replace &amp; Retrofit'!$B$10:$C$14,2)*'CHE Model poplulation'!D287)*E287</f>
        <v>377974.6955028752</v>
      </c>
      <c r="I287" s="197">
        <f>E287*VLOOKUP('CHE Model poplulation'!G287,'$$$ Replace &amp; Retrofit'!$I$10:$J$15,2)</f>
        <v>101300.09820197438</v>
      </c>
      <c r="K287" s="239"/>
      <c r="L287" s="239"/>
      <c r="M287" s="239"/>
    </row>
    <row r="288" spans="1:13" x14ac:dyDescent="0.25">
      <c r="A288" s="255" t="s">
        <v>248</v>
      </c>
      <c r="B288" s="255" t="s">
        <v>192</v>
      </c>
      <c r="C288" s="256">
        <v>2020</v>
      </c>
      <c r="D288" s="256">
        <v>100</v>
      </c>
      <c r="E288">
        <v>18.341141906440299</v>
      </c>
      <c r="F288" s="257"/>
      <c r="G288">
        <f t="shared" si="3"/>
        <v>125</v>
      </c>
      <c r="H288" s="4">
        <f>IF(B288="RTG Crane",IF(D288&lt;600,800000,1200000),VLOOKUP(B288,'$$$ Replace &amp; Retrofit'!$B$10:$C$14,2)*'CHE Model poplulation'!D288)*E288</f>
        <v>1604849.9168135261</v>
      </c>
      <c r="I288" s="197">
        <f>E288*VLOOKUP('CHE Model poplulation'!G288,'$$$ Replace &amp; Retrofit'!$I$10:$J$15,2)</f>
        <v>361925.75323978643</v>
      </c>
      <c r="K288" s="239"/>
      <c r="L288" s="239"/>
      <c r="M288" s="239"/>
    </row>
    <row r="289" spans="1:13" x14ac:dyDescent="0.25">
      <c r="A289" s="255" t="s">
        <v>248</v>
      </c>
      <c r="B289" s="255" t="s">
        <v>192</v>
      </c>
      <c r="C289" s="256">
        <v>2020</v>
      </c>
      <c r="D289" s="256">
        <v>175</v>
      </c>
      <c r="E289">
        <v>28.828879371068702</v>
      </c>
      <c r="F289" s="257"/>
      <c r="G289">
        <f t="shared" si="3"/>
        <v>175</v>
      </c>
      <c r="H289" s="4">
        <f>IF(B289="RTG Crane",IF(D289&lt;600,800000,1200000),VLOOKUP(B289,'$$$ Replace &amp; Retrofit'!$B$10:$C$14,2)*'CHE Model poplulation'!D289)*E289</f>
        <v>4414422.1536948951</v>
      </c>
      <c r="I289" s="197">
        <f>E289*VLOOKUP('CHE Model poplulation'!G289,'$$$ Replace &amp; Retrofit'!$I$10:$J$15,2)</f>
        <v>714840.89288501954</v>
      </c>
      <c r="K289" s="239"/>
      <c r="L289" s="239"/>
      <c r="M289" s="239"/>
    </row>
    <row r="290" spans="1:13" x14ac:dyDescent="0.25">
      <c r="A290" s="255" t="s">
        <v>248</v>
      </c>
      <c r="B290" s="255" t="s">
        <v>192</v>
      </c>
      <c r="C290" s="256">
        <v>2020</v>
      </c>
      <c r="D290" s="256">
        <v>300</v>
      </c>
      <c r="E290">
        <v>11.614809646199401</v>
      </c>
      <c r="F290" s="257"/>
      <c r="G290">
        <f t="shared" si="3"/>
        <v>300</v>
      </c>
      <c r="H290" s="4">
        <f>IF(B290="RTG Crane",IF(D290&lt;600,800000,1200000),VLOOKUP(B290,'$$$ Replace &amp; Retrofit'!$B$10:$C$14,2)*'CHE Model poplulation'!D290)*E290</f>
        <v>3048887.5321273427</v>
      </c>
      <c r="I290" s="197">
        <f>E290*VLOOKUP('CHE Model poplulation'!G290,'$$$ Replace &amp; Retrofit'!$I$10:$J$15,2)</f>
        <v>334076.76985363336</v>
      </c>
      <c r="K290" s="239"/>
      <c r="L290" s="239"/>
      <c r="M290" s="239"/>
    </row>
    <row r="291" spans="1:13" x14ac:dyDescent="0.25">
      <c r="A291" s="255" t="s">
        <v>248</v>
      </c>
      <c r="B291" s="255" t="s">
        <v>192</v>
      </c>
      <c r="C291" s="256">
        <v>2020</v>
      </c>
      <c r="D291" s="256">
        <v>600</v>
      </c>
      <c r="E291">
        <v>1.0783850228718499</v>
      </c>
      <c r="F291" s="257"/>
      <c r="G291">
        <f t="shared" si="3"/>
        <v>400</v>
      </c>
      <c r="H291" s="4">
        <f>IF(B291="RTG Crane",IF(D291&lt;600,800000,1200000),VLOOKUP(B291,'$$$ Replace &amp; Retrofit'!$B$10:$C$14,2)*'CHE Model poplulation'!D291)*E291</f>
        <v>566152.13700772123</v>
      </c>
      <c r="I291" s="197">
        <f>E291*VLOOKUP('CHE Model poplulation'!G291,'$$$ Replace &amp; Retrofit'!$I$10:$J$15,2)</f>
        <v>56435.123401952522</v>
      </c>
      <c r="K291" s="239"/>
      <c r="L291" s="239"/>
      <c r="M291" s="239"/>
    </row>
    <row r="292" spans="1:13" x14ac:dyDescent="0.25">
      <c r="A292" s="255" t="s">
        <v>248</v>
      </c>
      <c r="B292" s="255" t="s">
        <v>192</v>
      </c>
      <c r="C292" s="256">
        <v>2021</v>
      </c>
      <c r="D292" s="256">
        <v>50</v>
      </c>
      <c r="E292">
        <v>3.83698335176173</v>
      </c>
      <c r="F292" s="257"/>
      <c r="G292">
        <f t="shared" si="3"/>
        <v>50</v>
      </c>
      <c r="H292" s="4">
        <f>IF(B292="RTG Crane",IF(D292&lt;600,800000,1200000),VLOOKUP(B292,'$$$ Replace &amp; Retrofit'!$B$10:$C$14,2)*'CHE Model poplulation'!D292)*E292</f>
        <v>167868.02163957569</v>
      </c>
      <c r="I292" s="197">
        <f>E292*VLOOKUP('CHE Model poplulation'!G292,'$$$ Replace &amp; Retrofit'!$I$10:$J$15,2)</f>
        <v>67484.863190785312</v>
      </c>
      <c r="K292" s="239"/>
      <c r="L292" s="239"/>
      <c r="M292" s="239"/>
    </row>
    <row r="293" spans="1:13" x14ac:dyDescent="0.25">
      <c r="A293" s="255" t="s">
        <v>248</v>
      </c>
      <c r="B293" s="255" t="s">
        <v>192</v>
      </c>
      <c r="C293" s="256">
        <v>2021</v>
      </c>
      <c r="D293" s="256">
        <v>75</v>
      </c>
      <c r="E293">
        <v>5.6763991996231802</v>
      </c>
      <c r="F293" s="257"/>
      <c r="G293">
        <f t="shared" si="3"/>
        <v>50</v>
      </c>
      <c r="H293" s="4">
        <f>IF(B293="RTG Crane",IF(D293&lt;600,800000,1200000),VLOOKUP(B293,'$$$ Replace &amp; Retrofit'!$B$10:$C$14,2)*'CHE Model poplulation'!D293)*E293</f>
        <v>372513.69747527118</v>
      </c>
      <c r="I293" s="197">
        <f>E293*VLOOKUP('CHE Model poplulation'!G293,'$$$ Replace &amp; Retrofit'!$I$10:$J$15,2)</f>
        <v>99836.509122972493</v>
      </c>
      <c r="K293" s="239"/>
      <c r="L293" s="239"/>
      <c r="M293" s="239"/>
    </row>
    <row r="294" spans="1:13" x14ac:dyDescent="0.25">
      <c r="A294" s="255" t="s">
        <v>248</v>
      </c>
      <c r="B294" s="255" t="s">
        <v>192</v>
      </c>
      <c r="C294" s="256">
        <v>2021</v>
      </c>
      <c r="D294" s="256">
        <v>100</v>
      </c>
      <c r="E294">
        <v>18.129340727244799</v>
      </c>
      <c r="F294" s="257"/>
      <c r="G294">
        <f t="shared" si="3"/>
        <v>125</v>
      </c>
      <c r="H294" s="4">
        <f>IF(B294="RTG Crane",IF(D294&lt;600,800000,1200000),VLOOKUP(B294,'$$$ Replace &amp; Retrofit'!$B$10:$C$14,2)*'CHE Model poplulation'!D294)*E294</f>
        <v>1586317.3136339199</v>
      </c>
      <c r="I294" s="197">
        <f>E294*VLOOKUP('CHE Model poplulation'!G294,'$$$ Replace &amp; Retrofit'!$I$10:$J$15,2)</f>
        <v>357746.2805707216</v>
      </c>
      <c r="K294" s="239"/>
      <c r="L294" s="239"/>
      <c r="M294" s="239"/>
    </row>
    <row r="295" spans="1:13" x14ac:dyDescent="0.25">
      <c r="A295" s="255" t="s">
        <v>248</v>
      </c>
      <c r="B295" s="255" t="s">
        <v>192</v>
      </c>
      <c r="C295" s="256">
        <v>2021</v>
      </c>
      <c r="D295" s="256">
        <v>175</v>
      </c>
      <c r="E295">
        <v>28.475818115454</v>
      </c>
      <c r="F295" s="257"/>
      <c r="G295">
        <f t="shared" si="3"/>
        <v>175</v>
      </c>
      <c r="H295" s="4">
        <f>IF(B295="RTG Crane",IF(D295&lt;600,800000,1200000),VLOOKUP(B295,'$$$ Replace &amp; Retrofit'!$B$10:$C$14,2)*'CHE Model poplulation'!D295)*E295</f>
        <v>4360359.6489288937</v>
      </c>
      <c r="I295" s="197">
        <f>E295*VLOOKUP('CHE Model poplulation'!G295,'$$$ Replace &amp; Retrofit'!$I$10:$J$15,2)</f>
        <v>706086.38599079743</v>
      </c>
      <c r="K295" s="239"/>
      <c r="L295" s="239"/>
      <c r="M295" s="239"/>
    </row>
    <row r="296" spans="1:13" x14ac:dyDescent="0.25">
      <c r="A296" s="255" t="s">
        <v>248</v>
      </c>
      <c r="B296" s="255" t="s">
        <v>192</v>
      </c>
      <c r="C296" s="256">
        <v>2021</v>
      </c>
      <c r="D296" s="256">
        <v>300</v>
      </c>
      <c r="E296">
        <v>11.458302412064899</v>
      </c>
      <c r="F296" s="257"/>
      <c r="G296">
        <f t="shared" ref="G296:G321" si="4">IF(OR(D296=50,D296=75),50,IF(OR(D296=100,D296=125),125,IF(D296&gt;=400,400,D296)))</f>
        <v>300</v>
      </c>
      <c r="H296" s="4">
        <f>IF(B296="RTG Crane",IF(D296&lt;600,800000,1200000),VLOOKUP(B296,'$$$ Replace &amp; Retrofit'!$B$10:$C$14,2)*'CHE Model poplulation'!D296)*E296</f>
        <v>3007804.3831670359</v>
      </c>
      <c r="I296" s="197">
        <f>E296*VLOOKUP('CHE Model poplulation'!G296,'$$$ Replace &amp; Retrofit'!$I$10:$J$15,2)</f>
        <v>329575.15227822273</v>
      </c>
      <c r="K296" s="239"/>
      <c r="L296" s="239"/>
      <c r="M296" s="239"/>
    </row>
    <row r="297" spans="1:13" x14ac:dyDescent="0.25">
      <c r="A297" s="255" t="s">
        <v>248</v>
      </c>
      <c r="B297" s="255" t="s">
        <v>192</v>
      </c>
      <c r="C297" s="256">
        <v>2021</v>
      </c>
      <c r="D297" s="256">
        <v>600</v>
      </c>
      <c r="E297">
        <v>1.0676536522179101</v>
      </c>
      <c r="F297" s="257"/>
      <c r="G297">
        <f t="shared" si="4"/>
        <v>400</v>
      </c>
      <c r="H297" s="4">
        <f>IF(B297="RTG Crane",IF(D297&lt;600,800000,1200000),VLOOKUP(B297,'$$$ Replace &amp; Retrofit'!$B$10:$C$14,2)*'CHE Model poplulation'!D297)*E297</f>
        <v>560518.16741440282</v>
      </c>
      <c r="I297" s="197">
        <f>E297*VLOOKUP('CHE Model poplulation'!G297,'$$$ Replace &amp; Retrofit'!$I$10:$J$15,2)</f>
        <v>55873.518581519886</v>
      </c>
      <c r="K297" s="239"/>
      <c r="L297" s="239"/>
      <c r="M297" s="239"/>
    </row>
    <row r="298" spans="1:13" x14ac:dyDescent="0.25">
      <c r="A298" s="255" t="s">
        <v>248</v>
      </c>
      <c r="B298" s="255" t="s">
        <v>192</v>
      </c>
      <c r="C298" s="256">
        <v>2022</v>
      </c>
      <c r="D298" s="256">
        <v>50</v>
      </c>
      <c r="E298">
        <v>3.7635856526385298</v>
      </c>
      <c r="F298" s="257"/>
      <c r="G298">
        <f t="shared" si="4"/>
        <v>50</v>
      </c>
      <c r="H298" s="4">
        <f>IF(B298="RTG Crane",IF(D298&lt;600,800000,1200000),VLOOKUP(B298,'$$$ Replace &amp; Retrofit'!$B$10:$C$14,2)*'CHE Model poplulation'!D298)*E298</f>
        <v>164656.87230293569</v>
      </c>
      <c r="I298" s="197">
        <f>E298*VLOOKUP('CHE Model poplulation'!G298,'$$$ Replace &amp; Retrofit'!$I$10:$J$15,2)</f>
        <v>66193.944458606464</v>
      </c>
      <c r="K298" s="239"/>
      <c r="L298" s="239"/>
      <c r="M298" s="239"/>
    </row>
    <row r="299" spans="1:13" x14ac:dyDescent="0.25">
      <c r="A299" s="255" t="s">
        <v>248</v>
      </c>
      <c r="B299" s="255" t="s">
        <v>192</v>
      </c>
      <c r="C299" s="256">
        <v>2022</v>
      </c>
      <c r="D299" s="256">
        <v>75</v>
      </c>
      <c r="E299">
        <v>5.5877276494299704</v>
      </c>
      <c r="F299" s="257"/>
      <c r="G299">
        <f t="shared" si="4"/>
        <v>50</v>
      </c>
      <c r="H299" s="4">
        <f>IF(B299="RTG Crane",IF(D299&lt;600,800000,1200000),VLOOKUP(B299,'$$$ Replace &amp; Retrofit'!$B$10:$C$14,2)*'CHE Model poplulation'!D299)*E299</f>
        <v>366694.62699384178</v>
      </c>
      <c r="I299" s="197">
        <f>E299*VLOOKUP('CHE Model poplulation'!G299,'$$$ Replace &amp; Retrofit'!$I$10:$J$15,2)</f>
        <v>98276.953898174324</v>
      </c>
      <c r="K299" s="239"/>
      <c r="L299" s="239"/>
      <c r="M299" s="239"/>
    </row>
    <row r="300" spans="1:13" x14ac:dyDescent="0.25">
      <c r="A300" s="255" t="s">
        <v>248</v>
      </c>
      <c r="B300" s="255" t="s">
        <v>192</v>
      </c>
      <c r="C300" s="256">
        <v>2022</v>
      </c>
      <c r="D300" s="256">
        <v>100</v>
      </c>
      <c r="E300">
        <v>17.825339793228</v>
      </c>
      <c r="F300" s="257"/>
      <c r="G300">
        <f t="shared" si="4"/>
        <v>125</v>
      </c>
      <c r="H300" s="4">
        <f>IF(B300="RTG Crane",IF(D300&lt;600,800000,1200000),VLOOKUP(B300,'$$$ Replace &amp; Retrofit'!$B$10:$C$14,2)*'CHE Model poplulation'!D300)*E300</f>
        <v>1559717.2319074501</v>
      </c>
      <c r="I300" s="197">
        <f>E300*VLOOKUP('CHE Model poplulation'!G300,'$$$ Replace &amp; Retrofit'!$I$10:$J$15,2)</f>
        <v>351747.43013976811</v>
      </c>
      <c r="K300" s="239"/>
      <c r="L300" s="239"/>
      <c r="M300" s="239"/>
    </row>
    <row r="301" spans="1:13" x14ac:dyDescent="0.25">
      <c r="A301" s="255" t="s">
        <v>248</v>
      </c>
      <c r="B301" s="255" t="s">
        <v>192</v>
      </c>
      <c r="C301" s="256">
        <v>2022</v>
      </c>
      <c r="D301" s="256">
        <v>175</v>
      </c>
      <c r="E301">
        <v>28.031243916608702</v>
      </c>
      <c r="F301" s="257"/>
      <c r="G301">
        <f t="shared" si="4"/>
        <v>175</v>
      </c>
      <c r="H301" s="4">
        <f>IF(B301="RTG Crane",IF(D301&lt;600,800000,1200000),VLOOKUP(B301,'$$$ Replace &amp; Retrofit'!$B$10:$C$14,2)*'CHE Model poplulation'!D301)*E301</f>
        <v>4292284.2247307077</v>
      </c>
      <c r="I301" s="197">
        <f>E301*VLOOKUP('CHE Model poplulation'!G301,'$$$ Replace &amp; Retrofit'!$I$10:$J$15,2)</f>
        <v>695062.72415622941</v>
      </c>
      <c r="K301" s="239"/>
      <c r="L301" s="239"/>
      <c r="M301" s="239"/>
    </row>
    <row r="302" spans="1:13" x14ac:dyDescent="0.25">
      <c r="A302" s="255" t="s">
        <v>248</v>
      </c>
      <c r="B302" s="255" t="s">
        <v>192</v>
      </c>
      <c r="C302" s="256">
        <v>2022</v>
      </c>
      <c r="D302" s="256">
        <v>300</v>
      </c>
      <c r="E302">
        <v>11.267314326777701</v>
      </c>
      <c r="F302" s="257"/>
      <c r="G302">
        <f t="shared" si="4"/>
        <v>300</v>
      </c>
      <c r="H302" s="4">
        <f>IF(B302="RTG Crane",IF(D302&lt;600,800000,1200000),VLOOKUP(B302,'$$$ Replace &amp; Retrofit'!$B$10:$C$14,2)*'CHE Model poplulation'!D302)*E302</f>
        <v>2957670.0107791466</v>
      </c>
      <c r="I302" s="197">
        <f>E302*VLOOKUP('CHE Model poplulation'!G302,'$$$ Replace &amp; Retrofit'!$I$10:$J$15,2)</f>
        <v>324081.761981107</v>
      </c>
      <c r="K302" s="239"/>
      <c r="L302" s="239"/>
      <c r="M302" s="239"/>
    </row>
    <row r="303" spans="1:13" x14ac:dyDescent="0.25">
      <c r="A303" s="255" t="s">
        <v>248</v>
      </c>
      <c r="B303" s="255" t="s">
        <v>192</v>
      </c>
      <c r="C303" s="256">
        <v>2022</v>
      </c>
      <c r="D303" s="256">
        <v>600</v>
      </c>
      <c r="E303">
        <v>1.05326566956423</v>
      </c>
      <c r="F303" s="257"/>
      <c r="G303">
        <f t="shared" si="4"/>
        <v>400</v>
      </c>
      <c r="H303" s="4">
        <f>IF(B303="RTG Crane",IF(D303&lt;600,800000,1200000),VLOOKUP(B303,'$$$ Replace &amp; Retrofit'!$B$10:$C$14,2)*'CHE Model poplulation'!D303)*E303</f>
        <v>552964.47652122076</v>
      </c>
      <c r="I303" s="197">
        <f>E303*VLOOKUP('CHE Model poplulation'!G303,'$$$ Replace &amp; Retrofit'!$I$10:$J$15,2)</f>
        <v>55120.552285304846</v>
      </c>
      <c r="K303" s="239"/>
      <c r="L303" s="239"/>
      <c r="M303" s="239"/>
    </row>
    <row r="304" spans="1:13" x14ac:dyDescent="0.25">
      <c r="A304" s="255" t="s">
        <v>248</v>
      </c>
      <c r="B304" s="255" t="s">
        <v>192</v>
      </c>
      <c r="C304" s="256">
        <v>2023</v>
      </c>
      <c r="D304" s="256">
        <v>50</v>
      </c>
      <c r="E304">
        <v>3.6380017518529599</v>
      </c>
      <c r="F304" s="257"/>
      <c r="G304">
        <f t="shared" si="4"/>
        <v>50</v>
      </c>
      <c r="H304" s="4">
        <f>IF(B304="RTG Crane",IF(D304&lt;600,800000,1200000),VLOOKUP(B304,'$$$ Replace &amp; Retrofit'!$B$10:$C$14,2)*'CHE Model poplulation'!D304)*E304</f>
        <v>159162.57664356701</v>
      </c>
      <c r="I304" s="197">
        <f>E304*VLOOKUP('CHE Model poplulation'!G304,'$$$ Replace &amp; Retrofit'!$I$10:$J$15,2)</f>
        <v>63985.174811589859</v>
      </c>
      <c r="K304" s="239"/>
      <c r="L304" s="239"/>
      <c r="M304" s="239"/>
    </row>
    <row r="305" spans="1:13" x14ac:dyDescent="0.25">
      <c r="A305" s="255" t="s">
        <v>248</v>
      </c>
      <c r="B305" s="255" t="s">
        <v>192</v>
      </c>
      <c r="C305" s="256">
        <v>2023</v>
      </c>
      <c r="D305" s="256">
        <v>75</v>
      </c>
      <c r="E305">
        <v>5.45753453392871</v>
      </c>
      <c r="F305" s="257"/>
      <c r="G305">
        <f t="shared" si="4"/>
        <v>50</v>
      </c>
      <c r="H305" s="4">
        <f>IF(B305="RTG Crane",IF(D305&lt;600,800000,1200000),VLOOKUP(B305,'$$$ Replace &amp; Retrofit'!$B$10:$C$14,2)*'CHE Model poplulation'!D305)*E305</f>
        <v>358150.70378907159</v>
      </c>
      <c r="I305" s="197">
        <f>E305*VLOOKUP('CHE Model poplulation'!G305,'$$$ Replace &amp; Retrofit'!$I$10:$J$15,2)</f>
        <v>95987.117382738157</v>
      </c>
      <c r="K305" s="239"/>
      <c r="L305" s="239"/>
      <c r="M305" s="239"/>
    </row>
    <row r="306" spans="1:13" x14ac:dyDescent="0.25">
      <c r="A306" s="255" t="s">
        <v>248</v>
      </c>
      <c r="B306" s="255" t="s">
        <v>192</v>
      </c>
      <c r="C306" s="256">
        <v>2023</v>
      </c>
      <c r="D306" s="256">
        <v>100</v>
      </c>
      <c r="E306">
        <v>17.212748245128999</v>
      </c>
      <c r="F306" s="257"/>
      <c r="G306">
        <f t="shared" si="4"/>
        <v>125</v>
      </c>
      <c r="H306" s="4">
        <f>IF(B306="RTG Crane",IF(D306&lt;600,800000,1200000),VLOOKUP(B306,'$$$ Replace &amp; Retrofit'!$B$10:$C$14,2)*'CHE Model poplulation'!D306)*E306</f>
        <v>1506115.4714487875</v>
      </c>
      <c r="I306" s="197">
        <f>E306*VLOOKUP('CHE Model poplulation'!G306,'$$$ Replace &amp; Retrofit'!$I$10:$J$15,2)</f>
        <v>339659.16112113051</v>
      </c>
      <c r="K306" s="239"/>
      <c r="L306" s="239"/>
      <c r="M306" s="239"/>
    </row>
    <row r="307" spans="1:13" x14ac:dyDescent="0.25">
      <c r="A307" s="255" t="s">
        <v>248</v>
      </c>
      <c r="B307" s="255" t="s">
        <v>192</v>
      </c>
      <c r="C307" s="256">
        <v>2023</v>
      </c>
      <c r="D307" s="256">
        <v>175</v>
      </c>
      <c r="E307">
        <v>27.185978121388899</v>
      </c>
      <c r="F307" s="257"/>
      <c r="G307">
        <f t="shared" si="4"/>
        <v>175</v>
      </c>
      <c r="H307" s="4">
        <f>IF(B307="RTG Crane",IF(D307&lt;600,800000,1200000),VLOOKUP(B307,'$$$ Replace &amp; Retrofit'!$B$10:$C$14,2)*'CHE Model poplulation'!D307)*E307</f>
        <v>4162852.899837675</v>
      </c>
      <c r="I307" s="197">
        <f>E307*VLOOKUP('CHE Model poplulation'!G307,'$$$ Replace &amp; Retrofit'!$I$10:$J$15,2)</f>
        <v>674103.51349795912</v>
      </c>
      <c r="K307" s="239"/>
      <c r="L307" s="239"/>
      <c r="M307" s="239"/>
    </row>
    <row r="308" spans="1:13" x14ac:dyDescent="0.25">
      <c r="A308" s="255" t="s">
        <v>248</v>
      </c>
      <c r="B308" s="255" t="s">
        <v>192</v>
      </c>
      <c r="C308" s="256">
        <v>2023</v>
      </c>
      <c r="D308" s="256">
        <v>300</v>
      </c>
      <c r="E308">
        <v>10.9400379827355</v>
      </c>
      <c r="F308" s="257"/>
      <c r="G308">
        <f t="shared" si="4"/>
        <v>300</v>
      </c>
      <c r="H308" s="4">
        <f>IF(B308="RTG Crane",IF(D308&lt;600,800000,1200000),VLOOKUP(B308,'$$$ Replace &amp; Retrofit'!$B$10:$C$14,2)*'CHE Model poplulation'!D308)*E308</f>
        <v>2871759.970468069</v>
      </c>
      <c r="I308" s="197">
        <f>E308*VLOOKUP('CHE Model poplulation'!G308,'$$$ Replace &amp; Retrofit'!$I$10:$J$15,2)</f>
        <v>314668.31249742117</v>
      </c>
      <c r="K308" s="239"/>
      <c r="L308" s="239"/>
      <c r="M308" s="239"/>
    </row>
    <row r="309" spans="1:13" x14ac:dyDescent="0.25">
      <c r="A309" s="255" t="s">
        <v>248</v>
      </c>
      <c r="B309" s="255" t="s">
        <v>192</v>
      </c>
      <c r="C309" s="256">
        <v>2023</v>
      </c>
      <c r="D309" s="256">
        <v>600</v>
      </c>
      <c r="E309">
        <v>1.02072892653076</v>
      </c>
      <c r="F309" s="257"/>
      <c r="G309">
        <f t="shared" si="4"/>
        <v>400</v>
      </c>
      <c r="H309" s="4">
        <f>IF(B309="RTG Crane",IF(D309&lt;600,800000,1200000),VLOOKUP(B309,'$$$ Replace &amp; Retrofit'!$B$10:$C$14,2)*'CHE Model poplulation'!D309)*E309</f>
        <v>535882.686428649</v>
      </c>
      <c r="I309" s="197">
        <f>E309*VLOOKUP('CHE Model poplulation'!G309,'$$$ Replace &amp; Retrofit'!$I$10:$J$15,2)</f>
        <v>53417.806912134263</v>
      </c>
      <c r="K309" s="239"/>
      <c r="L309" s="239"/>
      <c r="M309" s="239"/>
    </row>
    <row r="310" spans="1:13" x14ac:dyDescent="0.25">
      <c r="A310" s="255" t="s">
        <v>248</v>
      </c>
      <c r="B310" s="255" t="s">
        <v>192</v>
      </c>
      <c r="C310" s="256">
        <v>2024</v>
      </c>
      <c r="D310" s="256">
        <v>50</v>
      </c>
      <c r="E310">
        <v>3.5422482184965198</v>
      </c>
      <c r="F310" s="257"/>
      <c r="G310">
        <f t="shared" si="4"/>
        <v>50</v>
      </c>
      <c r="H310" s="4">
        <f>IF(B310="RTG Crane",IF(D310&lt;600,800000,1200000),VLOOKUP(B310,'$$$ Replace &amp; Retrofit'!$B$10:$C$14,2)*'CHE Model poplulation'!D310)*E310</f>
        <v>154973.35955922274</v>
      </c>
      <c r="I310" s="197">
        <f>E310*VLOOKUP('CHE Model poplulation'!G310,'$$$ Replace &amp; Retrofit'!$I$10:$J$15,2)</f>
        <v>62301.061666916794</v>
      </c>
      <c r="K310" s="239"/>
      <c r="L310" s="239"/>
      <c r="M310" s="239"/>
    </row>
    <row r="311" spans="1:13" x14ac:dyDescent="0.25">
      <c r="A311" s="255" t="s">
        <v>248</v>
      </c>
      <c r="B311" s="255" t="s">
        <v>192</v>
      </c>
      <c r="C311" s="256">
        <v>2024</v>
      </c>
      <c r="D311" s="256">
        <v>75</v>
      </c>
      <c r="E311">
        <v>5.3756436252230504</v>
      </c>
      <c r="F311" s="257"/>
      <c r="G311">
        <f t="shared" si="4"/>
        <v>50</v>
      </c>
      <c r="H311" s="4">
        <f>IF(B311="RTG Crane",IF(D311&lt;600,800000,1200000),VLOOKUP(B311,'$$$ Replace &amp; Retrofit'!$B$10:$C$14,2)*'CHE Model poplulation'!D311)*E311</f>
        <v>352776.61290526268</v>
      </c>
      <c r="I311" s="197">
        <f>E311*VLOOKUP('CHE Model poplulation'!G311,'$$$ Replace &amp; Retrofit'!$I$10:$J$15,2)</f>
        <v>94546.820080423015</v>
      </c>
      <c r="K311" s="239"/>
      <c r="L311" s="239"/>
      <c r="M311" s="239"/>
    </row>
    <row r="312" spans="1:13" x14ac:dyDescent="0.25">
      <c r="A312" s="255" t="s">
        <v>248</v>
      </c>
      <c r="B312" s="255" t="s">
        <v>192</v>
      </c>
      <c r="C312" s="256">
        <v>2024</v>
      </c>
      <c r="D312" s="256">
        <v>100</v>
      </c>
      <c r="E312">
        <v>16.670444421920202</v>
      </c>
      <c r="F312" s="257"/>
      <c r="G312">
        <f t="shared" si="4"/>
        <v>125</v>
      </c>
      <c r="H312" s="4">
        <f>IF(B312="RTG Crane",IF(D312&lt;600,800000,1200000),VLOOKUP(B312,'$$$ Replace &amp; Retrofit'!$B$10:$C$14,2)*'CHE Model poplulation'!D312)*E312</f>
        <v>1458663.8869180176</v>
      </c>
      <c r="I312" s="197">
        <f>E312*VLOOKUP('CHE Model poplulation'!G312,'$$$ Replace &amp; Retrofit'!$I$10:$J$15,2)</f>
        <v>328957.87977775134</v>
      </c>
      <c r="K312" s="239"/>
      <c r="L312" s="239"/>
      <c r="M312" s="239"/>
    </row>
    <row r="313" spans="1:13" x14ac:dyDescent="0.25">
      <c r="A313" s="255" t="s">
        <v>248</v>
      </c>
      <c r="B313" s="255" t="s">
        <v>192</v>
      </c>
      <c r="C313" s="256">
        <v>2024</v>
      </c>
      <c r="D313" s="256">
        <v>175</v>
      </c>
      <c r="E313">
        <v>26.5059936379477</v>
      </c>
      <c r="F313" s="257"/>
      <c r="G313">
        <f t="shared" si="4"/>
        <v>175</v>
      </c>
      <c r="H313" s="4">
        <f>IF(B313="RTG Crane",IF(D313&lt;600,800000,1200000),VLOOKUP(B313,'$$$ Replace &amp; Retrofit'!$B$10:$C$14,2)*'CHE Model poplulation'!D313)*E313</f>
        <v>4058730.2758107414</v>
      </c>
      <c r="I313" s="197">
        <f>E313*VLOOKUP('CHE Model poplulation'!G313,'$$$ Replace &amp; Retrofit'!$I$10:$J$15,2)</f>
        <v>657242.61824655114</v>
      </c>
      <c r="K313" s="239"/>
      <c r="L313" s="239"/>
      <c r="M313" s="239"/>
    </row>
    <row r="314" spans="1:13" x14ac:dyDescent="0.25">
      <c r="A314" s="255" t="s">
        <v>248</v>
      </c>
      <c r="B314" s="255" t="s">
        <v>192</v>
      </c>
      <c r="C314" s="256">
        <v>2024</v>
      </c>
      <c r="D314" s="256">
        <v>300</v>
      </c>
      <c r="E314">
        <v>10.7261803644359</v>
      </c>
      <c r="F314" s="257"/>
      <c r="G314">
        <f t="shared" si="4"/>
        <v>300</v>
      </c>
      <c r="H314" s="4">
        <f>IF(B314="RTG Crane",IF(D314&lt;600,800000,1200000),VLOOKUP(B314,'$$$ Replace &amp; Retrofit'!$B$10:$C$14,2)*'CHE Model poplulation'!D314)*E314</f>
        <v>2815622.3456644234</v>
      </c>
      <c r="I314" s="197">
        <f>E314*VLOOKUP('CHE Model poplulation'!G314,'$$$ Replace &amp; Retrofit'!$I$10:$J$15,2)</f>
        <v>308517.12582226977</v>
      </c>
      <c r="K314" s="239"/>
      <c r="L314" s="239"/>
      <c r="M314" s="239"/>
    </row>
    <row r="315" spans="1:13" x14ac:dyDescent="0.25">
      <c r="A315" s="255" t="s">
        <v>248</v>
      </c>
      <c r="B315" s="255" t="s">
        <v>192</v>
      </c>
      <c r="C315" s="256">
        <v>2024</v>
      </c>
      <c r="D315" s="256">
        <v>600</v>
      </c>
      <c r="E315">
        <v>0.99345594393025305</v>
      </c>
      <c r="F315" s="257"/>
      <c r="G315">
        <f t="shared" si="4"/>
        <v>400</v>
      </c>
      <c r="H315" s="4">
        <f>IF(B315="RTG Crane",IF(D315&lt;600,800000,1200000),VLOOKUP(B315,'$$$ Replace &amp; Retrofit'!$B$10:$C$14,2)*'CHE Model poplulation'!D315)*E315</f>
        <v>521564.37056338286</v>
      </c>
      <c r="I315" s="197">
        <f>E315*VLOOKUP('CHE Model poplulation'!G315,'$$$ Replace &amp; Retrofit'!$I$10:$J$15,2)</f>
        <v>51990.529913701932</v>
      </c>
      <c r="K315" s="239"/>
      <c r="L315" s="239"/>
      <c r="M315" s="239"/>
    </row>
    <row r="316" spans="1:13" x14ac:dyDescent="0.25">
      <c r="A316" s="255" t="s">
        <v>248</v>
      </c>
      <c r="B316" s="255" t="s">
        <v>192</v>
      </c>
      <c r="C316" s="256">
        <v>2025</v>
      </c>
      <c r="D316" s="256">
        <v>50</v>
      </c>
      <c r="E316">
        <v>3.44604968651175</v>
      </c>
      <c r="F316" s="257"/>
      <c r="G316">
        <f t="shared" si="4"/>
        <v>50</v>
      </c>
      <c r="H316" s="4">
        <f>IF(B316="RTG Crane",IF(D316&lt;600,800000,1200000),VLOOKUP(B316,'$$$ Replace &amp; Retrofit'!$B$10:$C$14,2)*'CHE Model poplulation'!D316)*E316</f>
        <v>150764.67378488908</v>
      </c>
      <c r="I316" s="197">
        <f>E316*VLOOKUP('CHE Model poplulation'!G316,'$$$ Replace &amp; Retrofit'!$I$10:$J$15,2)</f>
        <v>60609.121886368659</v>
      </c>
      <c r="K316" s="239"/>
      <c r="L316" s="239"/>
      <c r="M316" s="239"/>
    </row>
    <row r="317" spans="1:13" x14ac:dyDescent="0.25">
      <c r="A317" s="255" t="s">
        <v>248</v>
      </c>
      <c r="B317" s="255" t="s">
        <v>192</v>
      </c>
      <c r="C317" s="256">
        <v>2025</v>
      </c>
      <c r="D317" s="256">
        <v>75</v>
      </c>
      <c r="E317">
        <v>5.30086177143607</v>
      </c>
      <c r="F317" s="257"/>
      <c r="G317">
        <f t="shared" si="4"/>
        <v>50</v>
      </c>
      <c r="H317" s="4">
        <f>IF(B317="RTG Crane",IF(D317&lt;600,800000,1200000),VLOOKUP(B317,'$$$ Replace &amp; Retrofit'!$B$10:$C$14,2)*'CHE Model poplulation'!D317)*E317</f>
        <v>347869.05375049211</v>
      </c>
      <c r="I317" s="197">
        <f>E317*VLOOKUP('CHE Model poplulation'!G317,'$$$ Replace &amp; Retrofit'!$I$10:$J$15,2)</f>
        <v>93231.556836017597</v>
      </c>
      <c r="K317" s="239"/>
      <c r="L317" s="239"/>
      <c r="M317" s="239"/>
    </row>
    <row r="318" spans="1:13" x14ac:dyDescent="0.25">
      <c r="A318" s="255" t="s">
        <v>248</v>
      </c>
      <c r="B318" s="255" t="s">
        <v>192</v>
      </c>
      <c r="C318" s="256">
        <v>2025</v>
      </c>
      <c r="D318" s="256">
        <v>100</v>
      </c>
      <c r="E318">
        <v>15.9986194442151</v>
      </c>
      <c r="F318" s="257"/>
      <c r="G318">
        <f t="shared" si="4"/>
        <v>125</v>
      </c>
      <c r="H318" s="4">
        <f>IF(B318="RTG Crane",IF(D318&lt;600,800000,1200000),VLOOKUP(B318,'$$$ Replace &amp; Retrofit'!$B$10:$C$14,2)*'CHE Model poplulation'!D318)*E318</f>
        <v>1399879.2013688213</v>
      </c>
      <c r="I318" s="197">
        <f>E318*VLOOKUP('CHE Model poplulation'!G318,'$$$ Replace &amp; Retrofit'!$I$10:$J$15,2)</f>
        <v>315700.75749269658</v>
      </c>
      <c r="K318" s="239"/>
      <c r="L318" s="239"/>
      <c r="M318" s="239"/>
    </row>
    <row r="319" spans="1:13" x14ac:dyDescent="0.25">
      <c r="A319" s="255" t="s">
        <v>248</v>
      </c>
      <c r="B319" s="255" t="s">
        <v>192</v>
      </c>
      <c r="C319" s="256">
        <v>2025</v>
      </c>
      <c r="D319" s="256">
        <v>175</v>
      </c>
      <c r="E319">
        <v>25.7404087167745</v>
      </c>
      <c r="F319" s="257"/>
      <c r="G319">
        <f t="shared" si="4"/>
        <v>175</v>
      </c>
      <c r="H319" s="4">
        <f>IF(B319="RTG Crane",IF(D319&lt;600,800000,1200000),VLOOKUP(B319,'$$$ Replace &amp; Retrofit'!$B$10:$C$14,2)*'CHE Model poplulation'!D319)*E319</f>
        <v>3941500.0847560954</v>
      </c>
      <c r="I319" s="197">
        <f>E319*VLOOKUP('CHE Model poplulation'!G319,'$$$ Replace &amp; Retrofit'!$I$10:$J$15,2)</f>
        <v>638259.17454114044</v>
      </c>
      <c r="K319" s="239"/>
      <c r="L319" s="239"/>
      <c r="M319" s="239"/>
    </row>
    <row r="320" spans="1:13" x14ac:dyDescent="0.25">
      <c r="A320" s="255" t="s">
        <v>248</v>
      </c>
      <c r="B320" s="255" t="s">
        <v>192</v>
      </c>
      <c r="C320" s="256">
        <v>2025</v>
      </c>
      <c r="D320" s="256">
        <v>300</v>
      </c>
      <c r="E320">
        <v>10.5033964150561</v>
      </c>
      <c r="F320" s="257"/>
      <c r="G320">
        <f t="shared" si="4"/>
        <v>300</v>
      </c>
      <c r="H320" s="4">
        <f>IF(B320="RTG Crane",IF(D320&lt;600,800000,1200000),VLOOKUP(B320,'$$$ Replace &amp; Retrofit'!$B$10:$C$14,2)*'CHE Model poplulation'!D320)*E320</f>
        <v>2757141.5589522263</v>
      </c>
      <c r="I320" s="197">
        <f>E320*VLOOKUP('CHE Model poplulation'!G320,'$$$ Replace &amp; Retrofit'!$I$10:$J$15,2)</f>
        <v>302109.19108625862</v>
      </c>
      <c r="K320" s="239"/>
      <c r="L320" s="239"/>
      <c r="M320" s="239"/>
    </row>
    <row r="321" spans="1:13" x14ac:dyDescent="0.25">
      <c r="A321" s="255" t="s">
        <v>248</v>
      </c>
      <c r="B321" s="255" t="s">
        <v>192</v>
      </c>
      <c r="C321" s="256">
        <v>2025</v>
      </c>
      <c r="D321" s="256">
        <v>600</v>
      </c>
      <c r="E321">
        <v>0.96476223945341499</v>
      </c>
      <c r="F321" s="257"/>
      <c r="G321">
        <f t="shared" si="4"/>
        <v>400</v>
      </c>
      <c r="H321" s="4">
        <f>IF(B321="RTG Crane",IF(D321&lt;600,800000,1200000),VLOOKUP(B321,'$$$ Replace &amp; Retrofit'!$B$10:$C$14,2)*'CHE Model poplulation'!D321)*E321</f>
        <v>506500.17571304285</v>
      </c>
      <c r="I321" s="197">
        <f>E321*VLOOKUP('CHE Model poplulation'!G321,'$$$ Replace &amp; Retrofit'!$I$10:$J$15,2)</f>
        <v>50488.902277315567</v>
      </c>
      <c r="K321" s="239"/>
      <c r="L321" s="239"/>
      <c r="M321" s="239"/>
    </row>
    <row r="322" spans="1:13" ht="45" x14ac:dyDescent="0.25">
      <c r="A322" s="255" t="s">
        <v>248</v>
      </c>
      <c r="B322" s="255" t="s">
        <v>211</v>
      </c>
      <c r="C322" s="256">
        <v>2006</v>
      </c>
      <c r="D322" s="256">
        <v>50</v>
      </c>
      <c r="E322">
        <v>0</v>
      </c>
      <c r="F322" s="257"/>
      <c r="H322" s="239"/>
      <c r="I322" s="4"/>
      <c r="K322" s="239"/>
      <c r="L322" s="239"/>
      <c r="M322" s="239"/>
    </row>
    <row r="323" spans="1:13" ht="45" x14ac:dyDescent="0.25">
      <c r="A323" s="255" t="s">
        <v>248</v>
      </c>
      <c r="B323" s="255" t="s">
        <v>211</v>
      </c>
      <c r="C323" s="256">
        <v>2006</v>
      </c>
      <c r="D323" s="256">
        <v>75</v>
      </c>
      <c r="E323">
        <v>0</v>
      </c>
      <c r="F323" s="257"/>
      <c r="H323" s="239"/>
      <c r="I323" s="4"/>
      <c r="K323" s="239"/>
      <c r="L323" s="239"/>
      <c r="M323" s="239"/>
    </row>
    <row r="324" spans="1:13" ht="45" x14ac:dyDescent="0.25">
      <c r="A324" s="255" t="s">
        <v>248</v>
      </c>
      <c r="B324" s="255" t="s">
        <v>211</v>
      </c>
      <c r="C324" s="256">
        <v>2006</v>
      </c>
      <c r="D324" s="256">
        <v>100</v>
      </c>
      <c r="E324">
        <v>0</v>
      </c>
      <c r="F324" s="257"/>
      <c r="H324" s="239"/>
      <c r="I324" s="4"/>
      <c r="K324" s="239"/>
      <c r="L324" s="239"/>
      <c r="M324" s="239"/>
    </row>
    <row r="325" spans="1:13" ht="45" x14ac:dyDescent="0.25">
      <c r="A325" s="255" t="s">
        <v>248</v>
      </c>
      <c r="B325" s="255" t="s">
        <v>211</v>
      </c>
      <c r="C325" s="256">
        <v>2006</v>
      </c>
      <c r="D325" s="256">
        <v>175</v>
      </c>
      <c r="E325">
        <v>0</v>
      </c>
      <c r="F325" s="257"/>
      <c r="H325" s="239"/>
      <c r="I325" s="4"/>
      <c r="K325" s="239"/>
      <c r="L325" s="239"/>
      <c r="M325" s="239"/>
    </row>
    <row r="326" spans="1:13" ht="45" x14ac:dyDescent="0.25">
      <c r="A326" s="255" t="s">
        <v>248</v>
      </c>
      <c r="B326" s="255" t="s">
        <v>211</v>
      </c>
      <c r="C326" s="256">
        <v>2006</v>
      </c>
      <c r="D326" s="256">
        <v>300</v>
      </c>
      <c r="E326">
        <v>0</v>
      </c>
      <c r="F326" s="257"/>
      <c r="H326" s="239"/>
      <c r="I326" s="4"/>
      <c r="K326" s="239"/>
      <c r="L326" s="239"/>
      <c r="M326" s="239"/>
    </row>
    <row r="327" spans="1:13" ht="45" x14ac:dyDescent="0.25">
      <c r="A327" s="255" t="s">
        <v>248</v>
      </c>
      <c r="B327" s="255" t="s">
        <v>211</v>
      </c>
      <c r="C327" s="256">
        <v>2006</v>
      </c>
      <c r="D327" s="256">
        <v>600</v>
      </c>
      <c r="E327">
        <v>0</v>
      </c>
      <c r="F327" s="257"/>
      <c r="H327" s="239"/>
      <c r="I327" s="4"/>
      <c r="K327" s="239"/>
      <c r="L327" s="239"/>
      <c r="M327" s="239"/>
    </row>
    <row r="328" spans="1:13" ht="45" x14ac:dyDescent="0.25">
      <c r="A328" s="255" t="s">
        <v>248</v>
      </c>
      <c r="B328" s="255" t="s">
        <v>211</v>
      </c>
      <c r="C328" s="256">
        <v>2007</v>
      </c>
      <c r="D328" s="256">
        <v>50</v>
      </c>
      <c r="E328">
        <v>0</v>
      </c>
      <c r="F328" s="257"/>
      <c r="H328" s="239"/>
      <c r="I328" s="4"/>
      <c r="K328" s="239"/>
      <c r="L328" s="239"/>
      <c r="M328" s="239"/>
    </row>
    <row r="329" spans="1:13" ht="45" x14ac:dyDescent="0.25">
      <c r="A329" s="255" t="s">
        <v>248</v>
      </c>
      <c r="B329" s="255" t="s">
        <v>211</v>
      </c>
      <c r="C329" s="256">
        <v>2007</v>
      </c>
      <c r="D329" s="256">
        <v>75</v>
      </c>
      <c r="E329">
        <v>0</v>
      </c>
      <c r="F329" s="257"/>
      <c r="H329" s="239"/>
      <c r="I329" s="4"/>
      <c r="K329" s="239"/>
      <c r="L329" s="239"/>
      <c r="M329" s="239"/>
    </row>
    <row r="330" spans="1:13" ht="45" x14ac:dyDescent="0.25">
      <c r="A330" s="255" t="s">
        <v>248</v>
      </c>
      <c r="B330" s="255" t="s">
        <v>211</v>
      </c>
      <c r="C330" s="256">
        <v>2007</v>
      </c>
      <c r="D330" s="256">
        <v>100</v>
      </c>
      <c r="E330">
        <v>0</v>
      </c>
      <c r="F330" s="257"/>
      <c r="H330" s="239"/>
      <c r="I330" s="4"/>
      <c r="K330" s="239"/>
      <c r="L330" s="239"/>
      <c r="M330" s="239"/>
    </row>
    <row r="331" spans="1:13" ht="45" x14ac:dyDescent="0.25">
      <c r="A331" s="255" t="s">
        <v>248</v>
      </c>
      <c r="B331" s="255" t="s">
        <v>211</v>
      </c>
      <c r="C331" s="256">
        <v>2007</v>
      </c>
      <c r="D331" s="256">
        <v>175</v>
      </c>
      <c r="E331">
        <v>0</v>
      </c>
      <c r="F331" s="257"/>
      <c r="H331" s="239"/>
      <c r="I331" s="4"/>
      <c r="K331" s="239"/>
      <c r="L331" s="239"/>
      <c r="M331" s="239"/>
    </row>
    <row r="332" spans="1:13" ht="45" x14ac:dyDescent="0.25">
      <c r="A332" s="255" t="s">
        <v>248</v>
      </c>
      <c r="B332" s="255" t="s">
        <v>211</v>
      </c>
      <c r="C332" s="256">
        <v>2007</v>
      </c>
      <c r="D332" s="256">
        <v>300</v>
      </c>
      <c r="E332">
        <v>0</v>
      </c>
      <c r="F332" s="257"/>
      <c r="H332" s="239"/>
      <c r="I332" s="4"/>
      <c r="K332" s="239"/>
      <c r="L332" s="239"/>
      <c r="M332" s="239"/>
    </row>
    <row r="333" spans="1:13" ht="45" x14ac:dyDescent="0.25">
      <c r="A333" s="255" t="s">
        <v>248</v>
      </c>
      <c r="B333" s="255" t="s">
        <v>211</v>
      </c>
      <c r="C333" s="256">
        <v>2007</v>
      </c>
      <c r="D333" s="256">
        <v>600</v>
      </c>
      <c r="E333">
        <v>0</v>
      </c>
      <c r="F333" s="257"/>
      <c r="H333" s="239"/>
      <c r="I333" s="4"/>
      <c r="K333" s="239"/>
      <c r="L333" s="239"/>
      <c r="M333" s="239"/>
    </row>
    <row r="334" spans="1:13" ht="45" x14ac:dyDescent="0.25">
      <c r="A334" s="255" t="s">
        <v>248</v>
      </c>
      <c r="B334" s="255" t="s">
        <v>211</v>
      </c>
      <c r="C334" s="256">
        <v>2008</v>
      </c>
      <c r="D334" s="256">
        <v>50</v>
      </c>
      <c r="E334">
        <v>0</v>
      </c>
      <c r="F334" s="257"/>
      <c r="H334" s="239"/>
      <c r="I334" s="4"/>
      <c r="K334" s="239"/>
      <c r="L334" s="239"/>
      <c r="M334" s="239"/>
    </row>
    <row r="335" spans="1:13" ht="45" x14ac:dyDescent="0.25">
      <c r="A335" s="255" t="s">
        <v>248</v>
      </c>
      <c r="B335" s="255" t="s">
        <v>211</v>
      </c>
      <c r="C335" s="256">
        <v>2008</v>
      </c>
      <c r="D335" s="256">
        <v>75</v>
      </c>
      <c r="E335">
        <v>0</v>
      </c>
      <c r="F335" s="257"/>
      <c r="H335" s="239"/>
      <c r="I335" s="4"/>
      <c r="K335" s="239"/>
      <c r="L335" s="239"/>
      <c r="M335" s="239"/>
    </row>
    <row r="336" spans="1:13" ht="45" x14ac:dyDescent="0.25">
      <c r="A336" s="255" t="s">
        <v>248</v>
      </c>
      <c r="B336" s="255" t="s">
        <v>211</v>
      </c>
      <c r="C336" s="256">
        <v>2008</v>
      </c>
      <c r="D336" s="256">
        <v>100</v>
      </c>
      <c r="E336">
        <v>0</v>
      </c>
      <c r="F336" s="257"/>
      <c r="H336" s="239"/>
      <c r="I336" s="4"/>
      <c r="K336" s="239"/>
      <c r="L336" s="239"/>
      <c r="M336" s="239"/>
    </row>
    <row r="337" spans="1:13" ht="45" x14ac:dyDescent="0.25">
      <c r="A337" s="255" t="s">
        <v>248</v>
      </c>
      <c r="B337" s="255" t="s">
        <v>211</v>
      </c>
      <c r="C337" s="256">
        <v>2008</v>
      </c>
      <c r="D337" s="256">
        <v>175</v>
      </c>
      <c r="E337">
        <v>0</v>
      </c>
      <c r="F337" s="257"/>
      <c r="H337" s="239"/>
      <c r="I337" s="4"/>
      <c r="K337" s="239"/>
      <c r="L337" s="239"/>
      <c r="M337" s="239"/>
    </row>
    <row r="338" spans="1:13" ht="45" x14ac:dyDescent="0.25">
      <c r="A338" s="255" t="s">
        <v>248</v>
      </c>
      <c r="B338" s="255" t="s">
        <v>211</v>
      </c>
      <c r="C338" s="256">
        <v>2008</v>
      </c>
      <c r="D338" s="256">
        <v>300</v>
      </c>
      <c r="E338">
        <v>0</v>
      </c>
      <c r="F338" s="257"/>
      <c r="H338" s="239"/>
      <c r="I338" s="4"/>
      <c r="K338" s="239"/>
      <c r="L338" s="239"/>
      <c r="M338" s="239"/>
    </row>
    <row r="339" spans="1:13" ht="45" x14ac:dyDescent="0.25">
      <c r="A339" s="255" t="s">
        <v>248</v>
      </c>
      <c r="B339" s="255" t="s">
        <v>211</v>
      </c>
      <c r="C339" s="256">
        <v>2008</v>
      </c>
      <c r="D339" s="256">
        <v>600</v>
      </c>
      <c r="E339">
        <v>0</v>
      </c>
      <c r="F339" s="257"/>
      <c r="H339" s="239"/>
      <c r="I339" s="4"/>
      <c r="K339" s="239"/>
      <c r="L339" s="239"/>
      <c r="M339" s="239"/>
    </row>
    <row r="340" spans="1:13" ht="45" x14ac:dyDescent="0.25">
      <c r="A340" s="255" t="s">
        <v>248</v>
      </c>
      <c r="B340" s="255" t="s">
        <v>211</v>
      </c>
      <c r="C340" s="256">
        <v>2009</v>
      </c>
      <c r="D340" s="256">
        <v>50</v>
      </c>
      <c r="E340">
        <v>0</v>
      </c>
      <c r="F340" s="257"/>
      <c r="H340" s="239"/>
      <c r="I340" s="4"/>
      <c r="K340" s="239"/>
      <c r="L340" s="239"/>
      <c r="M340" s="239"/>
    </row>
    <row r="341" spans="1:13" ht="45" x14ac:dyDescent="0.25">
      <c r="A341" s="255" t="s">
        <v>248</v>
      </c>
      <c r="B341" s="255" t="s">
        <v>211</v>
      </c>
      <c r="C341" s="256">
        <v>2009</v>
      </c>
      <c r="D341" s="256">
        <v>75</v>
      </c>
      <c r="E341">
        <v>0</v>
      </c>
      <c r="F341" s="257"/>
      <c r="H341" s="239"/>
      <c r="I341" s="4"/>
      <c r="K341" s="239"/>
      <c r="L341" s="239"/>
      <c r="M341" s="239"/>
    </row>
    <row r="342" spans="1:13" ht="45" x14ac:dyDescent="0.25">
      <c r="A342" s="255" t="s">
        <v>248</v>
      </c>
      <c r="B342" s="255" t="s">
        <v>211</v>
      </c>
      <c r="C342" s="256">
        <v>2009</v>
      </c>
      <c r="D342" s="256">
        <v>100</v>
      </c>
      <c r="E342">
        <v>0</v>
      </c>
      <c r="F342" s="257"/>
      <c r="H342" s="239"/>
      <c r="I342" s="4"/>
      <c r="K342" s="239"/>
      <c r="L342" s="239"/>
      <c r="M342" s="239"/>
    </row>
    <row r="343" spans="1:13" ht="45" x14ac:dyDescent="0.25">
      <c r="A343" s="255" t="s">
        <v>248</v>
      </c>
      <c r="B343" s="255" t="s">
        <v>211</v>
      </c>
      <c r="C343" s="256">
        <v>2009</v>
      </c>
      <c r="D343" s="256">
        <v>175</v>
      </c>
      <c r="E343">
        <v>0</v>
      </c>
      <c r="F343" s="257"/>
      <c r="H343" s="239"/>
      <c r="I343" s="4"/>
      <c r="K343" s="239"/>
      <c r="L343" s="239"/>
      <c r="M343" s="239"/>
    </row>
    <row r="344" spans="1:13" ht="45" x14ac:dyDescent="0.25">
      <c r="A344" s="255" t="s">
        <v>248</v>
      </c>
      <c r="B344" s="255" t="s">
        <v>211</v>
      </c>
      <c r="C344" s="256">
        <v>2009</v>
      </c>
      <c r="D344" s="256">
        <v>300</v>
      </c>
      <c r="E344">
        <v>0</v>
      </c>
      <c r="F344" s="257"/>
      <c r="H344" s="239"/>
      <c r="I344" s="4"/>
      <c r="K344" s="239"/>
      <c r="L344" s="239"/>
      <c r="M344" s="239"/>
    </row>
    <row r="345" spans="1:13" ht="45" x14ac:dyDescent="0.25">
      <c r="A345" s="255" t="s">
        <v>248</v>
      </c>
      <c r="B345" s="255" t="s">
        <v>211</v>
      </c>
      <c r="C345" s="256">
        <v>2009</v>
      </c>
      <c r="D345" s="256">
        <v>600</v>
      </c>
      <c r="E345">
        <v>0</v>
      </c>
      <c r="F345" s="257"/>
      <c r="H345" s="239"/>
      <c r="I345" s="4"/>
      <c r="K345" s="239"/>
      <c r="L345" s="239"/>
      <c r="M345" s="239"/>
    </row>
    <row r="346" spans="1:13" ht="45" x14ac:dyDescent="0.25">
      <c r="A346" s="255" t="s">
        <v>248</v>
      </c>
      <c r="B346" s="255" t="s">
        <v>211</v>
      </c>
      <c r="C346" s="256">
        <v>2010</v>
      </c>
      <c r="D346" s="256">
        <v>50</v>
      </c>
      <c r="E346">
        <v>0</v>
      </c>
      <c r="F346" s="257"/>
      <c r="H346" s="239"/>
      <c r="I346" s="4"/>
      <c r="K346" s="239"/>
      <c r="L346" s="239"/>
      <c r="M346" s="239"/>
    </row>
    <row r="347" spans="1:13" ht="45" x14ac:dyDescent="0.25">
      <c r="A347" s="255" t="s">
        <v>248</v>
      </c>
      <c r="B347" s="255" t="s">
        <v>211</v>
      </c>
      <c r="C347" s="256">
        <v>2010</v>
      </c>
      <c r="D347" s="256">
        <v>75</v>
      </c>
      <c r="E347">
        <v>0</v>
      </c>
      <c r="F347" s="257"/>
      <c r="H347" s="239"/>
      <c r="I347" s="4"/>
      <c r="K347" s="239"/>
      <c r="L347" s="239"/>
      <c r="M347" s="239"/>
    </row>
    <row r="348" spans="1:13" ht="45" x14ac:dyDescent="0.25">
      <c r="A348" s="255" t="s">
        <v>248</v>
      </c>
      <c r="B348" s="255" t="s">
        <v>211</v>
      </c>
      <c r="C348" s="256">
        <v>2010</v>
      </c>
      <c r="D348" s="256">
        <v>100</v>
      </c>
      <c r="E348">
        <v>0</v>
      </c>
      <c r="F348" s="257"/>
      <c r="H348" s="239"/>
      <c r="I348" s="4"/>
      <c r="K348" s="239"/>
      <c r="L348" s="239"/>
      <c r="M348" s="239"/>
    </row>
    <row r="349" spans="1:13" ht="45" x14ac:dyDescent="0.25">
      <c r="A349" s="255" t="s">
        <v>248</v>
      </c>
      <c r="B349" s="255" t="s">
        <v>211</v>
      </c>
      <c r="C349" s="256">
        <v>2010</v>
      </c>
      <c r="D349" s="256">
        <v>175</v>
      </c>
      <c r="E349">
        <v>0</v>
      </c>
      <c r="F349" s="257"/>
      <c r="H349" s="239"/>
      <c r="I349" s="4"/>
      <c r="K349" s="239"/>
      <c r="L349" s="239"/>
      <c r="M349" s="239"/>
    </row>
    <row r="350" spans="1:13" ht="45" x14ac:dyDescent="0.25">
      <c r="A350" s="255" t="s">
        <v>248</v>
      </c>
      <c r="B350" s="255" t="s">
        <v>211</v>
      </c>
      <c r="C350" s="256">
        <v>2010</v>
      </c>
      <c r="D350" s="256">
        <v>300</v>
      </c>
      <c r="E350">
        <v>0</v>
      </c>
      <c r="F350" s="257"/>
      <c r="H350" s="239"/>
      <c r="I350" s="4"/>
      <c r="K350" s="239"/>
      <c r="L350" s="239"/>
      <c r="M350" s="239"/>
    </row>
    <row r="351" spans="1:13" ht="45" x14ac:dyDescent="0.25">
      <c r="A351" s="255" t="s">
        <v>248</v>
      </c>
      <c r="B351" s="255" t="s">
        <v>211</v>
      </c>
      <c r="C351" s="256">
        <v>2010</v>
      </c>
      <c r="D351" s="256">
        <v>600</v>
      </c>
      <c r="E351">
        <v>0</v>
      </c>
      <c r="F351" s="257"/>
      <c r="H351" s="239"/>
      <c r="I351" s="4"/>
      <c r="K351" s="239"/>
      <c r="L351" s="239"/>
      <c r="M351" s="239"/>
    </row>
    <row r="352" spans="1:13" ht="45" x14ac:dyDescent="0.25">
      <c r="A352" s="255" t="s">
        <v>248</v>
      </c>
      <c r="B352" s="255" t="s">
        <v>211</v>
      </c>
      <c r="C352" s="256">
        <v>2011</v>
      </c>
      <c r="D352" s="256">
        <v>50</v>
      </c>
      <c r="E352">
        <v>0</v>
      </c>
      <c r="F352" s="257"/>
      <c r="G352">
        <f t="shared" ref="G352:G415" si="5">IF(OR(D352=50,D352=75),50,IF(OR(D352=100,D352=125),125,IF(D352&gt;=400,400,D352)))</f>
        <v>50</v>
      </c>
      <c r="H352" s="4">
        <f>IF(B352="RTG Crane",IF(D352&lt;600,800000,1200000),VLOOKUP(B352,'$$$ Replace &amp; Retrofit'!$B$10:$C$14,2)*'CHE Model poplulation'!D352)*E352</f>
        <v>0</v>
      </c>
      <c r="I352" s="197">
        <f>E352*VLOOKUP('CHE Model poplulation'!G352,'$$$ Replace &amp; Retrofit'!$I$10:$J$15,2)</f>
        <v>0</v>
      </c>
      <c r="K352" s="239"/>
      <c r="L352" s="239"/>
      <c r="M352" s="239"/>
    </row>
    <row r="353" spans="1:13" ht="45" x14ac:dyDescent="0.25">
      <c r="A353" s="255" t="s">
        <v>248</v>
      </c>
      <c r="B353" s="255" t="s">
        <v>211</v>
      </c>
      <c r="C353" s="256">
        <v>2011</v>
      </c>
      <c r="D353" s="256">
        <v>75</v>
      </c>
      <c r="E353">
        <v>0</v>
      </c>
      <c r="F353" s="257"/>
      <c r="G353">
        <f t="shared" si="5"/>
        <v>50</v>
      </c>
      <c r="H353" s="4">
        <f>IF(B353="RTG Crane",IF(D353&lt;600,800000,1200000),VLOOKUP(B353,'$$$ Replace &amp; Retrofit'!$B$10:$C$14,2)*'CHE Model poplulation'!D353)*E353</f>
        <v>0</v>
      </c>
      <c r="I353" s="197">
        <f>E353*VLOOKUP('CHE Model poplulation'!G353,'$$$ Replace &amp; Retrofit'!$I$10:$J$15,2)</f>
        <v>0</v>
      </c>
      <c r="K353" s="239"/>
      <c r="L353" s="239"/>
      <c r="M353" s="239"/>
    </row>
    <row r="354" spans="1:13" ht="45" x14ac:dyDescent="0.25">
      <c r="A354" s="255" t="s">
        <v>248</v>
      </c>
      <c r="B354" s="255" t="s">
        <v>211</v>
      </c>
      <c r="C354" s="256">
        <v>2011</v>
      </c>
      <c r="D354" s="256">
        <v>100</v>
      </c>
      <c r="E354">
        <v>0</v>
      </c>
      <c r="F354" s="257"/>
      <c r="G354">
        <f t="shared" si="5"/>
        <v>125</v>
      </c>
      <c r="H354" s="4">
        <f>IF(B354="RTG Crane",IF(D354&lt;600,800000,1200000),VLOOKUP(B354,'$$$ Replace &amp; Retrofit'!$B$10:$C$14,2)*'CHE Model poplulation'!D354)*E354</f>
        <v>0</v>
      </c>
      <c r="I354" s="197">
        <f>E354*VLOOKUP('CHE Model poplulation'!G354,'$$$ Replace &amp; Retrofit'!$I$10:$J$15,2)</f>
        <v>0</v>
      </c>
      <c r="K354" s="239"/>
      <c r="L354" s="239"/>
      <c r="M354" s="239"/>
    </row>
    <row r="355" spans="1:13" ht="45" x14ac:dyDescent="0.25">
      <c r="A355" s="255" t="s">
        <v>248</v>
      </c>
      <c r="B355" s="255" t="s">
        <v>211</v>
      </c>
      <c r="C355" s="256">
        <v>2011</v>
      </c>
      <c r="D355" s="256">
        <v>175</v>
      </c>
      <c r="E355">
        <v>0</v>
      </c>
      <c r="F355" s="257"/>
      <c r="G355">
        <f t="shared" si="5"/>
        <v>175</v>
      </c>
      <c r="H355" s="4">
        <f>IF(B355="RTG Crane",IF(D355&lt;600,800000,1200000),VLOOKUP(B355,'$$$ Replace &amp; Retrofit'!$B$10:$C$14,2)*'CHE Model poplulation'!D355)*E355</f>
        <v>0</v>
      </c>
      <c r="I355" s="197">
        <f>E355*VLOOKUP('CHE Model poplulation'!G355,'$$$ Replace &amp; Retrofit'!$I$10:$J$15,2)</f>
        <v>0</v>
      </c>
      <c r="K355" s="239"/>
      <c r="L355" s="239"/>
      <c r="M355" s="239"/>
    </row>
    <row r="356" spans="1:13" ht="45" x14ac:dyDescent="0.25">
      <c r="A356" s="255" t="s">
        <v>248</v>
      </c>
      <c r="B356" s="255" t="s">
        <v>211</v>
      </c>
      <c r="C356" s="256">
        <v>2011</v>
      </c>
      <c r="D356" s="256">
        <v>300</v>
      </c>
      <c r="E356">
        <v>0</v>
      </c>
      <c r="F356" s="257"/>
      <c r="G356">
        <f t="shared" si="5"/>
        <v>300</v>
      </c>
      <c r="H356" s="4">
        <f>IF(B356="RTG Crane",IF(D356&lt;600,800000,1200000),VLOOKUP(B356,'$$$ Replace &amp; Retrofit'!$B$10:$C$14,2)*'CHE Model poplulation'!D356)*E356</f>
        <v>0</v>
      </c>
      <c r="I356" s="197">
        <f>E356*VLOOKUP('CHE Model poplulation'!G356,'$$$ Replace &amp; Retrofit'!$I$10:$J$15,2)</f>
        <v>0</v>
      </c>
      <c r="K356" s="239"/>
      <c r="L356" s="239"/>
      <c r="M356" s="239"/>
    </row>
    <row r="357" spans="1:13" ht="45" x14ac:dyDescent="0.25">
      <c r="A357" s="255" t="s">
        <v>248</v>
      </c>
      <c r="B357" s="255" t="s">
        <v>211</v>
      </c>
      <c r="C357" s="256">
        <v>2011</v>
      </c>
      <c r="D357" s="256">
        <v>600</v>
      </c>
      <c r="E357">
        <v>0</v>
      </c>
      <c r="F357" s="257"/>
      <c r="G357">
        <f t="shared" si="5"/>
        <v>400</v>
      </c>
      <c r="H357" s="4">
        <f>IF(B357="RTG Crane",IF(D357&lt;600,800000,1200000),VLOOKUP(B357,'$$$ Replace &amp; Retrofit'!$B$10:$C$14,2)*'CHE Model poplulation'!D357)*E357</f>
        <v>0</v>
      </c>
      <c r="I357" s="197">
        <f>E357*VLOOKUP('CHE Model poplulation'!G357,'$$$ Replace &amp; Retrofit'!$I$10:$J$15,2)</f>
        <v>0</v>
      </c>
      <c r="K357" s="239"/>
      <c r="L357" s="239"/>
      <c r="M357" s="239"/>
    </row>
    <row r="358" spans="1:13" ht="45" x14ac:dyDescent="0.25">
      <c r="A358" s="255" t="s">
        <v>248</v>
      </c>
      <c r="B358" s="255" t="s">
        <v>211</v>
      </c>
      <c r="C358" s="256">
        <v>2012</v>
      </c>
      <c r="D358" s="256">
        <v>50</v>
      </c>
      <c r="E358">
        <v>0.57135280660489796</v>
      </c>
      <c r="F358" s="257"/>
      <c r="G358">
        <f t="shared" si="5"/>
        <v>50</v>
      </c>
      <c r="H358" s="4">
        <f>IF(B358="RTG Crane",IF(D358&lt;600,800000,1200000),VLOOKUP(B358,'$$$ Replace &amp; Retrofit'!$B$10:$C$14,2)*'CHE Model poplulation'!D358)*E358</f>
        <v>28567.640330244896</v>
      </c>
      <c r="I358" s="197">
        <f>E358*VLOOKUP('CHE Model poplulation'!G358,'$$$ Replace &amp; Retrofit'!$I$10:$J$15,2)</f>
        <v>10048.953162566946</v>
      </c>
      <c r="K358" s="239"/>
      <c r="L358" s="239"/>
      <c r="M358" s="239"/>
    </row>
    <row r="359" spans="1:13" ht="45" x14ac:dyDescent="0.25">
      <c r="A359" s="255" t="s">
        <v>248</v>
      </c>
      <c r="B359" s="255" t="s">
        <v>211</v>
      </c>
      <c r="C359" s="256">
        <v>2012</v>
      </c>
      <c r="D359" s="256">
        <v>75</v>
      </c>
      <c r="E359">
        <v>0.24903118727243101</v>
      </c>
      <c r="F359" s="257"/>
      <c r="G359">
        <f t="shared" si="5"/>
        <v>50</v>
      </c>
      <c r="H359" s="4">
        <f>IF(B359="RTG Crane",IF(D359&lt;600,800000,1200000),VLOOKUP(B359,'$$$ Replace &amp; Retrofit'!$B$10:$C$14,2)*'CHE Model poplulation'!D359)*E359</f>
        <v>18677.339045432327</v>
      </c>
      <c r="I359" s="197">
        <f>E359*VLOOKUP('CHE Model poplulation'!G359,'$$$ Replace &amp; Retrofit'!$I$10:$J$15,2)</f>
        <v>4379.9605217475164</v>
      </c>
      <c r="K359" s="239"/>
      <c r="L359" s="239"/>
      <c r="M359" s="239"/>
    </row>
    <row r="360" spans="1:13" ht="45" x14ac:dyDescent="0.25">
      <c r="A360" s="255" t="s">
        <v>248</v>
      </c>
      <c r="B360" s="255" t="s">
        <v>211</v>
      </c>
      <c r="C360" s="256">
        <v>2012</v>
      </c>
      <c r="D360" s="256">
        <v>100</v>
      </c>
      <c r="E360">
        <v>3.8585891695256701E-17</v>
      </c>
      <c r="F360" s="257"/>
      <c r="G360">
        <f t="shared" si="5"/>
        <v>125</v>
      </c>
      <c r="H360" s="4">
        <f>IF(B360="RTG Crane",IF(D360&lt;600,800000,1200000),VLOOKUP(B360,'$$$ Replace &amp; Retrofit'!$B$10:$C$14,2)*'CHE Model poplulation'!D360)*E360</f>
        <v>3.8585891695256702E-12</v>
      </c>
      <c r="I360" s="197">
        <f>E360*VLOOKUP('CHE Model poplulation'!G360,'$$$ Replace &amp; Retrofit'!$I$10:$J$15,2)</f>
        <v>7.6141540082250053E-13</v>
      </c>
      <c r="K360" s="239"/>
      <c r="L360" s="239"/>
      <c r="M360" s="239"/>
    </row>
    <row r="361" spans="1:13" ht="45" x14ac:dyDescent="0.25">
      <c r="A361" s="255" t="s">
        <v>248</v>
      </c>
      <c r="B361" s="255" t="s">
        <v>211</v>
      </c>
      <c r="C361" s="256">
        <v>2012</v>
      </c>
      <c r="D361" s="256">
        <v>175</v>
      </c>
      <c r="E361">
        <v>1.9475136310514199E-16</v>
      </c>
      <c r="F361" s="257"/>
      <c r="G361">
        <f t="shared" si="5"/>
        <v>175</v>
      </c>
      <c r="H361" s="4">
        <f>IF(B361="RTG Crane",IF(D361&lt;600,800000,1200000),VLOOKUP(B361,'$$$ Replace &amp; Retrofit'!$B$10:$C$14,2)*'CHE Model poplulation'!D361)*E361</f>
        <v>3.408148854339985E-11</v>
      </c>
      <c r="I361" s="197">
        <f>E361*VLOOKUP('CHE Model poplulation'!G361,'$$$ Replace &amp; Retrofit'!$I$10:$J$15,2)</f>
        <v>4.8290547995551011E-12</v>
      </c>
      <c r="K361" s="239"/>
      <c r="L361" s="239"/>
      <c r="M361" s="239"/>
    </row>
    <row r="362" spans="1:13" ht="45" x14ac:dyDescent="0.25">
      <c r="A362" s="255" t="s">
        <v>248</v>
      </c>
      <c r="B362" s="255" t="s">
        <v>211</v>
      </c>
      <c r="C362" s="256">
        <v>2012</v>
      </c>
      <c r="D362" s="256">
        <v>300</v>
      </c>
      <c r="E362">
        <v>0.51125847623090204</v>
      </c>
      <c r="F362" s="257"/>
      <c r="G362">
        <f t="shared" si="5"/>
        <v>300</v>
      </c>
      <c r="H362" s="4">
        <f>IF(B362="RTG Crane",IF(D362&lt;600,800000,1200000),VLOOKUP(B362,'$$$ Replace &amp; Retrofit'!$B$10:$C$14,2)*'CHE Model poplulation'!D362)*E362</f>
        <v>153377.5428692706</v>
      </c>
      <c r="I362" s="197">
        <f>E362*VLOOKUP('CHE Model poplulation'!G362,'$$$ Replace &amp; Retrofit'!$I$10:$J$15,2)</f>
        <v>14705.327551829436</v>
      </c>
      <c r="K362" s="239"/>
      <c r="L362" s="239"/>
      <c r="M362" s="239"/>
    </row>
    <row r="363" spans="1:13" ht="45" x14ac:dyDescent="0.25">
      <c r="A363" s="255" t="s">
        <v>248</v>
      </c>
      <c r="B363" s="255" t="s">
        <v>211</v>
      </c>
      <c r="C363" s="256">
        <v>2012</v>
      </c>
      <c r="D363" s="256">
        <v>600</v>
      </c>
      <c r="E363">
        <v>0.75536483895447104</v>
      </c>
      <c r="F363" s="257"/>
      <c r="G363">
        <f t="shared" si="5"/>
        <v>400</v>
      </c>
      <c r="H363" s="4">
        <f>IF(B363="RTG Crane",IF(D363&lt;600,800000,1200000),VLOOKUP(B363,'$$$ Replace &amp; Retrofit'!$B$10:$C$14,2)*'CHE Model poplulation'!D363)*E363</f>
        <v>453218.90337268263</v>
      </c>
      <c r="I363" s="197">
        <f>E363*VLOOKUP('CHE Model poplulation'!G363,'$$$ Replace &amp; Retrofit'!$I$10:$J$15,2)</f>
        <v>39530.508117004334</v>
      </c>
      <c r="K363" s="239"/>
      <c r="L363" s="239"/>
      <c r="M363" s="239"/>
    </row>
    <row r="364" spans="1:13" ht="45" x14ac:dyDescent="0.25">
      <c r="A364" s="255" t="s">
        <v>248</v>
      </c>
      <c r="B364" s="255" t="s">
        <v>211</v>
      </c>
      <c r="C364" s="256">
        <v>2013</v>
      </c>
      <c r="D364" s="256">
        <v>50</v>
      </c>
      <c r="E364">
        <v>1.0495641277602501</v>
      </c>
      <c r="F364" s="257"/>
      <c r="G364">
        <f t="shared" si="5"/>
        <v>50</v>
      </c>
      <c r="H364" s="4">
        <f>IF(B364="RTG Crane",IF(D364&lt;600,800000,1200000),VLOOKUP(B364,'$$$ Replace &amp; Retrofit'!$B$10:$C$14,2)*'CHE Model poplulation'!D364)*E364</f>
        <v>52478.206388012506</v>
      </c>
      <c r="I364" s="197">
        <f>E364*VLOOKUP('CHE Model poplulation'!G364,'$$$ Replace &amp; Retrofit'!$I$10:$J$15,2)</f>
        <v>18459.733879047279</v>
      </c>
      <c r="K364" s="239"/>
      <c r="L364" s="239"/>
      <c r="M364" s="239"/>
    </row>
    <row r="365" spans="1:13" ht="45" x14ac:dyDescent="0.25">
      <c r="A365" s="255" t="s">
        <v>248</v>
      </c>
      <c r="B365" s="255" t="s">
        <v>211</v>
      </c>
      <c r="C365" s="256">
        <v>2013</v>
      </c>
      <c r="D365" s="256">
        <v>75</v>
      </c>
      <c r="E365">
        <v>0.449355405055474</v>
      </c>
      <c r="F365" s="257"/>
      <c r="G365">
        <f t="shared" si="5"/>
        <v>50</v>
      </c>
      <c r="H365" s="4">
        <f>IF(B365="RTG Crane",IF(D365&lt;600,800000,1200000),VLOOKUP(B365,'$$$ Replace &amp; Retrofit'!$B$10:$C$14,2)*'CHE Model poplulation'!D365)*E365</f>
        <v>33701.655379160547</v>
      </c>
      <c r="I365" s="197">
        <f>E365*VLOOKUP('CHE Model poplulation'!G365,'$$$ Replace &amp; Retrofit'!$I$10:$J$15,2)</f>
        <v>7903.2628641156771</v>
      </c>
      <c r="K365" s="239"/>
      <c r="L365" s="239"/>
      <c r="M365" s="239"/>
    </row>
    <row r="366" spans="1:13" ht="45" x14ac:dyDescent="0.25">
      <c r="A366" s="255" t="s">
        <v>248</v>
      </c>
      <c r="B366" s="255" t="s">
        <v>211</v>
      </c>
      <c r="C366" s="256">
        <v>2013</v>
      </c>
      <c r="D366" s="256">
        <v>100</v>
      </c>
      <c r="E366">
        <v>0.28920763390127702</v>
      </c>
      <c r="F366" s="257"/>
      <c r="G366">
        <f t="shared" si="5"/>
        <v>125</v>
      </c>
      <c r="H366" s="4">
        <f>IF(B366="RTG Crane",IF(D366&lt;600,800000,1200000),VLOOKUP(B366,'$$$ Replace &amp; Retrofit'!$B$10:$C$14,2)*'CHE Model poplulation'!D366)*E366</f>
        <v>28920.7633901277</v>
      </c>
      <c r="I366" s="197">
        <f>E366*VLOOKUP('CHE Model poplulation'!G366,'$$$ Replace &amp; Retrofit'!$I$10:$J$15,2)</f>
        <v>5706.9342397738992</v>
      </c>
      <c r="K366" s="239"/>
      <c r="L366" s="239"/>
      <c r="M366" s="239"/>
    </row>
    <row r="367" spans="1:13" ht="45" x14ac:dyDescent="0.25">
      <c r="A367" s="255" t="s">
        <v>248</v>
      </c>
      <c r="B367" s="255" t="s">
        <v>211</v>
      </c>
      <c r="C367" s="256">
        <v>2013</v>
      </c>
      <c r="D367" s="256">
        <v>175</v>
      </c>
      <c r="E367">
        <v>0.51758851712693599</v>
      </c>
      <c r="F367" s="257"/>
      <c r="G367">
        <f t="shared" si="5"/>
        <v>175</v>
      </c>
      <c r="H367" s="4">
        <f>IF(B367="RTG Crane",IF(D367&lt;600,800000,1200000),VLOOKUP(B367,'$$$ Replace &amp; Retrofit'!$B$10:$C$14,2)*'CHE Model poplulation'!D367)*E367</f>
        <v>90577.990497213803</v>
      </c>
      <c r="I367" s="197">
        <f>E367*VLOOKUP('CHE Model poplulation'!G367,'$$$ Replace &amp; Retrofit'!$I$10:$J$15,2)</f>
        <v>12834.124870679505</v>
      </c>
      <c r="K367" s="239"/>
      <c r="L367" s="239"/>
      <c r="M367" s="239"/>
    </row>
    <row r="368" spans="1:13" ht="45" x14ac:dyDescent="0.25">
      <c r="A368" s="255" t="s">
        <v>248</v>
      </c>
      <c r="B368" s="255" t="s">
        <v>211</v>
      </c>
      <c r="C368" s="256">
        <v>2013</v>
      </c>
      <c r="D368" s="256">
        <v>300</v>
      </c>
      <c r="E368">
        <v>0.92660274156651501</v>
      </c>
      <c r="F368" s="257"/>
      <c r="G368">
        <f t="shared" si="5"/>
        <v>300</v>
      </c>
      <c r="H368" s="4">
        <f>IF(B368="RTG Crane",IF(D368&lt;600,800000,1200000),VLOOKUP(B368,'$$$ Replace &amp; Retrofit'!$B$10:$C$14,2)*'CHE Model poplulation'!D368)*E368</f>
        <v>277980.8224699545</v>
      </c>
      <c r="I368" s="197">
        <f>E368*VLOOKUP('CHE Model poplulation'!G368,'$$$ Replace &amp; Retrofit'!$I$10:$J$15,2)</f>
        <v>26651.874655677671</v>
      </c>
      <c r="K368" s="239"/>
      <c r="L368" s="239"/>
      <c r="M368" s="239"/>
    </row>
    <row r="369" spans="1:13" ht="45" x14ac:dyDescent="0.25">
      <c r="A369" s="255" t="s">
        <v>248</v>
      </c>
      <c r="B369" s="255" t="s">
        <v>211</v>
      </c>
      <c r="C369" s="256">
        <v>2013</v>
      </c>
      <c r="D369" s="256">
        <v>600</v>
      </c>
      <c r="E369">
        <v>1.0672122159839601</v>
      </c>
      <c r="F369" s="257"/>
      <c r="G369">
        <f t="shared" si="5"/>
        <v>400</v>
      </c>
      <c r="H369" s="4">
        <f>IF(B369="RTG Crane",IF(D369&lt;600,800000,1200000),VLOOKUP(B369,'$$$ Replace &amp; Retrofit'!$B$10:$C$14,2)*'CHE Model poplulation'!D369)*E369</f>
        <v>640327.32959037612</v>
      </c>
      <c r="I369" s="197">
        <f>E369*VLOOKUP('CHE Model poplulation'!G369,'$$$ Replace &amp; Retrofit'!$I$10:$J$15,2)</f>
        <v>55850.416899088581</v>
      </c>
      <c r="K369" s="239"/>
      <c r="L369" s="239"/>
      <c r="M369" s="239"/>
    </row>
    <row r="370" spans="1:13" ht="45" x14ac:dyDescent="0.25">
      <c r="A370" s="255" t="s">
        <v>248</v>
      </c>
      <c r="B370" s="255" t="s">
        <v>211</v>
      </c>
      <c r="C370" s="256">
        <v>2014</v>
      </c>
      <c r="D370" s="256">
        <v>50</v>
      </c>
      <c r="E370">
        <v>1.7563182916717299</v>
      </c>
      <c r="F370" s="257"/>
      <c r="G370">
        <f t="shared" si="5"/>
        <v>50</v>
      </c>
      <c r="H370" s="4">
        <f>IF(B370="RTG Crane",IF(D370&lt;600,800000,1200000),VLOOKUP(B370,'$$$ Replace &amp; Retrofit'!$B$10:$C$14,2)*'CHE Model poplulation'!D370)*E370</f>
        <v>87815.914583586491</v>
      </c>
      <c r="I370" s="197">
        <f>E370*VLOOKUP('CHE Model poplulation'!G370,'$$$ Replace &amp; Retrofit'!$I$10:$J$15,2)</f>
        <v>30890.126113922386</v>
      </c>
      <c r="K370" s="239"/>
      <c r="L370" s="239"/>
      <c r="M370" s="239"/>
    </row>
    <row r="371" spans="1:13" ht="45" x14ac:dyDescent="0.25">
      <c r="A371" s="255" t="s">
        <v>248</v>
      </c>
      <c r="B371" s="255" t="s">
        <v>211</v>
      </c>
      <c r="C371" s="256">
        <v>2014</v>
      </c>
      <c r="D371" s="256">
        <v>75</v>
      </c>
      <c r="E371">
        <v>0.77335597219621599</v>
      </c>
      <c r="F371" s="257"/>
      <c r="G371">
        <f t="shared" si="5"/>
        <v>50</v>
      </c>
      <c r="H371" s="4">
        <f>IF(B371="RTG Crane",IF(D371&lt;600,800000,1200000),VLOOKUP(B371,'$$$ Replace &amp; Retrofit'!$B$10:$C$14,2)*'CHE Model poplulation'!D371)*E371</f>
        <v>58001.697914716198</v>
      </c>
      <c r="I371" s="197">
        <f>E371*VLOOKUP('CHE Model poplulation'!G371,'$$$ Replace &amp; Retrofit'!$I$10:$J$15,2)</f>
        <v>13601.784838987047</v>
      </c>
      <c r="K371" s="239"/>
      <c r="L371" s="239"/>
      <c r="M371" s="239"/>
    </row>
    <row r="372" spans="1:13" ht="45" x14ac:dyDescent="0.25">
      <c r="A372" s="255" t="s">
        <v>248</v>
      </c>
      <c r="B372" s="255" t="s">
        <v>211</v>
      </c>
      <c r="C372" s="256">
        <v>2014</v>
      </c>
      <c r="D372" s="256">
        <v>100</v>
      </c>
      <c r="E372">
        <v>0.81038531426639804</v>
      </c>
      <c r="F372" s="257"/>
      <c r="G372">
        <f t="shared" si="5"/>
        <v>125</v>
      </c>
      <c r="H372" s="4">
        <f>IF(B372="RTG Crane",IF(D372&lt;600,800000,1200000),VLOOKUP(B372,'$$$ Replace &amp; Retrofit'!$B$10:$C$14,2)*'CHE Model poplulation'!D372)*E372</f>
        <v>81038.531426639805</v>
      </c>
      <c r="I372" s="197">
        <f>E372*VLOOKUP('CHE Model poplulation'!G372,'$$$ Replace &amp; Retrofit'!$I$10:$J$15,2)</f>
        <v>15991.333406418833</v>
      </c>
      <c r="K372" s="239"/>
      <c r="L372" s="239"/>
      <c r="M372" s="239"/>
    </row>
    <row r="373" spans="1:13" ht="45" x14ac:dyDescent="0.25">
      <c r="A373" s="255" t="s">
        <v>248</v>
      </c>
      <c r="B373" s="255" t="s">
        <v>211</v>
      </c>
      <c r="C373" s="256">
        <v>2014</v>
      </c>
      <c r="D373" s="256">
        <v>175</v>
      </c>
      <c r="E373">
        <v>1.37682861900288</v>
      </c>
      <c r="F373" s="257"/>
      <c r="G373">
        <f t="shared" si="5"/>
        <v>175</v>
      </c>
      <c r="H373" s="4">
        <f>IF(B373="RTG Crane",IF(D373&lt;600,800000,1200000),VLOOKUP(B373,'$$$ Replace &amp; Retrofit'!$B$10:$C$14,2)*'CHE Model poplulation'!D373)*E373</f>
        <v>240945.00832550399</v>
      </c>
      <c r="I373" s="197">
        <f>E373*VLOOKUP('CHE Model poplulation'!G373,'$$$ Replace &amp; Retrofit'!$I$10:$J$15,2)</f>
        <v>34139.842436795414</v>
      </c>
      <c r="K373" s="239"/>
      <c r="L373" s="239"/>
      <c r="M373" s="239"/>
    </row>
    <row r="374" spans="1:13" ht="45" x14ac:dyDescent="0.25">
      <c r="A374" s="255" t="s">
        <v>248</v>
      </c>
      <c r="B374" s="255" t="s">
        <v>211</v>
      </c>
      <c r="C374" s="256">
        <v>2014</v>
      </c>
      <c r="D374" s="256">
        <v>300</v>
      </c>
      <c r="E374">
        <v>1.46772036013687</v>
      </c>
      <c r="F374" s="257"/>
      <c r="G374">
        <f t="shared" si="5"/>
        <v>300</v>
      </c>
      <c r="H374" s="4">
        <f>IF(B374="RTG Crane",IF(D374&lt;600,800000,1200000),VLOOKUP(B374,'$$$ Replace &amp; Retrofit'!$B$10:$C$14,2)*'CHE Model poplulation'!D374)*E374</f>
        <v>440316.10804106103</v>
      </c>
      <c r="I374" s="197">
        <f>E374*VLOOKUP('CHE Model poplulation'!G374,'$$$ Replace &amp; Retrofit'!$I$10:$J$15,2)</f>
        <v>42216.040718616794</v>
      </c>
      <c r="K374" s="239"/>
      <c r="L374" s="239"/>
      <c r="M374" s="239"/>
    </row>
    <row r="375" spans="1:13" ht="45" x14ac:dyDescent="0.25">
      <c r="A375" s="255" t="s">
        <v>248</v>
      </c>
      <c r="B375" s="255" t="s">
        <v>211</v>
      </c>
      <c r="C375" s="256">
        <v>2014</v>
      </c>
      <c r="D375" s="256">
        <v>600</v>
      </c>
      <c r="E375">
        <v>1.5412844915380299</v>
      </c>
      <c r="F375" s="257"/>
      <c r="G375">
        <f t="shared" si="5"/>
        <v>400</v>
      </c>
      <c r="H375" s="4">
        <f>IF(B375="RTG Crane",IF(D375&lt;600,800000,1200000),VLOOKUP(B375,'$$$ Replace &amp; Retrofit'!$B$10:$C$14,2)*'CHE Model poplulation'!D375)*E375</f>
        <v>924770.69492281799</v>
      </c>
      <c r="I375" s="197">
        <f>E375*VLOOKUP('CHE Model poplulation'!G375,'$$$ Replace &amp; Retrofit'!$I$10:$J$15,2)</f>
        <v>80660.041295659714</v>
      </c>
      <c r="K375" s="239"/>
      <c r="L375" s="239"/>
      <c r="M375" s="239"/>
    </row>
    <row r="376" spans="1:13" ht="45" x14ac:dyDescent="0.25">
      <c r="A376" s="255" t="s">
        <v>248</v>
      </c>
      <c r="B376" s="255" t="s">
        <v>211</v>
      </c>
      <c r="C376" s="256">
        <v>2015</v>
      </c>
      <c r="D376" s="256">
        <v>50</v>
      </c>
      <c r="E376">
        <v>2.5295025422864001</v>
      </c>
      <c r="F376" s="257"/>
      <c r="G376">
        <f t="shared" si="5"/>
        <v>50</v>
      </c>
      <c r="H376" s="4">
        <f>IF(B376="RTG Crane",IF(D376&lt;600,800000,1200000),VLOOKUP(B376,'$$$ Replace &amp; Retrofit'!$B$10:$C$14,2)*'CHE Model poplulation'!D376)*E376</f>
        <v>126475.12711432001</v>
      </c>
      <c r="I376" s="197">
        <f>E376*VLOOKUP('CHE Model poplulation'!G376,'$$$ Replace &amp; Retrofit'!$I$10:$J$15,2)</f>
        <v>44488.890713733206</v>
      </c>
      <c r="K376" s="239"/>
      <c r="L376" s="239"/>
      <c r="M376" s="239"/>
    </row>
    <row r="377" spans="1:13" ht="45" x14ac:dyDescent="0.25">
      <c r="A377" s="255" t="s">
        <v>248</v>
      </c>
      <c r="B377" s="255" t="s">
        <v>211</v>
      </c>
      <c r="C377" s="256">
        <v>2015</v>
      </c>
      <c r="D377" s="256">
        <v>75</v>
      </c>
      <c r="E377">
        <v>1.1078328954439001</v>
      </c>
      <c r="F377" s="257"/>
      <c r="G377">
        <f t="shared" si="5"/>
        <v>50</v>
      </c>
      <c r="H377" s="4">
        <f>IF(B377="RTG Crane",IF(D377&lt;600,800000,1200000),VLOOKUP(B377,'$$$ Replace &amp; Retrofit'!$B$10:$C$14,2)*'CHE Model poplulation'!D377)*E377</f>
        <v>83087.467158292508</v>
      </c>
      <c r="I377" s="197">
        <f>E377*VLOOKUP('CHE Model poplulation'!G377,'$$$ Replace &amp; Retrofit'!$I$10:$J$15,2)</f>
        <v>19484.564965067315</v>
      </c>
      <c r="K377" s="239"/>
      <c r="L377" s="239"/>
      <c r="M377" s="239"/>
    </row>
    <row r="378" spans="1:13" ht="45" x14ac:dyDescent="0.25">
      <c r="A378" s="255" t="s">
        <v>248</v>
      </c>
      <c r="B378" s="255" t="s">
        <v>211</v>
      </c>
      <c r="C378" s="256">
        <v>2015</v>
      </c>
      <c r="D378" s="256">
        <v>100</v>
      </c>
      <c r="E378">
        <v>1.3635653316369101</v>
      </c>
      <c r="F378" s="257"/>
      <c r="G378">
        <f t="shared" si="5"/>
        <v>125</v>
      </c>
      <c r="H378" s="4">
        <f>IF(B378="RTG Crane",IF(D378&lt;600,800000,1200000),VLOOKUP(B378,'$$$ Replace &amp; Retrofit'!$B$10:$C$14,2)*'CHE Model poplulation'!D378)*E378</f>
        <v>136356.533163691</v>
      </c>
      <c r="I378" s="197">
        <f>E378*VLOOKUP('CHE Model poplulation'!G378,'$$$ Replace &amp; Retrofit'!$I$10:$J$15,2)</f>
        <v>26907.234689191147</v>
      </c>
      <c r="K378" s="239"/>
      <c r="L378" s="239"/>
      <c r="M378" s="239"/>
    </row>
    <row r="379" spans="1:13" ht="45" x14ac:dyDescent="0.25">
      <c r="A379" s="255" t="s">
        <v>248</v>
      </c>
      <c r="B379" s="255" t="s">
        <v>211</v>
      </c>
      <c r="C379" s="256">
        <v>2015</v>
      </c>
      <c r="D379" s="256">
        <v>175</v>
      </c>
      <c r="E379">
        <v>2.3221160480144598</v>
      </c>
      <c r="F379" s="257"/>
      <c r="G379">
        <f t="shared" si="5"/>
        <v>175</v>
      </c>
      <c r="H379" s="4">
        <f>IF(B379="RTG Crane",IF(D379&lt;600,800000,1200000),VLOOKUP(B379,'$$$ Replace &amp; Retrofit'!$B$10:$C$14,2)*'CHE Model poplulation'!D379)*E379</f>
        <v>406370.30840253044</v>
      </c>
      <c r="I379" s="197">
        <f>E379*VLOOKUP('CHE Model poplulation'!G379,'$$$ Replace &amp; Retrofit'!$I$10:$J$15,2)</f>
        <v>57579.189526566544</v>
      </c>
      <c r="K379" s="239"/>
      <c r="L379" s="239"/>
      <c r="M379" s="239"/>
    </row>
    <row r="380" spans="1:13" ht="45" x14ac:dyDescent="0.25">
      <c r="A380" s="255" t="s">
        <v>248</v>
      </c>
      <c r="B380" s="255" t="s">
        <v>211</v>
      </c>
      <c r="C380" s="256">
        <v>2015</v>
      </c>
      <c r="D380" s="256">
        <v>300</v>
      </c>
      <c r="E380">
        <v>2.0832860622398099</v>
      </c>
      <c r="F380" s="257"/>
      <c r="G380">
        <f t="shared" si="5"/>
        <v>300</v>
      </c>
      <c r="H380" s="4">
        <f>IF(B380="RTG Crane",IF(D380&lt;600,800000,1200000),VLOOKUP(B380,'$$$ Replace &amp; Retrofit'!$B$10:$C$14,2)*'CHE Model poplulation'!D380)*E380</f>
        <v>624985.81867194304</v>
      </c>
      <c r="I380" s="197">
        <f>E380*VLOOKUP('CHE Model poplulation'!G380,'$$$ Replace &amp; Retrofit'!$I$10:$J$15,2)</f>
        <v>59921.55700820365</v>
      </c>
      <c r="K380" s="239"/>
      <c r="L380" s="239"/>
      <c r="M380" s="239"/>
    </row>
    <row r="381" spans="1:13" ht="45" x14ac:dyDescent="0.25">
      <c r="A381" s="255" t="s">
        <v>248</v>
      </c>
      <c r="B381" s="255" t="s">
        <v>211</v>
      </c>
      <c r="C381" s="256">
        <v>2015</v>
      </c>
      <c r="D381" s="256">
        <v>600</v>
      </c>
      <c r="E381">
        <v>2.0025837459859801</v>
      </c>
      <c r="F381" s="257"/>
      <c r="G381">
        <f t="shared" si="5"/>
        <v>400</v>
      </c>
      <c r="H381" s="4">
        <f>IF(B381="RTG Crane",IF(D381&lt;600,800000,1200000),VLOOKUP(B381,'$$$ Replace &amp; Retrofit'!$B$10:$C$14,2)*'CHE Model poplulation'!D381)*E381</f>
        <v>1201550.2475915879</v>
      </c>
      <c r="I381" s="197">
        <f>E381*VLOOKUP('CHE Model poplulation'!G381,'$$$ Replace &amp; Retrofit'!$I$10:$J$15,2)</f>
        <v>104801.2151786843</v>
      </c>
      <c r="K381" s="239"/>
      <c r="L381" s="239"/>
      <c r="M381" s="239"/>
    </row>
    <row r="382" spans="1:13" ht="45" x14ac:dyDescent="0.25">
      <c r="A382" s="255" t="s">
        <v>248</v>
      </c>
      <c r="B382" s="255" t="s">
        <v>211</v>
      </c>
      <c r="C382" s="256">
        <v>2016</v>
      </c>
      <c r="D382" s="256">
        <v>50</v>
      </c>
      <c r="E382">
        <v>3.3044430985609101</v>
      </c>
      <c r="F382" s="257"/>
      <c r="G382">
        <f t="shared" si="5"/>
        <v>50</v>
      </c>
      <c r="H382" s="4">
        <f>IF(B382="RTG Crane",IF(D382&lt;600,800000,1200000),VLOOKUP(B382,'$$$ Replace &amp; Retrofit'!$B$10:$C$14,2)*'CHE Model poplulation'!D382)*E382</f>
        <v>165222.15492804549</v>
      </c>
      <c r="I382" s="197">
        <f>E382*VLOOKUP('CHE Model poplulation'!G382,'$$$ Replace &amp; Retrofit'!$I$10:$J$15,2)</f>
        <v>58118.545217489285</v>
      </c>
      <c r="K382" s="239"/>
      <c r="L382" s="239"/>
      <c r="M382" s="239"/>
    </row>
    <row r="383" spans="1:13" ht="45" x14ac:dyDescent="0.25">
      <c r="A383" s="255" t="s">
        <v>248</v>
      </c>
      <c r="B383" s="255" t="s">
        <v>211</v>
      </c>
      <c r="C383" s="256">
        <v>2016</v>
      </c>
      <c r="D383" s="256">
        <v>75</v>
      </c>
      <c r="E383">
        <v>1.43898501608046</v>
      </c>
      <c r="F383" s="257"/>
      <c r="G383">
        <f t="shared" si="5"/>
        <v>50</v>
      </c>
      <c r="H383" s="4">
        <f>IF(B383="RTG Crane",IF(D383&lt;600,800000,1200000),VLOOKUP(B383,'$$$ Replace &amp; Retrofit'!$B$10:$C$14,2)*'CHE Model poplulation'!D383)*E383</f>
        <v>107923.8762060345</v>
      </c>
      <c r="I383" s="197">
        <f>E383*VLOOKUP('CHE Model poplulation'!G383,'$$$ Replace &amp; Retrofit'!$I$10:$J$15,2)</f>
        <v>25308.868462823131</v>
      </c>
      <c r="K383" s="239"/>
      <c r="L383" s="239"/>
      <c r="M383" s="239"/>
    </row>
    <row r="384" spans="1:13" ht="45" x14ac:dyDescent="0.25">
      <c r="A384" s="255" t="s">
        <v>248</v>
      </c>
      <c r="B384" s="255" t="s">
        <v>211</v>
      </c>
      <c r="C384" s="256">
        <v>2016</v>
      </c>
      <c r="D384" s="256">
        <v>100</v>
      </c>
      <c r="E384">
        <v>1.8906100085603801</v>
      </c>
      <c r="F384" s="257"/>
      <c r="G384">
        <f t="shared" si="5"/>
        <v>125</v>
      </c>
      <c r="H384" s="4">
        <f>IF(B384="RTG Crane",IF(D384&lt;600,800000,1200000),VLOOKUP(B384,'$$$ Replace &amp; Retrofit'!$B$10:$C$14,2)*'CHE Model poplulation'!D384)*E384</f>
        <v>189061.00085603801</v>
      </c>
      <c r="I384" s="197">
        <f>E384*VLOOKUP('CHE Model poplulation'!G384,'$$$ Replace &amp; Retrofit'!$I$10:$J$15,2)</f>
        <v>37307.407298921979</v>
      </c>
      <c r="K384" s="239"/>
      <c r="L384" s="239"/>
      <c r="M384" s="239"/>
    </row>
    <row r="385" spans="1:13" ht="45" x14ac:dyDescent="0.25">
      <c r="A385" s="255" t="s">
        <v>248</v>
      </c>
      <c r="B385" s="255" t="s">
        <v>211</v>
      </c>
      <c r="C385" s="256">
        <v>2016</v>
      </c>
      <c r="D385" s="256">
        <v>175</v>
      </c>
      <c r="E385">
        <v>3.1874964814901201</v>
      </c>
      <c r="F385" s="257"/>
      <c r="G385">
        <f t="shared" si="5"/>
        <v>175</v>
      </c>
      <c r="H385" s="4">
        <f>IF(B385="RTG Crane",IF(D385&lt;600,800000,1200000),VLOOKUP(B385,'$$$ Replace &amp; Retrofit'!$B$10:$C$14,2)*'CHE Model poplulation'!D385)*E385</f>
        <v>557811.88426077098</v>
      </c>
      <c r="I385" s="197">
        <f>E385*VLOOKUP('CHE Model poplulation'!G385,'$$$ Replace &amp; Retrofit'!$I$10:$J$15,2)</f>
        <v>79037.162755029014</v>
      </c>
      <c r="K385" s="239"/>
      <c r="L385" s="239"/>
      <c r="M385" s="239"/>
    </row>
    <row r="386" spans="1:13" ht="45" x14ac:dyDescent="0.25">
      <c r="A386" s="255" t="s">
        <v>248</v>
      </c>
      <c r="B386" s="255" t="s">
        <v>211</v>
      </c>
      <c r="C386" s="256">
        <v>2016</v>
      </c>
      <c r="D386" s="256">
        <v>300</v>
      </c>
      <c r="E386">
        <v>2.6502730584979299</v>
      </c>
      <c r="F386" s="257"/>
      <c r="G386">
        <f t="shared" si="5"/>
        <v>300</v>
      </c>
      <c r="H386" s="4">
        <f>IF(B386="RTG Crane",IF(D386&lt;600,800000,1200000),VLOOKUP(B386,'$$$ Replace &amp; Retrofit'!$B$10:$C$14,2)*'CHE Model poplulation'!D386)*E386</f>
        <v>795081.91754937894</v>
      </c>
      <c r="I386" s="197">
        <f>E386*VLOOKUP('CHE Model poplulation'!G386,'$$$ Replace &amp; Retrofit'!$I$10:$J$15,2)</f>
        <v>76229.803981575955</v>
      </c>
      <c r="K386" s="239"/>
      <c r="L386" s="239"/>
      <c r="M386" s="239"/>
    </row>
    <row r="387" spans="1:13" ht="45" x14ac:dyDescent="0.25">
      <c r="A387" s="255" t="s">
        <v>248</v>
      </c>
      <c r="B387" s="255" t="s">
        <v>211</v>
      </c>
      <c r="C387" s="256">
        <v>2016</v>
      </c>
      <c r="D387" s="256">
        <v>600</v>
      </c>
      <c r="E387">
        <v>2.4172780623897299</v>
      </c>
      <c r="F387" s="257"/>
      <c r="G387">
        <f t="shared" si="5"/>
        <v>400</v>
      </c>
      <c r="H387" s="4">
        <f>IF(B387="RTG Crane",IF(D387&lt;600,800000,1200000),VLOOKUP(B387,'$$$ Replace &amp; Retrofit'!$B$10:$C$14,2)*'CHE Model poplulation'!D387)*E387</f>
        <v>1450366.8374338378</v>
      </c>
      <c r="I387" s="197">
        <f>E387*VLOOKUP('CHE Model poplulation'!G387,'$$$ Replace &amp; Retrofit'!$I$10:$J$15,2)</f>
        <v>126503.41283904173</v>
      </c>
      <c r="K387" s="239"/>
      <c r="L387" s="239"/>
      <c r="M387" s="239"/>
    </row>
    <row r="388" spans="1:13" ht="45" x14ac:dyDescent="0.25">
      <c r="A388" s="255" t="s">
        <v>248</v>
      </c>
      <c r="B388" s="255" t="s">
        <v>211</v>
      </c>
      <c r="C388" s="256">
        <v>2017</v>
      </c>
      <c r="D388" s="256">
        <v>50</v>
      </c>
      <c r="E388">
        <v>3.2932047143826901</v>
      </c>
      <c r="F388" s="257"/>
      <c r="G388">
        <f t="shared" si="5"/>
        <v>50</v>
      </c>
      <c r="H388" s="4">
        <f>IF(B388="RTG Crane",IF(D388&lt;600,800000,1200000),VLOOKUP(B388,'$$$ Replace &amp; Retrofit'!$B$10:$C$14,2)*'CHE Model poplulation'!D388)*E388</f>
        <v>164660.23571913451</v>
      </c>
      <c r="I388" s="197">
        <f>E388*VLOOKUP('CHE Model poplulation'!G388,'$$$ Replace &amp; Retrofit'!$I$10:$J$15,2)</f>
        <v>57920.884516562757</v>
      </c>
      <c r="K388" s="239"/>
      <c r="L388" s="239"/>
      <c r="M388" s="239"/>
    </row>
    <row r="389" spans="1:13" ht="45" x14ac:dyDescent="0.25">
      <c r="A389" s="255" t="s">
        <v>248</v>
      </c>
      <c r="B389" s="255" t="s">
        <v>211</v>
      </c>
      <c r="C389" s="256">
        <v>2017</v>
      </c>
      <c r="D389" s="256">
        <v>75</v>
      </c>
      <c r="E389">
        <v>1.4312033731715299</v>
      </c>
      <c r="F389" s="257"/>
      <c r="G389">
        <f t="shared" si="5"/>
        <v>50</v>
      </c>
      <c r="H389" s="4">
        <f>IF(B389="RTG Crane",IF(D389&lt;600,800000,1200000),VLOOKUP(B389,'$$$ Replace &amp; Retrofit'!$B$10:$C$14,2)*'CHE Model poplulation'!D389)*E389</f>
        <v>107340.25298786475</v>
      </c>
      <c r="I389" s="197">
        <f>E389*VLOOKUP('CHE Model poplulation'!G389,'$$$ Replace &amp; Retrofit'!$I$10:$J$15,2)</f>
        <v>25172.004927340869</v>
      </c>
      <c r="K389" s="239"/>
      <c r="L389" s="239"/>
      <c r="M389" s="239"/>
    </row>
    <row r="390" spans="1:13" ht="45" x14ac:dyDescent="0.25">
      <c r="A390" s="255" t="s">
        <v>248</v>
      </c>
      <c r="B390" s="255" t="s">
        <v>211</v>
      </c>
      <c r="C390" s="256">
        <v>2017</v>
      </c>
      <c r="D390" s="256">
        <v>100</v>
      </c>
      <c r="E390">
        <v>1.8824612908365601</v>
      </c>
      <c r="F390" s="257"/>
      <c r="G390">
        <f t="shared" si="5"/>
        <v>125</v>
      </c>
      <c r="H390" s="4">
        <f>IF(B390="RTG Crane",IF(D390&lt;600,800000,1200000),VLOOKUP(B390,'$$$ Replace &amp; Retrofit'!$B$10:$C$14,2)*'CHE Model poplulation'!D390)*E390</f>
        <v>188246.12908365601</v>
      </c>
      <c r="I390" s="197">
        <f>E390*VLOOKUP('CHE Model poplulation'!G390,'$$$ Replace &amp; Retrofit'!$I$10:$J$15,2)</f>
        <v>37146.608652077841</v>
      </c>
      <c r="K390" s="239"/>
      <c r="L390" s="239"/>
      <c r="M390" s="239"/>
    </row>
    <row r="391" spans="1:13" ht="45" x14ac:dyDescent="0.25">
      <c r="A391" s="255" t="s">
        <v>248</v>
      </c>
      <c r="B391" s="255" t="s">
        <v>211</v>
      </c>
      <c r="C391" s="256">
        <v>2017</v>
      </c>
      <c r="D391" s="256">
        <v>175</v>
      </c>
      <c r="E391">
        <v>3.1924598059813198</v>
      </c>
      <c r="F391" s="257"/>
      <c r="G391">
        <f t="shared" si="5"/>
        <v>175</v>
      </c>
      <c r="H391" s="4">
        <f>IF(B391="RTG Crane",IF(D391&lt;600,800000,1200000),VLOOKUP(B391,'$$$ Replace &amp; Retrofit'!$B$10:$C$14,2)*'CHE Model poplulation'!D391)*E391</f>
        <v>558680.46604673099</v>
      </c>
      <c r="I391" s="197">
        <f>E391*VLOOKUP('CHE Model poplulation'!G391,'$$$ Replace &amp; Retrofit'!$I$10:$J$15,2)</f>
        <v>79160.233349112808</v>
      </c>
      <c r="K391" s="239"/>
      <c r="L391" s="239"/>
      <c r="M391" s="239"/>
    </row>
    <row r="392" spans="1:13" ht="45" x14ac:dyDescent="0.25">
      <c r="A392" s="255" t="s">
        <v>248</v>
      </c>
      <c r="B392" s="255" t="s">
        <v>211</v>
      </c>
      <c r="C392" s="256">
        <v>2017</v>
      </c>
      <c r="D392" s="256">
        <v>300</v>
      </c>
      <c r="E392">
        <v>2.6477238074880201</v>
      </c>
      <c r="F392" s="257"/>
      <c r="G392">
        <f t="shared" si="5"/>
        <v>300</v>
      </c>
      <c r="H392" s="4">
        <f>IF(B392="RTG Crane",IF(D392&lt;600,800000,1200000),VLOOKUP(B392,'$$$ Replace &amp; Retrofit'!$B$10:$C$14,2)*'CHE Model poplulation'!D392)*E392</f>
        <v>794317.14224640606</v>
      </c>
      <c r="I392" s="197">
        <f>E392*VLOOKUP('CHE Model poplulation'!G392,'$$$ Replace &amp; Retrofit'!$I$10:$J$15,2)</f>
        <v>76156.479874777928</v>
      </c>
      <c r="K392" s="239"/>
      <c r="L392" s="239"/>
      <c r="M392" s="239"/>
    </row>
    <row r="393" spans="1:13" ht="45" x14ac:dyDescent="0.25">
      <c r="A393" s="255" t="s">
        <v>248</v>
      </c>
      <c r="B393" s="255" t="s">
        <v>211</v>
      </c>
      <c r="C393" s="256">
        <v>2017</v>
      </c>
      <c r="D393" s="256">
        <v>600</v>
      </c>
      <c r="E393">
        <v>2.4412670783205699</v>
      </c>
      <c r="F393" s="257"/>
      <c r="G393">
        <f t="shared" si="5"/>
        <v>400</v>
      </c>
      <c r="H393" s="4">
        <f>IF(B393="RTG Crane",IF(D393&lt;600,800000,1200000),VLOOKUP(B393,'$$$ Replace &amp; Retrofit'!$B$10:$C$14,2)*'CHE Model poplulation'!D393)*E393</f>
        <v>1464760.2469923419</v>
      </c>
      <c r="I393" s="197">
        <f>E393*VLOOKUP('CHE Model poplulation'!G393,'$$$ Replace &amp; Retrofit'!$I$10:$J$15,2)</f>
        <v>127758.83000975038</v>
      </c>
      <c r="K393" s="239"/>
      <c r="L393" s="239"/>
      <c r="M393" s="239"/>
    </row>
    <row r="394" spans="1:13" ht="45" x14ac:dyDescent="0.25">
      <c r="A394" s="255" t="s">
        <v>248</v>
      </c>
      <c r="B394" s="255" t="s">
        <v>211</v>
      </c>
      <c r="C394" s="256">
        <v>2018</v>
      </c>
      <c r="D394" s="256">
        <v>50</v>
      </c>
      <c r="E394">
        <v>3.26824801480792</v>
      </c>
      <c r="F394" s="257"/>
      <c r="G394">
        <f t="shared" si="5"/>
        <v>50</v>
      </c>
      <c r="H394" s="4">
        <f>IF(B394="RTG Crane",IF(D394&lt;600,800000,1200000),VLOOKUP(B394,'$$$ Replace &amp; Retrofit'!$B$10:$C$14,2)*'CHE Model poplulation'!D394)*E394</f>
        <v>163412.400740396</v>
      </c>
      <c r="I394" s="197">
        <f>E394*VLOOKUP('CHE Model poplulation'!G394,'$$$ Replace &amp; Retrofit'!$I$10:$J$15,2)</f>
        <v>57481.946084441697</v>
      </c>
      <c r="K394" s="239"/>
      <c r="L394" s="239"/>
      <c r="M394" s="239"/>
    </row>
    <row r="395" spans="1:13" ht="45" x14ac:dyDescent="0.25">
      <c r="A395" s="255" t="s">
        <v>248</v>
      </c>
      <c r="B395" s="255" t="s">
        <v>211</v>
      </c>
      <c r="C395" s="256">
        <v>2018</v>
      </c>
      <c r="D395" s="256">
        <v>75</v>
      </c>
      <c r="E395">
        <v>1.4179556114680001</v>
      </c>
      <c r="F395" s="257"/>
      <c r="G395">
        <f t="shared" si="5"/>
        <v>50</v>
      </c>
      <c r="H395" s="4">
        <f>IF(B395="RTG Crane",IF(D395&lt;600,800000,1200000),VLOOKUP(B395,'$$$ Replace &amp; Retrofit'!$B$10:$C$14,2)*'CHE Model poplulation'!D395)*E395</f>
        <v>106346.67086010001</v>
      </c>
      <c r="I395" s="197">
        <f>E395*VLOOKUP('CHE Model poplulation'!G395,'$$$ Replace &amp; Retrofit'!$I$10:$J$15,2)</f>
        <v>24939.003294499187</v>
      </c>
      <c r="K395" s="239"/>
      <c r="L395" s="239"/>
      <c r="M395" s="239"/>
    </row>
    <row r="396" spans="1:13" ht="45" x14ac:dyDescent="0.25">
      <c r="A396" s="255" t="s">
        <v>248</v>
      </c>
      <c r="B396" s="255" t="s">
        <v>211</v>
      </c>
      <c r="C396" s="256">
        <v>2018</v>
      </c>
      <c r="D396" s="256">
        <v>100</v>
      </c>
      <c r="E396">
        <v>1.8660325698801099</v>
      </c>
      <c r="F396" s="257"/>
      <c r="G396">
        <f t="shared" si="5"/>
        <v>125</v>
      </c>
      <c r="H396" s="4">
        <f>IF(B396="RTG Crane",IF(D396&lt;600,800000,1200000),VLOOKUP(B396,'$$$ Replace &amp; Retrofit'!$B$10:$C$14,2)*'CHE Model poplulation'!D396)*E396</f>
        <v>186603.25698801098</v>
      </c>
      <c r="I396" s="197">
        <f>E396*VLOOKUP('CHE Model poplulation'!G396,'$$$ Replace &amp; Retrofit'!$I$10:$J$15,2)</f>
        <v>36822.420701444207</v>
      </c>
      <c r="K396" s="239"/>
      <c r="L396" s="239"/>
      <c r="M396" s="239"/>
    </row>
    <row r="397" spans="1:13" ht="45" x14ac:dyDescent="0.25">
      <c r="A397" s="255" t="s">
        <v>248</v>
      </c>
      <c r="B397" s="255" t="s">
        <v>211</v>
      </c>
      <c r="C397" s="256">
        <v>2018</v>
      </c>
      <c r="D397" s="256">
        <v>175</v>
      </c>
      <c r="E397">
        <v>3.1722684191132799</v>
      </c>
      <c r="F397" s="257"/>
      <c r="G397">
        <f t="shared" si="5"/>
        <v>175</v>
      </c>
      <c r="H397" s="4">
        <f>IF(B397="RTG Crane",IF(D397&lt;600,800000,1200000),VLOOKUP(B397,'$$$ Replace &amp; Retrofit'!$B$10:$C$14,2)*'CHE Model poplulation'!D397)*E397</f>
        <v>555146.97334482404</v>
      </c>
      <c r="I397" s="197">
        <f>E397*VLOOKUP('CHE Model poplulation'!G397,'$$$ Replace &amp; Retrofit'!$I$10:$J$15,2)</f>
        <v>78659.567720332896</v>
      </c>
      <c r="K397" s="239"/>
      <c r="L397" s="239"/>
      <c r="M397" s="239"/>
    </row>
    <row r="398" spans="1:13" ht="45" x14ac:dyDescent="0.25">
      <c r="A398" s="255" t="s">
        <v>248</v>
      </c>
      <c r="B398" s="255" t="s">
        <v>211</v>
      </c>
      <c r="C398" s="256">
        <v>2018</v>
      </c>
      <c r="D398" s="256">
        <v>300</v>
      </c>
      <c r="E398">
        <v>2.6325126469778302</v>
      </c>
      <c r="F398" s="257"/>
      <c r="G398">
        <f t="shared" si="5"/>
        <v>300</v>
      </c>
      <c r="H398" s="4">
        <f>IF(B398="RTG Crane",IF(D398&lt;600,800000,1200000),VLOOKUP(B398,'$$$ Replace &amp; Retrofit'!$B$10:$C$14,2)*'CHE Model poplulation'!D398)*E398</f>
        <v>789753.79409334902</v>
      </c>
      <c r="I398" s="197">
        <f>E398*VLOOKUP('CHE Model poplulation'!G398,'$$$ Replace &amp; Retrofit'!$I$10:$J$15,2)</f>
        <v>75718.961265023332</v>
      </c>
      <c r="K398" s="239"/>
      <c r="L398" s="239"/>
      <c r="M398" s="239"/>
    </row>
    <row r="399" spans="1:13" ht="45" x14ac:dyDescent="0.25">
      <c r="A399" s="255" t="s">
        <v>248</v>
      </c>
      <c r="B399" s="255" t="s">
        <v>211</v>
      </c>
      <c r="C399" s="256">
        <v>2018</v>
      </c>
      <c r="D399" s="256">
        <v>600</v>
      </c>
      <c r="E399">
        <v>2.4473271838738802</v>
      </c>
      <c r="F399" s="257"/>
      <c r="G399">
        <f t="shared" si="5"/>
        <v>400</v>
      </c>
      <c r="H399" s="4">
        <f>IF(B399="RTG Crane",IF(D399&lt;600,800000,1200000),VLOOKUP(B399,'$$$ Replace &amp; Retrofit'!$B$10:$C$14,2)*'CHE Model poplulation'!D399)*E399</f>
        <v>1468396.310324328</v>
      </c>
      <c r="I399" s="197">
        <f>E399*VLOOKUP('CHE Model poplulation'!G399,'$$$ Replace &amp; Retrofit'!$I$10:$J$15,2)</f>
        <v>128075.97351367176</v>
      </c>
      <c r="K399" s="239"/>
      <c r="L399" s="239"/>
      <c r="M399" s="239"/>
    </row>
    <row r="400" spans="1:13" ht="45" x14ac:dyDescent="0.25">
      <c r="A400" s="255" t="s">
        <v>248</v>
      </c>
      <c r="B400" s="255" t="s">
        <v>211</v>
      </c>
      <c r="C400" s="256">
        <v>2019</v>
      </c>
      <c r="D400" s="256">
        <v>50</v>
      </c>
      <c r="E400">
        <v>3.2466090787617601</v>
      </c>
      <c r="F400" s="257"/>
      <c r="G400">
        <f t="shared" si="5"/>
        <v>50</v>
      </c>
      <c r="H400" s="4">
        <f>IF(B400="RTG Crane",IF(D400&lt;600,800000,1200000),VLOOKUP(B400,'$$$ Replace &amp; Retrofit'!$B$10:$C$14,2)*'CHE Model poplulation'!D400)*E400</f>
        <v>162330.453938088</v>
      </c>
      <c r="I400" s="197">
        <f>E400*VLOOKUP('CHE Model poplulation'!G400,'$$$ Replace &amp; Retrofit'!$I$10:$J$15,2)</f>
        <v>57101.360477261835</v>
      </c>
      <c r="K400" s="239"/>
      <c r="L400" s="239"/>
      <c r="M400" s="239"/>
    </row>
    <row r="401" spans="1:13" ht="45" x14ac:dyDescent="0.25">
      <c r="A401" s="255" t="s">
        <v>248</v>
      </c>
      <c r="B401" s="255" t="s">
        <v>211</v>
      </c>
      <c r="C401" s="256">
        <v>2019</v>
      </c>
      <c r="D401" s="256">
        <v>75</v>
      </c>
      <c r="E401">
        <v>1.40524994268033</v>
      </c>
      <c r="F401" s="257"/>
      <c r="G401">
        <f t="shared" si="5"/>
        <v>50</v>
      </c>
      <c r="H401" s="4">
        <f>IF(B401="RTG Crane",IF(D401&lt;600,800000,1200000),VLOOKUP(B401,'$$$ Replace &amp; Retrofit'!$B$10:$C$14,2)*'CHE Model poplulation'!D401)*E401</f>
        <v>105393.74570102475</v>
      </c>
      <c r="I401" s="197">
        <f>E401*VLOOKUP('CHE Model poplulation'!G401,'$$$ Replace &amp; Retrofit'!$I$10:$J$15,2)</f>
        <v>24715.535991861645</v>
      </c>
      <c r="K401" s="239"/>
      <c r="L401" s="239"/>
      <c r="M401" s="239"/>
    </row>
    <row r="402" spans="1:13" ht="45" x14ac:dyDescent="0.25">
      <c r="A402" s="255" t="s">
        <v>248</v>
      </c>
      <c r="B402" s="255" t="s">
        <v>211</v>
      </c>
      <c r="C402" s="256">
        <v>2019</v>
      </c>
      <c r="D402" s="256">
        <v>100</v>
      </c>
      <c r="E402">
        <v>1.8522714853356299</v>
      </c>
      <c r="F402" s="257"/>
      <c r="G402">
        <f t="shared" si="5"/>
        <v>125</v>
      </c>
      <c r="H402" s="4">
        <f>IF(B402="RTG Crane",IF(D402&lt;600,800000,1200000),VLOOKUP(B402,'$$$ Replace &amp; Retrofit'!$B$10:$C$14,2)*'CHE Model poplulation'!D402)*E402</f>
        <v>185227.14853356298</v>
      </c>
      <c r="I402" s="197">
        <f>E402*VLOOKUP('CHE Model poplulation'!G402,'$$$ Replace &amp; Retrofit'!$I$10:$J$15,2)</f>
        <v>36550.873220127985</v>
      </c>
      <c r="K402" s="239"/>
      <c r="L402" s="239"/>
      <c r="M402" s="239"/>
    </row>
    <row r="403" spans="1:13" ht="45" x14ac:dyDescent="0.25">
      <c r="A403" s="255" t="s">
        <v>248</v>
      </c>
      <c r="B403" s="255" t="s">
        <v>211</v>
      </c>
      <c r="C403" s="256">
        <v>2019</v>
      </c>
      <c r="D403" s="256">
        <v>175</v>
      </c>
      <c r="E403">
        <v>3.1520288397371199</v>
      </c>
      <c r="F403" s="257"/>
      <c r="G403">
        <f t="shared" si="5"/>
        <v>175</v>
      </c>
      <c r="H403" s="4">
        <f>IF(B403="RTG Crane",IF(D403&lt;600,800000,1200000),VLOOKUP(B403,'$$$ Replace &amp; Retrofit'!$B$10:$C$14,2)*'CHE Model poplulation'!D403)*E403</f>
        <v>551605.04695399594</v>
      </c>
      <c r="I403" s="197">
        <f>E403*VLOOKUP('CHE Model poplulation'!G403,'$$$ Replace &amp; Retrofit'!$I$10:$J$15,2)</f>
        <v>78157.707110121628</v>
      </c>
      <c r="K403" s="239"/>
      <c r="L403" s="239"/>
      <c r="M403" s="239"/>
    </row>
    <row r="404" spans="1:13" ht="45" x14ac:dyDescent="0.25">
      <c r="A404" s="255" t="s">
        <v>248</v>
      </c>
      <c r="B404" s="255" t="s">
        <v>211</v>
      </c>
      <c r="C404" s="256">
        <v>2019</v>
      </c>
      <c r="D404" s="256">
        <v>300</v>
      </c>
      <c r="E404">
        <v>2.61910643836949</v>
      </c>
      <c r="F404" s="257"/>
      <c r="G404">
        <f t="shared" si="5"/>
        <v>300</v>
      </c>
      <c r="H404" s="4">
        <f>IF(B404="RTG Crane",IF(D404&lt;600,800000,1200000),VLOOKUP(B404,'$$$ Replace &amp; Retrofit'!$B$10:$C$14,2)*'CHE Model poplulation'!D404)*E404</f>
        <v>785731.93151084695</v>
      </c>
      <c r="I404" s="197">
        <f>E404*VLOOKUP('CHE Model poplulation'!G404,'$$$ Replace &amp; Retrofit'!$I$10:$J$15,2)</f>
        <v>75333.358486821642</v>
      </c>
      <c r="K404" s="239"/>
      <c r="L404" s="239"/>
      <c r="M404" s="239"/>
    </row>
    <row r="405" spans="1:13" ht="45" x14ac:dyDescent="0.25">
      <c r="A405" s="255" t="s">
        <v>248</v>
      </c>
      <c r="B405" s="255" t="s">
        <v>211</v>
      </c>
      <c r="C405" s="256">
        <v>2019</v>
      </c>
      <c r="D405" s="256">
        <v>600</v>
      </c>
      <c r="E405">
        <v>2.4503096572611098</v>
      </c>
      <c r="F405" s="257"/>
      <c r="G405">
        <f t="shared" si="5"/>
        <v>400</v>
      </c>
      <c r="H405" s="4">
        <f>IF(B405="RTG Crane",IF(D405&lt;600,800000,1200000),VLOOKUP(B405,'$$$ Replace &amp; Retrofit'!$B$10:$C$14,2)*'CHE Model poplulation'!D405)*E405</f>
        <v>1470185.7943566658</v>
      </c>
      <c r="I405" s="197">
        <f>E405*VLOOKUP('CHE Model poplulation'!G405,'$$$ Replace &amp; Retrofit'!$I$10:$J$15,2)</f>
        <v>128232.05529344566</v>
      </c>
      <c r="K405" s="239"/>
      <c r="L405" s="239"/>
      <c r="M405" s="239"/>
    </row>
    <row r="406" spans="1:13" ht="45" x14ac:dyDescent="0.25">
      <c r="A406" s="255" t="s">
        <v>248</v>
      </c>
      <c r="B406" s="255" t="s">
        <v>211</v>
      </c>
      <c r="C406" s="256">
        <v>2020</v>
      </c>
      <c r="D406" s="256">
        <v>50</v>
      </c>
      <c r="E406">
        <v>3.2197053753208702</v>
      </c>
      <c r="F406" s="257"/>
      <c r="G406">
        <f t="shared" si="5"/>
        <v>50</v>
      </c>
      <c r="H406" s="4">
        <f>IF(B406="RTG Crane",IF(D406&lt;600,800000,1200000),VLOOKUP(B406,'$$$ Replace &amp; Retrofit'!$B$10:$C$14,2)*'CHE Model poplulation'!D406)*E406</f>
        <v>160985.2687660435</v>
      </c>
      <c r="I406" s="197">
        <f>E406*VLOOKUP('CHE Model poplulation'!G406,'$$$ Replace &amp; Retrofit'!$I$10:$J$15,2)</f>
        <v>56628.178141143464</v>
      </c>
      <c r="K406" s="239"/>
      <c r="L406" s="239"/>
      <c r="M406" s="239"/>
    </row>
    <row r="407" spans="1:13" ht="45" x14ac:dyDescent="0.25">
      <c r="A407" s="255" t="s">
        <v>248</v>
      </c>
      <c r="B407" s="255" t="s">
        <v>211</v>
      </c>
      <c r="C407" s="256">
        <v>2020</v>
      </c>
      <c r="D407" s="256">
        <v>75</v>
      </c>
      <c r="E407">
        <v>1.3937637261559499</v>
      </c>
      <c r="F407" s="257"/>
      <c r="G407">
        <f t="shared" si="5"/>
        <v>50</v>
      </c>
      <c r="H407" s="4">
        <f>IF(B407="RTG Crane",IF(D407&lt;600,800000,1200000),VLOOKUP(B407,'$$$ Replace &amp; Retrofit'!$B$10:$C$14,2)*'CHE Model poplulation'!D407)*E407</f>
        <v>104532.27946169625</v>
      </c>
      <c r="I407" s="197">
        <f>E407*VLOOKUP('CHE Model poplulation'!G407,'$$$ Replace &amp; Retrofit'!$I$10:$J$15,2)</f>
        <v>24513.516415630846</v>
      </c>
      <c r="K407" s="239"/>
      <c r="L407" s="239"/>
      <c r="M407" s="239"/>
    </row>
    <row r="408" spans="1:13" ht="45" x14ac:dyDescent="0.25">
      <c r="A408" s="255" t="s">
        <v>248</v>
      </c>
      <c r="B408" s="255" t="s">
        <v>211</v>
      </c>
      <c r="C408" s="256">
        <v>2020</v>
      </c>
      <c r="D408" s="256">
        <v>100</v>
      </c>
      <c r="E408">
        <v>1.8388329315338601</v>
      </c>
      <c r="F408" s="257"/>
      <c r="G408">
        <f t="shared" si="5"/>
        <v>125</v>
      </c>
      <c r="H408" s="4">
        <f>IF(B408="RTG Crane",IF(D408&lt;600,800000,1200000),VLOOKUP(B408,'$$$ Replace &amp; Retrofit'!$B$10:$C$14,2)*'CHE Model poplulation'!D408)*E408</f>
        <v>183883.29315338601</v>
      </c>
      <c r="I408" s="197">
        <f>E408*VLOOKUP('CHE Model poplulation'!G408,'$$$ Replace &amp; Retrofit'!$I$10:$J$15,2)</f>
        <v>36285.690237957664</v>
      </c>
      <c r="K408" s="239"/>
      <c r="L408" s="239"/>
      <c r="M408" s="239"/>
    </row>
    <row r="409" spans="1:13" ht="45" x14ac:dyDescent="0.25">
      <c r="A409" s="255" t="s">
        <v>248</v>
      </c>
      <c r="B409" s="255" t="s">
        <v>211</v>
      </c>
      <c r="C409" s="256">
        <v>2020</v>
      </c>
      <c r="D409" s="256">
        <v>175</v>
      </c>
      <c r="E409">
        <v>3.1319907559403299</v>
      </c>
      <c r="F409" s="257"/>
      <c r="G409">
        <f t="shared" si="5"/>
        <v>175</v>
      </c>
      <c r="H409" s="4">
        <f>IF(B409="RTG Crane",IF(D409&lt;600,800000,1200000),VLOOKUP(B409,'$$$ Replace &amp; Retrofit'!$B$10:$C$14,2)*'CHE Model poplulation'!D409)*E409</f>
        <v>548098.38228955772</v>
      </c>
      <c r="I409" s="197">
        <f>E409*VLOOKUP('CHE Model poplulation'!G409,'$$$ Replace &amp; Retrofit'!$I$10:$J$15,2)</f>
        <v>77660.842784296416</v>
      </c>
      <c r="K409" s="239"/>
      <c r="L409" s="239"/>
      <c r="M409" s="239"/>
    </row>
    <row r="410" spans="1:13" ht="45" x14ac:dyDescent="0.25">
      <c r="A410" s="255" t="s">
        <v>248</v>
      </c>
      <c r="B410" s="255" t="s">
        <v>211</v>
      </c>
      <c r="C410" s="256">
        <v>2020</v>
      </c>
      <c r="D410" s="256">
        <v>300</v>
      </c>
      <c r="E410">
        <v>2.5991172418082602</v>
      </c>
      <c r="F410" s="257"/>
      <c r="G410">
        <f t="shared" si="5"/>
        <v>300</v>
      </c>
      <c r="H410" s="4">
        <f>IF(B410="RTG Crane",IF(D410&lt;600,800000,1200000),VLOOKUP(B410,'$$$ Replace &amp; Retrofit'!$B$10:$C$14,2)*'CHE Model poplulation'!D410)*E410</f>
        <v>779735.17254247807</v>
      </c>
      <c r="I410" s="197">
        <f>E410*VLOOKUP('CHE Model poplulation'!G410,'$$$ Replace &amp; Retrofit'!$I$10:$J$15,2)</f>
        <v>74758.409226130985</v>
      </c>
      <c r="K410" s="239"/>
      <c r="L410" s="239"/>
      <c r="M410" s="239"/>
    </row>
    <row r="411" spans="1:13" ht="45" x14ac:dyDescent="0.25">
      <c r="A411" s="255" t="s">
        <v>248</v>
      </c>
      <c r="B411" s="255" t="s">
        <v>211</v>
      </c>
      <c r="C411" s="256">
        <v>2020</v>
      </c>
      <c r="D411" s="256">
        <v>600</v>
      </c>
      <c r="E411">
        <v>2.4460287709177799</v>
      </c>
      <c r="F411" s="257"/>
      <c r="G411">
        <f t="shared" si="5"/>
        <v>400</v>
      </c>
      <c r="H411" s="4">
        <f>IF(B411="RTG Crane",IF(D411&lt;600,800000,1200000),VLOOKUP(B411,'$$$ Replace &amp; Retrofit'!$B$10:$C$14,2)*'CHE Model poplulation'!D411)*E411</f>
        <v>1467617.2625506679</v>
      </c>
      <c r="I411" s="197">
        <f>E411*VLOOKUP('CHE Model poplulation'!G411,'$$$ Replace &amp; Retrofit'!$I$10:$J$15,2)</f>
        <v>128008.02366844018</v>
      </c>
      <c r="K411" s="239"/>
      <c r="L411" s="239"/>
      <c r="M411" s="239"/>
    </row>
    <row r="412" spans="1:13" ht="45" x14ac:dyDescent="0.25">
      <c r="A412" s="255" t="s">
        <v>248</v>
      </c>
      <c r="B412" s="255" t="s">
        <v>211</v>
      </c>
      <c r="C412" s="256">
        <v>2021</v>
      </c>
      <c r="D412" s="256">
        <v>50</v>
      </c>
      <c r="E412">
        <v>3.1962188749171601</v>
      </c>
      <c r="F412" s="257"/>
      <c r="G412">
        <f t="shared" si="5"/>
        <v>50</v>
      </c>
      <c r="H412" s="4">
        <f>IF(B412="RTG Crane",IF(D412&lt;600,800000,1200000),VLOOKUP(B412,'$$$ Replace &amp; Retrofit'!$B$10:$C$14,2)*'CHE Model poplulation'!D412)*E412</f>
        <v>159810.94374585801</v>
      </c>
      <c r="I412" s="197">
        <f>E412*VLOOKUP('CHE Model poplulation'!G412,'$$$ Replace &amp; Retrofit'!$I$10:$J$15,2)</f>
        <v>56215.097572043014</v>
      </c>
      <c r="K412" s="239"/>
      <c r="L412" s="239"/>
      <c r="M412" s="239"/>
    </row>
    <row r="413" spans="1:13" ht="45" x14ac:dyDescent="0.25">
      <c r="A413" s="255" t="s">
        <v>248</v>
      </c>
      <c r="B413" s="255" t="s">
        <v>211</v>
      </c>
      <c r="C413" s="256">
        <v>2021</v>
      </c>
      <c r="D413" s="256">
        <v>75</v>
      </c>
      <c r="E413">
        <v>1.38428715313058</v>
      </c>
      <c r="F413" s="257"/>
      <c r="G413">
        <f t="shared" si="5"/>
        <v>50</v>
      </c>
      <c r="H413" s="4">
        <f>IF(B413="RTG Crane",IF(D413&lt;600,800000,1200000),VLOOKUP(B413,'$$$ Replace &amp; Retrofit'!$B$10:$C$14,2)*'CHE Model poplulation'!D413)*E413</f>
        <v>103821.5364847935</v>
      </c>
      <c r="I413" s="197">
        <f>E413*VLOOKUP('CHE Model poplulation'!G413,'$$$ Replace &amp; Retrofit'!$I$10:$J$15,2)</f>
        <v>24346.842449260643</v>
      </c>
      <c r="K413" s="239"/>
      <c r="L413" s="239"/>
      <c r="M413" s="239"/>
    </row>
    <row r="414" spans="1:13" ht="45" x14ac:dyDescent="0.25">
      <c r="A414" s="255" t="s">
        <v>248</v>
      </c>
      <c r="B414" s="255" t="s">
        <v>211</v>
      </c>
      <c r="C414" s="256">
        <v>2021</v>
      </c>
      <c r="D414" s="256">
        <v>100</v>
      </c>
      <c r="E414">
        <v>1.8278805549266199</v>
      </c>
      <c r="F414" s="257"/>
      <c r="G414">
        <f t="shared" si="5"/>
        <v>125</v>
      </c>
      <c r="H414" s="4">
        <f>IF(B414="RTG Crane",IF(D414&lt;600,800000,1200000),VLOOKUP(B414,'$$$ Replace &amp; Retrofit'!$B$10:$C$14,2)*'CHE Model poplulation'!D414)*E414</f>
        <v>182788.05549266198</v>
      </c>
      <c r="I414" s="197">
        <f>E414*VLOOKUP('CHE Model poplulation'!G414,'$$$ Replace &amp; Retrofit'!$I$10:$J$15,2)</f>
        <v>36069.566990366991</v>
      </c>
      <c r="K414" s="239"/>
      <c r="L414" s="239"/>
      <c r="M414" s="239"/>
    </row>
    <row r="415" spans="1:13" ht="45" x14ac:dyDescent="0.25">
      <c r="A415" s="255" t="s">
        <v>248</v>
      </c>
      <c r="B415" s="255" t="s">
        <v>211</v>
      </c>
      <c r="C415" s="256">
        <v>2021</v>
      </c>
      <c r="D415" s="256">
        <v>175</v>
      </c>
      <c r="E415">
        <v>3.1203141084892101</v>
      </c>
      <c r="F415" s="257"/>
      <c r="G415">
        <f t="shared" si="5"/>
        <v>175</v>
      </c>
      <c r="H415" s="4">
        <f>IF(B415="RTG Crane",IF(D415&lt;600,800000,1200000),VLOOKUP(B415,'$$$ Replace &amp; Retrofit'!$B$10:$C$14,2)*'CHE Model poplulation'!D415)*E415</f>
        <v>546054.96898561181</v>
      </c>
      <c r="I415" s="197">
        <f>E415*VLOOKUP('CHE Model poplulation'!G415,'$$$ Replace &amp; Retrofit'!$I$10:$J$15,2)</f>
        <v>77371.308634098459</v>
      </c>
      <c r="K415" s="239"/>
      <c r="L415" s="239"/>
      <c r="M415" s="239"/>
    </row>
    <row r="416" spans="1:13" ht="45" x14ac:dyDescent="0.25">
      <c r="A416" s="255" t="s">
        <v>248</v>
      </c>
      <c r="B416" s="255" t="s">
        <v>211</v>
      </c>
      <c r="C416" s="256">
        <v>2021</v>
      </c>
      <c r="D416" s="256">
        <v>300</v>
      </c>
      <c r="E416">
        <v>2.58177046796665</v>
      </c>
      <c r="F416" s="257"/>
      <c r="G416">
        <f t="shared" ref="G416:G441" si="6">IF(OR(D416=50,D416=75),50,IF(OR(D416=100,D416=125),125,IF(D416&gt;=400,400,D416)))</f>
        <v>300</v>
      </c>
      <c r="H416" s="4">
        <f>IF(B416="RTG Crane",IF(D416&lt;600,800000,1200000),VLOOKUP(B416,'$$$ Replace &amp; Retrofit'!$B$10:$C$14,2)*'CHE Model poplulation'!D416)*E416</f>
        <v>774531.14038999495</v>
      </c>
      <c r="I416" s="197">
        <f>E416*VLOOKUP('CHE Model poplulation'!G416,'$$$ Replace &amp; Retrofit'!$I$10:$J$15,2)</f>
        <v>74259.463970124751</v>
      </c>
      <c r="K416" s="239"/>
      <c r="L416" s="239"/>
      <c r="M416" s="239"/>
    </row>
    <row r="417" spans="1:13" ht="45" x14ac:dyDescent="0.25">
      <c r="A417" s="255" t="s">
        <v>248</v>
      </c>
      <c r="B417" s="255" t="s">
        <v>211</v>
      </c>
      <c r="C417" s="256">
        <v>2021</v>
      </c>
      <c r="D417" s="256">
        <v>600</v>
      </c>
      <c r="E417">
        <v>2.4420053197790499</v>
      </c>
      <c r="F417" s="257"/>
      <c r="G417">
        <f t="shared" si="6"/>
        <v>400</v>
      </c>
      <c r="H417" s="4">
        <f>IF(B417="RTG Crane",IF(D417&lt;600,800000,1200000),VLOOKUP(B417,'$$$ Replace &amp; Retrofit'!$B$10:$C$14,2)*'CHE Model poplulation'!D417)*E417</f>
        <v>1465203.19186743</v>
      </c>
      <c r="I417" s="197">
        <f>E417*VLOOKUP('CHE Model poplulation'!G417,'$$$ Replace &amp; Retrofit'!$I$10:$J$15,2)</f>
        <v>127797.46439999701</v>
      </c>
      <c r="K417" s="239"/>
      <c r="L417" s="239"/>
      <c r="M417" s="239"/>
    </row>
    <row r="418" spans="1:13" ht="45" x14ac:dyDescent="0.25">
      <c r="A418" s="255" t="s">
        <v>248</v>
      </c>
      <c r="B418" s="255" t="s">
        <v>211</v>
      </c>
      <c r="C418" s="256">
        <v>2022</v>
      </c>
      <c r="D418" s="256">
        <v>50</v>
      </c>
      <c r="E418">
        <v>3.1652212092186298</v>
      </c>
      <c r="F418" s="257"/>
      <c r="G418">
        <f t="shared" si="6"/>
        <v>50</v>
      </c>
      <c r="H418" s="4">
        <f>IF(B418="RTG Crane",IF(D418&lt;600,800000,1200000),VLOOKUP(B418,'$$$ Replace &amp; Retrofit'!$B$10:$C$14,2)*'CHE Model poplulation'!D418)*E418</f>
        <v>158261.06046093151</v>
      </c>
      <c r="I418" s="197">
        <f>E418*VLOOKUP('CHE Model poplulation'!G418,'$$$ Replace &amp; Retrofit'!$I$10:$J$15,2)</f>
        <v>55669.910627737263</v>
      </c>
      <c r="K418" s="239"/>
      <c r="L418" s="239"/>
      <c r="M418" s="239"/>
    </row>
    <row r="419" spans="1:13" ht="45" x14ac:dyDescent="0.25">
      <c r="A419" s="255" t="s">
        <v>248</v>
      </c>
      <c r="B419" s="255" t="s">
        <v>211</v>
      </c>
      <c r="C419" s="256">
        <v>2022</v>
      </c>
      <c r="D419" s="256">
        <v>75</v>
      </c>
      <c r="E419">
        <v>1.37368066763408</v>
      </c>
      <c r="F419" s="257"/>
      <c r="G419">
        <f t="shared" si="6"/>
        <v>50</v>
      </c>
      <c r="H419" s="4">
        <f>IF(B419="RTG Crane",IF(D419&lt;600,800000,1200000),VLOOKUP(B419,'$$$ Replace &amp; Retrofit'!$B$10:$C$14,2)*'CHE Model poplulation'!D419)*E419</f>
        <v>103026.050072556</v>
      </c>
      <c r="I419" s="197">
        <f>E419*VLOOKUP('CHE Model poplulation'!G419,'$$$ Replace &amp; Retrofit'!$I$10:$J$15,2)</f>
        <v>24160.295582348201</v>
      </c>
      <c r="K419" s="239"/>
      <c r="L419" s="239"/>
      <c r="M419" s="239"/>
    </row>
    <row r="420" spans="1:13" ht="45" x14ac:dyDescent="0.25">
      <c r="A420" s="255" t="s">
        <v>248</v>
      </c>
      <c r="B420" s="255" t="s">
        <v>211</v>
      </c>
      <c r="C420" s="256">
        <v>2022</v>
      </c>
      <c r="D420" s="256">
        <v>100</v>
      </c>
      <c r="E420">
        <v>1.81309619215776</v>
      </c>
      <c r="F420" s="257"/>
      <c r="G420">
        <f t="shared" si="6"/>
        <v>125</v>
      </c>
      <c r="H420" s="4">
        <f>IF(B420="RTG Crane",IF(D420&lt;600,800000,1200000),VLOOKUP(B420,'$$$ Replace &amp; Retrofit'!$B$10:$C$14,2)*'CHE Model poplulation'!D420)*E420</f>
        <v>181309.61921577601</v>
      </c>
      <c r="I420" s="197">
        <f>E420*VLOOKUP('CHE Model poplulation'!G420,'$$$ Replace &amp; Retrofit'!$I$10:$J$15,2)</f>
        <v>35777.827159849076</v>
      </c>
      <c r="K420" s="239"/>
      <c r="L420" s="239"/>
      <c r="M420" s="239"/>
    </row>
    <row r="421" spans="1:13" ht="45" x14ac:dyDescent="0.25">
      <c r="A421" s="255" t="s">
        <v>248</v>
      </c>
      <c r="B421" s="255" t="s">
        <v>211</v>
      </c>
      <c r="C421" s="256">
        <v>2022</v>
      </c>
      <c r="D421" s="256">
        <v>175</v>
      </c>
      <c r="E421">
        <v>3.1106221621590699</v>
      </c>
      <c r="F421" s="257"/>
      <c r="G421">
        <f t="shared" si="6"/>
        <v>175</v>
      </c>
      <c r="H421" s="4">
        <f>IF(B421="RTG Crane",IF(D421&lt;600,800000,1200000),VLOOKUP(B421,'$$$ Replace &amp; Retrofit'!$B$10:$C$14,2)*'CHE Model poplulation'!D421)*E421</f>
        <v>544358.87837783725</v>
      </c>
      <c r="I421" s="197">
        <f>E421*VLOOKUP('CHE Model poplulation'!G421,'$$$ Replace &amp; Retrofit'!$I$10:$J$15,2)</f>
        <v>77130.987132896305</v>
      </c>
      <c r="K421" s="239"/>
      <c r="L421" s="239"/>
      <c r="M421" s="239"/>
    </row>
    <row r="422" spans="1:13" ht="45" x14ac:dyDescent="0.25">
      <c r="A422" s="255" t="s">
        <v>248</v>
      </c>
      <c r="B422" s="255" t="s">
        <v>211</v>
      </c>
      <c r="C422" s="256">
        <v>2022</v>
      </c>
      <c r="D422" s="256">
        <v>300</v>
      </c>
      <c r="E422">
        <v>2.55854668354494</v>
      </c>
      <c r="F422" s="257"/>
      <c r="G422">
        <f t="shared" si="6"/>
        <v>300</v>
      </c>
      <c r="H422" s="4">
        <f>IF(B422="RTG Crane",IF(D422&lt;600,800000,1200000),VLOOKUP(B422,'$$$ Replace &amp; Retrofit'!$B$10:$C$14,2)*'CHE Model poplulation'!D422)*E422</f>
        <v>767564.00506348198</v>
      </c>
      <c r="I422" s="197">
        <f>E422*VLOOKUP('CHE Model poplulation'!G422,'$$$ Replace &amp; Retrofit'!$I$10:$J$15,2)</f>
        <v>73591.478258803108</v>
      </c>
      <c r="K422" s="239"/>
      <c r="L422" s="239"/>
      <c r="M422" s="239"/>
    </row>
    <row r="423" spans="1:13" ht="45" x14ac:dyDescent="0.25">
      <c r="A423" s="255" t="s">
        <v>248</v>
      </c>
      <c r="B423" s="255" t="s">
        <v>211</v>
      </c>
      <c r="C423" s="256">
        <v>2022</v>
      </c>
      <c r="D423" s="256">
        <v>600</v>
      </c>
      <c r="E423">
        <v>2.4328642660324999</v>
      </c>
      <c r="F423" s="257"/>
      <c r="G423">
        <f t="shared" si="6"/>
        <v>400</v>
      </c>
      <c r="H423" s="4">
        <f>IF(B423="RTG Crane",IF(D423&lt;600,800000,1200000),VLOOKUP(B423,'$$$ Replace &amp; Retrofit'!$B$10:$C$14,2)*'CHE Model poplulation'!D423)*E423</f>
        <v>1459718.5596195001</v>
      </c>
      <c r="I423" s="197">
        <f>E423*VLOOKUP('CHE Model poplulation'!G423,'$$$ Replace &amp; Retrofit'!$I$10:$J$15,2)</f>
        <v>127319.08563427882</v>
      </c>
      <c r="K423" s="239"/>
      <c r="L423" s="239"/>
      <c r="M423" s="239"/>
    </row>
    <row r="424" spans="1:13" ht="45" x14ac:dyDescent="0.25">
      <c r="A424" s="255" t="s">
        <v>248</v>
      </c>
      <c r="B424" s="255" t="s">
        <v>211</v>
      </c>
      <c r="C424" s="256">
        <v>2023</v>
      </c>
      <c r="D424" s="256">
        <v>50</v>
      </c>
      <c r="E424">
        <v>3.1193313214649199</v>
      </c>
      <c r="F424" s="257"/>
      <c r="G424">
        <f t="shared" si="6"/>
        <v>50</v>
      </c>
      <c r="H424" s="4">
        <f>IF(B424="RTG Crane",IF(D424&lt;600,800000,1200000),VLOOKUP(B424,'$$$ Replace &amp; Retrofit'!$B$10:$C$14,2)*'CHE Model poplulation'!D424)*E424</f>
        <v>155966.56607324598</v>
      </c>
      <c r="I424" s="197">
        <f>E424*VLOOKUP('CHE Model poplulation'!G424,'$$$ Replace &amp; Retrofit'!$I$10:$J$15,2)</f>
        <v>54862.799281925014</v>
      </c>
      <c r="K424" s="239"/>
      <c r="L424" s="239"/>
      <c r="M424" s="239"/>
    </row>
    <row r="425" spans="1:13" ht="45" x14ac:dyDescent="0.25">
      <c r="A425" s="255" t="s">
        <v>248</v>
      </c>
      <c r="B425" s="255" t="s">
        <v>211</v>
      </c>
      <c r="C425" s="256">
        <v>2023</v>
      </c>
      <c r="D425" s="256">
        <v>75</v>
      </c>
      <c r="E425">
        <v>1.35685501620989</v>
      </c>
      <c r="F425" s="257"/>
      <c r="G425">
        <f t="shared" si="6"/>
        <v>50</v>
      </c>
      <c r="H425" s="4">
        <f>IF(B425="RTG Crane",IF(D425&lt;600,800000,1200000),VLOOKUP(B425,'$$$ Replace &amp; Retrofit'!$B$10:$C$14,2)*'CHE Model poplulation'!D425)*E425</f>
        <v>101764.12621574175</v>
      </c>
      <c r="I425" s="197">
        <f>E425*VLOOKUP('CHE Model poplulation'!G425,'$$$ Replace &amp; Retrofit'!$I$10:$J$15,2)</f>
        <v>23864.366025099545</v>
      </c>
      <c r="K425" s="239"/>
      <c r="L425" s="239"/>
      <c r="M425" s="239"/>
    </row>
    <row r="426" spans="1:13" ht="45" x14ac:dyDescent="0.25">
      <c r="A426" s="255" t="s">
        <v>248</v>
      </c>
      <c r="B426" s="255" t="s">
        <v>211</v>
      </c>
      <c r="C426" s="256">
        <v>2023</v>
      </c>
      <c r="D426" s="256">
        <v>100</v>
      </c>
      <c r="E426">
        <v>1.7895764710988999</v>
      </c>
      <c r="F426" s="257"/>
      <c r="G426">
        <f t="shared" si="6"/>
        <v>125</v>
      </c>
      <c r="H426" s="4">
        <f>IF(B426="RTG Crane",IF(D426&lt;600,800000,1200000),VLOOKUP(B426,'$$$ Replace &amp; Retrofit'!$B$10:$C$14,2)*'CHE Model poplulation'!D426)*E426</f>
        <v>178957.64710989001</v>
      </c>
      <c r="I426" s="197">
        <f>E426*VLOOKUP('CHE Model poplulation'!G426,'$$$ Replace &amp; Retrofit'!$I$10:$J$15,2)</f>
        <v>35313.712504194591</v>
      </c>
      <c r="K426" s="239"/>
      <c r="L426" s="239"/>
      <c r="M426" s="239"/>
    </row>
    <row r="427" spans="1:13" ht="45" x14ac:dyDescent="0.25">
      <c r="A427" s="255" t="s">
        <v>248</v>
      </c>
      <c r="B427" s="255" t="s">
        <v>211</v>
      </c>
      <c r="C427" s="256">
        <v>2023</v>
      </c>
      <c r="D427" s="256">
        <v>175</v>
      </c>
      <c r="E427">
        <v>3.0963611982845798</v>
      </c>
      <c r="F427" s="257"/>
      <c r="G427">
        <f t="shared" si="6"/>
        <v>175</v>
      </c>
      <c r="H427" s="4">
        <f>IF(B427="RTG Crane",IF(D427&lt;600,800000,1200000),VLOOKUP(B427,'$$$ Replace &amp; Retrofit'!$B$10:$C$14,2)*'CHE Model poplulation'!D427)*E427</f>
        <v>541863.20969980152</v>
      </c>
      <c r="I427" s="197">
        <f>E427*VLOOKUP('CHE Model poplulation'!G427,'$$$ Replace &amp; Retrofit'!$I$10:$J$15,2)</f>
        <v>76777.372272664434</v>
      </c>
      <c r="K427" s="239"/>
      <c r="L427" s="239"/>
      <c r="M427" s="239"/>
    </row>
    <row r="428" spans="1:13" ht="45" x14ac:dyDescent="0.25">
      <c r="A428" s="255" t="s">
        <v>248</v>
      </c>
      <c r="B428" s="255" t="s">
        <v>211</v>
      </c>
      <c r="C428" s="256">
        <v>2023</v>
      </c>
      <c r="D428" s="256">
        <v>300</v>
      </c>
      <c r="E428">
        <v>2.5241730099136501</v>
      </c>
      <c r="F428" s="257"/>
      <c r="G428">
        <f t="shared" si="6"/>
        <v>300</v>
      </c>
      <c r="H428" s="4">
        <f>IF(B428="RTG Crane",IF(D428&lt;600,800000,1200000),VLOOKUP(B428,'$$$ Replace &amp; Retrofit'!$B$10:$C$14,2)*'CHE Model poplulation'!D428)*E428</f>
        <v>757251.90297409508</v>
      </c>
      <c r="I428" s="197">
        <f>E428*VLOOKUP('CHE Model poplulation'!G428,'$$$ Replace &amp; Retrofit'!$I$10:$J$15,2)</f>
        <v>72602.788284146314</v>
      </c>
      <c r="K428" s="239"/>
      <c r="L428" s="239"/>
      <c r="M428" s="239"/>
    </row>
    <row r="429" spans="1:13" ht="45" x14ac:dyDescent="0.25">
      <c r="A429" s="255" t="s">
        <v>248</v>
      </c>
      <c r="B429" s="255" t="s">
        <v>211</v>
      </c>
      <c r="C429" s="256">
        <v>2023</v>
      </c>
      <c r="D429" s="256">
        <v>600</v>
      </c>
      <c r="E429">
        <v>2.4077615847352698</v>
      </c>
      <c r="F429" s="257"/>
      <c r="G429">
        <f t="shared" si="6"/>
        <v>400</v>
      </c>
      <c r="H429" s="4">
        <f>IF(B429="RTG Crane",IF(D429&lt;600,800000,1200000),VLOOKUP(B429,'$$$ Replace &amp; Retrofit'!$B$10:$C$14,2)*'CHE Model poplulation'!D429)*E429</f>
        <v>1444656.9508411619</v>
      </c>
      <c r="I429" s="197">
        <f>E429*VLOOKUP('CHE Model poplulation'!G429,'$$$ Replace &amp; Retrofit'!$I$10:$J$15,2)</f>
        <v>126005.38701395088</v>
      </c>
      <c r="K429" s="239"/>
      <c r="L429" s="239"/>
      <c r="M429" s="239"/>
    </row>
    <row r="430" spans="1:13" ht="45" x14ac:dyDescent="0.25">
      <c r="A430" s="255" t="s">
        <v>248</v>
      </c>
      <c r="B430" s="255" t="s">
        <v>211</v>
      </c>
      <c r="C430" s="256">
        <v>2024</v>
      </c>
      <c r="D430" s="256">
        <v>50</v>
      </c>
      <c r="E430">
        <v>3.0416390480501398</v>
      </c>
      <c r="F430" s="257"/>
      <c r="G430">
        <f t="shared" si="6"/>
        <v>50</v>
      </c>
      <c r="H430" s="4">
        <f>IF(B430="RTG Crane",IF(D430&lt;600,800000,1200000),VLOOKUP(B430,'$$$ Replace &amp; Retrofit'!$B$10:$C$14,2)*'CHE Model poplulation'!D430)*E430</f>
        <v>152081.95240250698</v>
      </c>
      <c r="I430" s="197">
        <f>E430*VLOOKUP('CHE Model poplulation'!G430,'$$$ Replace &amp; Retrofit'!$I$10:$J$15,2)</f>
        <v>53496.347577105858</v>
      </c>
      <c r="K430" s="239"/>
      <c r="L430" s="239"/>
      <c r="M430" s="239"/>
    </row>
    <row r="431" spans="1:13" ht="45" x14ac:dyDescent="0.25">
      <c r="A431" s="255" t="s">
        <v>248</v>
      </c>
      <c r="B431" s="255" t="s">
        <v>211</v>
      </c>
      <c r="C431" s="256">
        <v>2024</v>
      </c>
      <c r="D431" s="256">
        <v>75</v>
      </c>
      <c r="E431">
        <v>1.33467815678548</v>
      </c>
      <c r="F431" s="257"/>
      <c r="G431">
        <f t="shared" si="6"/>
        <v>50</v>
      </c>
      <c r="H431" s="4">
        <f>IF(B431="RTG Crane",IF(D431&lt;600,800000,1200000),VLOOKUP(B431,'$$$ Replace &amp; Retrofit'!$B$10:$C$14,2)*'CHE Model poplulation'!D431)*E431</f>
        <v>100100.86175891099</v>
      </c>
      <c r="I431" s="197">
        <f>E431*VLOOKUP('CHE Model poplulation'!G431,'$$$ Replace &amp; Retrofit'!$I$10:$J$15,2)</f>
        <v>23474.319421543023</v>
      </c>
      <c r="K431" s="239"/>
      <c r="L431" s="239"/>
      <c r="M431" s="239"/>
    </row>
    <row r="432" spans="1:13" ht="45" x14ac:dyDescent="0.25">
      <c r="A432" s="255" t="s">
        <v>248</v>
      </c>
      <c r="B432" s="255" t="s">
        <v>211</v>
      </c>
      <c r="C432" s="256">
        <v>2024</v>
      </c>
      <c r="D432" s="256">
        <v>100</v>
      </c>
      <c r="E432">
        <v>1.74701364406542</v>
      </c>
      <c r="F432" s="257"/>
      <c r="G432">
        <f t="shared" si="6"/>
        <v>125</v>
      </c>
      <c r="H432" s="4">
        <f>IF(B432="RTG Crane",IF(D432&lt;600,800000,1200000),VLOOKUP(B432,'$$$ Replace &amp; Retrofit'!$B$10:$C$14,2)*'CHE Model poplulation'!D432)*E432</f>
        <v>174701.36440654201</v>
      </c>
      <c r="I432" s="197">
        <f>E432*VLOOKUP('CHE Model poplulation'!G432,'$$$ Replace &amp; Retrofit'!$I$10:$J$15,2)</f>
        <v>34473.820238342931</v>
      </c>
      <c r="K432" s="239"/>
      <c r="L432" s="239"/>
      <c r="M432" s="239"/>
    </row>
    <row r="433" spans="1:13" ht="45" x14ac:dyDescent="0.25">
      <c r="A433" s="255" t="s">
        <v>248</v>
      </c>
      <c r="B433" s="255" t="s">
        <v>211</v>
      </c>
      <c r="C433" s="256">
        <v>2024</v>
      </c>
      <c r="D433" s="256">
        <v>175</v>
      </c>
      <c r="E433">
        <v>3.0752523453518901</v>
      </c>
      <c r="F433" s="257"/>
      <c r="G433">
        <f t="shared" si="6"/>
        <v>175</v>
      </c>
      <c r="H433" s="4">
        <f>IF(B433="RTG Crane",IF(D433&lt;600,800000,1200000),VLOOKUP(B433,'$$$ Replace &amp; Retrofit'!$B$10:$C$14,2)*'CHE Model poplulation'!D433)*E433</f>
        <v>538169.16043658077</v>
      </c>
      <c r="I433" s="197">
        <f>E433*VLOOKUP('CHE Model poplulation'!G433,'$$$ Replace &amp; Retrofit'!$I$10:$J$15,2)</f>
        <v>76253.957155345473</v>
      </c>
      <c r="K433" s="239"/>
      <c r="L433" s="239"/>
      <c r="M433" s="239"/>
    </row>
    <row r="434" spans="1:13" ht="45" x14ac:dyDescent="0.25">
      <c r="A434" s="255" t="s">
        <v>248</v>
      </c>
      <c r="B434" s="255" t="s">
        <v>211</v>
      </c>
      <c r="C434" s="256">
        <v>2024</v>
      </c>
      <c r="D434" s="256">
        <v>300</v>
      </c>
      <c r="E434">
        <v>2.4660864145286698</v>
      </c>
      <c r="F434" s="257"/>
      <c r="G434">
        <f t="shared" si="6"/>
        <v>300</v>
      </c>
      <c r="H434" s="4">
        <f>IF(B434="RTG Crane",IF(D434&lt;600,800000,1200000),VLOOKUP(B434,'$$$ Replace &amp; Retrofit'!$B$10:$C$14,2)*'CHE Model poplulation'!D434)*E434</f>
        <v>739825.92435860098</v>
      </c>
      <c r="I434" s="197">
        <f>E434*VLOOKUP('CHE Model poplulation'!G434,'$$$ Replace &amp; Retrofit'!$I$10:$J$15,2)</f>
        <v>70932.043541088133</v>
      </c>
      <c r="K434" s="239"/>
      <c r="L434" s="239"/>
      <c r="M434" s="239"/>
    </row>
    <row r="435" spans="1:13" ht="45" x14ac:dyDescent="0.25">
      <c r="A435" s="255" t="s">
        <v>248</v>
      </c>
      <c r="B435" s="255" t="s">
        <v>211</v>
      </c>
      <c r="C435" s="256">
        <v>2024</v>
      </c>
      <c r="D435" s="256">
        <v>600</v>
      </c>
      <c r="E435">
        <v>2.3769687056833</v>
      </c>
      <c r="F435" s="257"/>
      <c r="G435">
        <f t="shared" si="6"/>
        <v>400</v>
      </c>
      <c r="H435" s="4">
        <f>IF(B435="RTG Crane",IF(D435&lt;600,800000,1200000),VLOOKUP(B435,'$$$ Replace &amp; Retrofit'!$B$10:$C$14,2)*'CHE Model poplulation'!D435)*E435</f>
        <v>1426181.2234099801</v>
      </c>
      <c r="I435" s="197">
        <f>E435*VLOOKUP('CHE Model poplulation'!G435,'$$$ Replace &amp; Retrofit'!$I$10:$J$15,2)</f>
        <v>124393.90327452414</v>
      </c>
      <c r="K435" s="239"/>
      <c r="L435" s="239"/>
      <c r="M435" s="239"/>
    </row>
    <row r="436" spans="1:13" ht="45" x14ac:dyDescent="0.25">
      <c r="A436" s="255" t="s">
        <v>248</v>
      </c>
      <c r="B436" s="255" t="s">
        <v>211</v>
      </c>
      <c r="C436" s="256">
        <v>2025</v>
      </c>
      <c r="D436" s="256">
        <v>50</v>
      </c>
      <c r="E436">
        <v>2.9772553860597002</v>
      </c>
      <c r="F436" s="257"/>
      <c r="G436">
        <f t="shared" si="6"/>
        <v>50</v>
      </c>
      <c r="H436" s="4">
        <f>IF(B436="RTG Crane",IF(D436&lt;600,800000,1200000),VLOOKUP(B436,'$$$ Replace &amp; Retrofit'!$B$10:$C$14,2)*'CHE Model poplulation'!D436)*E436</f>
        <v>148862.76930298502</v>
      </c>
      <c r="I436" s="197">
        <f>E436*VLOOKUP('CHE Model poplulation'!G436,'$$$ Replace &amp; Retrofit'!$I$10:$J$15,2)</f>
        <v>52363.967730018005</v>
      </c>
      <c r="K436" s="239"/>
      <c r="L436" s="239"/>
      <c r="M436" s="239"/>
    </row>
    <row r="437" spans="1:13" ht="45" x14ac:dyDescent="0.25">
      <c r="A437" s="255" t="s">
        <v>248</v>
      </c>
      <c r="B437" s="255" t="s">
        <v>211</v>
      </c>
      <c r="C437" s="256">
        <v>2025</v>
      </c>
      <c r="D437" s="256">
        <v>75</v>
      </c>
      <c r="E437">
        <v>1.3099090115566401</v>
      </c>
      <c r="F437" s="257"/>
      <c r="G437">
        <f t="shared" si="6"/>
        <v>50</v>
      </c>
      <c r="H437" s="4">
        <f>IF(B437="RTG Crane",IF(D437&lt;600,800000,1200000),VLOOKUP(B437,'$$$ Replace &amp; Retrofit'!$B$10:$C$14,2)*'CHE Model poplulation'!D437)*E437</f>
        <v>98243.175866748003</v>
      </c>
      <c r="I437" s="197">
        <f>E437*VLOOKUP('CHE Model poplulation'!G437,'$$$ Replace &amp; Retrofit'!$I$10:$J$15,2)</f>
        <v>23038.679695258186</v>
      </c>
      <c r="K437" s="239"/>
      <c r="L437" s="239"/>
      <c r="M437" s="239"/>
    </row>
    <row r="438" spans="1:13" ht="45" x14ac:dyDescent="0.25">
      <c r="A438" s="255" t="s">
        <v>248</v>
      </c>
      <c r="B438" s="255" t="s">
        <v>211</v>
      </c>
      <c r="C438" s="256">
        <v>2025</v>
      </c>
      <c r="D438" s="256">
        <v>100</v>
      </c>
      <c r="E438">
        <v>1.7079247226344101</v>
      </c>
      <c r="F438" s="257"/>
      <c r="G438">
        <f t="shared" si="6"/>
        <v>125</v>
      </c>
      <c r="H438" s="4">
        <f>IF(B438="RTG Crane",IF(D438&lt;600,800000,1200000),VLOOKUP(B438,'$$$ Replace &amp; Retrofit'!$B$10:$C$14,2)*'CHE Model poplulation'!D438)*E438</f>
        <v>170792.47226344101</v>
      </c>
      <c r="I438" s="197">
        <f>E438*VLOOKUP('CHE Model poplulation'!G438,'$$$ Replace &amp; Retrofit'!$I$10:$J$15,2)</f>
        <v>33702.478551744811</v>
      </c>
      <c r="K438" s="239"/>
      <c r="L438" s="239"/>
      <c r="M438" s="239"/>
    </row>
    <row r="439" spans="1:13" ht="45" x14ac:dyDescent="0.25">
      <c r="A439" s="255" t="s">
        <v>248</v>
      </c>
      <c r="B439" s="255" t="s">
        <v>211</v>
      </c>
      <c r="C439" s="256">
        <v>2025</v>
      </c>
      <c r="D439" s="256">
        <v>175</v>
      </c>
      <c r="E439">
        <v>3.0652387395630201</v>
      </c>
      <c r="F439" s="257"/>
      <c r="G439">
        <f t="shared" si="6"/>
        <v>175</v>
      </c>
      <c r="H439" s="4">
        <f>IF(B439="RTG Crane",IF(D439&lt;600,800000,1200000),VLOOKUP(B439,'$$$ Replace &amp; Retrofit'!$B$10:$C$14,2)*'CHE Model poplulation'!D439)*E439</f>
        <v>536416.77942352847</v>
      </c>
      <c r="I439" s="197">
        <f>E439*VLOOKUP('CHE Model poplulation'!G439,'$$$ Replace &amp; Retrofit'!$I$10:$J$15,2)</f>
        <v>76005.659786204647</v>
      </c>
      <c r="K439" s="239"/>
      <c r="L439" s="239"/>
      <c r="M439" s="239"/>
    </row>
    <row r="440" spans="1:13" ht="45" x14ac:dyDescent="0.25">
      <c r="A440" s="255" t="s">
        <v>248</v>
      </c>
      <c r="B440" s="255" t="s">
        <v>211</v>
      </c>
      <c r="C440" s="256">
        <v>2025</v>
      </c>
      <c r="D440" s="256">
        <v>300</v>
      </c>
      <c r="E440">
        <v>2.4216015238944202</v>
      </c>
      <c r="F440" s="257"/>
      <c r="G440">
        <f t="shared" si="6"/>
        <v>300</v>
      </c>
      <c r="H440" s="4">
        <f>IF(B440="RTG Crane",IF(D440&lt;600,800000,1200000),VLOOKUP(B440,'$$$ Replace &amp; Retrofit'!$B$10:$C$14,2)*'CHE Model poplulation'!D440)*E440</f>
        <v>726480.45716832601</v>
      </c>
      <c r="I440" s="197">
        <f>E440*VLOOKUP('CHE Model poplulation'!G440,'$$$ Replace &amp; Retrofit'!$I$10:$J$15,2)</f>
        <v>69652.524631775203</v>
      </c>
      <c r="K440" s="239"/>
      <c r="L440" s="239"/>
      <c r="M440" s="239"/>
    </row>
    <row r="441" spans="1:13" ht="45" x14ac:dyDescent="0.25">
      <c r="A441" s="255" t="s">
        <v>248</v>
      </c>
      <c r="B441" s="255" t="s">
        <v>211</v>
      </c>
      <c r="C441" s="256">
        <v>2025</v>
      </c>
      <c r="D441" s="256">
        <v>600</v>
      </c>
      <c r="E441">
        <v>2.3370887368806601</v>
      </c>
      <c r="F441" s="257"/>
      <c r="G441">
        <f t="shared" si="6"/>
        <v>400</v>
      </c>
      <c r="H441" s="4">
        <f>IF(B441="RTG Crane",IF(D441&lt;600,800000,1200000),VLOOKUP(B441,'$$$ Replace &amp; Retrofit'!$B$10:$C$14,2)*'CHE Model poplulation'!D441)*E441</f>
        <v>1402253.2421283962</v>
      </c>
      <c r="I441" s="197">
        <f>E441*VLOOKUP('CHE Model poplulation'!G441,'$$$ Replace &amp; Retrofit'!$I$10:$J$15,2)</f>
        <v>122306.86486717558</v>
      </c>
      <c r="K441" s="239"/>
      <c r="L441" s="239"/>
      <c r="M441" s="239"/>
    </row>
    <row r="442" spans="1:13" x14ac:dyDescent="0.25">
      <c r="A442" s="255" t="s">
        <v>248</v>
      </c>
      <c r="B442" s="255" t="s">
        <v>212</v>
      </c>
      <c r="C442" s="256">
        <v>2006</v>
      </c>
      <c r="D442" s="256">
        <v>100</v>
      </c>
      <c r="E442">
        <v>0</v>
      </c>
      <c r="F442" s="257"/>
      <c r="H442" s="239"/>
      <c r="I442" s="4"/>
      <c r="K442" s="239"/>
      <c r="L442" s="239"/>
      <c r="M442" s="239"/>
    </row>
    <row r="443" spans="1:13" x14ac:dyDescent="0.25">
      <c r="A443" s="255" t="s">
        <v>248</v>
      </c>
      <c r="B443" s="255" t="s">
        <v>212</v>
      </c>
      <c r="C443" s="256">
        <v>2006</v>
      </c>
      <c r="D443" s="256">
        <v>300</v>
      </c>
      <c r="E443">
        <v>0</v>
      </c>
      <c r="F443" s="257"/>
      <c r="H443" s="239"/>
      <c r="I443" s="4"/>
      <c r="K443" s="239"/>
      <c r="L443" s="239"/>
      <c r="M443" s="239"/>
    </row>
    <row r="444" spans="1:13" x14ac:dyDescent="0.25">
      <c r="A444" s="255" t="s">
        <v>248</v>
      </c>
      <c r="B444" s="255" t="s">
        <v>212</v>
      </c>
      <c r="C444" s="256">
        <v>2006</v>
      </c>
      <c r="D444" s="256">
        <v>600</v>
      </c>
      <c r="E444">
        <v>0</v>
      </c>
      <c r="F444" s="257"/>
      <c r="H444" s="239"/>
      <c r="I444" s="4"/>
      <c r="K444" s="239"/>
      <c r="L444" s="239"/>
      <c r="M444" s="239"/>
    </row>
    <row r="445" spans="1:13" x14ac:dyDescent="0.25">
      <c r="A445" s="255" t="s">
        <v>248</v>
      </c>
      <c r="B445" s="255" t="s">
        <v>212</v>
      </c>
      <c r="C445" s="256">
        <v>2006</v>
      </c>
      <c r="D445" s="256">
        <v>750</v>
      </c>
      <c r="E445">
        <v>0</v>
      </c>
      <c r="F445" s="257"/>
      <c r="H445" s="239"/>
      <c r="I445" s="4"/>
      <c r="K445" s="239"/>
      <c r="L445" s="239"/>
      <c r="M445" s="239"/>
    </row>
    <row r="446" spans="1:13" x14ac:dyDescent="0.25">
      <c r="A446" s="255" t="s">
        <v>248</v>
      </c>
      <c r="B446" s="255" t="s">
        <v>212</v>
      </c>
      <c r="C446" s="256">
        <v>2006</v>
      </c>
      <c r="D446" s="256">
        <v>9999</v>
      </c>
      <c r="E446">
        <v>0</v>
      </c>
      <c r="F446" s="257"/>
      <c r="H446" s="239"/>
      <c r="I446" s="4"/>
      <c r="K446" s="239"/>
      <c r="L446" s="239"/>
      <c r="M446" s="239"/>
    </row>
    <row r="447" spans="1:13" x14ac:dyDescent="0.25">
      <c r="A447" s="255" t="s">
        <v>248</v>
      </c>
      <c r="B447" s="255" t="s">
        <v>212</v>
      </c>
      <c r="C447" s="256">
        <v>2007</v>
      </c>
      <c r="D447" s="256">
        <v>100</v>
      </c>
      <c r="E447">
        <v>0</v>
      </c>
      <c r="F447" s="257"/>
      <c r="H447" s="239"/>
      <c r="I447" s="4"/>
      <c r="K447" s="239"/>
      <c r="L447" s="239"/>
      <c r="M447" s="239"/>
    </row>
    <row r="448" spans="1:13" x14ac:dyDescent="0.25">
      <c r="A448" s="255" t="s">
        <v>248</v>
      </c>
      <c r="B448" s="255" t="s">
        <v>212</v>
      </c>
      <c r="C448" s="256">
        <v>2007</v>
      </c>
      <c r="D448" s="256">
        <v>300</v>
      </c>
      <c r="E448">
        <v>0</v>
      </c>
      <c r="F448" s="257"/>
      <c r="H448" s="239"/>
      <c r="I448" s="4"/>
      <c r="K448" s="239"/>
      <c r="L448" s="239"/>
      <c r="M448" s="239"/>
    </row>
    <row r="449" spans="1:13" x14ac:dyDescent="0.25">
      <c r="A449" s="255" t="s">
        <v>248</v>
      </c>
      <c r="B449" s="255" t="s">
        <v>212</v>
      </c>
      <c r="C449" s="256">
        <v>2007</v>
      </c>
      <c r="D449" s="256">
        <v>600</v>
      </c>
      <c r="E449">
        <v>0</v>
      </c>
      <c r="F449" s="257"/>
      <c r="H449" s="239"/>
      <c r="I449" s="4"/>
      <c r="K449" s="239"/>
      <c r="L449" s="239"/>
      <c r="M449" s="239"/>
    </row>
    <row r="450" spans="1:13" x14ac:dyDescent="0.25">
      <c r="A450" s="255" t="s">
        <v>248</v>
      </c>
      <c r="B450" s="255" t="s">
        <v>212</v>
      </c>
      <c r="C450" s="256">
        <v>2007</v>
      </c>
      <c r="D450" s="256">
        <v>750</v>
      </c>
      <c r="E450">
        <v>0</v>
      </c>
      <c r="F450" s="257"/>
      <c r="H450" s="239"/>
      <c r="I450" s="4"/>
      <c r="K450" s="239"/>
      <c r="L450" s="239"/>
      <c r="M450" s="239"/>
    </row>
    <row r="451" spans="1:13" x14ac:dyDescent="0.25">
      <c r="A451" s="255" t="s">
        <v>248</v>
      </c>
      <c r="B451" s="255" t="s">
        <v>212</v>
      </c>
      <c r="C451" s="256">
        <v>2007</v>
      </c>
      <c r="D451" s="256">
        <v>9999</v>
      </c>
      <c r="E451">
        <v>0</v>
      </c>
      <c r="F451" s="257"/>
      <c r="H451" s="239"/>
      <c r="I451" s="4"/>
      <c r="K451" s="239"/>
      <c r="L451" s="239"/>
      <c r="M451" s="239"/>
    </row>
    <row r="452" spans="1:13" x14ac:dyDescent="0.25">
      <c r="A452" s="255" t="s">
        <v>248</v>
      </c>
      <c r="B452" s="255" t="s">
        <v>212</v>
      </c>
      <c r="C452" s="256">
        <v>2008</v>
      </c>
      <c r="D452" s="256">
        <v>100</v>
      </c>
      <c r="E452">
        <v>0</v>
      </c>
      <c r="F452" s="257"/>
      <c r="H452" s="239"/>
      <c r="I452" s="4"/>
      <c r="K452" s="239"/>
      <c r="L452" s="239"/>
      <c r="M452" s="239"/>
    </row>
    <row r="453" spans="1:13" x14ac:dyDescent="0.25">
      <c r="A453" s="255" t="s">
        <v>248</v>
      </c>
      <c r="B453" s="255" t="s">
        <v>212</v>
      </c>
      <c r="C453" s="256">
        <v>2008</v>
      </c>
      <c r="D453" s="256">
        <v>300</v>
      </c>
      <c r="E453">
        <v>0</v>
      </c>
      <c r="F453" s="257"/>
      <c r="H453" s="239"/>
      <c r="I453" s="4"/>
      <c r="K453" s="239"/>
      <c r="L453" s="239"/>
      <c r="M453" s="239"/>
    </row>
    <row r="454" spans="1:13" x14ac:dyDescent="0.25">
      <c r="A454" s="255" t="s">
        <v>248</v>
      </c>
      <c r="B454" s="255" t="s">
        <v>212</v>
      </c>
      <c r="C454" s="256">
        <v>2008</v>
      </c>
      <c r="D454" s="256">
        <v>600</v>
      </c>
      <c r="E454">
        <v>0</v>
      </c>
      <c r="F454" s="257"/>
      <c r="H454" s="239"/>
      <c r="I454" s="4"/>
      <c r="K454" s="239"/>
      <c r="L454" s="239"/>
      <c r="M454" s="239"/>
    </row>
    <row r="455" spans="1:13" x14ac:dyDescent="0.25">
      <c r="A455" s="255" t="s">
        <v>248</v>
      </c>
      <c r="B455" s="255" t="s">
        <v>212</v>
      </c>
      <c r="C455" s="256">
        <v>2008</v>
      </c>
      <c r="D455" s="256">
        <v>750</v>
      </c>
      <c r="E455">
        <v>0</v>
      </c>
      <c r="F455" s="257"/>
      <c r="H455" s="239"/>
      <c r="I455" s="4"/>
      <c r="K455" s="239"/>
      <c r="L455" s="239"/>
      <c r="M455" s="239"/>
    </row>
    <row r="456" spans="1:13" x14ac:dyDescent="0.25">
      <c r="A456" s="255" t="s">
        <v>248</v>
      </c>
      <c r="B456" s="255" t="s">
        <v>212</v>
      </c>
      <c r="C456" s="256">
        <v>2008</v>
      </c>
      <c r="D456" s="256">
        <v>9999</v>
      </c>
      <c r="E456">
        <v>0</v>
      </c>
      <c r="F456" s="257"/>
      <c r="H456" s="239"/>
      <c r="I456" s="4"/>
      <c r="K456" s="239"/>
      <c r="L456" s="239"/>
      <c r="M456" s="239"/>
    </row>
    <row r="457" spans="1:13" x14ac:dyDescent="0.25">
      <c r="A457" s="255" t="s">
        <v>248</v>
      </c>
      <c r="B457" s="255" t="s">
        <v>212</v>
      </c>
      <c r="C457" s="256">
        <v>2009</v>
      </c>
      <c r="D457" s="256">
        <v>100</v>
      </c>
      <c r="E457">
        <v>0</v>
      </c>
      <c r="F457" s="257"/>
      <c r="H457" s="239"/>
      <c r="I457" s="4"/>
      <c r="K457" s="239"/>
      <c r="L457" s="239"/>
      <c r="M457" s="239"/>
    </row>
    <row r="458" spans="1:13" x14ac:dyDescent="0.25">
      <c r="A458" s="255" t="s">
        <v>248</v>
      </c>
      <c r="B458" s="255" t="s">
        <v>212</v>
      </c>
      <c r="C458" s="256">
        <v>2009</v>
      </c>
      <c r="D458" s="256">
        <v>300</v>
      </c>
      <c r="E458">
        <v>0</v>
      </c>
      <c r="F458" s="257"/>
      <c r="H458" s="239"/>
      <c r="I458" s="4"/>
      <c r="K458" s="239"/>
      <c r="L458" s="239"/>
      <c r="M458" s="239"/>
    </row>
    <row r="459" spans="1:13" x14ac:dyDescent="0.25">
      <c r="A459" s="255" t="s">
        <v>248</v>
      </c>
      <c r="B459" s="255" t="s">
        <v>212</v>
      </c>
      <c r="C459" s="256">
        <v>2009</v>
      </c>
      <c r="D459" s="256">
        <v>600</v>
      </c>
      <c r="E459">
        <v>0</v>
      </c>
      <c r="F459" s="257"/>
      <c r="H459" s="239"/>
      <c r="I459" s="4"/>
      <c r="K459" s="239"/>
      <c r="L459" s="239"/>
      <c r="M459" s="239"/>
    </row>
    <row r="460" spans="1:13" x14ac:dyDescent="0.25">
      <c r="A460" s="255" t="s">
        <v>248</v>
      </c>
      <c r="B460" s="255" t="s">
        <v>212</v>
      </c>
      <c r="C460" s="256">
        <v>2009</v>
      </c>
      <c r="D460" s="256">
        <v>750</v>
      </c>
      <c r="E460">
        <v>0</v>
      </c>
      <c r="F460" s="257"/>
      <c r="H460" s="239"/>
      <c r="I460" s="4"/>
      <c r="K460" s="239"/>
      <c r="L460" s="239"/>
      <c r="M460" s="239"/>
    </row>
    <row r="461" spans="1:13" x14ac:dyDescent="0.25">
      <c r="A461" s="255" t="s">
        <v>248</v>
      </c>
      <c r="B461" s="255" t="s">
        <v>212</v>
      </c>
      <c r="C461" s="256">
        <v>2009</v>
      </c>
      <c r="D461" s="256">
        <v>9999</v>
      </c>
      <c r="E461">
        <v>0</v>
      </c>
      <c r="F461" s="257"/>
      <c r="H461" s="239"/>
      <c r="I461" s="4"/>
      <c r="K461" s="239"/>
      <c r="L461" s="239"/>
      <c r="M461" s="239"/>
    </row>
    <row r="462" spans="1:13" x14ac:dyDescent="0.25">
      <c r="A462" s="255" t="s">
        <v>248</v>
      </c>
      <c r="B462" s="255" t="s">
        <v>212</v>
      </c>
      <c r="C462" s="256">
        <v>2010</v>
      </c>
      <c r="D462" s="256">
        <v>100</v>
      </c>
      <c r="E462">
        <v>0</v>
      </c>
      <c r="F462" s="257"/>
      <c r="H462" s="239"/>
      <c r="I462" s="4"/>
      <c r="K462" s="239"/>
      <c r="L462" s="239"/>
      <c r="M462" s="239"/>
    </row>
    <row r="463" spans="1:13" x14ac:dyDescent="0.25">
      <c r="A463" s="255" t="s">
        <v>248</v>
      </c>
      <c r="B463" s="255" t="s">
        <v>212</v>
      </c>
      <c r="C463" s="256">
        <v>2010</v>
      </c>
      <c r="D463" s="256">
        <v>300</v>
      </c>
      <c r="E463">
        <v>0</v>
      </c>
      <c r="F463" s="257"/>
      <c r="H463" s="239"/>
      <c r="I463" s="4"/>
      <c r="K463" s="239"/>
      <c r="L463" s="239"/>
      <c r="M463" s="239"/>
    </row>
    <row r="464" spans="1:13" x14ac:dyDescent="0.25">
      <c r="A464" s="255" t="s">
        <v>248</v>
      </c>
      <c r="B464" s="255" t="s">
        <v>212</v>
      </c>
      <c r="C464" s="256">
        <v>2010</v>
      </c>
      <c r="D464" s="256">
        <v>600</v>
      </c>
      <c r="E464">
        <v>0</v>
      </c>
      <c r="F464" s="257"/>
      <c r="H464" s="239"/>
      <c r="I464" s="4"/>
      <c r="K464" s="239"/>
      <c r="L464" s="239"/>
      <c r="M464" s="239"/>
    </row>
    <row r="465" spans="1:13" x14ac:dyDescent="0.25">
      <c r="A465" s="255" t="s">
        <v>248</v>
      </c>
      <c r="B465" s="255" t="s">
        <v>212</v>
      </c>
      <c r="C465" s="256">
        <v>2010</v>
      </c>
      <c r="D465" s="256">
        <v>750</v>
      </c>
      <c r="E465">
        <v>0</v>
      </c>
      <c r="F465" s="257"/>
      <c r="H465" s="239"/>
      <c r="I465" s="4"/>
      <c r="K465" s="239"/>
      <c r="L465" s="239"/>
      <c r="M465" s="239"/>
    </row>
    <row r="466" spans="1:13" x14ac:dyDescent="0.25">
      <c r="A466" s="255" t="s">
        <v>248</v>
      </c>
      <c r="B466" s="255" t="s">
        <v>212</v>
      </c>
      <c r="C466" s="256">
        <v>2010</v>
      </c>
      <c r="D466" s="256">
        <v>9999</v>
      </c>
      <c r="E466">
        <v>0</v>
      </c>
      <c r="F466" s="257"/>
      <c r="H466" s="239"/>
      <c r="I466" s="4"/>
      <c r="K466" s="239"/>
      <c r="L466" s="239"/>
      <c r="M466" s="239"/>
    </row>
    <row r="467" spans="1:13" x14ac:dyDescent="0.25">
      <c r="A467" s="255" t="s">
        <v>248</v>
      </c>
      <c r="B467" s="255" t="s">
        <v>212</v>
      </c>
      <c r="C467" s="256">
        <v>2011</v>
      </c>
      <c r="D467" s="256">
        <v>100</v>
      </c>
      <c r="E467">
        <v>0</v>
      </c>
      <c r="F467" s="257"/>
      <c r="G467">
        <f t="shared" ref="G467:G530" si="7">IF(OR(D467=50,D467=75),50,IF(OR(D467=100,D467=125),125,IF(D467&gt;=400,400,D467)))</f>
        <v>125</v>
      </c>
      <c r="H467" s="4">
        <f>IF(B467="RTG Crane",IF(D467&lt;600,800000,1200000),VLOOKUP(B467,'$$$ Replace &amp; Retrofit'!$B$10:$C$14,2)*'CHE Model poplulation'!D467)*E467</f>
        <v>0</v>
      </c>
      <c r="I467" s="197">
        <f>E467*VLOOKUP('CHE Model poplulation'!G467,'$$$ Replace &amp; Retrofit'!$I$10:$J$15,2)</f>
        <v>0</v>
      </c>
      <c r="K467" s="239"/>
      <c r="L467" s="239"/>
      <c r="M467" s="239"/>
    </row>
    <row r="468" spans="1:13" x14ac:dyDescent="0.25">
      <c r="A468" s="255" t="s">
        <v>248</v>
      </c>
      <c r="B468" s="255" t="s">
        <v>212</v>
      </c>
      <c r="C468" s="256">
        <v>2011</v>
      </c>
      <c r="D468" s="256">
        <v>300</v>
      </c>
      <c r="E468">
        <v>0</v>
      </c>
      <c r="F468" s="257"/>
      <c r="G468">
        <f t="shared" si="7"/>
        <v>300</v>
      </c>
      <c r="H468" s="4">
        <f>IF(B468="RTG Crane",IF(D468&lt;600,800000,1200000),VLOOKUP(B468,'$$$ Replace &amp; Retrofit'!$B$10:$C$14,2)*'CHE Model poplulation'!D468)*E468</f>
        <v>0</v>
      </c>
      <c r="I468" s="197">
        <f>E468*VLOOKUP('CHE Model poplulation'!G468,'$$$ Replace &amp; Retrofit'!$I$10:$J$15,2)</f>
        <v>0</v>
      </c>
      <c r="K468" s="239"/>
      <c r="L468" s="239"/>
      <c r="M468" s="239"/>
    </row>
    <row r="469" spans="1:13" x14ac:dyDescent="0.25">
      <c r="A469" s="255" t="s">
        <v>248</v>
      </c>
      <c r="B469" s="255" t="s">
        <v>212</v>
      </c>
      <c r="C469" s="256">
        <v>2011</v>
      </c>
      <c r="D469" s="256">
        <v>600</v>
      </c>
      <c r="E469">
        <v>0</v>
      </c>
      <c r="F469" s="257"/>
      <c r="G469">
        <f t="shared" si="7"/>
        <v>400</v>
      </c>
      <c r="H469" s="4">
        <f>IF(B469="RTG Crane",IF(D469&lt;600,800000,1200000),VLOOKUP(B469,'$$$ Replace &amp; Retrofit'!$B$10:$C$14,2)*'CHE Model poplulation'!D469)*E469</f>
        <v>0</v>
      </c>
      <c r="I469" s="197">
        <f>E469*VLOOKUP('CHE Model poplulation'!G469,'$$$ Replace &amp; Retrofit'!$I$10:$J$15,2)</f>
        <v>0</v>
      </c>
      <c r="K469" s="239"/>
      <c r="L469" s="239"/>
      <c r="M469" s="239"/>
    </row>
    <row r="470" spans="1:13" x14ac:dyDescent="0.25">
      <c r="A470" s="255" t="s">
        <v>248</v>
      </c>
      <c r="B470" s="255" t="s">
        <v>212</v>
      </c>
      <c r="C470" s="256">
        <v>2011</v>
      </c>
      <c r="D470" s="256">
        <v>750</v>
      </c>
      <c r="E470">
        <v>0</v>
      </c>
      <c r="F470" s="257"/>
      <c r="G470">
        <f t="shared" si="7"/>
        <v>400</v>
      </c>
      <c r="H470" s="4">
        <f>IF(B470="RTG Crane",IF(D470&lt;600,800000,1200000),VLOOKUP(B470,'$$$ Replace &amp; Retrofit'!$B$10:$C$14,2)*'CHE Model poplulation'!D470)*E470</f>
        <v>0</v>
      </c>
      <c r="I470" s="197">
        <f>E470*VLOOKUP('CHE Model poplulation'!G470,'$$$ Replace &amp; Retrofit'!$I$10:$J$15,2)</f>
        <v>0</v>
      </c>
      <c r="K470" s="239"/>
      <c r="L470" s="239"/>
      <c r="M470" s="239"/>
    </row>
    <row r="471" spans="1:13" x14ac:dyDescent="0.25">
      <c r="A471" s="255" t="s">
        <v>248</v>
      </c>
      <c r="B471" s="255" t="s">
        <v>212</v>
      </c>
      <c r="C471" s="256">
        <v>2011</v>
      </c>
      <c r="D471" s="256">
        <v>9999</v>
      </c>
      <c r="E471">
        <v>0</v>
      </c>
      <c r="F471" s="257"/>
      <c r="G471">
        <f t="shared" si="7"/>
        <v>400</v>
      </c>
      <c r="H471" s="4">
        <f>IF(B471="RTG Crane",IF(D471&lt;600,800000,1200000),VLOOKUP(B471,'$$$ Replace &amp; Retrofit'!$B$10:$C$14,2)*'CHE Model poplulation'!D471)*E471</f>
        <v>0</v>
      </c>
      <c r="I471" s="197">
        <f>E471*VLOOKUP('CHE Model poplulation'!G471,'$$$ Replace &amp; Retrofit'!$I$10:$J$15,2)</f>
        <v>0</v>
      </c>
      <c r="K471" s="239"/>
      <c r="L471" s="239"/>
      <c r="M471" s="239"/>
    </row>
    <row r="472" spans="1:13" x14ac:dyDescent="0.25">
      <c r="A472" s="255" t="s">
        <v>248</v>
      </c>
      <c r="B472" s="255" t="s">
        <v>212</v>
      </c>
      <c r="C472" s="256">
        <v>2012</v>
      </c>
      <c r="D472" s="256">
        <v>100</v>
      </c>
      <c r="E472">
        <v>0</v>
      </c>
      <c r="F472" s="257"/>
      <c r="G472">
        <f t="shared" si="7"/>
        <v>125</v>
      </c>
      <c r="H472" s="4">
        <f>IF(B472="RTG Crane",IF(D472&lt;600,800000,1200000),VLOOKUP(B472,'$$$ Replace &amp; Retrofit'!$B$10:$C$14,2)*'CHE Model poplulation'!D472)*E472</f>
        <v>0</v>
      </c>
      <c r="I472" s="197">
        <f>E472*VLOOKUP('CHE Model poplulation'!G472,'$$$ Replace &amp; Retrofit'!$I$10:$J$15,2)</f>
        <v>0</v>
      </c>
      <c r="K472" s="239"/>
      <c r="L472" s="239"/>
      <c r="M472" s="239"/>
    </row>
    <row r="473" spans="1:13" x14ac:dyDescent="0.25">
      <c r="A473" s="255" t="s">
        <v>248</v>
      </c>
      <c r="B473" s="255" t="s">
        <v>212</v>
      </c>
      <c r="C473" s="256">
        <v>2012</v>
      </c>
      <c r="D473" s="256">
        <v>300</v>
      </c>
      <c r="E473">
        <v>1.9989162330499</v>
      </c>
      <c r="F473" s="257"/>
      <c r="G473">
        <f t="shared" si="7"/>
        <v>300</v>
      </c>
      <c r="H473" s="4">
        <f>IF(B473="RTG Crane",IF(D473&lt;600,800000,1200000),VLOOKUP(B473,'$$$ Replace &amp; Retrofit'!$B$10:$C$14,2)*'CHE Model poplulation'!D473)*E473</f>
        <v>1599132.98643992</v>
      </c>
      <c r="I473" s="197">
        <f>E473*VLOOKUP('CHE Model poplulation'!G473,'$$$ Replace &amp; Retrofit'!$I$10:$J$15,2)</f>
        <v>57494.82761121427</v>
      </c>
      <c r="K473" s="239"/>
      <c r="L473" s="239"/>
      <c r="M473" s="239"/>
    </row>
    <row r="474" spans="1:13" x14ac:dyDescent="0.25">
      <c r="A474" s="255" t="s">
        <v>248</v>
      </c>
      <c r="B474" s="255" t="s">
        <v>212</v>
      </c>
      <c r="C474" s="256">
        <v>2012</v>
      </c>
      <c r="D474" s="256">
        <v>600</v>
      </c>
      <c r="E474">
        <v>3.7500298862782899</v>
      </c>
      <c r="F474" s="257"/>
      <c r="G474">
        <f t="shared" si="7"/>
        <v>400</v>
      </c>
      <c r="H474" s="4">
        <f>IF(B474="RTG Crane",IF(D474&lt;600,800000,1200000),VLOOKUP(B474,'$$$ Replace &amp; Retrofit'!$B$10:$C$14,2)*'CHE Model poplulation'!D474)*E474</f>
        <v>4500035.8635339476</v>
      </c>
      <c r="I474" s="197">
        <f>E474*VLOOKUP('CHE Model poplulation'!G474,'$$$ Replace &amp; Retrofit'!$I$10:$J$15,2)</f>
        <v>196250.31403860173</v>
      </c>
      <c r="K474" s="239"/>
      <c r="L474" s="239"/>
      <c r="M474" s="239"/>
    </row>
    <row r="475" spans="1:13" x14ac:dyDescent="0.25">
      <c r="A475" s="255" t="s">
        <v>248</v>
      </c>
      <c r="B475" s="255" t="s">
        <v>212</v>
      </c>
      <c r="C475" s="256">
        <v>2012</v>
      </c>
      <c r="D475" s="256">
        <v>750</v>
      </c>
      <c r="E475">
        <v>2.0347659374129901</v>
      </c>
      <c r="F475" s="257"/>
      <c r="G475">
        <f t="shared" si="7"/>
        <v>400</v>
      </c>
      <c r="H475" s="4">
        <f>IF(B475="RTG Crane",IF(D475&lt;600,800000,1200000),VLOOKUP(B475,'$$$ Replace &amp; Retrofit'!$B$10:$C$14,2)*'CHE Model poplulation'!D475)*E475</f>
        <v>2441719.124895588</v>
      </c>
      <c r="I475" s="197">
        <f>E475*VLOOKUP('CHE Model poplulation'!G475,'$$$ Replace &amp; Retrofit'!$I$10:$J$15,2)</f>
        <v>106485.40580263401</v>
      </c>
      <c r="K475" s="239"/>
      <c r="L475" s="239"/>
      <c r="M475" s="239"/>
    </row>
    <row r="476" spans="1:13" x14ac:dyDescent="0.25">
      <c r="A476" s="255" t="s">
        <v>248</v>
      </c>
      <c r="B476" s="255" t="s">
        <v>212</v>
      </c>
      <c r="C476" s="256">
        <v>2012</v>
      </c>
      <c r="D476" s="256">
        <v>9999</v>
      </c>
      <c r="E476">
        <v>0.83570359027838004</v>
      </c>
      <c r="F476" s="257"/>
      <c r="G476">
        <f t="shared" si="7"/>
        <v>400</v>
      </c>
      <c r="H476" s="4">
        <f>IF(B476="RTG Crane",IF(D476&lt;600,800000,1200000),VLOOKUP(B476,'$$$ Replace &amp; Retrofit'!$B$10:$C$14,2)*'CHE Model poplulation'!D476)*E476</f>
        <v>1002844.3083340561</v>
      </c>
      <c r="I476" s="197">
        <f>E476*VLOOKUP('CHE Model poplulation'!G476,'$$$ Replace &amp; Retrofit'!$I$10:$J$15,2)</f>
        <v>43734.875990038461</v>
      </c>
      <c r="K476" s="239"/>
      <c r="L476" s="239"/>
      <c r="M476" s="239"/>
    </row>
    <row r="477" spans="1:13" x14ac:dyDescent="0.25">
      <c r="A477" s="255" t="s">
        <v>248</v>
      </c>
      <c r="B477" s="255" t="s">
        <v>212</v>
      </c>
      <c r="C477" s="256">
        <v>2013</v>
      </c>
      <c r="D477" s="256">
        <v>100</v>
      </c>
      <c r="E477">
        <v>2.2852425848036002E-2</v>
      </c>
      <c r="F477" s="257"/>
      <c r="G477">
        <f t="shared" si="7"/>
        <v>125</v>
      </c>
      <c r="H477" s="4">
        <f>IF(B477="RTG Crane",IF(D477&lt;600,800000,1200000),VLOOKUP(B477,'$$$ Replace &amp; Retrofit'!$B$10:$C$14,2)*'CHE Model poplulation'!D477)*E477</f>
        <v>18281.9406784288</v>
      </c>
      <c r="I477" s="197">
        <f>E477*VLOOKUP('CHE Model poplulation'!G477,'$$$ Replace &amp; Retrofit'!$I$10:$J$15,2)</f>
        <v>450.94691925929442</v>
      </c>
      <c r="K477" s="239"/>
      <c r="L477" s="239"/>
      <c r="M477" s="239"/>
    </row>
    <row r="478" spans="1:13" x14ac:dyDescent="0.25">
      <c r="A478" s="255" t="s">
        <v>248</v>
      </c>
      <c r="B478" s="255" t="s">
        <v>212</v>
      </c>
      <c r="C478" s="256">
        <v>2013</v>
      </c>
      <c r="D478" s="256">
        <v>300</v>
      </c>
      <c r="E478">
        <v>3.77093565331363</v>
      </c>
      <c r="F478" s="257"/>
      <c r="G478">
        <f t="shared" si="7"/>
        <v>300</v>
      </c>
      <c r="H478" s="4">
        <f>IF(B478="RTG Crane",IF(D478&lt;600,800000,1200000),VLOOKUP(B478,'$$$ Replace &amp; Retrofit'!$B$10:$C$14,2)*'CHE Model poplulation'!D478)*E478</f>
        <v>3016748.522650904</v>
      </c>
      <c r="I478" s="197">
        <f>E478*VLOOKUP('CHE Model poplulation'!G478,'$$$ Replace &amp; Retrofit'!$I$10:$J$15,2)</f>
        <v>108463.42219625994</v>
      </c>
      <c r="K478" s="239"/>
      <c r="L478" s="239"/>
      <c r="M478" s="239"/>
    </row>
    <row r="479" spans="1:13" x14ac:dyDescent="0.25">
      <c r="A479" s="255" t="s">
        <v>248</v>
      </c>
      <c r="B479" s="255" t="s">
        <v>212</v>
      </c>
      <c r="C479" s="256">
        <v>2013</v>
      </c>
      <c r="D479" s="256">
        <v>600</v>
      </c>
      <c r="E479">
        <v>7.45162664161455</v>
      </c>
      <c r="F479" s="257"/>
      <c r="G479">
        <f t="shared" si="7"/>
        <v>400</v>
      </c>
      <c r="H479" s="4">
        <f>IF(B479="RTG Crane",IF(D479&lt;600,800000,1200000),VLOOKUP(B479,'$$$ Replace &amp; Retrofit'!$B$10:$C$14,2)*'CHE Model poplulation'!D479)*E479</f>
        <v>8941951.9699374605</v>
      </c>
      <c r="I479" s="197">
        <f>E479*VLOOKUP('CHE Model poplulation'!G479,'$$$ Replace &amp; Retrofit'!$I$10:$J$15,2)</f>
        <v>389965.97703561425</v>
      </c>
      <c r="K479" s="239"/>
      <c r="L479" s="239"/>
      <c r="M479" s="239"/>
    </row>
    <row r="480" spans="1:13" x14ac:dyDescent="0.25">
      <c r="A480" s="255" t="s">
        <v>248</v>
      </c>
      <c r="B480" s="255" t="s">
        <v>212</v>
      </c>
      <c r="C480" s="256">
        <v>2013</v>
      </c>
      <c r="D480" s="256">
        <v>750</v>
      </c>
      <c r="E480">
        <v>4.06764243970804</v>
      </c>
      <c r="F480" s="257"/>
      <c r="G480">
        <f t="shared" si="7"/>
        <v>400</v>
      </c>
      <c r="H480" s="4">
        <f>IF(B480="RTG Crane",IF(D480&lt;600,800000,1200000),VLOOKUP(B480,'$$$ Replace &amp; Retrofit'!$B$10:$C$14,2)*'CHE Model poplulation'!D480)*E480</f>
        <v>4881170.9276496479</v>
      </c>
      <c r="I480" s="197">
        <f>E480*VLOOKUP('CHE Model poplulation'!G480,'$$$ Replace &amp; Retrofit'!$I$10:$J$15,2)</f>
        <v>212871.93179724086</v>
      </c>
      <c r="K480" s="239"/>
      <c r="L480" s="239"/>
      <c r="M480" s="239"/>
    </row>
    <row r="481" spans="1:13" x14ac:dyDescent="0.25">
      <c r="A481" s="255" t="s">
        <v>248</v>
      </c>
      <c r="B481" s="255" t="s">
        <v>212</v>
      </c>
      <c r="C481" s="256">
        <v>2013</v>
      </c>
      <c r="D481" s="256">
        <v>9999</v>
      </c>
      <c r="E481">
        <v>1.68653451674296</v>
      </c>
      <c r="F481" s="257"/>
      <c r="G481">
        <f t="shared" si="7"/>
        <v>400</v>
      </c>
      <c r="H481" s="4">
        <f>IF(B481="RTG Crane",IF(D481&lt;600,800000,1200000),VLOOKUP(B481,'$$$ Replace &amp; Retrofit'!$B$10:$C$14,2)*'CHE Model poplulation'!D481)*E481</f>
        <v>2023841.420091552</v>
      </c>
      <c r="I481" s="197">
        <f>E481*VLOOKUP('CHE Model poplulation'!G481,'$$$ Replace &amp; Retrofit'!$I$10:$J$15,2)</f>
        <v>88261.410864709324</v>
      </c>
      <c r="K481" s="239"/>
      <c r="L481" s="239"/>
      <c r="M481" s="239"/>
    </row>
    <row r="482" spans="1:13" x14ac:dyDescent="0.25">
      <c r="A482" s="255" t="s">
        <v>248</v>
      </c>
      <c r="B482" s="255" t="s">
        <v>212</v>
      </c>
      <c r="C482" s="256">
        <v>2014</v>
      </c>
      <c r="D482" s="256">
        <v>100</v>
      </c>
      <c r="E482">
        <v>4.2153949378419597E-2</v>
      </c>
      <c r="F482" s="257"/>
      <c r="G482">
        <f t="shared" si="7"/>
        <v>125</v>
      </c>
      <c r="H482" s="4">
        <f>IF(B482="RTG Crane",IF(D482&lt;600,800000,1200000),VLOOKUP(B482,'$$$ Replace &amp; Retrofit'!$B$10:$C$14,2)*'CHE Model poplulation'!D482)*E482</f>
        <v>33723.159502735674</v>
      </c>
      <c r="I482" s="197">
        <f>E482*VLOOKUP('CHE Model poplulation'!G482,'$$$ Replace &amp; Retrofit'!$I$10:$J$15,2)</f>
        <v>831.82388308435395</v>
      </c>
      <c r="K482" s="239"/>
      <c r="L482" s="239"/>
      <c r="M482" s="239"/>
    </row>
    <row r="483" spans="1:13" x14ac:dyDescent="0.25">
      <c r="A483" s="255" t="s">
        <v>248</v>
      </c>
      <c r="B483" s="255" t="s">
        <v>212</v>
      </c>
      <c r="C483" s="256">
        <v>2014</v>
      </c>
      <c r="D483" s="256">
        <v>300</v>
      </c>
      <c r="E483">
        <v>6.4023904907842697</v>
      </c>
      <c r="F483" s="257"/>
      <c r="G483">
        <f t="shared" si="7"/>
        <v>300</v>
      </c>
      <c r="H483" s="4">
        <f>IF(B483="RTG Crane",IF(D483&lt;600,800000,1200000),VLOOKUP(B483,'$$$ Replace &amp; Retrofit'!$B$10:$C$14,2)*'CHE Model poplulation'!D483)*E483</f>
        <v>5121912.3926274162</v>
      </c>
      <c r="I483" s="197">
        <f>E483*VLOOKUP('CHE Model poplulation'!G483,'$$$ Replace &amp; Retrofit'!$I$10:$J$15,2)</f>
        <v>184151.95768642795</v>
      </c>
      <c r="K483" s="239"/>
      <c r="L483" s="239"/>
      <c r="M483" s="239"/>
    </row>
    <row r="484" spans="1:13" x14ac:dyDescent="0.25">
      <c r="A484" s="255" t="s">
        <v>248</v>
      </c>
      <c r="B484" s="255" t="s">
        <v>212</v>
      </c>
      <c r="C484" s="256">
        <v>2014</v>
      </c>
      <c r="D484" s="256">
        <v>600</v>
      </c>
      <c r="E484">
        <v>12.4447801860293</v>
      </c>
      <c r="F484" s="257"/>
      <c r="G484">
        <f t="shared" si="7"/>
        <v>400</v>
      </c>
      <c r="H484" s="4">
        <f>IF(B484="RTG Crane",IF(D484&lt;600,800000,1200000),VLOOKUP(B484,'$$$ Replace &amp; Retrofit'!$B$10:$C$14,2)*'CHE Model poplulation'!D484)*E484</f>
        <v>14933736.22323516</v>
      </c>
      <c r="I484" s="197">
        <f>E484*VLOOKUP('CHE Model poplulation'!G484,'$$$ Replace &amp; Retrofit'!$I$10:$J$15,2)</f>
        <v>651272.68147547136</v>
      </c>
      <c r="K484" s="239"/>
      <c r="L484" s="239"/>
      <c r="M484" s="239"/>
    </row>
    <row r="485" spans="1:13" x14ac:dyDescent="0.25">
      <c r="A485" s="255" t="s">
        <v>248</v>
      </c>
      <c r="B485" s="255" t="s">
        <v>212</v>
      </c>
      <c r="C485" s="256">
        <v>2014</v>
      </c>
      <c r="D485" s="256">
        <v>750</v>
      </c>
      <c r="E485">
        <v>7.2989842889224699</v>
      </c>
      <c r="F485" s="257"/>
      <c r="G485">
        <f t="shared" si="7"/>
        <v>400</v>
      </c>
      <c r="H485" s="4">
        <f>IF(B485="RTG Crane",IF(D485&lt;600,800000,1200000),VLOOKUP(B485,'$$$ Replace &amp; Retrofit'!$B$10:$C$14,2)*'CHE Model poplulation'!D485)*E485</f>
        <v>8758781.146706963</v>
      </c>
      <c r="I485" s="197">
        <f>E485*VLOOKUP('CHE Model poplulation'!G485,'$$$ Replace &amp; Retrofit'!$I$10:$J$15,2)</f>
        <v>381977.74479217961</v>
      </c>
      <c r="K485" s="239"/>
      <c r="L485" s="239"/>
      <c r="M485" s="239"/>
    </row>
    <row r="486" spans="1:13" x14ac:dyDescent="0.25">
      <c r="A486" s="255" t="s">
        <v>248</v>
      </c>
      <c r="B486" s="255" t="s">
        <v>212</v>
      </c>
      <c r="C486" s="256">
        <v>2014</v>
      </c>
      <c r="D486" s="256">
        <v>9999</v>
      </c>
      <c r="E486">
        <v>3.2694228690969802</v>
      </c>
      <c r="F486" s="257"/>
      <c r="G486">
        <f t="shared" si="7"/>
        <v>400</v>
      </c>
      <c r="H486" s="4">
        <f>IF(B486="RTG Crane",IF(D486&lt;600,800000,1200000),VLOOKUP(B486,'$$$ Replace &amp; Retrofit'!$B$10:$C$14,2)*'CHE Model poplulation'!D486)*E486</f>
        <v>3923307.4429163761</v>
      </c>
      <c r="I486" s="197">
        <f>E486*VLOOKUP('CHE Model poplulation'!G486,'$$$ Replace &amp; Retrofit'!$I$10:$J$15,2)</f>
        <v>171098.70700845227</v>
      </c>
      <c r="K486" s="239"/>
      <c r="L486" s="239"/>
      <c r="M486" s="239"/>
    </row>
    <row r="487" spans="1:13" x14ac:dyDescent="0.25">
      <c r="A487" s="255" t="s">
        <v>248</v>
      </c>
      <c r="B487" s="255" t="s">
        <v>212</v>
      </c>
      <c r="C487" s="256">
        <v>2015</v>
      </c>
      <c r="D487" s="256">
        <v>100</v>
      </c>
      <c r="E487">
        <v>5.2150041250467898E-2</v>
      </c>
      <c r="F487" s="257"/>
      <c r="G487">
        <f t="shared" si="7"/>
        <v>125</v>
      </c>
      <c r="H487" s="4">
        <f>IF(B487="RTG Crane",IF(D487&lt;600,800000,1200000),VLOOKUP(B487,'$$$ Replace &amp; Retrofit'!$B$10:$C$14,2)*'CHE Model poplulation'!D487)*E487</f>
        <v>41720.033000374315</v>
      </c>
      <c r="I487" s="197">
        <f>E487*VLOOKUP('CHE Model poplulation'!G487,'$$$ Replace &amp; Retrofit'!$I$10:$J$15,2)</f>
        <v>1029.0767639954831</v>
      </c>
      <c r="K487" s="239"/>
      <c r="L487" s="239"/>
      <c r="M487" s="239"/>
    </row>
    <row r="488" spans="1:13" x14ac:dyDescent="0.25">
      <c r="A488" s="255" t="s">
        <v>248</v>
      </c>
      <c r="B488" s="255" t="s">
        <v>212</v>
      </c>
      <c r="C488" s="256">
        <v>2015</v>
      </c>
      <c r="D488" s="256">
        <v>300</v>
      </c>
      <c r="E488">
        <v>8.5715399346518808</v>
      </c>
      <c r="F488" s="257"/>
      <c r="G488">
        <f t="shared" si="7"/>
        <v>300</v>
      </c>
      <c r="H488" s="4">
        <f>IF(B488="RTG Crane",IF(D488&lt;600,800000,1200000),VLOOKUP(B488,'$$$ Replace &amp; Retrofit'!$B$10:$C$14,2)*'CHE Model poplulation'!D488)*E488</f>
        <v>6857231.9477215046</v>
      </c>
      <c r="I488" s="197">
        <f>E488*VLOOKUP('CHE Model poplulation'!G488,'$$$ Replace &amp; Retrofit'!$I$10:$J$15,2)</f>
        <v>246543.20314039206</v>
      </c>
      <c r="K488" s="239"/>
      <c r="L488" s="239"/>
      <c r="M488" s="239"/>
    </row>
    <row r="489" spans="1:13" x14ac:dyDescent="0.25">
      <c r="A489" s="255" t="s">
        <v>248</v>
      </c>
      <c r="B489" s="255" t="s">
        <v>212</v>
      </c>
      <c r="C489" s="256">
        <v>2015</v>
      </c>
      <c r="D489" s="256">
        <v>600</v>
      </c>
      <c r="E489">
        <v>16.650161648827499</v>
      </c>
      <c r="F489" s="257"/>
      <c r="G489">
        <f t="shared" si="7"/>
        <v>400</v>
      </c>
      <c r="H489" s="4">
        <f>IF(B489="RTG Crane",IF(D489&lt;600,800000,1200000),VLOOKUP(B489,'$$$ Replace &amp; Retrofit'!$B$10:$C$14,2)*'CHE Model poplulation'!D489)*E489</f>
        <v>19980193.978592999</v>
      </c>
      <c r="I489" s="197">
        <f>E489*VLOOKUP('CHE Model poplulation'!G489,'$$$ Replace &amp; Retrofit'!$I$10:$J$15,2)</f>
        <v>871352.90956808953</v>
      </c>
      <c r="K489" s="239"/>
      <c r="L489" s="239"/>
      <c r="M489" s="239"/>
    </row>
    <row r="490" spans="1:13" x14ac:dyDescent="0.25">
      <c r="A490" s="255" t="s">
        <v>248</v>
      </c>
      <c r="B490" s="255" t="s">
        <v>212</v>
      </c>
      <c r="C490" s="256">
        <v>2015</v>
      </c>
      <c r="D490" s="256">
        <v>750</v>
      </c>
      <c r="E490">
        <v>10.373889256313699</v>
      </c>
      <c r="F490" s="257"/>
      <c r="G490">
        <f t="shared" si="7"/>
        <v>400</v>
      </c>
      <c r="H490" s="4">
        <f>IF(B490="RTG Crane",IF(D490&lt;600,800000,1200000),VLOOKUP(B490,'$$$ Replace &amp; Retrofit'!$B$10:$C$14,2)*'CHE Model poplulation'!D490)*E490</f>
        <v>12448667.107576439</v>
      </c>
      <c r="I490" s="197">
        <f>E490*VLOOKUP('CHE Model poplulation'!G490,'$$$ Replace &amp; Retrofit'!$I$10:$J$15,2)</f>
        <v>542896.74645066482</v>
      </c>
      <c r="K490" s="239"/>
      <c r="L490" s="239"/>
      <c r="M490" s="239"/>
    </row>
    <row r="491" spans="1:13" x14ac:dyDescent="0.25">
      <c r="A491" s="255" t="s">
        <v>248</v>
      </c>
      <c r="B491" s="255" t="s">
        <v>212</v>
      </c>
      <c r="C491" s="256">
        <v>2015</v>
      </c>
      <c r="D491" s="256">
        <v>9999</v>
      </c>
      <c r="E491">
        <v>4.6589591297579096</v>
      </c>
      <c r="F491" s="257"/>
      <c r="G491">
        <f t="shared" si="7"/>
        <v>400</v>
      </c>
      <c r="H491" s="4">
        <f>IF(B491="RTG Crane",IF(D491&lt;600,800000,1200000),VLOOKUP(B491,'$$$ Replace &amp; Retrofit'!$B$10:$C$14,2)*'CHE Model poplulation'!D491)*E491</f>
        <v>5590750.9557094919</v>
      </c>
      <c r="I491" s="197">
        <f>E491*VLOOKUP('CHE Model poplulation'!G491,'$$$ Replace &amp; Retrofit'!$I$10:$J$15,2)</f>
        <v>243817.30813762068</v>
      </c>
      <c r="K491" s="239"/>
      <c r="L491" s="239"/>
      <c r="M491" s="239"/>
    </row>
    <row r="492" spans="1:13" x14ac:dyDescent="0.25">
      <c r="A492" s="255" t="s">
        <v>248</v>
      </c>
      <c r="B492" s="255" t="s">
        <v>212</v>
      </c>
      <c r="C492" s="256">
        <v>2016</v>
      </c>
      <c r="D492" s="256">
        <v>100</v>
      </c>
      <c r="E492">
        <v>5.8889092787658401E-2</v>
      </c>
      <c r="F492" s="257"/>
      <c r="G492">
        <f t="shared" si="7"/>
        <v>125</v>
      </c>
      <c r="H492" s="4">
        <f>IF(B492="RTG Crane",IF(D492&lt;600,800000,1200000),VLOOKUP(B492,'$$$ Replace &amp; Retrofit'!$B$10:$C$14,2)*'CHE Model poplulation'!D492)*E492</f>
        <v>47111.274230126721</v>
      </c>
      <c r="I492" s="197">
        <f>E492*VLOOKUP('CHE Model poplulation'!G492,'$$$ Replace &amp; Retrofit'!$I$10:$J$15,2)</f>
        <v>1162.0584679788633</v>
      </c>
      <c r="K492" s="239"/>
      <c r="L492" s="239"/>
      <c r="M492" s="239"/>
    </row>
    <row r="493" spans="1:13" x14ac:dyDescent="0.25">
      <c r="A493" s="255" t="s">
        <v>248</v>
      </c>
      <c r="B493" s="255" t="s">
        <v>212</v>
      </c>
      <c r="C493" s="256">
        <v>2016</v>
      </c>
      <c r="D493" s="256">
        <v>300</v>
      </c>
      <c r="E493">
        <v>10.2138674443085</v>
      </c>
      <c r="F493" s="257"/>
      <c r="G493">
        <f t="shared" si="7"/>
        <v>300</v>
      </c>
      <c r="H493" s="4">
        <f>IF(B493="RTG Crane",IF(D493&lt;600,800000,1200000),VLOOKUP(B493,'$$$ Replace &amp; Retrofit'!$B$10:$C$14,2)*'CHE Model poplulation'!D493)*E493</f>
        <v>8171093.9554468002</v>
      </c>
      <c r="I493" s="197">
        <f>E493*VLOOKUP('CHE Model poplulation'!G493,'$$$ Replace &amp; Retrofit'!$I$10:$J$15,2)</f>
        <v>293781.4693006454</v>
      </c>
      <c r="K493" s="239"/>
      <c r="L493" s="239"/>
      <c r="M493" s="239"/>
    </row>
    <row r="494" spans="1:13" x14ac:dyDescent="0.25">
      <c r="A494" s="255" t="s">
        <v>248</v>
      </c>
      <c r="B494" s="255" t="s">
        <v>212</v>
      </c>
      <c r="C494" s="256">
        <v>2016</v>
      </c>
      <c r="D494" s="256">
        <v>600</v>
      </c>
      <c r="E494">
        <v>19.619403153842999</v>
      </c>
      <c r="F494" s="257"/>
      <c r="G494">
        <f t="shared" si="7"/>
        <v>400</v>
      </c>
      <c r="H494" s="4">
        <f>IF(B494="RTG Crane",IF(D494&lt;600,800000,1200000),VLOOKUP(B494,'$$$ Replace &amp; Retrofit'!$B$10:$C$14,2)*'CHE Model poplulation'!D494)*E494</f>
        <v>23543283.784611598</v>
      </c>
      <c r="I494" s="197">
        <f>E494*VLOOKUP('CHE Model poplulation'!G494,'$$$ Replace &amp; Retrofit'!$I$10:$J$15,2)</f>
        <v>1026742.2252500657</v>
      </c>
      <c r="K494" s="239"/>
      <c r="L494" s="239"/>
      <c r="M494" s="239"/>
    </row>
    <row r="495" spans="1:13" x14ac:dyDescent="0.25">
      <c r="A495" s="255" t="s">
        <v>248</v>
      </c>
      <c r="B495" s="255" t="s">
        <v>212</v>
      </c>
      <c r="C495" s="256">
        <v>2016</v>
      </c>
      <c r="D495" s="256">
        <v>750</v>
      </c>
      <c r="E495">
        <v>12.2967525735762</v>
      </c>
      <c r="F495" s="257"/>
      <c r="G495">
        <f t="shared" si="7"/>
        <v>400</v>
      </c>
      <c r="H495" s="4">
        <f>IF(B495="RTG Crane",IF(D495&lt;600,800000,1200000),VLOOKUP(B495,'$$$ Replace &amp; Retrofit'!$B$10:$C$14,2)*'CHE Model poplulation'!D495)*E495</f>
        <v>14756103.08829144</v>
      </c>
      <c r="I495" s="197">
        <f>E495*VLOOKUP('CHE Model poplulation'!G495,'$$$ Replace &amp; Retrofit'!$I$10:$J$15,2)</f>
        <v>643525.9524329633</v>
      </c>
      <c r="K495" s="239"/>
      <c r="L495" s="239"/>
      <c r="M495" s="239"/>
    </row>
    <row r="496" spans="1:13" x14ac:dyDescent="0.25">
      <c r="A496" s="255" t="s">
        <v>248</v>
      </c>
      <c r="B496" s="255" t="s">
        <v>212</v>
      </c>
      <c r="C496" s="256">
        <v>2016</v>
      </c>
      <c r="D496" s="256">
        <v>9999</v>
      </c>
      <c r="E496">
        <v>5.4893681350944501</v>
      </c>
      <c r="F496" s="257"/>
      <c r="G496">
        <f t="shared" si="7"/>
        <v>400</v>
      </c>
      <c r="H496" s="4">
        <f>IF(B496="RTG Crane",IF(D496&lt;600,800000,1200000),VLOOKUP(B496,'$$$ Replace &amp; Retrofit'!$B$10:$C$14,2)*'CHE Model poplulation'!D496)*E496</f>
        <v>6587241.7621133402</v>
      </c>
      <c r="I496" s="197">
        <f>E496*VLOOKUP('CHE Model poplulation'!G496,'$$$ Replace &amp; Retrofit'!$I$10:$J$15,2)</f>
        <v>287275.10261389788</v>
      </c>
      <c r="K496" s="239"/>
      <c r="L496" s="239"/>
      <c r="M496" s="239"/>
    </row>
    <row r="497" spans="1:13" x14ac:dyDescent="0.25">
      <c r="A497" s="255" t="s">
        <v>248</v>
      </c>
      <c r="B497" s="255" t="s">
        <v>212</v>
      </c>
      <c r="C497" s="256">
        <v>2017</v>
      </c>
      <c r="D497" s="256">
        <v>100</v>
      </c>
      <c r="E497">
        <v>5.8204276991362103E-2</v>
      </c>
      <c r="F497" s="257"/>
      <c r="G497">
        <f t="shared" si="7"/>
        <v>125</v>
      </c>
      <c r="H497" s="4">
        <f>IF(B497="RTG Crane",IF(D497&lt;600,800000,1200000),VLOOKUP(B497,'$$$ Replace &amp; Retrofit'!$B$10:$C$14,2)*'CHE Model poplulation'!D497)*E497</f>
        <v>46563.421593089683</v>
      </c>
      <c r="I497" s="197">
        <f>E497*VLOOKUP('CHE Model poplulation'!G497,'$$$ Replace &amp; Retrofit'!$I$10:$J$15,2)</f>
        <v>1148.5449978705483</v>
      </c>
      <c r="K497" s="239"/>
      <c r="L497" s="239"/>
      <c r="M497" s="239"/>
    </row>
    <row r="498" spans="1:13" x14ac:dyDescent="0.25">
      <c r="A498" s="255" t="s">
        <v>248</v>
      </c>
      <c r="B498" s="255" t="s">
        <v>212</v>
      </c>
      <c r="C498" s="256">
        <v>2017</v>
      </c>
      <c r="D498" s="256">
        <v>300</v>
      </c>
      <c r="E498">
        <v>10.150649087872599</v>
      </c>
      <c r="F498" s="257"/>
      <c r="G498">
        <f t="shared" si="7"/>
        <v>300</v>
      </c>
      <c r="H498" s="4">
        <f>IF(B498="RTG Crane",IF(D498&lt;600,800000,1200000),VLOOKUP(B498,'$$$ Replace &amp; Retrofit'!$B$10:$C$14,2)*'CHE Model poplulation'!D498)*E498</f>
        <v>8120519.2702980796</v>
      </c>
      <c r="I498" s="197">
        <f>E498*VLOOKUP('CHE Model poplulation'!G498,'$$$ Replace &amp; Retrofit'!$I$10:$J$15,2)</f>
        <v>291963.1197144796</v>
      </c>
      <c r="K498" s="239"/>
      <c r="L498" s="239"/>
      <c r="M498" s="239"/>
    </row>
    <row r="499" spans="1:13" x14ac:dyDescent="0.25">
      <c r="A499" s="255" t="s">
        <v>248</v>
      </c>
      <c r="B499" s="255" t="s">
        <v>212</v>
      </c>
      <c r="C499" s="256">
        <v>2017</v>
      </c>
      <c r="D499" s="256">
        <v>600</v>
      </c>
      <c r="E499">
        <v>19.3874203949314</v>
      </c>
      <c r="F499" s="257"/>
      <c r="G499">
        <f t="shared" si="7"/>
        <v>400</v>
      </c>
      <c r="H499" s="4">
        <f>IF(B499="RTG Crane",IF(D499&lt;600,800000,1200000),VLOOKUP(B499,'$$$ Replace &amp; Retrofit'!$B$10:$C$14,2)*'CHE Model poplulation'!D499)*E499</f>
        <v>23264904.473917682</v>
      </c>
      <c r="I499" s="197">
        <f>E499*VLOOKUP('CHE Model poplulation'!G499,'$$$ Replace &amp; Retrofit'!$I$10:$J$15,2)</f>
        <v>1014601.8715279449</v>
      </c>
      <c r="K499" s="239"/>
      <c r="L499" s="239"/>
      <c r="M499" s="239"/>
    </row>
    <row r="500" spans="1:13" x14ac:dyDescent="0.25">
      <c r="A500" s="255" t="s">
        <v>248</v>
      </c>
      <c r="B500" s="255" t="s">
        <v>212</v>
      </c>
      <c r="C500" s="256">
        <v>2017</v>
      </c>
      <c r="D500" s="256">
        <v>750</v>
      </c>
      <c r="E500">
        <v>12.1252416891212</v>
      </c>
      <c r="F500" s="257"/>
      <c r="G500">
        <f t="shared" si="7"/>
        <v>400</v>
      </c>
      <c r="H500" s="4">
        <f>IF(B500="RTG Crane",IF(D500&lt;600,800000,1200000),VLOOKUP(B500,'$$$ Replace &amp; Retrofit'!$B$10:$C$14,2)*'CHE Model poplulation'!D500)*E500</f>
        <v>14550290.02694544</v>
      </c>
      <c r="I500" s="197">
        <f>E500*VLOOKUP('CHE Model poplulation'!G500,'$$$ Replace &amp; Retrofit'!$I$10:$J$15,2)</f>
        <v>634550.27331677976</v>
      </c>
      <c r="K500" s="239"/>
      <c r="L500" s="239"/>
      <c r="M500" s="239"/>
    </row>
    <row r="501" spans="1:13" x14ac:dyDescent="0.25">
      <c r="A501" s="255" t="s">
        <v>248</v>
      </c>
      <c r="B501" s="255" t="s">
        <v>212</v>
      </c>
      <c r="C501" s="256">
        <v>2017</v>
      </c>
      <c r="D501" s="256">
        <v>9999</v>
      </c>
      <c r="E501">
        <v>5.4172737809557203</v>
      </c>
      <c r="F501" s="257"/>
      <c r="G501">
        <f t="shared" si="7"/>
        <v>400</v>
      </c>
      <c r="H501" s="4">
        <f>IF(B501="RTG Crane",IF(D501&lt;600,800000,1200000),VLOOKUP(B501,'$$$ Replace &amp; Retrofit'!$B$10:$C$14,2)*'CHE Model poplulation'!D501)*E501</f>
        <v>6500728.5371468645</v>
      </c>
      <c r="I501" s="197">
        <f>E501*VLOOKUP('CHE Model poplulation'!G501,'$$$ Replace &amp; Retrofit'!$I$10:$J$15,2)</f>
        <v>283502.18877875572</v>
      </c>
      <c r="K501" s="239"/>
      <c r="L501" s="239"/>
      <c r="M501" s="239"/>
    </row>
    <row r="502" spans="1:13" x14ac:dyDescent="0.25">
      <c r="A502" s="255" t="s">
        <v>248</v>
      </c>
      <c r="B502" s="255" t="s">
        <v>212</v>
      </c>
      <c r="C502" s="256">
        <v>2018</v>
      </c>
      <c r="D502" s="256">
        <v>100</v>
      </c>
      <c r="E502">
        <v>5.7583316928742703E-2</v>
      </c>
      <c r="F502" s="257"/>
      <c r="G502">
        <f t="shared" si="7"/>
        <v>125</v>
      </c>
      <c r="H502" s="4">
        <f>IF(B502="RTG Crane",IF(D502&lt;600,800000,1200000),VLOOKUP(B502,'$$$ Replace &amp; Retrofit'!$B$10:$C$14,2)*'CHE Model poplulation'!D502)*E502</f>
        <v>46066.653542994165</v>
      </c>
      <c r="I502" s="197">
        <f>E502*VLOOKUP('CHE Model poplulation'!G502,'$$$ Replace &amp; Retrofit'!$I$10:$J$15,2)</f>
        <v>1136.2915929548797</v>
      </c>
      <c r="K502" s="239"/>
      <c r="L502" s="239"/>
      <c r="M502" s="239"/>
    </row>
    <row r="503" spans="1:13" x14ac:dyDescent="0.25">
      <c r="A503" s="255" t="s">
        <v>248</v>
      </c>
      <c r="B503" s="255" t="s">
        <v>212</v>
      </c>
      <c r="C503" s="256">
        <v>2018</v>
      </c>
      <c r="D503" s="256">
        <v>300</v>
      </c>
      <c r="E503">
        <v>9.97600529745392</v>
      </c>
      <c r="F503" s="257"/>
      <c r="G503">
        <f t="shared" si="7"/>
        <v>300</v>
      </c>
      <c r="H503" s="4">
        <f>IF(B503="RTG Crane",IF(D503&lt;600,800000,1200000),VLOOKUP(B503,'$$$ Replace &amp; Retrofit'!$B$10:$C$14,2)*'CHE Model poplulation'!D503)*E503</f>
        <v>7980804.2379631363</v>
      </c>
      <c r="I503" s="197">
        <f>E503*VLOOKUP('CHE Model poplulation'!G503,'$$$ Replace &amp; Retrofit'!$I$10:$J$15,2)</f>
        <v>286939.84037066711</v>
      </c>
      <c r="K503" s="239"/>
      <c r="L503" s="239"/>
      <c r="M503" s="239"/>
    </row>
    <row r="504" spans="1:13" x14ac:dyDescent="0.25">
      <c r="A504" s="255" t="s">
        <v>248</v>
      </c>
      <c r="B504" s="255" t="s">
        <v>212</v>
      </c>
      <c r="C504" s="256">
        <v>2018</v>
      </c>
      <c r="D504" s="256">
        <v>600</v>
      </c>
      <c r="E504">
        <v>18.990669727291099</v>
      </c>
      <c r="F504" s="257"/>
      <c r="G504">
        <f t="shared" si="7"/>
        <v>400</v>
      </c>
      <c r="H504" s="4">
        <f>IF(B504="RTG Crane",IF(D504&lt;600,800000,1200000),VLOOKUP(B504,'$$$ Replace &amp; Retrofit'!$B$10:$C$14,2)*'CHE Model poplulation'!D504)*E504</f>
        <v>22788803.672749318</v>
      </c>
      <c r="I504" s="197">
        <f>E504*VLOOKUP('CHE Model poplulation'!G504,'$$$ Replace &amp; Retrofit'!$I$10:$J$15,2)</f>
        <v>993838.71883832512</v>
      </c>
      <c r="K504" s="239"/>
      <c r="L504" s="239"/>
      <c r="M504" s="239"/>
    </row>
    <row r="505" spans="1:13" x14ac:dyDescent="0.25">
      <c r="A505" s="255" t="s">
        <v>248</v>
      </c>
      <c r="B505" s="255" t="s">
        <v>212</v>
      </c>
      <c r="C505" s="256">
        <v>2018</v>
      </c>
      <c r="D505" s="256">
        <v>750</v>
      </c>
      <c r="E505">
        <v>11.868612219154601</v>
      </c>
      <c r="F505" s="257"/>
      <c r="G505">
        <f t="shared" si="7"/>
        <v>400</v>
      </c>
      <c r="H505" s="4">
        <f>IF(B505="RTG Crane",IF(D505&lt;600,800000,1200000),VLOOKUP(B505,'$$$ Replace &amp; Retrofit'!$B$10:$C$14,2)*'CHE Model poplulation'!D505)*E505</f>
        <v>14242334.66298552</v>
      </c>
      <c r="I505" s="197">
        <f>E505*VLOOKUP('CHE Model poplulation'!G505,'$$$ Replace &amp; Retrofit'!$I$10:$J$15,2)</f>
        <v>621120.08326501772</v>
      </c>
      <c r="K505" s="239"/>
      <c r="L505" s="239"/>
      <c r="M505" s="239"/>
    </row>
    <row r="506" spans="1:13" x14ac:dyDescent="0.25">
      <c r="A506" s="255" t="s">
        <v>248</v>
      </c>
      <c r="B506" s="255" t="s">
        <v>212</v>
      </c>
      <c r="C506" s="256">
        <v>2018</v>
      </c>
      <c r="D506" s="256">
        <v>9999</v>
      </c>
      <c r="E506">
        <v>5.3159729494835899</v>
      </c>
      <c r="F506" s="257"/>
      <c r="G506">
        <f t="shared" si="7"/>
        <v>400</v>
      </c>
      <c r="H506" s="4">
        <f>IF(B506="RTG Crane",IF(D506&lt;600,800000,1200000),VLOOKUP(B506,'$$$ Replace &amp; Retrofit'!$B$10:$C$14,2)*'CHE Model poplulation'!D506)*E506</f>
        <v>6379167.5393803082</v>
      </c>
      <c r="I506" s="197">
        <f>E506*VLOOKUP('CHE Model poplulation'!G506,'$$$ Replace &amp; Retrofit'!$I$10:$J$15,2)</f>
        <v>278200.8123653247</v>
      </c>
      <c r="K506" s="239"/>
      <c r="L506" s="239"/>
      <c r="M506" s="239"/>
    </row>
    <row r="507" spans="1:13" x14ac:dyDescent="0.25">
      <c r="A507" s="255" t="s">
        <v>248</v>
      </c>
      <c r="B507" s="255" t="s">
        <v>212</v>
      </c>
      <c r="C507" s="256">
        <v>2019</v>
      </c>
      <c r="D507" s="256">
        <v>100</v>
      </c>
      <c r="E507">
        <v>5.7060056290939201E-2</v>
      </c>
      <c r="F507" s="257"/>
      <c r="G507">
        <f t="shared" si="7"/>
        <v>125</v>
      </c>
      <c r="H507" s="4">
        <f>IF(B507="RTG Crane",IF(D507&lt;600,800000,1200000),VLOOKUP(B507,'$$$ Replace &amp; Retrofit'!$B$10:$C$14,2)*'CHE Model poplulation'!D507)*E507</f>
        <v>45648.045032751361</v>
      </c>
      <c r="I507" s="197">
        <f>E507*VLOOKUP('CHE Model poplulation'!G507,'$$$ Replace &amp; Retrofit'!$I$10:$J$15,2)</f>
        <v>1125.9660907891032</v>
      </c>
      <c r="K507" s="239"/>
      <c r="L507" s="239"/>
      <c r="M507" s="239"/>
    </row>
    <row r="508" spans="1:13" x14ac:dyDescent="0.25">
      <c r="A508" s="255" t="s">
        <v>248</v>
      </c>
      <c r="B508" s="255" t="s">
        <v>212</v>
      </c>
      <c r="C508" s="256">
        <v>2019</v>
      </c>
      <c r="D508" s="256">
        <v>300</v>
      </c>
      <c r="E508">
        <v>9.7602178219642095</v>
      </c>
      <c r="F508" s="257"/>
      <c r="G508">
        <f t="shared" si="7"/>
        <v>300</v>
      </c>
      <c r="H508" s="4">
        <f>IF(B508="RTG Crane",IF(D508&lt;600,800000,1200000),VLOOKUP(B508,'$$$ Replace &amp; Retrofit'!$B$10:$C$14,2)*'CHE Model poplulation'!D508)*E508</f>
        <v>7808174.2575713675</v>
      </c>
      <c r="I508" s="197">
        <f>E508*VLOOKUP('CHE Model poplulation'!G508,'$$$ Replace &amp; Retrofit'!$I$10:$J$15,2)</f>
        <v>280733.14521315653</v>
      </c>
      <c r="K508" s="239"/>
      <c r="L508" s="239"/>
      <c r="M508" s="239"/>
    </row>
    <row r="509" spans="1:13" x14ac:dyDescent="0.25">
      <c r="A509" s="255" t="s">
        <v>248</v>
      </c>
      <c r="B509" s="255" t="s">
        <v>212</v>
      </c>
      <c r="C509" s="256">
        <v>2019</v>
      </c>
      <c r="D509" s="256">
        <v>600</v>
      </c>
      <c r="E509">
        <v>18.510361125153601</v>
      </c>
      <c r="F509" s="257"/>
      <c r="G509">
        <f t="shared" si="7"/>
        <v>400</v>
      </c>
      <c r="H509" s="4">
        <f>IF(B509="RTG Crane",IF(D509&lt;600,800000,1200000),VLOOKUP(B509,'$$$ Replace &amp; Retrofit'!$B$10:$C$14,2)*'CHE Model poplulation'!D509)*E509</f>
        <v>22212433.350184321</v>
      </c>
      <c r="I509" s="197">
        <f>E509*VLOOKUP('CHE Model poplulation'!G509,'$$$ Replace &amp; Retrofit'!$I$10:$J$15,2)</f>
        <v>968702.72876266344</v>
      </c>
      <c r="K509" s="239"/>
      <c r="L509" s="239"/>
      <c r="M509" s="239"/>
    </row>
    <row r="510" spans="1:13" x14ac:dyDescent="0.25">
      <c r="A510" s="255" t="s">
        <v>248</v>
      </c>
      <c r="B510" s="255" t="s">
        <v>212</v>
      </c>
      <c r="C510" s="256">
        <v>2019</v>
      </c>
      <c r="D510" s="256">
        <v>750</v>
      </c>
      <c r="E510">
        <v>11.5573496808213</v>
      </c>
      <c r="F510" s="257"/>
      <c r="G510">
        <f t="shared" si="7"/>
        <v>400</v>
      </c>
      <c r="H510" s="4">
        <f>IF(B510="RTG Crane",IF(D510&lt;600,800000,1200000),VLOOKUP(B510,'$$$ Replace &amp; Retrofit'!$B$10:$C$14,2)*'CHE Model poplulation'!D510)*E510</f>
        <v>13868819.616985559</v>
      </c>
      <c r="I510" s="197">
        <f>E510*VLOOKUP('CHE Model poplulation'!G510,'$$$ Replace &amp; Retrofit'!$I$10:$J$15,2)</f>
        <v>604830.78084642114</v>
      </c>
      <c r="K510" s="239"/>
      <c r="L510" s="239"/>
      <c r="M510" s="239"/>
    </row>
    <row r="511" spans="1:13" x14ac:dyDescent="0.25">
      <c r="A511" s="255" t="s">
        <v>248</v>
      </c>
      <c r="B511" s="255" t="s">
        <v>212</v>
      </c>
      <c r="C511" s="256">
        <v>2019</v>
      </c>
      <c r="D511" s="256">
        <v>9999</v>
      </c>
      <c r="E511">
        <v>5.1946917937915504</v>
      </c>
      <c r="F511" s="257"/>
      <c r="G511">
        <f t="shared" si="7"/>
        <v>400</v>
      </c>
      <c r="H511" s="4">
        <f>IF(B511="RTG Crane",IF(D511&lt;600,800000,1200000),VLOOKUP(B511,'$$$ Replace &amp; Retrofit'!$B$10:$C$14,2)*'CHE Model poplulation'!D511)*E511</f>
        <v>6233630.1525498601</v>
      </c>
      <c r="I511" s="197">
        <f>E511*VLOOKUP('CHE Model poplulation'!G511,'$$$ Replace &amp; Retrofit'!$I$10:$J$15,2)</f>
        <v>271853.8056444932</v>
      </c>
      <c r="K511" s="239"/>
      <c r="L511" s="239"/>
      <c r="M511" s="239"/>
    </row>
    <row r="512" spans="1:13" x14ac:dyDescent="0.25">
      <c r="A512" s="255" t="s">
        <v>248</v>
      </c>
      <c r="B512" s="255" t="s">
        <v>212</v>
      </c>
      <c r="C512" s="256">
        <v>2020</v>
      </c>
      <c r="D512" s="256">
        <v>100</v>
      </c>
      <c r="E512">
        <v>5.6458331721559799E-2</v>
      </c>
      <c r="F512" s="257"/>
      <c r="G512">
        <f t="shared" si="7"/>
        <v>125</v>
      </c>
      <c r="H512" s="4">
        <f>IF(B512="RTG Crane",IF(D512&lt;600,800000,1200000),VLOOKUP(B512,'$$$ Replace &amp; Retrofit'!$B$10:$C$14,2)*'CHE Model poplulation'!D512)*E512</f>
        <v>45166.665377247838</v>
      </c>
      <c r="I512" s="197">
        <f>E512*VLOOKUP('CHE Model poplulation'!G512,'$$$ Replace &amp; Retrofit'!$I$10:$J$15,2)</f>
        <v>1114.0922598615396</v>
      </c>
      <c r="K512" s="239"/>
      <c r="L512" s="239"/>
      <c r="M512" s="239"/>
    </row>
    <row r="513" spans="1:13" x14ac:dyDescent="0.25">
      <c r="A513" s="255" t="s">
        <v>248</v>
      </c>
      <c r="B513" s="255" t="s">
        <v>212</v>
      </c>
      <c r="C513" s="256">
        <v>2020</v>
      </c>
      <c r="D513" s="256">
        <v>300</v>
      </c>
      <c r="E513">
        <v>9.4842628628173795</v>
      </c>
      <c r="F513" s="257"/>
      <c r="G513">
        <f t="shared" si="7"/>
        <v>300</v>
      </c>
      <c r="H513" s="4">
        <f>IF(B513="RTG Crane",IF(D513&lt;600,800000,1200000),VLOOKUP(B513,'$$$ Replace &amp; Retrofit'!$B$10:$C$14,2)*'CHE Model poplulation'!D513)*E513</f>
        <v>7587410.2902539037</v>
      </c>
      <c r="I513" s="197">
        <f>E513*VLOOKUP('CHE Model poplulation'!G513,'$$$ Replace &amp; Retrofit'!$I$10:$J$15,2)</f>
        <v>272795.85272321629</v>
      </c>
      <c r="K513" s="239"/>
      <c r="L513" s="239"/>
      <c r="M513" s="239"/>
    </row>
    <row r="514" spans="1:13" x14ac:dyDescent="0.25">
      <c r="A514" s="255" t="s">
        <v>248</v>
      </c>
      <c r="B514" s="255" t="s">
        <v>212</v>
      </c>
      <c r="C514" s="256">
        <v>2020</v>
      </c>
      <c r="D514" s="256">
        <v>600</v>
      </c>
      <c r="E514">
        <v>17.931525692349801</v>
      </c>
      <c r="F514" s="257"/>
      <c r="G514">
        <f t="shared" si="7"/>
        <v>400</v>
      </c>
      <c r="H514" s="4">
        <f>IF(B514="RTG Crane",IF(D514&lt;600,800000,1200000),VLOOKUP(B514,'$$$ Replace &amp; Retrofit'!$B$10:$C$14,2)*'CHE Model poplulation'!D514)*E514</f>
        <v>21517830.830819763</v>
      </c>
      <c r="I514" s="197">
        <f>E514*VLOOKUP('CHE Model poplulation'!G514,'$$$ Replace &amp; Retrofit'!$I$10:$J$15,2)</f>
        <v>938410.5340577421</v>
      </c>
      <c r="K514" s="239"/>
      <c r="L514" s="239"/>
      <c r="M514" s="239"/>
    </row>
    <row r="515" spans="1:13" x14ac:dyDescent="0.25">
      <c r="A515" s="255" t="s">
        <v>248</v>
      </c>
      <c r="B515" s="255" t="s">
        <v>212</v>
      </c>
      <c r="C515" s="256">
        <v>2020</v>
      </c>
      <c r="D515" s="256">
        <v>750</v>
      </c>
      <c r="E515">
        <v>11.180580516137899</v>
      </c>
      <c r="F515" s="257"/>
      <c r="G515">
        <f t="shared" si="7"/>
        <v>400</v>
      </c>
      <c r="H515" s="4">
        <f>IF(B515="RTG Crane",IF(D515&lt;600,800000,1200000),VLOOKUP(B515,'$$$ Replace &amp; Retrofit'!$B$10:$C$14,2)*'CHE Model poplulation'!D515)*E515</f>
        <v>13416696.61936548</v>
      </c>
      <c r="I515" s="197">
        <f>E515*VLOOKUP('CHE Model poplulation'!G515,'$$$ Replace &amp; Retrofit'!$I$10:$J$15,2)</f>
        <v>585113.32015104464</v>
      </c>
      <c r="K515" s="239"/>
      <c r="L515" s="239"/>
      <c r="M515" s="239"/>
    </row>
    <row r="516" spans="1:13" x14ac:dyDescent="0.25">
      <c r="A516" s="255" t="s">
        <v>248</v>
      </c>
      <c r="B516" s="255" t="s">
        <v>212</v>
      </c>
      <c r="C516" s="256">
        <v>2020</v>
      </c>
      <c r="D516" s="256">
        <v>9999</v>
      </c>
      <c r="E516">
        <v>5.04506374500997</v>
      </c>
      <c r="F516" s="257"/>
      <c r="G516">
        <f t="shared" si="7"/>
        <v>400</v>
      </c>
      <c r="H516" s="4">
        <f>IF(B516="RTG Crane",IF(D516&lt;600,800000,1200000),VLOOKUP(B516,'$$$ Replace &amp; Retrofit'!$B$10:$C$14,2)*'CHE Model poplulation'!D516)*E516</f>
        <v>6054076.4940119637</v>
      </c>
      <c r="I516" s="197">
        <f>E516*VLOOKUP('CHE Model poplulation'!G516,'$$$ Replace &amp; Retrofit'!$I$10:$J$15,2)</f>
        <v>264023.32096760673</v>
      </c>
      <c r="K516" s="239"/>
      <c r="L516" s="239"/>
      <c r="M516" s="239"/>
    </row>
    <row r="517" spans="1:13" x14ac:dyDescent="0.25">
      <c r="A517" s="255" t="s">
        <v>248</v>
      </c>
      <c r="B517" s="255" t="s">
        <v>212</v>
      </c>
      <c r="C517" s="256">
        <v>2021</v>
      </c>
      <c r="D517" s="256">
        <v>100</v>
      </c>
      <c r="E517">
        <v>5.50956170342723E-2</v>
      </c>
      <c r="F517" s="257"/>
      <c r="G517">
        <f t="shared" si="7"/>
        <v>125</v>
      </c>
      <c r="H517" s="4">
        <f>IF(B517="RTG Crane",IF(D517&lt;600,800000,1200000),VLOOKUP(B517,'$$$ Replace &amp; Retrofit'!$B$10:$C$14,2)*'CHE Model poplulation'!D517)*E517</f>
        <v>44076.49362741784</v>
      </c>
      <c r="I517" s="197">
        <f>E517*VLOOKUP('CHE Model poplulation'!G517,'$$$ Replace &amp; Retrofit'!$I$10:$J$15,2)</f>
        <v>1087.2018109372952</v>
      </c>
      <c r="K517" s="239"/>
      <c r="L517" s="239"/>
      <c r="M517" s="239"/>
    </row>
    <row r="518" spans="1:13" x14ac:dyDescent="0.25">
      <c r="A518" s="255" t="s">
        <v>248</v>
      </c>
      <c r="B518" s="255" t="s">
        <v>212</v>
      </c>
      <c r="C518" s="256">
        <v>2021</v>
      </c>
      <c r="D518" s="256">
        <v>300</v>
      </c>
      <c r="E518">
        <v>9.1261441092715891</v>
      </c>
      <c r="F518" s="257"/>
      <c r="G518">
        <f t="shared" si="7"/>
        <v>300</v>
      </c>
      <c r="H518" s="4">
        <f>IF(B518="RTG Crane",IF(D518&lt;600,800000,1200000),VLOOKUP(B518,'$$$ Replace &amp; Retrofit'!$B$10:$C$14,2)*'CHE Model poplulation'!D518)*E518</f>
        <v>7300915.2874172712</v>
      </c>
      <c r="I518" s="197">
        <f>E518*VLOOKUP('CHE Model poplulation'!G518,'$$$ Replace &amp; Retrofit'!$I$10:$J$15,2)</f>
        <v>262495.28301497869</v>
      </c>
      <c r="K518" s="239"/>
      <c r="L518" s="239"/>
      <c r="M518" s="239"/>
    </row>
    <row r="519" spans="1:13" x14ac:dyDescent="0.25">
      <c r="A519" s="255" t="s">
        <v>248</v>
      </c>
      <c r="B519" s="255" t="s">
        <v>212</v>
      </c>
      <c r="C519" s="256">
        <v>2021</v>
      </c>
      <c r="D519" s="256">
        <v>600</v>
      </c>
      <c r="E519">
        <v>17.2055168517591</v>
      </c>
      <c r="F519" s="257"/>
      <c r="G519">
        <f t="shared" si="7"/>
        <v>400</v>
      </c>
      <c r="H519" s="4">
        <f>IF(B519="RTG Crane",IF(D519&lt;600,800000,1200000),VLOOKUP(B519,'$$$ Replace &amp; Retrofit'!$B$10:$C$14,2)*'CHE Model poplulation'!D519)*E519</f>
        <v>20646620.22211092</v>
      </c>
      <c r="I519" s="197">
        <f>E519*VLOOKUP('CHE Model poplulation'!G519,'$$$ Replace &amp; Retrofit'!$I$10:$J$15,2)</f>
        <v>900416.31340310897</v>
      </c>
      <c r="K519" s="239"/>
      <c r="L519" s="239"/>
      <c r="M519" s="239"/>
    </row>
    <row r="520" spans="1:13" x14ac:dyDescent="0.25">
      <c r="A520" s="255" t="s">
        <v>248</v>
      </c>
      <c r="B520" s="255" t="s">
        <v>212</v>
      </c>
      <c r="C520" s="256">
        <v>2021</v>
      </c>
      <c r="D520" s="256">
        <v>750</v>
      </c>
      <c r="E520">
        <v>10.7168910873312</v>
      </c>
      <c r="F520" s="257"/>
      <c r="G520">
        <f t="shared" si="7"/>
        <v>400</v>
      </c>
      <c r="H520" s="4">
        <f>IF(B520="RTG Crane",IF(D520&lt;600,800000,1200000),VLOOKUP(B520,'$$$ Replace &amp; Retrofit'!$B$10:$C$14,2)*'CHE Model poplulation'!D520)*E520</f>
        <v>12860269.304797441</v>
      </c>
      <c r="I520" s="197">
        <f>E520*VLOOKUP('CHE Model poplulation'!G520,'$$$ Replace &amp; Retrofit'!$I$10:$J$15,2)</f>
        <v>560847.0612733037</v>
      </c>
      <c r="K520" s="239"/>
      <c r="L520" s="239"/>
      <c r="M520" s="239"/>
    </row>
    <row r="521" spans="1:13" x14ac:dyDescent="0.25">
      <c r="A521" s="255" t="s">
        <v>248</v>
      </c>
      <c r="B521" s="255" t="s">
        <v>212</v>
      </c>
      <c r="C521" s="256">
        <v>2021</v>
      </c>
      <c r="D521" s="256">
        <v>9999</v>
      </c>
      <c r="E521">
        <v>4.8522023597784596</v>
      </c>
      <c r="F521" s="257"/>
      <c r="G521">
        <f t="shared" si="7"/>
        <v>400</v>
      </c>
      <c r="H521" s="4">
        <f>IF(B521="RTG Crane",IF(D521&lt;600,800000,1200000),VLOOKUP(B521,'$$$ Replace &amp; Retrofit'!$B$10:$C$14,2)*'CHE Model poplulation'!D521)*E521</f>
        <v>5822642.8317341516</v>
      </c>
      <c r="I521" s="197">
        <f>E521*VLOOKUP('CHE Model poplulation'!G521,'$$$ Replace &amp; Retrofit'!$I$10:$J$15,2)</f>
        <v>253930.30609428612</v>
      </c>
      <c r="K521" s="239"/>
      <c r="L521" s="239"/>
      <c r="M521" s="239"/>
    </row>
    <row r="522" spans="1:13" x14ac:dyDescent="0.25">
      <c r="A522" s="255" t="s">
        <v>248</v>
      </c>
      <c r="B522" s="255" t="s">
        <v>212</v>
      </c>
      <c r="C522" s="256">
        <v>2022</v>
      </c>
      <c r="D522" s="256">
        <v>100</v>
      </c>
      <c r="E522">
        <v>5.37935750356879E-2</v>
      </c>
      <c r="F522" s="257"/>
      <c r="G522">
        <f t="shared" si="7"/>
        <v>125</v>
      </c>
      <c r="H522" s="4">
        <f>IF(B522="RTG Crane",IF(D522&lt;600,800000,1200000),VLOOKUP(B522,'$$$ Replace &amp; Retrofit'!$B$10:$C$14,2)*'CHE Model poplulation'!D522)*E522</f>
        <v>43034.86002855032</v>
      </c>
      <c r="I522" s="197">
        <f>E522*VLOOKUP('CHE Model poplulation'!G522,'$$$ Replace &amp; Retrofit'!$I$10:$J$15,2)</f>
        <v>1061.5086161792294</v>
      </c>
      <c r="K522" s="239"/>
      <c r="L522" s="239"/>
      <c r="M522" s="239"/>
    </row>
    <row r="523" spans="1:13" x14ac:dyDescent="0.25">
      <c r="A523" s="255" t="s">
        <v>248</v>
      </c>
      <c r="B523" s="255" t="s">
        <v>212</v>
      </c>
      <c r="C523" s="256">
        <v>2022</v>
      </c>
      <c r="D523" s="256">
        <v>300</v>
      </c>
      <c r="E523">
        <v>8.4315471359575902</v>
      </c>
      <c r="F523" s="257"/>
      <c r="G523">
        <f t="shared" si="7"/>
        <v>300</v>
      </c>
      <c r="H523" s="4">
        <f>IF(B523="RTG Crane",IF(D523&lt;600,800000,1200000),VLOOKUP(B523,'$$$ Replace &amp; Retrofit'!$B$10:$C$14,2)*'CHE Model poplulation'!D523)*E523</f>
        <v>6745237.7087660721</v>
      </c>
      <c r="I523" s="197">
        <f>E523*VLOOKUP('CHE Model poplulation'!G523,'$$$ Replace &amp; Retrofit'!$I$10:$J$15,2)</f>
        <v>242516.59027154816</v>
      </c>
      <c r="K523" s="239"/>
      <c r="L523" s="239"/>
      <c r="M523" s="239"/>
    </row>
    <row r="524" spans="1:13" x14ac:dyDescent="0.25">
      <c r="A524" s="255" t="s">
        <v>248</v>
      </c>
      <c r="B524" s="255" t="s">
        <v>212</v>
      </c>
      <c r="C524" s="256">
        <v>2022</v>
      </c>
      <c r="D524" s="256">
        <v>600</v>
      </c>
      <c r="E524">
        <v>15.778633702948801</v>
      </c>
      <c r="F524" s="257"/>
      <c r="G524">
        <f t="shared" si="7"/>
        <v>400</v>
      </c>
      <c r="H524" s="4">
        <f>IF(B524="RTG Crane",IF(D524&lt;600,800000,1200000),VLOOKUP(B524,'$$$ Replace &amp; Retrofit'!$B$10:$C$14,2)*'CHE Model poplulation'!D524)*E524</f>
        <v>18934360.443538561</v>
      </c>
      <c r="I524" s="197">
        <f>E524*VLOOKUP('CHE Model poplulation'!G524,'$$$ Replace &amp; Retrofit'!$I$10:$J$15,2)</f>
        <v>825743.2375764196</v>
      </c>
      <c r="K524" s="239"/>
      <c r="L524" s="239"/>
      <c r="M524" s="239"/>
    </row>
    <row r="525" spans="1:13" x14ac:dyDescent="0.25">
      <c r="A525" s="255" t="s">
        <v>248</v>
      </c>
      <c r="B525" s="255" t="s">
        <v>212</v>
      </c>
      <c r="C525" s="256">
        <v>2022</v>
      </c>
      <c r="D525" s="256">
        <v>750</v>
      </c>
      <c r="E525">
        <v>9.8430645112429698</v>
      </c>
      <c r="F525" s="257"/>
      <c r="G525">
        <f t="shared" si="7"/>
        <v>400</v>
      </c>
      <c r="H525" s="4">
        <f>IF(B525="RTG Crane",IF(D525&lt;600,800000,1200000),VLOOKUP(B525,'$$$ Replace &amp; Retrofit'!$B$10:$C$14,2)*'CHE Model poplulation'!D525)*E525</f>
        <v>11811677.413491564</v>
      </c>
      <c r="I525" s="197">
        <f>E525*VLOOKUP('CHE Model poplulation'!G525,'$$$ Replace &amp; Retrofit'!$I$10:$J$15,2)</f>
        <v>515117.09506687836</v>
      </c>
      <c r="K525" s="239"/>
      <c r="L525" s="239"/>
      <c r="M525" s="239"/>
    </row>
    <row r="526" spans="1:13" x14ac:dyDescent="0.25">
      <c r="A526" s="255" t="s">
        <v>248</v>
      </c>
      <c r="B526" s="255" t="s">
        <v>212</v>
      </c>
      <c r="C526" s="256">
        <v>2022</v>
      </c>
      <c r="D526" s="256">
        <v>9999</v>
      </c>
      <c r="E526">
        <v>4.5274224066517696</v>
      </c>
      <c r="F526" s="257"/>
      <c r="G526">
        <f t="shared" si="7"/>
        <v>400</v>
      </c>
      <c r="H526" s="4">
        <f>IF(B526="RTG Crane",IF(D526&lt;600,800000,1200000),VLOOKUP(B526,'$$$ Replace &amp; Retrofit'!$B$10:$C$14,2)*'CHE Model poplulation'!D526)*E526</f>
        <v>5432906.8879821235</v>
      </c>
      <c r="I526" s="197">
        <f>E526*VLOOKUP('CHE Model poplulation'!G526,'$$$ Replace &amp; Retrofit'!$I$10:$J$15,2)</f>
        <v>236933.59680730707</v>
      </c>
      <c r="K526" s="239"/>
      <c r="L526" s="239"/>
      <c r="M526" s="239"/>
    </row>
    <row r="527" spans="1:13" x14ac:dyDescent="0.25">
      <c r="A527" s="255" t="s">
        <v>248</v>
      </c>
      <c r="B527" s="255" t="s">
        <v>212</v>
      </c>
      <c r="C527" s="256">
        <v>2023</v>
      </c>
      <c r="D527" s="256">
        <v>100</v>
      </c>
      <c r="E527">
        <v>5.2335574065860903E-2</v>
      </c>
      <c r="F527" s="257"/>
      <c r="G527">
        <f t="shared" si="7"/>
        <v>125</v>
      </c>
      <c r="H527" s="4">
        <f>IF(B527="RTG Crane",IF(D527&lt;600,800000,1200000),VLOOKUP(B527,'$$$ Replace &amp; Retrofit'!$B$10:$C$14,2)*'CHE Model poplulation'!D527)*E527</f>
        <v>41868.459252688721</v>
      </c>
      <c r="I527" s="197">
        <f>E527*VLOOKUP('CHE Model poplulation'!G527,'$$$ Replace &amp; Retrofit'!$I$10:$J$15,2)</f>
        <v>1032.7378830416333</v>
      </c>
      <c r="K527" s="239"/>
      <c r="L527" s="239"/>
      <c r="M527" s="239"/>
    </row>
    <row r="528" spans="1:13" x14ac:dyDescent="0.25">
      <c r="A528" s="255" t="s">
        <v>248</v>
      </c>
      <c r="B528" s="255" t="s">
        <v>212</v>
      </c>
      <c r="C528" s="256">
        <v>2023</v>
      </c>
      <c r="D528" s="256">
        <v>300</v>
      </c>
      <c r="E528">
        <v>6.5639323944634196</v>
      </c>
      <c r="F528" s="257"/>
      <c r="G528">
        <f t="shared" si="7"/>
        <v>300</v>
      </c>
      <c r="H528" s="4">
        <f>IF(B528="RTG Crane",IF(D528&lt;600,800000,1200000),VLOOKUP(B528,'$$$ Replace &amp; Retrofit'!$B$10:$C$14,2)*'CHE Model poplulation'!D528)*E528</f>
        <v>5251145.9155707359</v>
      </c>
      <c r="I528" s="197">
        <f>E528*VLOOKUP('CHE Model poplulation'!G528,'$$$ Replace &amp; Retrofit'!$I$10:$J$15,2)</f>
        <v>188798.38746195135</v>
      </c>
      <c r="K528" s="239"/>
      <c r="L528" s="239"/>
      <c r="M528" s="239"/>
    </row>
    <row r="529" spans="1:13" x14ac:dyDescent="0.25">
      <c r="A529" s="255" t="s">
        <v>248</v>
      </c>
      <c r="B529" s="255" t="s">
        <v>212</v>
      </c>
      <c r="C529" s="256">
        <v>2023</v>
      </c>
      <c r="D529" s="256">
        <v>600</v>
      </c>
      <c r="E529">
        <v>11.653707684448699</v>
      </c>
      <c r="F529" s="257"/>
      <c r="G529">
        <f t="shared" si="7"/>
        <v>400</v>
      </c>
      <c r="H529" s="4">
        <f>IF(B529="RTG Crane",IF(D529&lt;600,800000,1200000),VLOOKUP(B529,'$$$ Replace &amp; Retrofit'!$B$10:$C$14,2)*'CHE Model poplulation'!D529)*E529</f>
        <v>13984449.22133844</v>
      </c>
      <c r="I529" s="197">
        <f>E529*VLOOKUP('CHE Model poplulation'!G529,'$$$ Replace &amp; Retrofit'!$I$10:$J$15,2)</f>
        <v>609873.48425025376</v>
      </c>
      <c r="K529" s="239"/>
      <c r="L529" s="239"/>
      <c r="M529" s="239"/>
    </row>
    <row r="530" spans="1:13" x14ac:dyDescent="0.25">
      <c r="A530" s="255" t="s">
        <v>248</v>
      </c>
      <c r="B530" s="255" t="s">
        <v>212</v>
      </c>
      <c r="C530" s="256">
        <v>2023</v>
      </c>
      <c r="D530" s="256">
        <v>750</v>
      </c>
      <c r="E530">
        <v>7.21394027180345</v>
      </c>
      <c r="F530" s="257"/>
      <c r="G530">
        <f t="shared" si="7"/>
        <v>400</v>
      </c>
      <c r="H530" s="4">
        <f>IF(B530="RTG Crane",IF(D530&lt;600,800000,1200000),VLOOKUP(B530,'$$$ Replace &amp; Retrofit'!$B$10:$C$14,2)*'CHE Model poplulation'!D530)*E530</f>
        <v>8656728.3261641394</v>
      </c>
      <c r="I530" s="197">
        <f>E530*VLOOKUP('CHE Model poplulation'!G530,'$$$ Replace &amp; Retrofit'!$I$10:$J$15,2)</f>
        <v>377527.13624428993</v>
      </c>
      <c r="K530" s="239"/>
      <c r="L530" s="239"/>
      <c r="M530" s="239"/>
    </row>
    <row r="531" spans="1:13" x14ac:dyDescent="0.25">
      <c r="A531" s="255" t="s">
        <v>248</v>
      </c>
      <c r="B531" s="255" t="s">
        <v>212</v>
      </c>
      <c r="C531" s="256">
        <v>2023</v>
      </c>
      <c r="D531" s="256">
        <v>9999</v>
      </c>
      <c r="E531">
        <v>3.5587953818419198</v>
      </c>
      <c r="F531" s="257"/>
      <c r="G531">
        <f t="shared" ref="G531:G594" si="8">IF(OR(D531=50,D531=75),50,IF(OR(D531=100,D531=125),125,IF(D531&gt;=400,400,D531)))</f>
        <v>400</v>
      </c>
      <c r="H531" s="4">
        <f>IF(B531="RTG Crane",IF(D531&lt;600,800000,1200000),VLOOKUP(B531,'$$$ Replace &amp; Retrofit'!$B$10:$C$14,2)*'CHE Model poplulation'!D531)*E531</f>
        <v>4270554.4582103034</v>
      </c>
      <c r="I531" s="197">
        <f>E531*VLOOKUP('CHE Model poplulation'!G531,'$$$ Replace &amp; Retrofit'!$I$10:$J$15,2)</f>
        <v>186242.4387179332</v>
      </c>
      <c r="K531" s="239"/>
      <c r="L531" s="239"/>
      <c r="M531" s="239"/>
    </row>
    <row r="532" spans="1:13" x14ac:dyDescent="0.25">
      <c r="A532" s="255" t="s">
        <v>248</v>
      </c>
      <c r="B532" s="255" t="s">
        <v>212</v>
      </c>
      <c r="C532" s="256">
        <v>2024</v>
      </c>
      <c r="D532" s="256">
        <v>100</v>
      </c>
      <c r="E532">
        <v>5.08994198731322E-2</v>
      </c>
      <c r="F532" s="257"/>
      <c r="G532">
        <f t="shared" si="8"/>
        <v>125</v>
      </c>
      <c r="H532" s="4">
        <f>IF(B532="RTG Crane",IF(D532&lt;600,800000,1200000),VLOOKUP(B532,'$$$ Replace &amp; Retrofit'!$B$10:$C$14,2)*'CHE Model poplulation'!D532)*E532</f>
        <v>40719.535898505761</v>
      </c>
      <c r="I532" s="197">
        <f>E532*VLOOKUP('CHE Model poplulation'!G532,'$$$ Replace &amp; Retrofit'!$I$10:$J$15,2)</f>
        <v>1004.3982523565177</v>
      </c>
      <c r="K532" s="239"/>
      <c r="L532" s="239"/>
      <c r="M532" s="239"/>
    </row>
    <row r="533" spans="1:13" x14ac:dyDescent="0.25">
      <c r="A533" s="255" t="s">
        <v>248</v>
      </c>
      <c r="B533" s="255" t="s">
        <v>212</v>
      </c>
      <c r="C533" s="256">
        <v>2024</v>
      </c>
      <c r="D533" s="256">
        <v>300</v>
      </c>
      <c r="E533">
        <v>5.4647717481060001</v>
      </c>
      <c r="F533" s="257"/>
      <c r="G533">
        <f t="shared" si="8"/>
        <v>300</v>
      </c>
      <c r="H533" s="4">
        <f>IF(B533="RTG Crane",IF(D533&lt;600,800000,1200000),VLOOKUP(B533,'$$$ Replace &amp; Retrofit'!$B$10:$C$14,2)*'CHE Model poplulation'!D533)*E533</f>
        <v>4371817.3984848</v>
      </c>
      <c r="I533" s="197">
        <f>E533*VLOOKUP('CHE Model poplulation'!G533,'$$$ Replace &amp; Retrofit'!$I$10:$J$15,2)</f>
        <v>157183.22979077289</v>
      </c>
      <c r="K533" s="239"/>
      <c r="L533" s="239"/>
      <c r="M533" s="239"/>
    </row>
    <row r="534" spans="1:13" x14ac:dyDescent="0.25">
      <c r="A534" s="255" t="s">
        <v>248</v>
      </c>
      <c r="B534" s="255" t="s">
        <v>212</v>
      </c>
      <c r="C534" s="256">
        <v>2024</v>
      </c>
      <c r="D534" s="256">
        <v>600</v>
      </c>
      <c r="E534">
        <v>9.2536996535962395</v>
      </c>
      <c r="F534" s="257"/>
      <c r="G534">
        <f t="shared" si="8"/>
        <v>400</v>
      </c>
      <c r="H534" s="4">
        <f>IF(B534="RTG Crane",IF(D534&lt;600,800000,1200000),VLOOKUP(B534,'$$$ Replace &amp; Retrofit'!$B$10:$C$14,2)*'CHE Model poplulation'!D534)*E534</f>
        <v>11104439.584315488</v>
      </c>
      <c r="I534" s="197">
        <f>E534*VLOOKUP('CHE Model poplulation'!G534,'$$$ Replace &amp; Retrofit'!$I$10:$J$15,2)</f>
        <v>484273.863971652</v>
      </c>
      <c r="K534" s="239"/>
      <c r="L534" s="239"/>
      <c r="M534" s="239"/>
    </row>
    <row r="535" spans="1:13" x14ac:dyDescent="0.25">
      <c r="A535" s="255" t="s">
        <v>248</v>
      </c>
      <c r="B535" s="255" t="s">
        <v>212</v>
      </c>
      <c r="C535" s="256">
        <v>2024</v>
      </c>
      <c r="D535" s="256">
        <v>750</v>
      </c>
      <c r="E535">
        <v>5.5322718173360901</v>
      </c>
      <c r="F535" s="257"/>
      <c r="G535">
        <f t="shared" si="8"/>
        <v>400</v>
      </c>
      <c r="H535" s="4">
        <f>IF(B535="RTG Crane",IF(D535&lt;600,800000,1200000),VLOOKUP(B535,'$$$ Replace &amp; Retrofit'!$B$10:$C$14,2)*'CHE Model poplulation'!D535)*E535</f>
        <v>6638726.1808033083</v>
      </c>
      <c r="I535" s="197">
        <f>E535*VLOOKUP('CHE Model poplulation'!G535,'$$$ Replace &amp; Retrofit'!$I$10:$J$15,2)</f>
        <v>289520.3810166496</v>
      </c>
      <c r="K535" s="239"/>
      <c r="L535" s="239"/>
      <c r="M535" s="239"/>
    </row>
    <row r="536" spans="1:13" x14ac:dyDescent="0.25">
      <c r="A536" s="255" t="s">
        <v>248</v>
      </c>
      <c r="B536" s="255" t="s">
        <v>212</v>
      </c>
      <c r="C536" s="256">
        <v>2024</v>
      </c>
      <c r="D536" s="256">
        <v>9999</v>
      </c>
      <c r="E536">
        <v>2.8830591531910001</v>
      </c>
      <c r="F536" s="257"/>
      <c r="G536">
        <f t="shared" si="8"/>
        <v>400</v>
      </c>
      <c r="H536" s="4">
        <f>IF(B536="RTG Crane",IF(D536&lt;600,800000,1200000),VLOOKUP(B536,'$$$ Replace &amp; Retrofit'!$B$10:$C$14,2)*'CHE Model poplulation'!D536)*E536</f>
        <v>3459670.9838292003</v>
      </c>
      <c r="I536" s="197">
        <f>E536*VLOOKUP('CHE Model poplulation'!G536,'$$$ Replace &amp; Retrofit'!$I$10:$J$15,2)</f>
        <v>150879.1346639446</v>
      </c>
      <c r="K536" s="239"/>
      <c r="L536" s="239"/>
      <c r="M536" s="239"/>
    </row>
    <row r="537" spans="1:13" x14ac:dyDescent="0.25">
      <c r="A537" s="255" t="s">
        <v>248</v>
      </c>
      <c r="B537" s="255" t="s">
        <v>212</v>
      </c>
      <c r="C537" s="256">
        <v>2025</v>
      </c>
      <c r="D537" s="256">
        <v>100</v>
      </c>
      <c r="E537">
        <v>4.8480876745483403E-2</v>
      </c>
      <c r="F537" s="257"/>
      <c r="G537">
        <f t="shared" si="8"/>
        <v>125</v>
      </c>
      <c r="H537" s="4">
        <f>IF(B537="RTG Crane",IF(D537&lt;600,800000,1200000),VLOOKUP(B537,'$$$ Replace &amp; Retrofit'!$B$10:$C$14,2)*'CHE Model poplulation'!D537)*E537</f>
        <v>38784.701396386721</v>
      </c>
      <c r="I537" s="197">
        <f>E537*VLOOKUP('CHE Model poplulation'!G537,'$$$ Replace &amp; Retrofit'!$I$10:$J$15,2)</f>
        <v>956.67314081862401</v>
      </c>
      <c r="K537" s="239"/>
      <c r="L537" s="239"/>
      <c r="M537" s="239"/>
    </row>
    <row r="538" spans="1:13" x14ac:dyDescent="0.25">
      <c r="A538" s="255" t="s">
        <v>248</v>
      </c>
      <c r="B538" s="255" t="s">
        <v>212</v>
      </c>
      <c r="C538" s="256">
        <v>2025</v>
      </c>
      <c r="D538" s="256">
        <v>300</v>
      </c>
      <c r="E538">
        <v>4.49171164920834</v>
      </c>
      <c r="F538" s="257"/>
      <c r="G538">
        <f t="shared" si="8"/>
        <v>300</v>
      </c>
      <c r="H538" s="4">
        <f>IF(B538="RTG Crane",IF(D538&lt;600,800000,1200000),VLOOKUP(B538,'$$$ Replace &amp; Retrofit'!$B$10:$C$14,2)*'CHE Model poplulation'!D538)*E538</f>
        <v>3593369.3193666721</v>
      </c>
      <c r="I538" s="197">
        <f>E538*VLOOKUP('CHE Model poplulation'!G538,'$$$ Replace &amp; Retrofit'!$I$10:$J$15,2)</f>
        <v>129195.10216617948</v>
      </c>
      <c r="K538" s="239"/>
      <c r="L538" s="239"/>
      <c r="M538" s="239"/>
    </row>
    <row r="539" spans="1:13" x14ac:dyDescent="0.25">
      <c r="A539" s="255" t="s">
        <v>248</v>
      </c>
      <c r="B539" s="255" t="s">
        <v>212</v>
      </c>
      <c r="C539" s="256">
        <v>2025</v>
      </c>
      <c r="D539" s="256">
        <v>600</v>
      </c>
      <c r="E539">
        <v>7.2160338331222196</v>
      </c>
      <c r="F539" s="257"/>
      <c r="G539">
        <f t="shared" si="8"/>
        <v>400</v>
      </c>
      <c r="H539" s="4">
        <f>IF(B539="RTG Crane",IF(D539&lt;600,800000,1200000),VLOOKUP(B539,'$$$ Replace &amp; Retrofit'!$B$10:$C$14,2)*'CHE Model poplulation'!D539)*E539</f>
        <v>8659240.5997466631</v>
      </c>
      <c r="I539" s="197">
        <f>E539*VLOOKUP('CHE Model poplulation'!G539,'$$$ Replace &amp; Retrofit'!$I$10:$J$15,2)</f>
        <v>377636.69858878513</v>
      </c>
      <c r="K539" s="239"/>
      <c r="L539" s="239"/>
      <c r="M539" s="239"/>
    </row>
    <row r="540" spans="1:13" x14ac:dyDescent="0.25">
      <c r="A540" s="255" t="s">
        <v>248</v>
      </c>
      <c r="B540" s="255" t="s">
        <v>212</v>
      </c>
      <c r="C540" s="256">
        <v>2025</v>
      </c>
      <c r="D540" s="256">
        <v>750</v>
      </c>
      <c r="E540">
        <v>4.1270019673573399</v>
      </c>
      <c r="F540" s="257"/>
      <c r="G540">
        <f t="shared" si="8"/>
        <v>400</v>
      </c>
      <c r="H540" s="4">
        <f>IF(B540="RTG Crane",IF(D540&lt;600,800000,1200000),VLOOKUP(B540,'$$$ Replace &amp; Retrofit'!$B$10:$C$14,2)*'CHE Model poplulation'!D540)*E540</f>
        <v>4952402.3608288076</v>
      </c>
      <c r="I540" s="197">
        <f>E540*VLOOKUP('CHE Model poplulation'!G540,'$$$ Replace &amp; Retrofit'!$I$10:$J$15,2)</f>
        <v>215978.39395771167</v>
      </c>
      <c r="K540" s="239"/>
      <c r="L540" s="239"/>
      <c r="M540" s="239"/>
    </row>
    <row r="541" spans="1:13" x14ac:dyDescent="0.25">
      <c r="A541" s="255" t="s">
        <v>248</v>
      </c>
      <c r="B541" s="255" t="s">
        <v>212</v>
      </c>
      <c r="C541" s="256">
        <v>2025</v>
      </c>
      <c r="D541" s="256">
        <v>9999</v>
      </c>
      <c r="E541">
        <v>2.29707636903089</v>
      </c>
      <c r="F541" s="257"/>
      <c r="G541">
        <f t="shared" si="8"/>
        <v>400</v>
      </c>
      <c r="H541" s="4">
        <f>IF(B541="RTG Crane",IF(D541&lt;600,800000,1200000),VLOOKUP(B541,'$$$ Replace &amp; Retrofit'!$B$10:$C$14,2)*'CHE Model poplulation'!D541)*E541</f>
        <v>2756491.6428370681</v>
      </c>
      <c r="I541" s="197">
        <f>E541*VLOOKUP('CHE Model poplulation'!G541,'$$$ Replace &amp; Retrofit'!$I$10:$J$15,2)</f>
        <v>120212.89762049356</v>
      </c>
      <c r="K541" s="239"/>
      <c r="L541" s="239"/>
      <c r="M541" s="239"/>
    </row>
    <row r="542" spans="1:13" ht="30" x14ac:dyDescent="0.25">
      <c r="A542" s="255" t="s">
        <v>20</v>
      </c>
      <c r="B542" s="255" t="s">
        <v>206</v>
      </c>
      <c r="C542" s="256">
        <v>2006</v>
      </c>
      <c r="D542" s="256">
        <v>50</v>
      </c>
      <c r="E542">
        <v>0</v>
      </c>
      <c r="F542" s="257"/>
      <c r="H542" s="239"/>
      <c r="I542" s="4"/>
      <c r="K542" s="239"/>
      <c r="L542" s="239"/>
      <c r="M542" s="239"/>
    </row>
    <row r="543" spans="1:13" ht="30" x14ac:dyDescent="0.25">
      <c r="A543" s="255" t="s">
        <v>20</v>
      </c>
      <c r="B543" s="255" t="s">
        <v>206</v>
      </c>
      <c r="C543" s="256">
        <v>2006</v>
      </c>
      <c r="D543" s="256">
        <v>75</v>
      </c>
      <c r="E543">
        <v>0</v>
      </c>
      <c r="F543" s="257"/>
      <c r="H543" s="239"/>
      <c r="I543" s="4"/>
      <c r="K543" s="239"/>
      <c r="L543" s="239"/>
      <c r="M543" s="239"/>
    </row>
    <row r="544" spans="1:13" ht="30" x14ac:dyDescent="0.25">
      <c r="A544" s="255" t="s">
        <v>20</v>
      </c>
      <c r="B544" s="255" t="s">
        <v>206</v>
      </c>
      <c r="C544" s="256">
        <v>2006</v>
      </c>
      <c r="D544" s="256">
        <v>100</v>
      </c>
      <c r="E544">
        <v>0</v>
      </c>
      <c r="F544" s="257"/>
      <c r="H544" s="239"/>
      <c r="I544" s="4"/>
      <c r="K544" s="239"/>
      <c r="L544" s="239"/>
      <c r="M544" s="239"/>
    </row>
    <row r="545" spans="1:13" ht="30" x14ac:dyDescent="0.25">
      <c r="A545" s="255" t="s">
        <v>20</v>
      </c>
      <c r="B545" s="255" t="s">
        <v>206</v>
      </c>
      <c r="C545" s="256">
        <v>2006</v>
      </c>
      <c r="D545" s="256">
        <v>175</v>
      </c>
      <c r="E545">
        <v>0</v>
      </c>
      <c r="F545" s="257"/>
      <c r="H545" s="239"/>
      <c r="I545" s="4"/>
      <c r="K545" s="239"/>
      <c r="L545" s="239"/>
      <c r="M545" s="239"/>
    </row>
    <row r="546" spans="1:13" ht="30" x14ac:dyDescent="0.25">
      <c r="A546" s="255" t="s">
        <v>20</v>
      </c>
      <c r="B546" s="255" t="s">
        <v>206</v>
      </c>
      <c r="C546" s="256">
        <v>2006</v>
      </c>
      <c r="D546" s="256">
        <v>300</v>
      </c>
      <c r="E546">
        <v>0</v>
      </c>
      <c r="F546" s="257"/>
      <c r="H546" s="239"/>
      <c r="I546" s="4"/>
      <c r="K546" s="239"/>
      <c r="L546" s="239"/>
      <c r="M546" s="239"/>
    </row>
    <row r="547" spans="1:13" ht="30" x14ac:dyDescent="0.25">
      <c r="A547" s="255" t="s">
        <v>20</v>
      </c>
      <c r="B547" s="255" t="s">
        <v>206</v>
      </c>
      <c r="C547" s="256">
        <v>2006</v>
      </c>
      <c r="D547" s="256">
        <v>600</v>
      </c>
      <c r="E547">
        <v>0</v>
      </c>
      <c r="F547" s="257"/>
      <c r="H547" s="239"/>
      <c r="I547" s="4"/>
      <c r="K547" s="239"/>
      <c r="L547" s="239"/>
      <c r="M547" s="239"/>
    </row>
    <row r="548" spans="1:13" ht="30" x14ac:dyDescent="0.25">
      <c r="A548" s="255" t="s">
        <v>20</v>
      </c>
      <c r="B548" s="255" t="s">
        <v>206</v>
      </c>
      <c r="C548" s="256">
        <v>2007</v>
      </c>
      <c r="D548" s="256">
        <v>50</v>
      </c>
      <c r="E548">
        <v>0</v>
      </c>
      <c r="F548" s="257"/>
      <c r="H548" s="239"/>
      <c r="I548" s="4"/>
      <c r="K548" s="239"/>
      <c r="L548" s="239"/>
      <c r="M548" s="239"/>
    </row>
    <row r="549" spans="1:13" ht="30" x14ac:dyDescent="0.25">
      <c r="A549" s="255" t="s">
        <v>20</v>
      </c>
      <c r="B549" s="255" t="s">
        <v>206</v>
      </c>
      <c r="C549" s="256">
        <v>2007</v>
      </c>
      <c r="D549" s="256">
        <v>75</v>
      </c>
      <c r="E549">
        <v>0</v>
      </c>
      <c r="F549" s="257"/>
      <c r="H549" s="239"/>
      <c r="I549" s="4"/>
      <c r="K549" s="239"/>
      <c r="L549" s="239"/>
      <c r="M549" s="239"/>
    </row>
    <row r="550" spans="1:13" ht="30" x14ac:dyDescent="0.25">
      <c r="A550" s="255" t="s">
        <v>20</v>
      </c>
      <c r="B550" s="255" t="s">
        <v>206</v>
      </c>
      <c r="C550" s="256">
        <v>2007</v>
      </c>
      <c r="D550" s="256">
        <v>100</v>
      </c>
      <c r="E550">
        <v>0</v>
      </c>
      <c r="F550" s="257"/>
      <c r="H550" s="239"/>
      <c r="I550" s="4"/>
      <c r="K550" s="239"/>
      <c r="L550" s="239"/>
      <c r="M550" s="239"/>
    </row>
    <row r="551" spans="1:13" ht="30" x14ac:dyDescent="0.25">
      <c r="A551" s="255" t="s">
        <v>20</v>
      </c>
      <c r="B551" s="255" t="s">
        <v>206</v>
      </c>
      <c r="C551" s="256">
        <v>2007</v>
      </c>
      <c r="D551" s="256">
        <v>175</v>
      </c>
      <c r="E551">
        <v>0</v>
      </c>
      <c r="F551" s="257"/>
      <c r="H551" s="239"/>
      <c r="I551" s="4"/>
      <c r="K551" s="239"/>
      <c r="L551" s="239"/>
      <c r="M551" s="239"/>
    </row>
    <row r="552" spans="1:13" ht="30" x14ac:dyDescent="0.25">
      <c r="A552" s="255" t="s">
        <v>20</v>
      </c>
      <c r="B552" s="255" t="s">
        <v>206</v>
      </c>
      <c r="C552" s="256">
        <v>2007</v>
      </c>
      <c r="D552" s="256">
        <v>300</v>
      </c>
      <c r="E552">
        <v>0</v>
      </c>
      <c r="F552" s="257"/>
      <c r="H552" s="239"/>
      <c r="I552" s="4"/>
      <c r="K552" s="239"/>
      <c r="L552" s="239"/>
      <c r="M552" s="239"/>
    </row>
    <row r="553" spans="1:13" ht="30" x14ac:dyDescent="0.25">
      <c r="A553" s="255" t="s">
        <v>20</v>
      </c>
      <c r="B553" s="255" t="s">
        <v>206</v>
      </c>
      <c r="C553" s="256">
        <v>2007</v>
      </c>
      <c r="D553" s="256">
        <v>600</v>
      </c>
      <c r="E553">
        <v>0</v>
      </c>
      <c r="F553" s="257"/>
      <c r="H553" s="239"/>
      <c r="I553" s="4"/>
      <c r="K553" s="239"/>
      <c r="L553" s="239"/>
      <c r="M553" s="239"/>
    </row>
    <row r="554" spans="1:13" ht="30" x14ac:dyDescent="0.25">
      <c r="A554" s="255" t="s">
        <v>20</v>
      </c>
      <c r="B554" s="255" t="s">
        <v>206</v>
      </c>
      <c r="C554" s="256">
        <v>2008</v>
      </c>
      <c r="D554" s="256">
        <v>50</v>
      </c>
      <c r="E554">
        <v>0</v>
      </c>
      <c r="F554" s="257"/>
      <c r="H554" s="239"/>
      <c r="I554" s="4"/>
      <c r="K554" s="239"/>
      <c r="L554" s="239"/>
      <c r="M554" s="239"/>
    </row>
    <row r="555" spans="1:13" ht="30" x14ac:dyDescent="0.25">
      <c r="A555" s="255" t="s">
        <v>20</v>
      </c>
      <c r="B555" s="255" t="s">
        <v>206</v>
      </c>
      <c r="C555" s="256">
        <v>2008</v>
      </c>
      <c r="D555" s="256">
        <v>75</v>
      </c>
      <c r="E555">
        <v>0</v>
      </c>
      <c r="F555" s="257"/>
      <c r="H555" s="239"/>
      <c r="I555" s="4"/>
      <c r="K555" s="239"/>
      <c r="L555" s="239"/>
      <c r="M555" s="239"/>
    </row>
    <row r="556" spans="1:13" ht="30" x14ac:dyDescent="0.25">
      <c r="A556" s="255" t="s">
        <v>20</v>
      </c>
      <c r="B556" s="255" t="s">
        <v>206</v>
      </c>
      <c r="C556" s="256">
        <v>2008</v>
      </c>
      <c r="D556" s="256">
        <v>100</v>
      </c>
      <c r="E556">
        <v>0</v>
      </c>
      <c r="F556" s="257"/>
      <c r="H556" s="239"/>
      <c r="I556" s="4"/>
      <c r="K556" s="239"/>
      <c r="L556" s="239"/>
      <c r="M556" s="239"/>
    </row>
    <row r="557" spans="1:13" ht="30" x14ac:dyDescent="0.25">
      <c r="A557" s="255" t="s">
        <v>20</v>
      </c>
      <c r="B557" s="255" t="s">
        <v>206</v>
      </c>
      <c r="C557" s="256">
        <v>2008</v>
      </c>
      <c r="D557" s="256">
        <v>175</v>
      </c>
      <c r="E557">
        <v>0</v>
      </c>
      <c r="F557" s="257"/>
      <c r="H557" s="239"/>
      <c r="I557" s="4"/>
      <c r="K557" s="239"/>
      <c r="L557" s="239"/>
      <c r="M557" s="239"/>
    </row>
    <row r="558" spans="1:13" ht="30" x14ac:dyDescent="0.25">
      <c r="A558" s="255" t="s">
        <v>20</v>
      </c>
      <c r="B558" s="255" t="s">
        <v>206</v>
      </c>
      <c r="C558" s="256">
        <v>2008</v>
      </c>
      <c r="D558" s="256">
        <v>300</v>
      </c>
      <c r="E558">
        <v>0</v>
      </c>
      <c r="F558" s="257"/>
      <c r="H558" s="239"/>
      <c r="I558" s="4"/>
      <c r="K558" s="239"/>
      <c r="L558" s="239"/>
      <c r="M558" s="239"/>
    </row>
    <row r="559" spans="1:13" ht="30" x14ac:dyDescent="0.25">
      <c r="A559" s="255" t="s">
        <v>20</v>
      </c>
      <c r="B559" s="255" t="s">
        <v>206</v>
      </c>
      <c r="C559" s="256">
        <v>2008</v>
      </c>
      <c r="D559" s="256">
        <v>600</v>
      </c>
      <c r="E559">
        <v>0</v>
      </c>
      <c r="F559" s="257"/>
      <c r="H559" s="239"/>
      <c r="I559" s="4"/>
      <c r="K559" s="239"/>
      <c r="L559" s="239"/>
      <c r="M559" s="239"/>
    </row>
    <row r="560" spans="1:13" ht="30" x14ac:dyDescent="0.25">
      <c r="A560" s="255" t="s">
        <v>20</v>
      </c>
      <c r="B560" s="255" t="s">
        <v>206</v>
      </c>
      <c r="C560" s="256">
        <v>2009</v>
      </c>
      <c r="D560" s="256">
        <v>50</v>
      </c>
      <c r="E560">
        <v>0</v>
      </c>
      <c r="F560" s="257"/>
      <c r="H560" s="239"/>
      <c r="I560" s="4"/>
      <c r="K560" s="239"/>
      <c r="L560" s="239"/>
      <c r="M560" s="239"/>
    </row>
    <row r="561" spans="1:13" ht="30" x14ac:dyDescent="0.25">
      <c r="A561" s="255" t="s">
        <v>20</v>
      </c>
      <c r="B561" s="255" t="s">
        <v>206</v>
      </c>
      <c r="C561" s="256">
        <v>2009</v>
      </c>
      <c r="D561" s="256">
        <v>75</v>
      </c>
      <c r="E561">
        <v>0</v>
      </c>
      <c r="F561" s="257"/>
      <c r="H561" s="239"/>
      <c r="I561" s="4"/>
      <c r="K561" s="239"/>
      <c r="L561" s="239"/>
      <c r="M561" s="239"/>
    </row>
    <row r="562" spans="1:13" ht="30" x14ac:dyDescent="0.25">
      <c r="A562" s="255" t="s">
        <v>20</v>
      </c>
      <c r="B562" s="255" t="s">
        <v>206</v>
      </c>
      <c r="C562" s="256">
        <v>2009</v>
      </c>
      <c r="D562" s="256">
        <v>100</v>
      </c>
      <c r="E562">
        <v>0</v>
      </c>
      <c r="F562" s="257"/>
      <c r="H562" s="239"/>
      <c r="I562" s="4"/>
      <c r="K562" s="239"/>
      <c r="L562" s="239"/>
      <c r="M562" s="239"/>
    </row>
    <row r="563" spans="1:13" ht="30" x14ac:dyDescent="0.25">
      <c r="A563" s="255" t="s">
        <v>20</v>
      </c>
      <c r="B563" s="255" t="s">
        <v>206</v>
      </c>
      <c r="C563" s="256">
        <v>2009</v>
      </c>
      <c r="D563" s="256">
        <v>175</v>
      </c>
      <c r="E563">
        <v>0</v>
      </c>
      <c r="F563" s="257"/>
      <c r="H563" s="239"/>
      <c r="I563" s="4"/>
      <c r="K563" s="239"/>
      <c r="L563" s="239"/>
      <c r="M563" s="239"/>
    </row>
    <row r="564" spans="1:13" ht="30" x14ac:dyDescent="0.25">
      <c r="A564" s="255" t="s">
        <v>20</v>
      </c>
      <c r="B564" s="255" t="s">
        <v>206</v>
      </c>
      <c r="C564" s="256">
        <v>2009</v>
      </c>
      <c r="D564" s="256">
        <v>300</v>
      </c>
      <c r="E564">
        <v>0</v>
      </c>
      <c r="F564" s="257"/>
      <c r="H564" s="239"/>
      <c r="I564" s="4"/>
      <c r="K564" s="239"/>
      <c r="L564" s="239"/>
      <c r="M564" s="239"/>
    </row>
    <row r="565" spans="1:13" ht="30" x14ac:dyDescent="0.25">
      <c r="A565" s="255" t="s">
        <v>20</v>
      </c>
      <c r="B565" s="255" t="s">
        <v>206</v>
      </c>
      <c r="C565" s="256">
        <v>2009</v>
      </c>
      <c r="D565" s="256">
        <v>600</v>
      </c>
      <c r="E565">
        <v>0</v>
      </c>
      <c r="F565" s="257"/>
      <c r="H565" s="239"/>
      <c r="I565" s="4"/>
      <c r="K565" s="239"/>
      <c r="L565" s="239"/>
      <c r="M565" s="239"/>
    </row>
    <row r="566" spans="1:13" ht="30" x14ac:dyDescent="0.25">
      <c r="A566" s="255" t="s">
        <v>20</v>
      </c>
      <c r="B566" s="255" t="s">
        <v>206</v>
      </c>
      <c r="C566" s="256">
        <v>2010</v>
      </c>
      <c r="D566" s="256">
        <v>50</v>
      </c>
      <c r="E566">
        <v>0.96387435366812402</v>
      </c>
      <c r="F566" s="258">
        <f>SUM(E566:E571)</f>
        <v>21.999999999999964</v>
      </c>
      <c r="G566">
        <f t="shared" si="8"/>
        <v>50</v>
      </c>
      <c r="H566" s="4">
        <f>IF(B566="RTG Crane",IF(D566&lt;600,800000,1200000),VLOOKUP(B566,'$$$ Replace &amp; Retrofit'!$B$10:$C$14,2)*'CHE Model poplulation'!D566)*E566</f>
        <v>48193.717683406197</v>
      </c>
      <c r="I566" s="4">
        <f>E566*VLOOKUP('CHE Model poplulation'!G566,'$$$ Replace &amp; Retrofit'!$I$10:$J$15,2)</f>
        <v>16952.622132314966</v>
      </c>
      <c r="J566" s="4">
        <f>IF(D566=50,VLOOKUP(0,'$$$ Replace &amp; Retrofit'!$E$10:$F$13,2),IF(D566&lt;175,VLOOKUP(50,'$$$ Replace &amp; Retrofit'!$E$10:$F$13,2),IF(D566&lt;400,VLOOKUP(175,'$$$ Replace &amp; Retrofit'!$E$10:$F$13,2),IF(D566&gt;=400,VLOOKUP(400,'$$$ Replace &amp; Retrofit'!$E$10:$F$13,2),NA))))*E566</f>
        <v>7710.9948293449925</v>
      </c>
      <c r="K566" s="51"/>
      <c r="L566" s="51"/>
      <c r="M566" s="51"/>
    </row>
    <row r="567" spans="1:13" ht="30" x14ac:dyDescent="0.25">
      <c r="A567" s="255" t="s">
        <v>20</v>
      </c>
      <c r="B567" s="255" t="s">
        <v>206</v>
      </c>
      <c r="C567" s="256">
        <v>2010</v>
      </c>
      <c r="D567" s="256">
        <v>75</v>
      </c>
      <c r="E567">
        <v>2.06645888193919</v>
      </c>
      <c r="F567" s="257"/>
      <c r="G567">
        <f t="shared" si="8"/>
        <v>50</v>
      </c>
      <c r="H567" s="4">
        <f>IF(B567="RTG Crane",IF(D567&lt;600,800000,1200000),VLOOKUP(B567,'$$$ Replace &amp; Retrofit'!$B$10:$C$14,2)*'CHE Model poplulation'!D567)*E567</f>
        <v>154984.41614543926</v>
      </c>
      <c r="I567" s="4">
        <f>E567*VLOOKUP('CHE Model poplulation'!G567,'$$$ Replace &amp; Retrofit'!$I$10:$J$15,2)</f>
        <v>36344.878815546472</v>
      </c>
      <c r="J567" s="4">
        <f>IF(D567=50,VLOOKUP(0,'$$$ Replace &amp; Retrofit'!$E$10:$F$13,2),IF(D567&lt;175,VLOOKUP(50,'$$$ Replace &amp; Retrofit'!$E$10:$F$13,2),IF(D567&lt;400,VLOOKUP(175,'$$$ Replace &amp; Retrofit'!$E$10:$F$13,2),IF(D567&gt;=400,VLOOKUP(400,'$$$ Replace &amp; Retrofit'!$E$10:$F$13,2),NA))))*E567</f>
        <v>24797.506583270282</v>
      </c>
      <c r="K567" s="51"/>
      <c r="L567" s="51"/>
      <c r="M567" s="51"/>
    </row>
    <row r="568" spans="1:13" ht="30" x14ac:dyDescent="0.25">
      <c r="A568" s="255" t="s">
        <v>20</v>
      </c>
      <c r="B568" s="255" t="s">
        <v>206</v>
      </c>
      <c r="C568" s="256">
        <v>2010</v>
      </c>
      <c r="D568" s="256">
        <v>100</v>
      </c>
      <c r="E568">
        <v>2.1733612697328399</v>
      </c>
      <c r="F568" s="257"/>
      <c r="G568">
        <f t="shared" si="8"/>
        <v>125</v>
      </c>
      <c r="H568" s="4">
        <f>IF(B568="RTG Crane",IF(D568&lt;600,800000,1200000),VLOOKUP(B568,'$$$ Replace &amp; Retrofit'!$B$10:$C$14,2)*'CHE Model poplulation'!D568)*E568</f>
        <v>217336.126973284</v>
      </c>
      <c r="I568" s="4">
        <f>E568*VLOOKUP('CHE Model poplulation'!G568,'$$$ Replace &amp; Retrofit'!$I$10:$J$15,2)</f>
        <v>42886.937935638132</v>
      </c>
      <c r="J568" s="4">
        <f>IF(D568=50,VLOOKUP(0,'$$$ Replace &amp; Retrofit'!$E$10:$F$13,2),IF(D568&lt;175,VLOOKUP(50,'$$$ Replace &amp; Retrofit'!$E$10:$F$13,2),IF(D568&lt;400,VLOOKUP(175,'$$$ Replace &amp; Retrofit'!$E$10:$F$13,2),IF(D568&gt;=400,VLOOKUP(400,'$$$ Replace &amp; Retrofit'!$E$10:$F$13,2),NA))))*E568</f>
        <v>26080.335236794079</v>
      </c>
      <c r="K568" s="51"/>
      <c r="L568" s="51"/>
      <c r="M568" s="51"/>
    </row>
    <row r="569" spans="1:13" ht="30" x14ac:dyDescent="0.25">
      <c r="A569" s="255" t="s">
        <v>20</v>
      </c>
      <c r="B569" s="255" t="s">
        <v>206</v>
      </c>
      <c r="C569" s="256">
        <v>2010</v>
      </c>
      <c r="D569" s="256">
        <v>175</v>
      </c>
      <c r="E569">
        <v>4.4200642769247196</v>
      </c>
      <c r="F569" s="257"/>
      <c r="G569">
        <f t="shared" si="8"/>
        <v>175</v>
      </c>
      <c r="H569" s="4">
        <f>IF(B569="RTG Crane",IF(D569&lt;600,800000,1200000),VLOOKUP(B569,'$$$ Replace &amp; Retrofit'!$B$10:$C$14,2)*'CHE Model poplulation'!D569)*E569</f>
        <v>773511.24846182589</v>
      </c>
      <c r="I569" s="4">
        <f>E569*VLOOKUP('CHE Model poplulation'!G569,'$$$ Replace &amp; Retrofit'!$I$10:$J$15,2)</f>
        <v>109599.91381062535</v>
      </c>
      <c r="J569" s="4">
        <f>IF(D569=50,VLOOKUP(0,'$$$ Replace &amp; Retrofit'!$E$10:$F$13,2),IF(D569&lt;175,VLOOKUP(50,'$$$ Replace &amp; Retrofit'!$E$10:$F$13,2),IF(D569&lt;400,VLOOKUP(175,'$$$ Replace &amp; Retrofit'!$E$10:$F$13,2),IF(D569&gt;=400,VLOOKUP(400,'$$$ Replace &amp; Retrofit'!$E$10:$F$13,2),NA))))*E569</f>
        <v>79561.156984644957</v>
      </c>
      <c r="K569" s="51"/>
      <c r="L569" s="51"/>
      <c r="M569" s="51"/>
    </row>
    <row r="570" spans="1:13" ht="30" x14ac:dyDescent="0.25">
      <c r="A570" s="255" t="s">
        <v>20</v>
      </c>
      <c r="B570" s="255" t="s">
        <v>206</v>
      </c>
      <c r="C570" s="256">
        <v>2010</v>
      </c>
      <c r="D570" s="256">
        <v>300</v>
      </c>
      <c r="E570">
        <v>3.9401107189818001</v>
      </c>
      <c r="F570" s="257"/>
      <c r="G570">
        <f t="shared" si="8"/>
        <v>300</v>
      </c>
      <c r="H570" s="4">
        <f>IF(B570="RTG Crane",IF(D570&lt;600,800000,1200000),VLOOKUP(B570,'$$$ Replace &amp; Retrofit'!$B$10:$C$14,2)*'CHE Model poplulation'!D570)*E570</f>
        <v>1182033.2156945399</v>
      </c>
      <c r="I570" s="4">
        <f>E570*VLOOKUP('CHE Model poplulation'!G570,'$$$ Replace &amp; Retrofit'!$I$10:$J$15,2)</f>
        <v>113329.40461007351</v>
      </c>
      <c r="J570" s="4">
        <f>IF(D570=50,VLOOKUP(0,'$$$ Replace &amp; Retrofit'!$E$10:$F$13,2),IF(D570&lt;175,VLOOKUP(50,'$$$ Replace &amp; Retrofit'!$E$10:$F$13,2),IF(D570&lt;400,VLOOKUP(175,'$$$ Replace &amp; Retrofit'!$E$10:$F$13,2),IF(D570&gt;=400,VLOOKUP(400,'$$$ Replace &amp; Retrofit'!$E$10:$F$13,2),NA))))*E570</f>
        <v>70921.992941672404</v>
      </c>
      <c r="K570" s="239"/>
      <c r="L570" s="239"/>
      <c r="M570" s="239"/>
    </row>
    <row r="571" spans="1:13" ht="30" x14ac:dyDescent="0.25">
      <c r="A571" s="255" t="s">
        <v>20</v>
      </c>
      <c r="B571" s="255" t="s">
        <v>206</v>
      </c>
      <c r="C571" s="256">
        <v>2010</v>
      </c>
      <c r="D571" s="256">
        <v>600</v>
      </c>
      <c r="E571">
        <v>8.4361304987532897</v>
      </c>
      <c r="F571" s="257"/>
      <c r="G571">
        <f t="shared" si="8"/>
        <v>400</v>
      </c>
      <c r="H571" s="4">
        <f>IF(B571="RTG Crane",IF(D571&lt;600,800000,1200000),VLOOKUP(B571,'$$$ Replace &amp; Retrofit'!$B$10:$C$14,2)*'CHE Model poplulation'!D571)*E571</f>
        <v>5061678.2992519736</v>
      </c>
      <c r="I571" s="4">
        <f>E571*VLOOKUP('CHE Model poplulation'!G571,'$$$ Replace &amp; Retrofit'!$I$10:$J$15,2)</f>
        <v>441488.01739125588</v>
      </c>
      <c r="J571" s="4">
        <f>IF(D571=50,VLOOKUP(0,'$$$ Replace &amp; Retrofit'!$E$10:$F$13,2),IF(D571&lt;175,VLOOKUP(50,'$$$ Replace &amp; Retrofit'!$E$10:$F$13,2),IF(D571&lt;400,VLOOKUP(175,'$$$ Replace &amp; Retrofit'!$E$10:$F$13,2),IF(D571&gt;=400,VLOOKUP(400,'$$$ Replace &amp; Retrofit'!$E$10:$F$13,2),NA))))*E571</f>
        <v>253083.9149625987</v>
      </c>
      <c r="K571" s="239"/>
      <c r="L571" s="239"/>
      <c r="M571" s="239"/>
    </row>
    <row r="572" spans="1:13" ht="30" x14ac:dyDescent="0.25">
      <c r="A572" s="255" t="s">
        <v>20</v>
      </c>
      <c r="B572" s="255" t="s">
        <v>206</v>
      </c>
      <c r="C572" s="256">
        <v>2011</v>
      </c>
      <c r="D572" s="256">
        <v>50</v>
      </c>
      <c r="E572">
        <v>0.95872737833440203</v>
      </c>
      <c r="F572" s="257"/>
      <c r="G572">
        <f t="shared" si="8"/>
        <v>50</v>
      </c>
      <c r="H572" s="4">
        <f>IF(B572="RTG Crane",IF(D572&lt;600,800000,1200000),VLOOKUP(B572,'$$$ Replace &amp; Retrofit'!$B$10:$C$14,2)*'CHE Model poplulation'!D572)*E572</f>
        <v>47936.368916720101</v>
      </c>
      <c r="I572" s="4">
        <f>E572*VLOOKUP('CHE Model poplulation'!G572,'$$$ Replace &amp; Retrofit'!$I$10:$J$15,2)</f>
        <v>16862.097130145463</v>
      </c>
      <c r="J572" s="4">
        <f>IF(D572=50,VLOOKUP(0,'$$$ Replace &amp; Retrofit'!$E$10:$F$13,2),IF(D572&lt;175,VLOOKUP(50,'$$$ Replace &amp; Retrofit'!$E$10:$F$13,2),IF(D572&lt;400,VLOOKUP(175,'$$$ Replace &amp; Retrofit'!$E$10:$F$13,2),IF(D572&gt;=400,VLOOKUP(400,'$$$ Replace &amp; Retrofit'!$E$10:$F$13,2),NA))))*E572</f>
        <v>7669.8190266752163</v>
      </c>
      <c r="K572" s="239"/>
      <c r="L572" s="239"/>
      <c r="M572" s="239"/>
    </row>
    <row r="573" spans="1:13" ht="30" x14ac:dyDescent="0.25">
      <c r="A573" s="255" t="s">
        <v>20</v>
      </c>
      <c r="B573" s="255" t="s">
        <v>206</v>
      </c>
      <c r="C573" s="256">
        <v>2011</v>
      </c>
      <c r="D573" s="256">
        <v>75</v>
      </c>
      <c r="E573">
        <v>2.0553927866269599</v>
      </c>
      <c r="F573" s="257"/>
      <c r="G573">
        <f t="shared" si="8"/>
        <v>50</v>
      </c>
      <c r="H573" s="4">
        <f>IF(B573="RTG Crane",IF(D573&lt;600,800000,1200000),VLOOKUP(B573,'$$$ Replace &amp; Retrofit'!$B$10:$C$14,2)*'CHE Model poplulation'!D573)*E573</f>
        <v>154154.45899702198</v>
      </c>
      <c r="I573" s="4">
        <f>E573*VLOOKUP('CHE Model poplulation'!G573,'$$$ Replace &amp; Retrofit'!$I$10:$J$15,2)</f>
        <v>36150.248331194969</v>
      </c>
      <c r="J573" s="4">
        <f>IF(D573=50,VLOOKUP(0,'$$$ Replace &amp; Retrofit'!$E$10:$F$13,2),IF(D573&lt;175,VLOOKUP(50,'$$$ Replace &amp; Retrofit'!$E$10:$F$13,2),IF(D573&lt;400,VLOOKUP(175,'$$$ Replace &amp; Retrofit'!$E$10:$F$13,2),IF(D573&gt;=400,VLOOKUP(400,'$$$ Replace &amp; Retrofit'!$E$10:$F$13,2),NA))))*E573</f>
        <v>24664.713439523519</v>
      </c>
      <c r="K573" s="239"/>
      <c r="L573" s="239"/>
      <c r="M573" s="239"/>
    </row>
    <row r="574" spans="1:13" ht="30" x14ac:dyDescent="0.25">
      <c r="A574" s="255" t="s">
        <v>20</v>
      </c>
      <c r="B574" s="255" t="s">
        <v>206</v>
      </c>
      <c r="C574" s="256">
        <v>2011</v>
      </c>
      <c r="D574" s="256">
        <v>100</v>
      </c>
      <c r="E574">
        <v>2.1607931671107501</v>
      </c>
      <c r="F574" s="257"/>
      <c r="G574">
        <f t="shared" si="8"/>
        <v>125</v>
      </c>
      <c r="H574" s="4">
        <f>IF(B574="RTG Crane",IF(D574&lt;600,800000,1200000),VLOOKUP(B574,'$$$ Replace &amp; Retrofit'!$B$10:$C$14,2)*'CHE Model poplulation'!D574)*E574</f>
        <v>216079.31671107502</v>
      </c>
      <c r="I574" s="4">
        <f>E574*VLOOKUP('CHE Model poplulation'!G574,'$$$ Replace &amp; Retrofit'!$I$10:$J$15,2)</f>
        <v>42638.931566596431</v>
      </c>
      <c r="J574" s="4">
        <f>IF(D574=50,VLOOKUP(0,'$$$ Replace &amp; Retrofit'!$E$10:$F$13,2),IF(D574&lt;175,VLOOKUP(50,'$$$ Replace &amp; Retrofit'!$E$10:$F$13,2),IF(D574&lt;400,VLOOKUP(175,'$$$ Replace &amp; Retrofit'!$E$10:$F$13,2),IF(D574&gt;=400,VLOOKUP(400,'$$$ Replace &amp; Retrofit'!$E$10:$F$13,2),NA))))*E574</f>
        <v>25929.518005329002</v>
      </c>
      <c r="K574" s="239"/>
      <c r="L574" s="239"/>
      <c r="M574" s="239"/>
    </row>
    <row r="575" spans="1:13" ht="30" x14ac:dyDescent="0.25">
      <c r="A575" s="255" t="s">
        <v>20</v>
      </c>
      <c r="B575" s="255" t="s">
        <v>206</v>
      </c>
      <c r="C575" s="256">
        <v>2011</v>
      </c>
      <c r="D575" s="256">
        <v>175</v>
      </c>
      <c r="E575">
        <v>4.3977831097915203</v>
      </c>
      <c r="F575" s="257"/>
      <c r="G575">
        <f t="shared" si="8"/>
        <v>175</v>
      </c>
      <c r="H575" s="4">
        <f>IF(B575="RTG Crane",IF(D575&lt;600,800000,1200000),VLOOKUP(B575,'$$$ Replace &amp; Retrofit'!$B$10:$C$14,2)*'CHE Model poplulation'!D575)*E575</f>
        <v>769612.04421351606</v>
      </c>
      <c r="I575" s="4">
        <f>E575*VLOOKUP('CHE Model poplulation'!G575,'$$$ Replace &amp; Retrofit'!$I$10:$J$15,2)</f>
        <v>109047.42999039053</v>
      </c>
      <c r="J575" s="4">
        <f>IF(D575=50,VLOOKUP(0,'$$$ Replace &amp; Retrofit'!$E$10:$F$13,2),IF(D575&lt;175,VLOOKUP(50,'$$$ Replace &amp; Retrofit'!$E$10:$F$13,2),IF(D575&lt;400,VLOOKUP(175,'$$$ Replace &amp; Retrofit'!$E$10:$F$13,2),IF(D575&gt;=400,VLOOKUP(400,'$$$ Replace &amp; Retrofit'!$E$10:$F$13,2),NA))))*E575</f>
        <v>79160.095976247365</v>
      </c>
      <c r="K575" s="239"/>
      <c r="L575" s="239"/>
      <c r="M575" s="239"/>
    </row>
    <row r="576" spans="1:13" ht="30" x14ac:dyDescent="0.25">
      <c r="A576" s="255" t="s">
        <v>20</v>
      </c>
      <c r="B576" s="255" t="s">
        <v>206</v>
      </c>
      <c r="C576" s="256">
        <v>2011</v>
      </c>
      <c r="D576" s="256">
        <v>300</v>
      </c>
      <c r="E576">
        <v>3.91938697624997</v>
      </c>
      <c r="F576" s="257"/>
      <c r="G576">
        <f t="shared" si="8"/>
        <v>300</v>
      </c>
      <c r="H576" s="4">
        <f>IF(B576="RTG Crane",IF(D576&lt;600,800000,1200000),VLOOKUP(B576,'$$$ Replace &amp; Retrofit'!$B$10:$C$14,2)*'CHE Model poplulation'!D576)*E576</f>
        <v>1175816.092874991</v>
      </c>
      <c r="I576" s="4">
        <f>E576*VLOOKUP('CHE Model poplulation'!G576,'$$$ Replace &amp; Retrofit'!$I$10:$J$15,2)</f>
        <v>112733.32759787788</v>
      </c>
      <c r="J576" s="4">
        <f>IF(D576=50,VLOOKUP(0,'$$$ Replace &amp; Retrofit'!$E$10:$F$13,2),IF(D576&lt;175,VLOOKUP(50,'$$$ Replace &amp; Retrofit'!$E$10:$F$13,2),IF(D576&lt;400,VLOOKUP(175,'$$$ Replace &amp; Retrofit'!$E$10:$F$13,2),IF(D576&gt;=400,VLOOKUP(400,'$$$ Replace &amp; Retrofit'!$E$10:$F$13,2),NA))))*E576</f>
        <v>70548.965572499466</v>
      </c>
      <c r="K576" s="239"/>
      <c r="L576" s="239"/>
      <c r="M576" s="239"/>
    </row>
    <row r="577" spans="1:13" ht="30" x14ac:dyDescent="0.25">
      <c r="A577" s="255" t="s">
        <v>20</v>
      </c>
      <c r="B577" s="255" t="s">
        <v>206</v>
      </c>
      <c r="C577" s="256">
        <v>2011</v>
      </c>
      <c r="D577" s="256">
        <v>600</v>
      </c>
      <c r="E577">
        <v>8.3807834116164805</v>
      </c>
      <c r="F577" s="257"/>
      <c r="G577">
        <f t="shared" si="8"/>
        <v>400</v>
      </c>
      <c r="H577" s="4">
        <f>IF(B577="RTG Crane",IF(D577&lt;600,800000,1200000),VLOOKUP(B577,'$$$ Replace &amp; Retrofit'!$B$10:$C$14,2)*'CHE Model poplulation'!D577)*E577</f>
        <v>5028470.0469698887</v>
      </c>
      <c r="I577" s="4">
        <f>E577*VLOOKUP('CHE Model poplulation'!G577,'$$$ Replace &amp; Retrofit'!$I$10:$J$15,2)</f>
        <v>438591.5382801253</v>
      </c>
      <c r="J577" s="4">
        <f>IF(D577=50,VLOOKUP(0,'$$$ Replace &amp; Retrofit'!$E$10:$F$13,2),IF(D577&lt;175,VLOOKUP(50,'$$$ Replace &amp; Retrofit'!$E$10:$F$13,2),IF(D577&lt;400,VLOOKUP(175,'$$$ Replace &amp; Retrofit'!$E$10:$F$13,2),IF(D577&gt;=400,VLOOKUP(400,'$$$ Replace &amp; Retrofit'!$E$10:$F$13,2),NA))))*E577</f>
        <v>251423.50234849442</v>
      </c>
      <c r="K577" s="239"/>
      <c r="L577" s="239"/>
      <c r="M577" s="239"/>
    </row>
    <row r="578" spans="1:13" ht="30" x14ac:dyDescent="0.25">
      <c r="A578" s="255" t="s">
        <v>20</v>
      </c>
      <c r="B578" s="255" t="s">
        <v>206</v>
      </c>
      <c r="C578" s="256">
        <v>2012</v>
      </c>
      <c r="D578" s="256">
        <v>50</v>
      </c>
      <c r="E578">
        <v>0.94896692290265905</v>
      </c>
      <c r="F578" s="257"/>
      <c r="G578">
        <f t="shared" si="8"/>
        <v>50</v>
      </c>
      <c r="H578" s="4">
        <f>IF(B578="RTG Crane",IF(D578&lt;600,800000,1200000),VLOOKUP(B578,'$$$ Replace &amp; Retrofit'!$B$10:$C$14,2)*'CHE Model poplulation'!D578)*E578</f>
        <v>47448.346145132949</v>
      </c>
      <c r="I578" s="4">
        <f>E578*VLOOKUP('CHE Model poplulation'!G578,'$$$ Replace &amp; Retrofit'!$I$10:$J$15,2)</f>
        <v>16690.430240011967</v>
      </c>
      <c r="J578" s="4">
        <f>IF(D578=50,VLOOKUP(0,'$$$ Replace &amp; Retrofit'!$E$10:$F$13,2),IF(D578&lt;175,VLOOKUP(50,'$$$ Replace &amp; Retrofit'!$E$10:$F$13,2),IF(D578&lt;400,VLOOKUP(175,'$$$ Replace &amp; Retrofit'!$E$10:$F$13,2),IF(D578&gt;=400,VLOOKUP(400,'$$$ Replace &amp; Retrofit'!$E$10:$F$13,2),NA))))*E578</f>
        <v>7591.7353832212721</v>
      </c>
      <c r="K578" s="239"/>
      <c r="L578" s="239"/>
      <c r="M578" s="239"/>
    </row>
    <row r="579" spans="1:13" ht="30" x14ac:dyDescent="0.25">
      <c r="A579" s="255" t="s">
        <v>20</v>
      </c>
      <c r="B579" s="255" t="s">
        <v>206</v>
      </c>
      <c r="C579" s="256">
        <v>2012</v>
      </c>
      <c r="D579" s="256">
        <v>75</v>
      </c>
      <c r="E579">
        <v>1.98315268406554</v>
      </c>
      <c r="F579" s="257"/>
      <c r="G579">
        <f t="shared" si="8"/>
        <v>50</v>
      </c>
      <c r="H579" s="4">
        <f>IF(B579="RTG Crane",IF(D579&lt;600,800000,1200000),VLOOKUP(B579,'$$$ Replace &amp; Retrofit'!$B$10:$C$14,2)*'CHE Model poplulation'!D579)*E579</f>
        <v>148736.45130491551</v>
      </c>
      <c r="I579" s="4">
        <f>E579*VLOOKUP('CHE Model poplulation'!G579,'$$$ Replace &amp; Retrofit'!$I$10:$J$15,2)</f>
        <v>34879.689407344718</v>
      </c>
      <c r="J579" s="4">
        <f>IF(D579=50,VLOOKUP(0,'$$$ Replace &amp; Retrofit'!$E$10:$F$13,2),IF(D579&lt;175,VLOOKUP(50,'$$$ Replace &amp; Retrofit'!$E$10:$F$13,2),IF(D579&lt;400,VLOOKUP(175,'$$$ Replace &amp; Retrofit'!$E$10:$F$13,2),IF(D579&gt;=400,VLOOKUP(400,'$$$ Replace &amp; Retrofit'!$E$10:$F$13,2),NA))))*E579</f>
        <v>23797.83220878648</v>
      </c>
      <c r="K579" s="239"/>
      <c r="L579" s="239"/>
      <c r="M579" s="239"/>
    </row>
    <row r="580" spans="1:13" ht="30" x14ac:dyDescent="0.25">
      <c r="A580" s="255" t="s">
        <v>20</v>
      </c>
      <c r="B580" s="255" t="s">
        <v>206</v>
      </c>
      <c r="C580" s="256">
        <v>2012</v>
      </c>
      <c r="D580" s="256">
        <v>100</v>
      </c>
      <c r="E580">
        <v>2.0716547764258499</v>
      </c>
      <c r="F580" s="257"/>
      <c r="G580">
        <f t="shared" si="8"/>
        <v>125</v>
      </c>
      <c r="H580" s="4">
        <f>IF(B580="RTG Crane",IF(D580&lt;600,800000,1200000),VLOOKUP(B580,'$$$ Replace &amp; Retrofit'!$B$10:$C$14,2)*'CHE Model poplulation'!D580)*E580</f>
        <v>207165.477642585</v>
      </c>
      <c r="I580" s="4">
        <f>E580*VLOOKUP('CHE Model poplulation'!G580,'$$$ Replace &amp; Retrofit'!$I$10:$J$15,2)</f>
        <v>40879.963703211295</v>
      </c>
      <c r="J580" s="4">
        <f>IF(D580=50,VLOOKUP(0,'$$$ Replace &amp; Retrofit'!$E$10:$F$13,2),IF(D580&lt;175,VLOOKUP(50,'$$$ Replace &amp; Retrofit'!$E$10:$F$13,2),IF(D580&lt;400,VLOOKUP(175,'$$$ Replace &amp; Retrofit'!$E$10:$F$13,2),IF(D580&gt;=400,VLOOKUP(400,'$$$ Replace &amp; Retrofit'!$E$10:$F$13,2),NA))))*E580</f>
        <v>24859.8573171102</v>
      </c>
      <c r="K580" s="239"/>
      <c r="L580" s="239"/>
      <c r="M580" s="239"/>
    </row>
    <row r="581" spans="1:13" ht="30" x14ac:dyDescent="0.25">
      <c r="A581" s="255" t="s">
        <v>20</v>
      </c>
      <c r="B581" s="255" t="s">
        <v>206</v>
      </c>
      <c r="C581" s="256">
        <v>2012</v>
      </c>
      <c r="D581" s="256">
        <v>175</v>
      </c>
      <c r="E581">
        <v>4.1976205677061902</v>
      </c>
      <c r="F581" s="257"/>
      <c r="G581">
        <f t="shared" si="8"/>
        <v>175</v>
      </c>
      <c r="H581" s="4">
        <f>IF(B581="RTG Crane",IF(D581&lt;600,800000,1200000),VLOOKUP(B581,'$$$ Replace &amp; Retrofit'!$B$10:$C$14,2)*'CHE Model poplulation'!D581)*E581</f>
        <v>734583.59934858326</v>
      </c>
      <c r="I581" s="4">
        <f>E581*VLOOKUP('CHE Model poplulation'!G581,'$$$ Replace &amp; Retrofit'!$I$10:$J$15,2)</f>
        <v>104084.19959684269</v>
      </c>
      <c r="J581" s="4">
        <f>IF(D581=50,VLOOKUP(0,'$$$ Replace &amp; Retrofit'!$E$10:$F$13,2),IF(D581&lt;175,VLOOKUP(50,'$$$ Replace &amp; Retrofit'!$E$10:$F$13,2),IF(D581&lt;400,VLOOKUP(175,'$$$ Replace &amp; Retrofit'!$E$10:$F$13,2),IF(D581&gt;=400,VLOOKUP(400,'$$$ Replace &amp; Retrofit'!$E$10:$F$13,2),NA))))*E581</f>
        <v>75557.170218711428</v>
      </c>
      <c r="K581" s="239"/>
      <c r="L581" s="239"/>
      <c r="M581" s="239"/>
    </row>
    <row r="582" spans="1:13" ht="30" x14ac:dyDescent="0.25">
      <c r="A582" s="255" t="s">
        <v>20</v>
      </c>
      <c r="B582" s="255" t="s">
        <v>206</v>
      </c>
      <c r="C582" s="256">
        <v>2012</v>
      </c>
      <c r="D582" s="256">
        <v>300</v>
      </c>
      <c r="E582">
        <v>3.5609943336341701</v>
      </c>
      <c r="F582" s="257"/>
      <c r="G582">
        <f t="shared" si="8"/>
        <v>300</v>
      </c>
      <c r="H582" s="4">
        <f>IF(B582="RTG Crane",IF(D582&lt;600,800000,1200000),VLOOKUP(B582,'$$$ Replace &amp; Retrofit'!$B$10:$C$14,2)*'CHE Model poplulation'!D582)*E582</f>
        <v>1068298.300090251</v>
      </c>
      <c r="I582" s="4">
        <f>E582*VLOOKUP('CHE Model poplulation'!G582,'$$$ Replace &amp; Retrofit'!$I$10:$J$15,2)</f>
        <v>102424.88001831963</v>
      </c>
      <c r="J582" s="4">
        <f>IF(D582=50,VLOOKUP(0,'$$$ Replace &amp; Retrofit'!$E$10:$F$13,2),IF(D582&lt;175,VLOOKUP(50,'$$$ Replace &amp; Retrofit'!$E$10:$F$13,2),IF(D582&lt;400,VLOOKUP(175,'$$$ Replace &amp; Retrofit'!$E$10:$F$13,2),IF(D582&gt;=400,VLOOKUP(400,'$$$ Replace &amp; Retrofit'!$E$10:$F$13,2),NA))))*E582</f>
        <v>64097.89800541506</v>
      </c>
      <c r="K582" s="239"/>
      <c r="L582" s="239"/>
      <c r="M582" s="239"/>
    </row>
    <row r="583" spans="1:13" ht="30" x14ac:dyDescent="0.25">
      <c r="A583" s="255" t="s">
        <v>20</v>
      </c>
      <c r="B583" s="255" t="s">
        <v>206</v>
      </c>
      <c r="C583" s="256">
        <v>2012</v>
      </c>
      <c r="D583" s="256">
        <v>600</v>
      </c>
      <c r="E583">
        <v>7.9447032316968196</v>
      </c>
      <c r="F583" s="257"/>
      <c r="G583">
        <f t="shared" si="8"/>
        <v>400</v>
      </c>
      <c r="H583" s="4">
        <f>IF(B583="RTG Crane",IF(D583&lt;600,800000,1200000),VLOOKUP(B583,'$$$ Replace &amp; Retrofit'!$B$10:$C$14,2)*'CHE Model poplulation'!D583)*E583</f>
        <v>4766821.9390180921</v>
      </c>
      <c r="I583" s="4">
        <f>E583*VLOOKUP('CHE Model poplulation'!G583,'$$$ Replace &amp; Retrofit'!$I$10:$J$15,2)</f>
        <v>415770.15422438964</v>
      </c>
      <c r="J583" s="4">
        <f>IF(D583=50,VLOOKUP(0,'$$$ Replace &amp; Retrofit'!$E$10:$F$13,2),IF(D583&lt;175,VLOOKUP(50,'$$$ Replace &amp; Retrofit'!$E$10:$F$13,2),IF(D583&lt;400,VLOOKUP(175,'$$$ Replace &amp; Retrofit'!$E$10:$F$13,2),IF(D583&gt;=400,VLOOKUP(400,'$$$ Replace &amp; Retrofit'!$E$10:$F$13,2),NA))))*E583</f>
        <v>238341.09695090458</v>
      </c>
      <c r="K583" s="239"/>
      <c r="L583" s="239"/>
      <c r="M583" s="239"/>
    </row>
    <row r="584" spans="1:13" ht="30" x14ac:dyDescent="0.25">
      <c r="A584" s="255" t="s">
        <v>20</v>
      </c>
      <c r="B584" s="255" t="s">
        <v>206</v>
      </c>
      <c r="C584" s="256">
        <v>2013</v>
      </c>
      <c r="D584" s="256">
        <v>50</v>
      </c>
      <c r="E584">
        <v>0.65333157000895703</v>
      </c>
      <c r="F584" s="257"/>
      <c r="G584">
        <f t="shared" si="8"/>
        <v>50</v>
      </c>
      <c r="H584" s="4">
        <f>IF(B584="RTG Crane",IF(D584&lt;600,800000,1200000),VLOOKUP(B584,'$$$ Replace &amp; Retrofit'!$B$10:$C$14,2)*'CHE Model poplulation'!D584)*E584</f>
        <v>32666.578500447853</v>
      </c>
      <c r="I584" s="4">
        <f>E584*VLOOKUP('CHE Model poplulation'!G584,'$$$ Replace &amp; Retrofit'!$I$10:$J$15,2)</f>
        <v>11490.795653317537</v>
      </c>
      <c r="J584" s="4">
        <f>IF(D584=50,VLOOKUP(0,'$$$ Replace &amp; Retrofit'!$E$10:$F$13,2),IF(D584&lt;175,VLOOKUP(50,'$$$ Replace &amp; Retrofit'!$E$10:$F$13,2),IF(D584&lt;400,VLOOKUP(175,'$$$ Replace &amp; Retrofit'!$E$10:$F$13,2),IF(D584&gt;=400,VLOOKUP(400,'$$$ Replace &amp; Retrofit'!$E$10:$F$13,2),NA))))*E584</f>
        <v>5226.6525600716559</v>
      </c>
      <c r="K584" s="239"/>
      <c r="L584" s="239"/>
      <c r="M584" s="239"/>
    </row>
    <row r="585" spans="1:13" ht="30" x14ac:dyDescent="0.25">
      <c r="A585" s="255" t="s">
        <v>20</v>
      </c>
      <c r="B585" s="255" t="s">
        <v>206</v>
      </c>
      <c r="C585" s="256">
        <v>2013</v>
      </c>
      <c r="D585" s="256">
        <v>75</v>
      </c>
      <c r="E585">
        <v>1.2638145417241899</v>
      </c>
      <c r="F585" s="257"/>
      <c r="G585">
        <f t="shared" si="8"/>
        <v>50</v>
      </c>
      <c r="H585" s="4">
        <f>IF(B585="RTG Crane",IF(D585&lt;600,800000,1200000),VLOOKUP(B585,'$$$ Replace &amp; Retrofit'!$B$10:$C$14,2)*'CHE Model poplulation'!D585)*E585</f>
        <v>94786.090629314247</v>
      </c>
      <c r="I585" s="4">
        <f>E585*VLOOKUP('CHE Model poplulation'!G585,'$$$ Replace &amp; Retrofit'!$I$10:$J$15,2)</f>
        <v>22227.970159845052</v>
      </c>
      <c r="J585" s="4">
        <f>IF(D585=50,VLOOKUP(0,'$$$ Replace &amp; Retrofit'!$E$10:$F$13,2),IF(D585&lt;175,VLOOKUP(50,'$$$ Replace &amp; Retrofit'!$E$10:$F$13,2),IF(D585&lt;400,VLOOKUP(175,'$$$ Replace &amp; Retrofit'!$E$10:$F$13,2),IF(D585&gt;=400,VLOOKUP(400,'$$$ Replace &amp; Retrofit'!$E$10:$F$13,2),NA))))*E585</f>
        <v>15165.774500690279</v>
      </c>
      <c r="K585" s="239"/>
      <c r="L585" s="239"/>
      <c r="M585" s="239"/>
    </row>
    <row r="586" spans="1:13" ht="30" x14ac:dyDescent="0.25">
      <c r="A586" s="255" t="s">
        <v>20</v>
      </c>
      <c r="B586" s="255" t="s">
        <v>206</v>
      </c>
      <c r="C586" s="256">
        <v>2013</v>
      </c>
      <c r="D586" s="256">
        <v>100</v>
      </c>
      <c r="E586">
        <v>1.36707968645259</v>
      </c>
      <c r="F586" s="257"/>
      <c r="G586">
        <f t="shared" si="8"/>
        <v>125</v>
      </c>
      <c r="H586" s="4">
        <f>IF(B586="RTG Crane",IF(D586&lt;600,800000,1200000),VLOOKUP(B586,'$$$ Replace &amp; Retrofit'!$B$10:$C$14,2)*'CHE Model poplulation'!D586)*E586</f>
        <v>136707.96864525901</v>
      </c>
      <c r="I586" s="4">
        <f>E586*VLOOKUP('CHE Model poplulation'!G586,'$$$ Replace &amp; Retrofit'!$I$10:$J$15,2)</f>
        <v>26976.583452768959</v>
      </c>
      <c r="J586" s="4">
        <f>IF(D586=50,VLOOKUP(0,'$$$ Replace &amp; Retrofit'!$E$10:$F$13,2),IF(D586&lt;175,VLOOKUP(50,'$$$ Replace &amp; Retrofit'!$E$10:$F$13,2),IF(D586&lt;400,VLOOKUP(175,'$$$ Replace &amp; Retrofit'!$E$10:$F$13,2),IF(D586&gt;=400,VLOOKUP(400,'$$$ Replace &amp; Retrofit'!$E$10:$F$13,2),NA))))*E586</f>
        <v>16404.956237431081</v>
      </c>
      <c r="K586" s="239"/>
      <c r="L586" s="239"/>
      <c r="M586" s="239"/>
    </row>
    <row r="587" spans="1:13" ht="30" x14ac:dyDescent="0.25">
      <c r="A587" s="255" t="s">
        <v>20</v>
      </c>
      <c r="B587" s="255" t="s">
        <v>206</v>
      </c>
      <c r="C587" s="256">
        <v>2013</v>
      </c>
      <c r="D587" s="256">
        <v>175</v>
      </c>
      <c r="E587">
        <v>2.1250538789945099</v>
      </c>
      <c r="F587" s="257"/>
      <c r="G587">
        <f t="shared" si="8"/>
        <v>175</v>
      </c>
      <c r="H587" s="4">
        <f>IF(B587="RTG Crane",IF(D587&lt;600,800000,1200000),VLOOKUP(B587,'$$$ Replace &amp; Retrofit'!$B$10:$C$14,2)*'CHE Model poplulation'!D587)*E587</f>
        <v>371884.42882403923</v>
      </c>
      <c r="I587" s="4">
        <f>E587*VLOOKUP('CHE Model poplulation'!G587,'$$$ Replace &amp; Retrofit'!$I$10:$J$15,2)</f>
        <v>52692.83598354787</v>
      </c>
      <c r="J587" s="4">
        <f>IF(D587=50,VLOOKUP(0,'$$$ Replace &amp; Retrofit'!$E$10:$F$13,2),IF(D587&lt;175,VLOOKUP(50,'$$$ Replace &amp; Retrofit'!$E$10:$F$13,2),IF(D587&lt;400,VLOOKUP(175,'$$$ Replace &amp; Retrofit'!$E$10:$F$13,2),IF(D587&gt;=400,VLOOKUP(400,'$$$ Replace &amp; Retrofit'!$E$10:$F$13,2),NA))))*E587</f>
        <v>38250.969821901177</v>
      </c>
      <c r="K587" s="239"/>
      <c r="L587" s="239"/>
      <c r="M587" s="239"/>
    </row>
    <row r="588" spans="1:13" ht="30" x14ac:dyDescent="0.25">
      <c r="A588" s="255" t="s">
        <v>20</v>
      </c>
      <c r="B588" s="255" t="s">
        <v>206</v>
      </c>
      <c r="C588" s="256">
        <v>2013</v>
      </c>
      <c r="D588" s="256">
        <v>300</v>
      </c>
      <c r="E588">
        <v>1.92073322734962</v>
      </c>
      <c r="F588" s="257"/>
      <c r="G588">
        <f t="shared" si="8"/>
        <v>300</v>
      </c>
      <c r="H588" s="4">
        <f>IF(B588="RTG Crane",IF(D588&lt;600,800000,1200000),VLOOKUP(B588,'$$$ Replace &amp; Retrofit'!$B$10:$C$14,2)*'CHE Model poplulation'!D588)*E588</f>
        <v>576219.96820488607</v>
      </c>
      <c r="I588" s="4">
        <f>E588*VLOOKUP('CHE Model poplulation'!G588,'$$$ Replace &amp; Retrofit'!$I$10:$J$15,2)</f>
        <v>55246.049818257125</v>
      </c>
      <c r="J588" s="4">
        <f>IF(D588=50,VLOOKUP(0,'$$$ Replace &amp; Retrofit'!$E$10:$F$13,2),IF(D588&lt;175,VLOOKUP(50,'$$$ Replace &amp; Retrofit'!$E$10:$F$13,2),IF(D588&lt;400,VLOOKUP(175,'$$$ Replace &amp; Retrofit'!$E$10:$F$13,2),IF(D588&gt;=400,VLOOKUP(400,'$$$ Replace &amp; Retrofit'!$E$10:$F$13,2),NA))))*E588</f>
        <v>34573.198092293162</v>
      </c>
      <c r="K588" s="239"/>
      <c r="L588" s="239"/>
      <c r="M588" s="239"/>
    </row>
    <row r="589" spans="1:13" ht="30" x14ac:dyDescent="0.25">
      <c r="A589" s="255" t="s">
        <v>20</v>
      </c>
      <c r="B589" s="255" t="s">
        <v>206</v>
      </c>
      <c r="C589" s="256">
        <v>2013</v>
      </c>
      <c r="D589" s="256">
        <v>600</v>
      </c>
      <c r="E589">
        <v>5.0578851389374497</v>
      </c>
      <c r="F589" s="257"/>
      <c r="G589">
        <f t="shared" si="8"/>
        <v>400</v>
      </c>
      <c r="H589" s="4">
        <f>IF(B589="RTG Crane",IF(D589&lt;600,800000,1200000),VLOOKUP(B589,'$$$ Replace &amp; Retrofit'!$B$10:$C$14,2)*'CHE Model poplulation'!D589)*E589</f>
        <v>3034731.0833624699</v>
      </c>
      <c r="I589" s="4">
        <f>E589*VLOOKUP('CHE Model poplulation'!G589,'$$$ Replace &amp; Retrofit'!$I$10:$J$15,2)</f>
        <v>264694.30297601357</v>
      </c>
      <c r="J589" s="4">
        <f>IF(D589=50,VLOOKUP(0,'$$$ Replace &amp; Retrofit'!$E$10:$F$13,2),IF(D589&lt;175,VLOOKUP(50,'$$$ Replace &amp; Retrofit'!$E$10:$F$13,2),IF(D589&lt;400,VLOOKUP(175,'$$$ Replace &amp; Retrofit'!$E$10:$F$13,2),IF(D589&gt;=400,VLOOKUP(400,'$$$ Replace &amp; Retrofit'!$E$10:$F$13,2),NA))))*E589</f>
        <v>151736.55416812349</v>
      </c>
      <c r="K589" s="239"/>
      <c r="L589" s="239"/>
      <c r="M589" s="239"/>
    </row>
    <row r="590" spans="1:13" ht="30" x14ac:dyDescent="0.25">
      <c r="A590" s="255" t="s">
        <v>20</v>
      </c>
      <c r="B590" s="255" t="s">
        <v>206</v>
      </c>
      <c r="C590" s="256">
        <v>2014</v>
      </c>
      <c r="D590" s="256">
        <v>50</v>
      </c>
      <c r="E590">
        <v>0.34278878634979099</v>
      </c>
      <c r="F590" s="257"/>
      <c r="G590">
        <f t="shared" si="8"/>
        <v>50</v>
      </c>
      <c r="H590" s="4">
        <f>IF(B590="RTG Crane",IF(D590&lt;600,800000,1200000),VLOOKUP(B590,'$$$ Replace &amp; Retrofit'!$B$10:$C$14,2)*'CHE Model poplulation'!D590)*E590</f>
        <v>17139.439317489549</v>
      </c>
      <c r="I590" s="4">
        <f>E590*VLOOKUP('CHE Model poplulation'!G590,'$$$ Replace &amp; Retrofit'!$I$10:$J$15,2)</f>
        <v>6028.9691743201238</v>
      </c>
      <c r="J590" s="4">
        <f>IF(D590=50,VLOOKUP(0,'$$$ Replace &amp; Retrofit'!$E$10:$F$13,2),IF(D590&lt;175,VLOOKUP(50,'$$$ Replace &amp; Retrofit'!$E$10:$F$13,2),IF(D590&lt;400,VLOOKUP(175,'$$$ Replace &amp; Retrofit'!$E$10:$F$13,2),IF(D590&gt;=400,VLOOKUP(400,'$$$ Replace &amp; Retrofit'!$E$10:$F$13,2),NA))))*E590</f>
        <v>2742.310290798328</v>
      </c>
      <c r="K590" s="239"/>
      <c r="L590" s="239"/>
      <c r="M590" s="239"/>
    </row>
    <row r="591" spans="1:13" ht="30" x14ac:dyDescent="0.25">
      <c r="A591" s="255" t="s">
        <v>20</v>
      </c>
      <c r="B591" s="255" t="s">
        <v>206</v>
      </c>
      <c r="C591" s="256">
        <v>2014</v>
      </c>
      <c r="D591" s="256">
        <v>75</v>
      </c>
      <c r="E591">
        <v>0.72842617099330598</v>
      </c>
      <c r="F591" s="257"/>
      <c r="G591">
        <f t="shared" si="8"/>
        <v>50</v>
      </c>
      <c r="H591" s="4">
        <f>IF(B591="RTG Crane",IF(D591&lt;600,800000,1200000),VLOOKUP(B591,'$$$ Replace &amp; Retrofit'!$B$10:$C$14,2)*'CHE Model poplulation'!D591)*E591</f>
        <v>54631.962824497947</v>
      </c>
      <c r="I591" s="4">
        <f>E591*VLOOKUP('CHE Model poplulation'!G591,'$$$ Replace &amp; Retrofit'!$I$10:$J$15,2)</f>
        <v>12811.559495430265</v>
      </c>
      <c r="J591" s="4">
        <f>IF(D591=50,VLOOKUP(0,'$$$ Replace &amp; Retrofit'!$E$10:$F$13,2),IF(D591&lt;175,VLOOKUP(50,'$$$ Replace &amp; Retrofit'!$E$10:$F$13,2),IF(D591&lt;400,VLOOKUP(175,'$$$ Replace &amp; Retrofit'!$E$10:$F$13,2),IF(D591&gt;=400,VLOOKUP(400,'$$$ Replace &amp; Retrofit'!$E$10:$F$13,2),NA))))*E591</f>
        <v>8741.1140519196724</v>
      </c>
      <c r="K591" s="239"/>
      <c r="L591" s="239"/>
      <c r="M591" s="239"/>
    </row>
    <row r="592" spans="1:13" ht="30" x14ac:dyDescent="0.25">
      <c r="A592" s="255" t="s">
        <v>20</v>
      </c>
      <c r="B592" s="255" t="s">
        <v>206</v>
      </c>
      <c r="C592" s="256">
        <v>2014</v>
      </c>
      <c r="D592" s="256">
        <v>100</v>
      </c>
      <c r="E592">
        <v>0.72842617099330598</v>
      </c>
      <c r="F592" s="257"/>
      <c r="G592">
        <f t="shared" si="8"/>
        <v>125</v>
      </c>
      <c r="H592" s="4">
        <f>IF(B592="RTG Crane",IF(D592&lt;600,800000,1200000),VLOOKUP(B592,'$$$ Replace &amp; Retrofit'!$B$10:$C$14,2)*'CHE Model poplulation'!D592)*E592</f>
        <v>72842.6170993306</v>
      </c>
      <c r="I592" s="4">
        <f>E592*VLOOKUP('CHE Model poplulation'!G592,'$$$ Replace &amp; Retrofit'!$I$10:$J$15,2)</f>
        <v>14374.033632210907</v>
      </c>
      <c r="J592" s="4">
        <f>IF(D592=50,VLOOKUP(0,'$$$ Replace &amp; Retrofit'!$E$10:$F$13,2),IF(D592&lt;175,VLOOKUP(50,'$$$ Replace &amp; Retrofit'!$E$10:$F$13,2),IF(D592&lt;400,VLOOKUP(175,'$$$ Replace &amp; Retrofit'!$E$10:$F$13,2),IF(D592&gt;=400,VLOOKUP(400,'$$$ Replace &amp; Retrofit'!$E$10:$F$13,2),NA))))*E592</f>
        <v>8741.1140519196724</v>
      </c>
      <c r="K592" s="239"/>
      <c r="L592" s="239"/>
      <c r="M592" s="239"/>
    </row>
    <row r="593" spans="1:13" ht="30" x14ac:dyDescent="0.25">
      <c r="A593" s="255" t="s">
        <v>20</v>
      </c>
      <c r="B593" s="255" t="s">
        <v>206</v>
      </c>
      <c r="C593" s="256">
        <v>2014</v>
      </c>
      <c r="D593" s="256">
        <v>175</v>
      </c>
      <c r="E593">
        <v>1.0712149573431</v>
      </c>
      <c r="F593" s="257"/>
      <c r="G593">
        <f t="shared" si="8"/>
        <v>175</v>
      </c>
      <c r="H593" s="4">
        <f>IF(B593="RTG Crane",IF(D593&lt;600,800000,1200000),VLOOKUP(B593,'$$$ Replace &amp; Retrofit'!$B$10:$C$14,2)*'CHE Model poplulation'!D593)*E593</f>
        <v>187462.61753504249</v>
      </c>
      <c r="I593" s="4">
        <f>E593*VLOOKUP('CHE Model poplulation'!G593,'$$$ Replace &amp; Retrofit'!$I$10:$J$15,2)</f>
        <v>26561.84608227951</v>
      </c>
      <c r="J593" s="4">
        <f>IF(D593=50,VLOOKUP(0,'$$$ Replace &amp; Retrofit'!$E$10:$F$13,2),IF(D593&lt;175,VLOOKUP(50,'$$$ Replace &amp; Retrofit'!$E$10:$F$13,2),IF(D593&lt;400,VLOOKUP(175,'$$$ Replace &amp; Retrofit'!$E$10:$F$13,2),IF(D593&gt;=400,VLOOKUP(400,'$$$ Replace &amp; Retrofit'!$E$10:$F$13,2),NA))))*E593</f>
        <v>19281.869232175799</v>
      </c>
      <c r="K593" s="239"/>
      <c r="L593" s="239"/>
      <c r="M593" s="239"/>
    </row>
    <row r="594" spans="1:13" ht="30" x14ac:dyDescent="0.25">
      <c r="A594" s="255" t="s">
        <v>20</v>
      </c>
      <c r="B594" s="255" t="s">
        <v>206</v>
      </c>
      <c r="C594" s="256">
        <v>2014</v>
      </c>
      <c r="D594" s="256">
        <v>300</v>
      </c>
      <c r="E594">
        <v>0.81412336758075399</v>
      </c>
      <c r="F594" s="257"/>
      <c r="G594">
        <f t="shared" si="8"/>
        <v>300</v>
      </c>
      <c r="H594" s="4">
        <f>IF(B594="RTG Crane",IF(D594&lt;600,800000,1200000),VLOOKUP(B594,'$$$ Replace &amp; Retrofit'!$B$10:$C$14,2)*'CHE Model poplulation'!D594)*E594</f>
        <v>244237.0102742262</v>
      </c>
      <c r="I594" s="4">
        <f>E594*VLOOKUP('CHE Model poplulation'!G594,'$$$ Replace &amp; Retrofit'!$I$10:$J$15,2)</f>
        <v>23416.630421725225</v>
      </c>
      <c r="J594" s="4">
        <f>IF(D594=50,VLOOKUP(0,'$$$ Replace &amp; Retrofit'!$E$10:$F$13,2),IF(D594&lt;175,VLOOKUP(50,'$$$ Replace &amp; Retrofit'!$E$10:$F$13,2),IF(D594&lt;400,VLOOKUP(175,'$$$ Replace &amp; Retrofit'!$E$10:$F$13,2),IF(D594&gt;=400,VLOOKUP(400,'$$$ Replace &amp; Retrofit'!$E$10:$F$13,2),NA))))*E594</f>
        <v>14654.220616453571</v>
      </c>
      <c r="K594" s="239"/>
      <c r="L594" s="239"/>
      <c r="M594" s="239"/>
    </row>
    <row r="595" spans="1:13" ht="30" x14ac:dyDescent="0.25">
      <c r="A595" s="255" t="s">
        <v>20</v>
      </c>
      <c r="B595" s="255" t="s">
        <v>206</v>
      </c>
      <c r="C595" s="256">
        <v>2014</v>
      </c>
      <c r="D595" s="256">
        <v>600</v>
      </c>
      <c r="E595">
        <v>2.52806729932971</v>
      </c>
      <c r="F595" s="257"/>
      <c r="G595">
        <f t="shared" ref="G595:G601" si="9">IF(OR(D595=50,D595=75),50,IF(OR(D595=100,D595=125),125,IF(D595&gt;=400,400,D595)))</f>
        <v>400</v>
      </c>
      <c r="H595" s="4">
        <f>IF(B595="RTG Crane",IF(D595&lt;600,800000,1200000),VLOOKUP(B595,'$$$ Replace &amp; Retrofit'!$B$10:$C$14,2)*'CHE Model poplulation'!D595)*E595</f>
        <v>1516840.3795978259</v>
      </c>
      <c r="I595" s="4">
        <f>E595*VLOOKUP('CHE Model poplulation'!G595,'$$$ Replace &amp; Retrofit'!$I$10:$J$15,2)</f>
        <v>132301.34597582172</v>
      </c>
      <c r="J595" s="4">
        <f>IF(D595=50,VLOOKUP(0,'$$$ Replace &amp; Retrofit'!$E$10:$F$13,2),IF(D595&lt;175,VLOOKUP(50,'$$$ Replace &amp; Retrofit'!$E$10:$F$13,2),IF(D595&lt;400,VLOOKUP(175,'$$$ Replace &amp; Retrofit'!$E$10:$F$13,2),IF(D595&gt;=400,VLOOKUP(400,'$$$ Replace &amp; Retrofit'!$E$10:$F$13,2),NA))))*E595</f>
        <v>75842.018979891305</v>
      </c>
      <c r="K595" s="239"/>
      <c r="L595" s="239"/>
      <c r="M595" s="239"/>
    </row>
    <row r="596" spans="1:13" ht="30" x14ac:dyDescent="0.25">
      <c r="A596" s="255" t="s">
        <v>20</v>
      </c>
      <c r="B596" s="255" t="s">
        <v>206</v>
      </c>
      <c r="C596" s="256">
        <v>2015</v>
      </c>
      <c r="D596" s="256">
        <v>50</v>
      </c>
      <c r="E596">
        <v>8.5697196587447705E-2</v>
      </c>
      <c r="F596" s="257"/>
      <c r="G596">
        <f t="shared" si="9"/>
        <v>50</v>
      </c>
      <c r="H596" s="4">
        <f>IF(B596="RTG Crane",IF(D596&lt;600,800000,1200000),VLOOKUP(B596,'$$$ Replace &amp; Retrofit'!$B$10:$C$14,2)*'CHE Model poplulation'!D596)*E596</f>
        <v>4284.8598293723853</v>
      </c>
      <c r="I596" s="4">
        <f>E596*VLOOKUP('CHE Model poplulation'!G596,'$$$ Replace &amp; Retrofit'!$I$10:$J$15,2)</f>
        <v>1507.2422935800303</v>
      </c>
      <c r="J596" s="4">
        <f>IF(D596=50,VLOOKUP(0,'$$$ Replace &amp; Retrofit'!$E$10:$F$13,2),IF(D596&lt;175,VLOOKUP(50,'$$$ Replace &amp; Retrofit'!$E$10:$F$13,2),IF(D596&lt;400,VLOOKUP(175,'$$$ Replace &amp; Retrofit'!$E$10:$F$13,2),IF(D596&gt;=400,VLOOKUP(400,'$$$ Replace &amp; Retrofit'!$E$10:$F$13,2),NA))))*E596</f>
        <v>685.57757269958165</v>
      </c>
      <c r="K596" s="239"/>
      <c r="L596" s="239"/>
      <c r="M596" s="239"/>
    </row>
    <row r="597" spans="1:13" ht="30" x14ac:dyDescent="0.25">
      <c r="A597" s="255" t="s">
        <v>20</v>
      </c>
      <c r="B597" s="255" t="s">
        <v>206</v>
      </c>
      <c r="C597" s="256">
        <v>2015</v>
      </c>
      <c r="D597" s="256">
        <v>75</v>
      </c>
      <c r="E597">
        <v>0.29994018805606698</v>
      </c>
      <c r="F597" s="257"/>
      <c r="G597">
        <f t="shared" si="9"/>
        <v>50</v>
      </c>
      <c r="H597" s="4">
        <f>IF(B597="RTG Crane",IF(D597&lt;600,800000,1200000),VLOOKUP(B597,'$$$ Replace &amp; Retrofit'!$B$10:$C$14,2)*'CHE Model poplulation'!D597)*E597</f>
        <v>22495.514104205024</v>
      </c>
      <c r="I597" s="4">
        <f>E597*VLOOKUP('CHE Model poplulation'!G597,'$$$ Replace &amp; Retrofit'!$I$10:$J$15,2)</f>
        <v>5275.3480275301063</v>
      </c>
      <c r="J597" s="4">
        <f>IF(D597=50,VLOOKUP(0,'$$$ Replace &amp; Retrofit'!$E$10:$F$13,2),IF(D597&lt;175,VLOOKUP(50,'$$$ Replace &amp; Retrofit'!$E$10:$F$13,2),IF(D597&lt;400,VLOOKUP(175,'$$$ Replace &amp; Retrofit'!$E$10:$F$13,2),IF(D597&gt;=400,VLOOKUP(400,'$$$ Replace &amp; Retrofit'!$E$10:$F$13,2),NA))))*E597</f>
        <v>3599.2822566728037</v>
      </c>
      <c r="K597" s="239"/>
      <c r="L597" s="239"/>
      <c r="M597" s="239"/>
    </row>
    <row r="598" spans="1:13" ht="30" x14ac:dyDescent="0.25">
      <c r="A598" s="255" t="s">
        <v>20</v>
      </c>
      <c r="B598" s="255" t="s">
        <v>206</v>
      </c>
      <c r="C598" s="256">
        <v>2015</v>
      </c>
      <c r="D598" s="256">
        <v>100</v>
      </c>
      <c r="E598">
        <v>0.29994018805606698</v>
      </c>
      <c r="F598" s="257"/>
      <c r="G598">
        <f t="shared" si="9"/>
        <v>125</v>
      </c>
      <c r="H598" s="4">
        <f>IF(B598="RTG Crane",IF(D598&lt;600,800000,1200000),VLOOKUP(B598,'$$$ Replace &amp; Retrofit'!$B$10:$C$14,2)*'CHE Model poplulation'!D598)*E598</f>
        <v>29994.018805606698</v>
      </c>
      <c r="I598" s="4">
        <f>E598*VLOOKUP('CHE Model poplulation'!G598,'$$$ Replace &amp; Retrofit'!$I$10:$J$15,2)</f>
        <v>5918.7197309103694</v>
      </c>
      <c r="J598" s="4">
        <f>IF(D598=50,VLOOKUP(0,'$$$ Replace &amp; Retrofit'!$E$10:$F$13,2),IF(D598&lt;175,VLOOKUP(50,'$$$ Replace &amp; Retrofit'!$E$10:$F$13,2),IF(D598&lt;400,VLOOKUP(175,'$$$ Replace &amp; Retrofit'!$E$10:$F$13,2),IF(D598&gt;=400,VLOOKUP(400,'$$$ Replace &amp; Retrofit'!$E$10:$F$13,2),NA))))*E598</f>
        <v>3599.2822566728037</v>
      </c>
      <c r="K598" s="239"/>
      <c r="L598" s="239"/>
      <c r="M598" s="239"/>
    </row>
    <row r="599" spans="1:13" ht="30" x14ac:dyDescent="0.25">
      <c r="A599" s="255" t="s">
        <v>20</v>
      </c>
      <c r="B599" s="255" t="s">
        <v>206</v>
      </c>
      <c r="C599" s="256">
        <v>2015</v>
      </c>
      <c r="D599" s="256">
        <v>175</v>
      </c>
      <c r="E599">
        <v>0.38563738464351499</v>
      </c>
      <c r="F599" s="257"/>
      <c r="G599">
        <f t="shared" si="9"/>
        <v>175</v>
      </c>
      <c r="H599" s="4">
        <f>IF(B599="RTG Crane",IF(D599&lt;600,800000,1200000),VLOOKUP(B599,'$$$ Replace &amp; Retrofit'!$B$10:$C$14,2)*'CHE Model poplulation'!D599)*E599</f>
        <v>67486.542312615129</v>
      </c>
      <c r="I599" s="4">
        <f>E599*VLOOKUP('CHE Model poplulation'!G599,'$$$ Replace &amp; Retrofit'!$I$10:$J$15,2)</f>
        <v>9562.2645896205977</v>
      </c>
      <c r="J599" s="4">
        <f>IF(D599=50,VLOOKUP(0,'$$$ Replace &amp; Retrofit'!$E$10:$F$13,2),IF(D599&lt;175,VLOOKUP(50,'$$$ Replace &amp; Retrofit'!$E$10:$F$13,2),IF(D599&lt;400,VLOOKUP(175,'$$$ Replace &amp; Retrofit'!$E$10:$F$13,2),IF(D599&gt;=400,VLOOKUP(400,'$$$ Replace &amp; Retrofit'!$E$10:$F$13,2),NA))))*E599</f>
        <v>6941.4729235832701</v>
      </c>
      <c r="K599" s="239"/>
      <c r="L599" s="239"/>
      <c r="M599" s="239"/>
    </row>
    <row r="600" spans="1:13" ht="30" x14ac:dyDescent="0.25">
      <c r="A600" s="255" t="s">
        <v>20</v>
      </c>
      <c r="B600" s="255" t="s">
        <v>206</v>
      </c>
      <c r="C600" s="256">
        <v>2015</v>
      </c>
      <c r="D600" s="256">
        <v>300</v>
      </c>
      <c r="E600">
        <v>8.5697196587447705E-2</v>
      </c>
      <c r="F600" s="257"/>
      <c r="G600">
        <f t="shared" si="9"/>
        <v>300</v>
      </c>
      <c r="H600" s="4">
        <f>IF(B600="RTG Crane",IF(D600&lt;600,800000,1200000),VLOOKUP(B600,'$$$ Replace &amp; Retrofit'!$B$10:$C$14,2)*'CHE Model poplulation'!D600)*E600</f>
        <v>25709.15897623431</v>
      </c>
      <c r="I600" s="4">
        <f>E600*VLOOKUP('CHE Model poplulation'!G600,'$$$ Replace &amp; Retrofit'!$I$10:$J$15,2)</f>
        <v>2464.9084654447583</v>
      </c>
      <c r="J600" s="4">
        <f>IF(D600=50,VLOOKUP(0,'$$$ Replace &amp; Retrofit'!$E$10:$F$13,2),IF(D600&lt;175,VLOOKUP(50,'$$$ Replace &amp; Retrofit'!$E$10:$F$13,2),IF(D600&lt;400,VLOOKUP(175,'$$$ Replace &amp; Retrofit'!$E$10:$F$13,2),IF(D600&gt;=400,VLOOKUP(400,'$$$ Replace &amp; Retrofit'!$E$10:$F$13,2),NA))))*E600</f>
        <v>1542.5495385740587</v>
      </c>
      <c r="K600" s="239"/>
      <c r="L600" s="239"/>
      <c r="M600" s="239"/>
    </row>
    <row r="601" spans="1:13" ht="30" x14ac:dyDescent="0.25">
      <c r="A601" s="255" t="s">
        <v>20</v>
      </c>
      <c r="B601" s="255" t="s">
        <v>206</v>
      </c>
      <c r="C601" s="256">
        <v>2015</v>
      </c>
      <c r="D601" s="256">
        <v>600</v>
      </c>
      <c r="E601">
        <v>0.68557757269958197</v>
      </c>
      <c r="F601" s="257"/>
      <c r="G601">
        <f t="shared" si="9"/>
        <v>400</v>
      </c>
      <c r="H601" s="4">
        <f>IF(B601="RTG Crane",IF(D601&lt;600,800000,1200000),VLOOKUP(B601,'$$$ Replace &amp; Retrofit'!$B$10:$C$14,2)*'CHE Model poplulation'!D601)*E601</f>
        <v>411346.54361974919</v>
      </c>
      <c r="I601" s="4">
        <f>E601*VLOOKUP('CHE Model poplulation'!G601,'$$$ Replace &amp; Retrofit'!$I$10:$J$15,2)</f>
        <v>35878.331112087224</v>
      </c>
      <c r="J601" s="4">
        <f>IF(D601=50,VLOOKUP(0,'$$$ Replace &amp; Retrofit'!$E$10:$F$13,2),IF(D601&lt;175,VLOOKUP(50,'$$$ Replace &amp; Retrofit'!$E$10:$F$13,2),IF(D601&lt;400,VLOOKUP(175,'$$$ Replace &amp; Retrofit'!$E$10:$F$13,2),IF(D601&gt;=400,VLOOKUP(400,'$$$ Replace &amp; Retrofit'!$E$10:$F$13,2),NA))))*E601</f>
        <v>20567.32718098746</v>
      </c>
      <c r="K601" s="239"/>
      <c r="L601" s="239"/>
      <c r="M601" s="239"/>
    </row>
    <row r="602" spans="1:13" ht="30" x14ac:dyDescent="0.25">
      <c r="A602" s="255" t="s">
        <v>20</v>
      </c>
      <c r="B602" s="255" t="s">
        <v>206</v>
      </c>
      <c r="C602" s="256">
        <v>2016</v>
      </c>
      <c r="D602" s="256">
        <v>50</v>
      </c>
      <c r="E602">
        <v>0</v>
      </c>
      <c r="F602" s="257"/>
      <c r="I602" s="4"/>
    </row>
    <row r="603" spans="1:13" ht="30" x14ac:dyDescent="0.25">
      <c r="A603" s="255" t="s">
        <v>20</v>
      </c>
      <c r="B603" s="255" t="s">
        <v>206</v>
      </c>
      <c r="C603" s="256">
        <v>2016</v>
      </c>
      <c r="D603" s="256">
        <v>75</v>
      </c>
      <c r="E603">
        <v>0</v>
      </c>
      <c r="F603" s="257"/>
      <c r="I603" s="4"/>
    </row>
    <row r="604" spans="1:13" ht="30" x14ac:dyDescent="0.25">
      <c r="A604" s="255" t="s">
        <v>20</v>
      </c>
      <c r="B604" s="255" t="s">
        <v>206</v>
      </c>
      <c r="C604" s="256">
        <v>2016</v>
      </c>
      <c r="D604" s="256">
        <v>100</v>
      </c>
      <c r="E604">
        <v>0</v>
      </c>
      <c r="F604" s="257"/>
      <c r="I604" s="4"/>
    </row>
    <row r="605" spans="1:13" ht="30" x14ac:dyDescent="0.25">
      <c r="A605" s="255" t="s">
        <v>20</v>
      </c>
      <c r="B605" s="255" t="s">
        <v>206</v>
      </c>
      <c r="C605" s="256">
        <v>2016</v>
      </c>
      <c r="D605" s="256">
        <v>175</v>
      </c>
      <c r="E605">
        <v>0</v>
      </c>
      <c r="F605" s="257"/>
      <c r="I605" s="4"/>
    </row>
    <row r="606" spans="1:13" ht="30" x14ac:dyDescent="0.25">
      <c r="A606" s="255" t="s">
        <v>20</v>
      </c>
      <c r="B606" s="255" t="s">
        <v>206</v>
      </c>
      <c r="C606" s="256">
        <v>2016</v>
      </c>
      <c r="D606" s="256">
        <v>300</v>
      </c>
      <c r="E606">
        <v>0</v>
      </c>
      <c r="F606" s="257"/>
      <c r="I606" s="4"/>
    </row>
    <row r="607" spans="1:13" ht="30" x14ac:dyDescent="0.25">
      <c r="A607" s="255" t="s">
        <v>20</v>
      </c>
      <c r="B607" s="255" t="s">
        <v>206</v>
      </c>
      <c r="C607" s="256">
        <v>2016</v>
      </c>
      <c r="D607" s="256">
        <v>600</v>
      </c>
      <c r="E607">
        <v>0</v>
      </c>
      <c r="F607" s="257"/>
      <c r="I607" s="4"/>
    </row>
    <row r="608" spans="1:13" ht="30" x14ac:dyDescent="0.25">
      <c r="A608" s="255" t="s">
        <v>20</v>
      </c>
      <c r="B608" s="255" t="s">
        <v>206</v>
      </c>
      <c r="C608" s="256">
        <v>2017</v>
      </c>
      <c r="D608" s="256">
        <v>50</v>
      </c>
      <c r="E608">
        <v>0</v>
      </c>
      <c r="F608" s="257"/>
      <c r="I608" s="4"/>
    </row>
    <row r="609" spans="1:9" ht="30" x14ac:dyDescent="0.25">
      <c r="A609" s="255" t="s">
        <v>20</v>
      </c>
      <c r="B609" s="255" t="s">
        <v>206</v>
      </c>
      <c r="C609" s="256">
        <v>2017</v>
      </c>
      <c r="D609" s="256">
        <v>75</v>
      </c>
      <c r="E609">
        <v>0</v>
      </c>
      <c r="F609" s="257"/>
      <c r="I609" s="4"/>
    </row>
    <row r="610" spans="1:9" ht="30" x14ac:dyDescent="0.25">
      <c r="A610" s="255" t="s">
        <v>20</v>
      </c>
      <c r="B610" s="255" t="s">
        <v>206</v>
      </c>
      <c r="C610" s="256">
        <v>2017</v>
      </c>
      <c r="D610" s="256">
        <v>100</v>
      </c>
      <c r="E610">
        <v>0</v>
      </c>
      <c r="F610" s="257"/>
      <c r="I610" s="4"/>
    </row>
    <row r="611" spans="1:9" ht="30" x14ac:dyDescent="0.25">
      <c r="A611" s="255" t="s">
        <v>20</v>
      </c>
      <c r="B611" s="255" t="s">
        <v>206</v>
      </c>
      <c r="C611" s="256">
        <v>2017</v>
      </c>
      <c r="D611" s="256">
        <v>175</v>
      </c>
      <c r="E611">
        <v>0</v>
      </c>
      <c r="F611" s="257"/>
      <c r="I611" s="4"/>
    </row>
    <row r="612" spans="1:9" ht="30" x14ac:dyDescent="0.25">
      <c r="A612" s="255" t="s">
        <v>20</v>
      </c>
      <c r="B612" s="255" t="s">
        <v>206</v>
      </c>
      <c r="C612" s="256">
        <v>2017</v>
      </c>
      <c r="D612" s="256">
        <v>300</v>
      </c>
      <c r="E612">
        <v>0</v>
      </c>
      <c r="F612" s="257"/>
      <c r="I612" s="4"/>
    </row>
    <row r="613" spans="1:9" ht="30" x14ac:dyDescent="0.25">
      <c r="A613" s="255" t="s">
        <v>20</v>
      </c>
      <c r="B613" s="255" t="s">
        <v>206</v>
      </c>
      <c r="C613" s="256">
        <v>2017</v>
      </c>
      <c r="D613" s="256">
        <v>600</v>
      </c>
      <c r="E613">
        <v>0</v>
      </c>
      <c r="F613" s="257"/>
      <c r="I613" s="4"/>
    </row>
    <row r="614" spans="1:9" ht="30" x14ac:dyDescent="0.25">
      <c r="A614" s="255" t="s">
        <v>20</v>
      </c>
      <c r="B614" s="255" t="s">
        <v>206</v>
      </c>
      <c r="C614" s="256">
        <v>2018</v>
      </c>
      <c r="D614" s="256">
        <v>50</v>
      </c>
      <c r="E614">
        <v>0</v>
      </c>
      <c r="F614" s="257"/>
      <c r="I614" s="4"/>
    </row>
    <row r="615" spans="1:9" ht="30" x14ac:dyDescent="0.25">
      <c r="A615" s="255" t="s">
        <v>20</v>
      </c>
      <c r="B615" s="255" t="s">
        <v>206</v>
      </c>
      <c r="C615" s="256">
        <v>2018</v>
      </c>
      <c r="D615" s="256">
        <v>75</v>
      </c>
      <c r="E615">
        <v>0</v>
      </c>
      <c r="F615" s="257"/>
      <c r="I615" s="4"/>
    </row>
    <row r="616" spans="1:9" ht="30" x14ac:dyDescent="0.25">
      <c r="A616" s="255" t="s">
        <v>20</v>
      </c>
      <c r="B616" s="255" t="s">
        <v>206</v>
      </c>
      <c r="C616" s="256">
        <v>2018</v>
      </c>
      <c r="D616" s="256">
        <v>100</v>
      </c>
      <c r="E616">
        <v>0</v>
      </c>
      <c r="F616" s="257"/>
      <c r="I616" s="4"/>
    </row>
    <row r="617" spans="1:9" ht="30" x14ac:dyDescent="0.25">
      <c r="A617" s="255" t="s">
        <v>20</v>
      </c>
      <c r="B617" s="255" t="s">
        <v>206</v>
      </c>
      <c r="C617" s="256">
        <v>2018</v>
      </c>
      <c r="D617" s="256">
        <v>175</v>
      </c>
      <c r="E617">
        <v>0</v>
      </c>
      <c r="F617" s="257"/>
      <c r="I617" s="4"/>
    </row>
    <row r="618" spans="1:9" ht="30" x14ac:dyDescent="0.25">
      <c r="A618" s="255" t="s">
        <v>20</v>
      </c>
      <c r="B618" s="255" t="s">
        <v>206</v>
      </c>
      <c r="C618" s="256">
        <v>2018</v>
      </c>
      <c r="D618" s="256">
        <v>300</v>
      </c>
      <c r="E618">
        <v>0</v>
      </c>
      <c r="F618" s="257"/>
      <c r="I618" s="4"/>
    </row>
    <row r="619" spans="1:9" ht="30" x14ac:dyDescent="0.25">
      <c r="A619" s="255" t="s">
        <v>20</v>
      </c>
      <c r="B619" s="255" t="s">
        <v>206</v>
      </c>
      <c r="C619" s="256">
        <v>2018</v>
      </c>
      <c r="D619" s="256">
        <v>600</v>
      </c>
      <c r="E619">
        <v>0</v>
      </c>
      <c r="F619" s="257"/>
      <c r="I619" s="4"/>
    </row>
    <row r="620" spans="1:9" ht="30" x14ac:dyDescent="0.25">
      <c r="A620" s="255" t="s">
        <v>20</v>
      </c>
      <c r="B620" s="255" t="s">
        <v>206</v>
      </c>
      <c r="C620" s="256">
        <v>2019</v>
      </c>
      <c r="D620" s="256">
        <v>50</v>
      </c>
      <c r="E620">
        <v>0</v>
      </c>
      <c r="F620" s="257"/>
      <c r="I620" s="4"/>
    </row>
    <row r="621" spans="1:9" ht="30" x14ac:dyDescent="0.25">
      <c r="A621" s="255" t="s">
        <v>20</v>
      </c>
      <c r="B621" s="255" t="s">
        <v>206</v>
      </c>
      <c r="C621" s="256">
        <v>2019</v>
      </c>
      <c r="D621" s="256">
        <v>75</v>
      </c>
      <c r="E621">
        <v>0</v>
      </c>
      <c r="F621" s="257"/>
      <c r="I621" s="4"/>
    </row>
    <row r="622" spans="1:9" ht="30" x14ac:dyDescent="0.25">
      <c r="A622" s="255" t="s">
        <v>20</v>
      </c>
      <c r="B622" s="255" t="s">
        <v>206</v>
      </c>
      <c r="C622" s="256">
        <v>2019</v>
      </c>
      <c r="D622" s="256">
        <v>100</v>
      </c>
      <c r="E622">
        <v>0</v>
      </c>
      <c r="F622" s="257"/>
      <c r="I622" s="4"/>
    </row>
    <row r="623" spans="1:9" ht="30" x14ac:dyDescent="0.25">
      <c r="A623" s="255" t="s">
        <v>20</v>
      </c>
      <c r="B623" s="255" t="s">
        <v>206</v>
      </c>
      <c r="C623" s="256">
        <v>2019</v>
      </c>
      <c r="D623" s="256">
        <v>175</v>
      </c>
      <c r="E623">
        <v>0</v>
      </c>
      <c r="F623" s="257"/>
      <c r="I623" s="4"/>
    </row>
    <row r="624" spans="1:9" ht="30" x14ac:dyDescent="0.25">
      <c r="A624" s="255" t="s">
        <v>20</v>
      </c>
      <c r="B624" s="255" t="s">
        <v>206</v>
      </c>
      <c r="C624" s="256">
        <v>2019</v>
      </c>
      <c r="D624" s="256">
        <v>300</v>
      </c>
      <c r="E624">
        <v>0</v>
      </c>
      <c r="F624" s="257"/>
      <c r="I624" s="4"/>
    </row>
    <row r="625" spans="1:9" ht="30" x14ac:dyDescent="0.25">
      <c r="A625" s="255" t="s">
        <v>20</v>
      </c>
      <c r="B625" s="255" t="s">
        <v>206</v>
      </c>
      <c r="C625" s="256">
        <v>2019</v>
      </c>
      <c r="D625" s="256">
        <v>600</v>
      </c>
      <c r="E625">
        <v>0</v>
      </c>
      <c r="F625" s="257"/>
      <c r="I625" s="4"/>
    </row>
    <row r="626" spans="1:9" ht="30" x14ac:dyDescent="0.25">
      <c r="A626" s="255" t="s">
        <v>20</v>
      </c>
      <c r="B626" s="255" t="s">
        <v>206</v>
      </c>
      <c r="C626" s="256">
        <v>2020</v>
      </c>
      <c r="D626" s="256">
        <v>50</v>
      </c>
      <c r="E626">
        <v>0</v>
      </c>
      <c r="F626" s="257"/>
      <c r="I626" s="4"/>
    </row>
    <row r="627" spans="1:9" ht="30" x14ac:dyDescent="0.25">
      <c r="A627" s="255" t="s">
        <v>20</v>
      </c>
      <c r="B627" s="255" t="s">
        <v>206</v>
      </c>
      <c r="C627" s="256">
        <v>2020</v>
      </c>
      <c r="D627" s="256">
        <v>75</v>
      </c>
      <c r="E627">
        <v>0</v>
      </c>
      <c r="F627" s="257"/>
      <c r="I627" s="4"/>
    </row>
    <row r="628" spans="1:9" ht="30" x14ac:dyDescent="0.25">
      <c r="A628" s="255" t="s">
        <v>20</v>
      </c>
      <c r="B628" s="255" t="s">
        <v>206</v>
      </c>
      <c r="C628" s="256">
        <v>2020</v>
      </c>
      <c r="D628" s="256">
        <v>100</v>
      </c>
      <c r="E628">
        <v>0</v>
      </c>
      <c r="F628" s="257"/>
      <c r="I628" s="4"/>
    </row>
    <row r="629" spans="1:9" ht="30" x14ac:dyDescent="0.25">
      <c r="A629" s="255" t="s">
        <v>20</v>
      </c>
      <c r="B629" s="255" t="s">
        <v>206</v>
      </c>
      <c r="C629" s="256">
        <v>2020</v>
      </c>
      <c r="D629" s="256">
        <v>175</v>
      </c>
      <c r="E629">
        <v>0</v>
      </c>
      <c r="F629" s="257"/>
      <c r="I629" s="4"/>
    </row>
    <row r="630" spans="1:9" ht="30" x14ac:dyDescent="0.25">
      <c r="A630" s="255" t="s">
        <v>20</v>
      </c>
      <c r="B630" s="255" t="s">
        <v>206</v>
      </c>
      <c r="C630" s="256">
        <v>2020</v>
      </c>
      <c r="D630" s="256">
        <v>300</v>
      </c>
      <c r="E630">
        <v>0</v>
      </c>
      <c r="F630" s="257"/>
      <c r="I630" s="4"/>
    </row>
    <row r="631" spans="1:9" ht="30" x14ac:dyDescent="0.25">
      <c r="A631" s="255" t="s">
        <v>20</v>
      </c>
      <c r="B631" s="255" t="s">
        <v>206</v>
      </c>
      <c r="C631" s="256">
        <v>2020</v>
      </c>
      <c r="D631" s="256">
        <v>600</v>
      </c>
      <c r="E631">
        <v>0</v>
      </c>
      <c r="F631" s="257"/>
      <c r="I631" s="4"/>
    </row>
    <row r="632" spans="1:9" ht="30" x14ac:dyDescent="0.25">
      <c r="A632" s="255" t="s">
        <v>20</v>
      </c>
      <c r="B632" s="255" t="s">
        <v>206</v>
      </c>
      <c r="C632" s="256">
        <v>2021</v>
      </c>
      <c r="D632" s="256">
        <v>50</v>
      </c>
      <c r="E632">
        <v>0</v>
      </c>
      <c r="F632" s="257"/>
      <c r="I632" s="4"/>
    </row>
    <row r="633" spans="1:9" ht="30" x14ac:dyDescent="0.25">
      <c r="A633" s="255" t="s">
        <v>20</v>
      </c>
      <c r="B633" s="255" t="s">
        <v>206</v>
      </c>
      <c r="C633" s="256">
        <v>2021</v>
      </c>
      <c r="D633" s="256">
        <v>75</v>
      </c>
      <c r="E633">
        <v>0</v>
      </c>
      <c r="F633" s="257"/>
      <c r="I633" s="4"/>
    </row>
    <row r="634" spans="1:9" ht="30" x14ac:dyDescent="0.25">
      <c r="A634" s="255" t="s">
        <v>20</v>
      </c>
      <c r="B634" s="255" t="s">
        <v>206</v>
      </c>
      <c r="C634" s="256">
        <v>2021</v>
      </c>
      <c r="D634" s="256">
        <v>100</v>
      </c>
      <c r="E634">
        <v>0</v>
      </c>
      <c r="F634" s="257"/>
      <c r="I634" s="4"/>
    </row>
    <row r="635" spans="1:9" ht="30" x14ac:dyDescent="0.25">
      <c r="A635" s="255" t="s">
        <v>20</v>
      </c>
      <c r="B635" s="255" t="s">
        <v>206</v>
      </c>
      <c r="C635" s="256">
        <v>2021</v>
      </c>
      <c r="D635" s="256">
        <v>175</v>
      </c>
      <c r="E635">
        <v>0</v>
      </c>
      <c r="F635" s="257"/>
      <c r="I635" s="4"/>
    </row>
    <row r="636" spans="1:9" ht="30" x14ac:dyDescent="0.25">
      <c r="A636" s="255" t="s">
        <v>20</v>
      </c>
      <c r="B636" s="255" t="s">
        <v>206</v>
      </c>
      <c r="C636" s="256">
        <v>2021</v>
      </c>
      <c r="D636" s="256">
        <v>300</v>
      </c>
      <c r="E636">
        <v>0</v>
      </c>
      <c r="F636" s="257"/>
      <c r="I636" s="4"/>
    </row>
    <row r="637" spans="1:9" ht="30" x14ac:dyDescent="0.25">
      <c r="A637" s="255" t="s">
        <v>20</v>
      </c>
      <c r="B637" s="255" t="s">
        <v>206</v>
      </c>
      <c r="C637" s="256">
        <v>2021</v>
      </c>
      <c r="D637" s="256">
        <v>600</v>
      </c>
      <c r="E637">
        <v>0</v>
      </c>
      <c r="F637" s="257"/>
      <c r="I637" s="4"/>
    </row>
    <row r="638" spans="1:9" ht="30" x14ac:dyDescent="0.25">
      <c r="A638" s="255" t="s">
        <v>20</v>
      </c>
      <c r="B638" s="255" t="s">
        <v>206</v>
      </c>
      <c r="C638" s="256">
        <v>2022</v>
      </c>
      <c r="D638" s="256">
        <v>50</v>
      </c>
      <c r="E638">
        <v>0</v>
      </c>
      <c r="F638" s="257"/>
      <c r="I638" s="4"/>
    </row>
    <row r="639" spans="1:9" ht="30" x14ac:dyDescent="0.25">
      <c r="A639" s="255" t="s">
        <v>20</v>
      </c>
      <c r="B639" s="255" t="s">
        <v>206</v>
      </c>
      <c r="C639" s="256">
        <v>2022</v>
      </c>
      <c r="D639" s="256">
        <v>75</v>
      </c>
      <c r="E639">
        <v>0</v>
      </c>
      <c r="F639" s="257"/>
      <c r="I639" s="4"/>
    </row>
    <row r="640" spans="1:9" ht="30" x14ac:dyDescent="0.25">
      <c r="A640" s="255" t="s">
        <v>20</v>
      </c>
      <c r="B640" s="255" t="s">
        <v>206</v>
      </c>
      <c r="C640" s="256">
        <v>2022</v>
      </c>
      <c r="D640" s="256">
        <v>100</v>
      </c>
      <c r="E640">
        <v>0</v>
      </c>
      <c r="F640" s="257"/>
      <c r="I640" s="4"/>
    </row>
    <row r="641" spans="1:9" ht="30" x14ac:dyDescent="0.25">
      <c r="A641" s="255" t="s">
        <v>20</v>
      </c>
      <c r="B641" s="255" t="s">
        <v>206</v>
      </c>
      <c r="C641" s="256">
        <v>2022</v>
      </c>
      <c r="D641" s="256">
        <v>175</v>
      </c>
      <c r="E641">
        <v>0</v>
      </c>
      <c r="F641" s="257"/>
      <c r="I641" s="4"/>
    </row>
    <row r="642" spans="1:9" ht="30" x14ac:dyDescent="0.25">
      <c r="A642" s="255" t="s">
        <v>20</v>
      </c>
      <c r="B642" s="255" t="s">
        <v>206</v>
      </c>
      <c r="C642" s="256">
        <v>2022</v>
      </c>
      <c r="D642" s="256">
        <v>300</v>
      </c>
      <c r="E642">
        <v>0</v>
      </c>
      <c r="F642" s="257"/>
      <c r="I642" s="4"/>
    </row>
    <row r="643" spans="1:9" ht="30" x14ac:dyDescent="0.25">
      <c r="A643" s="255" t="s">
        <v>20</v>
      </c>
      <c r="B643" s="255" t="s">
        <v>206</v>
      </c>
      <c r="C643" s="256">
        <v>2022</v>
      </c>
      <c r="D643" s="256">
        <v>600</v>
      </c>
      <c r="E643">
        <v>0</v>
      </c>
      <c r="F643" s="257"/>
      <c r="I643" s="4"/>
    </row>
    <row r="644" spans="1:9" ht="30" x14ac:dyDescent="0.25">
      <c r="A644" s="255" t="s">
        <v>20</v>
      </c>
      <c r="B644" s="255" t="s">
        <v>206</v>
      </c>
      <c r="C644" s="256">
        <v>2023</v>
      </c>
      <c r="D644" s="256">
        <v>50</v>
      </c>
      <c r="E644">
        <v>0</v>
      </c>
      <c r="F644" s="257"/>
      <c r="I644" s="4"/>
    </row>
    <row r="645" spans="1:9" ht="30" x14ac:dyDescent="0.25">
      <c r="A645" s="255" t="s">
        <v>20</v>
      </c>
      <c r="B645" s="255" t="s">
        <v>206</v>
      </c>
      <c r="C645" s="256">
        <v>2023</v>
      </c>
      <c r="D645" s="256">
        <v>75</v>
      </c>
      <c r="E645">
        <v>0</v>
      </c>
      <c r="F645" s="257"/>
      <c r="I645" s="4"/>
    </row>
    <row r="646" spans="1:9" ht="30" x14ac:dyDescent="0.25">
      <c r="A646" s="255" t="s">
        <v>20</v>
      </c>
      <c r="B646" s="255" t="s">
        <v>206</v>
      </c>
      <c r="C646" s="256">
        <v>2023</v>
      </c>
      <c r="D646" s="256">
        <v>100</v>
      </c>
      <c r="E646">
        <v>0</v>
      </c>
      <c r="F646" s="257"/>
      <c r="I646" s="4"/>
    </row>
    <row r="647" spans="1:9" ht="30" x14ac:dyDescent="0.25">
      <c r="A647" s="255" t="s">
        <v>20</v>
      </c>
      <c r="B647" s="255" t="s">
        <v>206</v>
      </c>
      <c r="C647" s="256">
        <v>2023</v>
      </c>
      <c r="D647" s="256">
        <v>175</v>
      </c>
      <c r="E647">
        <v>0</v>
      </c>
      <c r="F647" s="257"/>
      <c r="I647" s="4"/>
    </row>
    <row r="648" spans="1:9" ht="30" x14ac:dyDescent="0.25">
      <c r="A648" s="255" t="s">
        <v>20</v>
      </c>
      <c r="B648" s="255" t="s">
        <v>206</v>
      </c>
      <c r="C648" s="256">
        <v>2023</v>
      </c>
      <c r="D648" s="256">
        <v>300</v>
      </c>
      <c r="E648">
        <v>0</v>
      </c>
      <c r="F648" s="257"/>
      <c r="I648" s="4"/>
    </row>
    <row r="649" spans="1:9" ht="30" x14ac:dyDescent="0.25">
      <c r="A649" s="255" t="s">
        <v>20</v>
      </c>
      <c r="B649" s="255" t="s">
        <v>206</v>
      </c>
      <c r="C649" s="256">
        <v>2023</v>
      </c>
      <c r="D649" s="256">
        <v>600</v>
      </c>
      <c r="E649">
        <v>0</v>
      </c>
      <c r="F649" s="257"/>
      <c r="I649" s="4"/>
    </row>
    <row r="650" spans="1:9" ht="30" x14ac:dyDescent="0.25">
      <c r="A650" s="255" t="s">
        <v>20</v>
      </c>
      <c r="B650" s="255" t="s">
        <v>206</v>
      </c>
      <c r="C650" s="256">
        <v>2024</v>
      </c>
      <c r="D650" s="256">
        <v>50</v>
      </c>
      <c r="E650">
        <v>0</v>
      </c>
      <c r="F650" s="257"/>
      <c r="I650" s="4"/>
    </row>
    <row r="651" spans="1:9" ht="30" x14ac:dyDescent="0.25">
      <c r="A651" s="255" t="s">
        <v>20</v>
      </c>
      <c r="B651" s="255" t="s">
        <v>206</v>
      </c>
      <c r="C651" s="256">
        <v>2024</v>
      </c>
      <c r="D651" s="256">
        <v>75</v>
      </c>
      <c r="E651">
        <v>0</v>
      </c>
      <c r="F651" s="257"/>
      <c r="I651" s="4"/>
    </row>
    <row r="652" spans="1:9" ht="30" x14ac:dyDescent="0.25">
      <c r="A652" s="255" t="s">
        <v>20</v>
      </c>
      <c r="B652" s="255" t="s">
        <v>206</v>
      </c>
      <c r="C652" s="256">
        <v>2024</v>
      </c>
      <c r="D652" s="256">
        <v>100</v>
      </c>
      <c r="E652">
        <v>0</v>
      </c>
      <c r="F652" s="257"/>
      <c r="I652" s="4"/>
    </row>
    <row r="653" spans="1:9" ht="30" x14ac:dyDescent="0.25">
      <c r="A653" s="255" t="s">
        <v>20</v>
      </c>
      <c r="B653" s="255" t="s">
        <v>206</v>
      </c>
      <c r="C653" s="256">
        <v>2024</v>
      </c>
      <c r="D653" s="256">
        <v>175</v>
      </c>
      <c r="E653">
        <v>0</v>
      </c>
      <c r="F653" s="257"/>
      <c r="I653" s="4"/>
    </row>
    <row r="654" spans="1:9" ht="30" x14ac:dyDescent="0.25">
      <c r="A654" s="255" t="s">
        <v>20</v>
      </c>
      <c r="B654" s="255" t="s">
        <v>206</v>
      </c>
      <c r="C654" s="256">
        <v>2024</v>
      </c>
      <c r="D654" s="256">
        <v>300</v>
      </c>
      <c r="E654">
        <v>0</v>
      </c>
      <c r="F654" s="257"/>
      <c r="I654" s="4"/>
    </row>
    <row r="655" spans="1:9" ht="30" x14ac:dyDescent="0.25">
      <c r="A655" s="255" t="s">
        <v>20</v>
      </c>
      <c r="B655" s="255" t="s">
        <v>206</v>
      </c>
      <c r="C655" s="256">
        <v>2024</v>
      </c>
      <c r="D655" s="256">
        <v>600</v>
      </c>
      <c r="E655">
        <v>0</v>
      </c>
      <c r="F655" s="257"/>
      <c r="I655" s="4"/>
    </row>
    <row r="656" spans="1:9" ht="30" x14ac:dyDescent="0.25">
      <c r="A656" s="255" t="s">
        <v>20</v>
      </c>
      <c r="B656" s="255" t="s">
        <v>206</v>
      </c>
      <c r="C656" s="256">
        <v>2025</v>
      </c>
      <c r="D656" s="256">
        <v>50</v>
      </c>
      <c r="E656">
        <v>0</v>
      </c>
      <c r="F656" s="257"/>
      <c r="I656" s="4"/>
    </row>
    <row r="657" spans="1:9" ht="30" x14ac:dyDescent="0.25">
      <c r="A657" s="255" t="s">
        <v>20</v>
      </c>
      <c r="B657" s="255" t="s">
        <v>206</v>
      </c>
      <c r="C657" s="256">
        <v>2025</v>
      </c>
      <c r="D657" s="256">
        <v>75</v>
      </c>
      <c r="E657">
        <v>0</v>
      </c>
      <c r="F657" s="257"/>
      <c r="I657" s="4"/>
    </row>
    <row r="658" spans="1:9" ht="30" x14ac:dyDescent="0.25">
      <c r="A658" s="255" t="s">
        <v>20</v>
      </c>
      <c r="B658" s="255" t="s">
        <v>206</v>
      </c>
      <c r="C658" s="256">
        <v>2025</v>
      </c>
      <c r="D658" s="256">
        <v>100</v>
      </c>
      <c r="E658">
        <v>0</v>
      </c>
      <c r="F658" s="257"/>
      <c r="I658" s="4"/>
    </row>
    <row r="659" spans="1:9" ht="30" x14ac:dyDescent="0.25">
      <c r="A659" s="255" t="s">
        <v>20</v>
      </c>
      <c r="B659" s="255" t="s">
        <v>206</v>
      </c>
      <c r="C659" s="256">
        <v>2025</v>
      </c>
      <c r="D659" s="256">
        <v>175</v>
      </c>
      <c r="E659">
        <v>0</v>
      </c>
      <c r="F659" s="257"/>
      <c r="I659" s="4"/>
    </row>
    <row r="660" spans="1:9" ht="30" x14ac:dyDescent="0.25">
      <c r="A660" s="255" t="s">
        <v>20</v>
      </c>
      <c r="B660" s="255" t="s">
        <v>206</v>
      </c>
      <c r="C660" s="256">
        <v>2025</v>
      </c>
      <c r="D660" s="256">
        <v>300</v>
      </c>
      <c r="E660">
        <v>0</v>
      </c>
      <c r="F660" s="257"/>
      <c r="I660" s="4"/>
    </row>
    <row r="661" spans="1:9" ht="30" x14ac:dyDescent="0.25">
      <c r="A661" s="255" t="s">
        <v>20</v>
      </c>
      <c r="B661" s="255" t="s">
        <v>206</v>
      </c>
      <c r="C661" s="256">
        <v>2025</v>
      </c>
      <c r="D661" s="256">
        <v>600</v>
      </c>
      <c r="E661">
        <v>0</v>
      </c>
      <c r="F661" s="257"/>
      <c r="I661" s="4"/>
    </row>
    <row r="662" spans="1:9" ht="45" x14ac:dyDescent="0.25">
      <c r="A662" s="255" t="s">
        <v>20</v>
      </c>
      <c r="B662" s="255" t="s">
        <v>208</v>
      </c>
      <c r="C662" s="256">
        <v>2006</v>
      </c>
      <c r="D662" s="256">
        <v>100</v>
      </c>
      <c r="E662">
        <v>0</v>
      </c>
      <c r="F662" s="257"/>
      <c r="I662" s="4"/>
    </row>
    <row r="663" spans="1:9" ht="45" x14ac:dyDescent="0.25">
      <c r="A663" s="255" t="s">
        <v>20</v>
      </c>
      <c r="B663" s="255" t="s">
        <v>208</v>
      </c>
      <c r="C663" s="256">
        <v>2006</v>
      </c>
      <c r="D663" s="256">
        <v>175</v>
      </c>
      <c r="E663">
        <v>0</v>
      </c>
      <c r="F663" s="257"/>
      <c r="I663" s="4"/>
    </row>
    <row r="664" spans="1:9" ht="45" x14ac:dyDescent="0.25">
      <c r="A664" s="255" t="s">
        <v>20</v>
      </c>
      <c r="B664" s="255" t="s">
        <v>208</v>
      </c>
      <c r="C664" s="256">
        <v>2006</v>
      </c>
      <c r="D664" s="256">
        <v>300</v>
      </c>
      <c r="E664">
        <v>0</v>
      </c>
      <c r="F664" s="257"/>
      <c r="I664" s="4"/>
    </row>
    <row r="665" spans="1:9" ht="45" x14ac:dyDescent="0.25">
      <c r="A665" s="255" t="s">
        <v>20</v>
      </c>
      <c r="B665" s="255" t="s">
        <v>208</v>
      </c>
      <c r="C665" s="256">
        <v>2006</v>
      </c>
      <c r="D665" s="256">
        <v>600</v>
      </c>
      <c r="E665">
        <v>0</v>
      </c>
      <c r="F665" s="257"/>
      <c r="I665" s="4"/>
    </row>
    <row r="666" spans="1:9" ht="45" x14ac:dyDescent="0.25">
      <c r="A666" s="255" t="s">
        <v>20</v>
      </c>
      <c r="B666" s="255" t="s">
        <v>208</v>
      </c>
      <c r="C666" s="256">
        <v>2007</v>
      </c>
      <c r="D666" s="256">
        <v>100</v>
      </c>
      <c r="E666">
        <v>0</v>
      </c>
      <c r="F666" s="257"/>
      <c r="I666" s="4"/>
    </row>
    <row r="667" spans="1:9" ht="45" x14ac:dyDescent="0.25">
      <c r="A667" s="255" t="s">
        <v>20</v>
      </c>
      <c r="B667" s="255" t="s">
        <v>208</v>
      </c>
      <c r="C667" s="256">
        <v>2007</v>
      </c>
      <c r="D667" s="256">
        <v>175</v>
      </c>
      <c r="E667">
        <v>0</v>
      </c>
      <c r="F667" s="257"/>
      <c r="I667" s="4"/>
    </row>
    <row r="668" spans="1:9" ht="45" x14ac:dyDescent="0.25">
      <c r="A668" s="255" t="s">
        <v>20</v>
      </c>
      <c r="B668" s="255" t="s">
        <v>208</v>
      </c>
      <c r="C668" s="256">
        <v>2007</v>
      </c>
      <c r="D668" s="256">
        <v>300</v>
      </c>
      <c r="E668">
        <v>0</v>
      </c>
      <c r="F668" s="257"/>
      <c r="I668" s="4"/>
    </row>
    <row r="669" spans="1:9" ht="45" x14ac:dyDescent="0.25">
      <c r="A669" s="255" t="s">
        <v>20</v>
      </c>
      <c r="B669" s="255" t="s">
        <v>208</v>
      </c>
      <c r="C669" s="256">
        <v>2007</v>
      </c>
      <c r="D669" s="256">
        <v>600</v>
      </c>
      <c r="E669">
        <v>0</v>
      </c>
      <c r="F669" s="257"/>
      <c r="I669" s="4"/>
    </row>
    <row r="670" spans="1:9" ht="45" x14ac:dyDescent="0.25">
      <c r="A670" s="255" t="s">
        <v>20</v>
      </c>
      <c r="B670" s="255" t="s">
        <v>208</v>
      </c>
      <c r="C670" s="256">
        <v>2008</v>
      </c>
      <c r="D670" s="256">
        <v>100</v>
      </c>
      <c r="E670">
        <v>0</v>
      </c>
      <c r="F670" s="257"/>
      <c r="I670" s="4"/>
    </row>
    <row r="671" spans="1:9" ht="45" x14ac:dyDescent="0.25">
      <c r="A671" s="255" t="s">
        <v>20</v>
      </c>
      <c r="B671" s="255" t="s">
        <v>208</v>
      </c>
      <c r="C671" s="256">
        <v>2008</v>
      </c>
      <c r="D671" s="256">
        <v>175</v>
      </c>
      <c r="E671">
        <v>0</v>
      </c>
      <c r="F671" s="257"/>
      <c r="I671" s="4"/>
    </row>
    <row r="672" spans="1:9" ht="45" x14ac:dyDescent="0.25">
      <c r="A672" s="255" t="s">
        <v>20</v>
      </c>
      <c r="B672" s="255" t="s">
        <v>208</v>
      </c>
      <c r="C672" s="256">
        <v>2008</v>
      </c>
      <c r="D672" s="256">
        <v>300</v>
      </c>
      <c r="E672">
        <v>0</v>
      </c>
      <c r="F672" s="257"/>
      <c r="I672" s="4"/>
    </row>
    <row r="673" spans="1:10" ht="45" x14ac:dyDescent="0.25">
      <c r="A673" s="255" t="s">
        <v>20</v>
      </c>
      <c r="B673" s="255" t="s">
        <v>208</v>
      </c>
      <c r="C673" s="256">
        <v>2008</v>
      </c>
      <c r="D673" s="256">
        <v>600</v>
      </c>
      <c r="E673">
        <v>0</v>
      </c>
      <c r="F673" s="257"/>
      <c r="I673" s="4"/>
    </row>
    <row r="674" spans="1:10" ht="45" x14ac:dyDescent="0.25">
      <c r="A674" s="255" t="s">
        <v>20</v>
      </c>
      <c r="B674" s="255" t="s">
        <v>208</v>
      </c>
      <c r="C674" s="256">
        <v>2009</v>
      </c>
      <c r="D674" s="256">
        <v>100</v>
      </c>
      <c r="E674">
        <v>0</v>
      </c>
      <c r="F674" s="257"/>
      <c r="I674" s="4"/>
    </row>
    <row r="675" spans="1:10" ht="45" x14ac:dyDescent="0.25">
      <c r="A675" s="255" t="s">
        <v>20</v>
      </c>
      <c r="B675" s="255" t="s">
        <v>208</v>
      </c>
      <c r="C675" s="256">
        <v>2009</v>
      </c>
      <c r="D675" s="256">
        <v>175</v>
      </c>
      <c r="E675">
        <v>0</v>
      </c>
      <c r="F675" s="257"/>
      <c r="I675" s="4"/>
    </row>
    <row r="676" spans="1:10" ht="45" x14ac:dyDescent="0.25">
      <c r="A676" s="255" t="s">
        <v>20</v>
      </c>
      <c r="B676" s="255" t="s">
        <v>208</v>
      </c>
      <c r="C676" s="256">
        <v>2009</v>
      </c>
      <c r="D676" s="256">
        <v>300</v>
      </c>
      <c r="E676">
        <v>0</v>
      </c>
      <c r="F676" s="257"/>
      <c r="I676" s="4"/>
    </row>
    <row r="677" spans="1:10" ht="45" x14ac:dyDescent="0.25">
      <c r="A677" s="255" t="s">
        <v>20</v>
      </c>
      <c r="B677" s="255" t="s">
        <v>208</v>
      </c>
      <c r="C677" s="256">
        <v>2009</v>
      </c>
      <c r="D677" s="256">
        <v>600</v>
      </c>
      <c r="E677">
        <v>0</v>
      </c>
      <c r="F677" s="257"/>
      <c r="I677" s="4"/>
    </row>
    <row r="678" spans="1:10" ht="45" x14ac:dyDescent="0.25">
      <c r="A678" s="255" t="s">
        <v>20</v>
      </c>
      <c r="B678" s="255" t="s">
        <v>208</v>
      </c>
      <c r="C678" s="256">
        <v>2010</v>
      </c>
      <c r="D678" s="256">
        <v>100</v>
      </c>
      <c r="E678">
        <v>7.7514365859636697E-2</v>
      </c>
      <c r="F678" s="257">
        <f>SUM(E678:E681)</f>
        <v>14.999999999999996</v>
      </c>
      <c r="G678">
        <f t="shared" ref="G678:G701" si="10">IF(OR(D678=50,D678=75),50,IF(OR(D678=100,D678=125),125,IF(D678&gt;=400,400,D678)))</f>
        <v>125</v>
      </c>
      <c r="H678" s="4">
        <f>IF(B678="RTG Crane",IF(D678&lt;600,800000,1200000),VLOOKUP(B678,'$$$ Replace &amp; Retrofit'!$B$10:$C$14,2)*'CHE Model poplulation'!D678)*E678</f>
        <v>6177.8949590130451</v>
      </c>
      <c r="I678" s="4">
        <f>E678*VLOOKUP('CHE Model poplulation'!G678,'$$$ Replace &amp; Retrofit'!$I$10:$J$15,2)</f>
        <v>1529.5909815082109</v>
      </c>
      <c r="J678" s="4">
        <f>IF(D678=50,VLOOKUP(0,'$$$ Replace &amp; Retrofit'!$E$10:$F$13,2),IF(D678&lt;175,VLOOKUP(50,'$$$ Replace &amp; Retrofit'!$E$10:$F$13,2),IF(D678&lt;400,VLOOKUP(175,'$$$ Replace &amp; Retrofit'!$E$10:$F$13,2),IF(D678&gt;=400,VLOOKUP(400,'$$$ Replace &amp; Retrofit'!$E$10:$F$13,2),NA))))*E678</f>
        <v>930.17239031564031</v>
      </c>
    </row>
    <row r="679" spans="1:10" ht="45" x14ac:dyDescent="0.25">
      <c r="A679" s="255" t="s">
        <v>20</v>
      </c>
      <c r="B679" s="255" t="s">
        <v>208</v>
      </c>
      <c r="C679" s="256">
        <v>2010</v>
      </c>
      <c r="D679" s="256">
        <v>175</v>
      </c>
      <c r="E679">
        <v>2.05060731501402</v>
      </c>
      <c r="F679" s="257"/>
      <c r="G679">
        <f t="shared" si="10"/>
        <v>175</v>
      </c>
      <c r="H679" s="4">
        <f>IF(B679="RTG Crane",IF(D679&lt;600,800000,1200000),VLOOKUP(B679,'$$$ Replace &amp; Retrofit'!$B$10:$C$14,2)*'CHE Model poplulation'!D679)*E679</f>
        <v>286008.45526158047</v>
      </c>
      <c r="I679" s="4">
        <f>E679*VLOOKUP('CHE Model poplulation'!G679,'$$$ Replace &amp; Retrofit'!$I$10:$J$15,2)</f>
        <v>50846.858983087644</v>
      </c>
      <c r="J679" s="4">
        <f>IF(D679=50,VLOOKUP(0,'$$$ Replace &amp; Retrofit'!$E$10:$F$13,2),IF(D679&lt;175,VLOOKUP(50,'$$$ Replace &amp; Retrofit'!$E$10:$F$13,2),IF(D679&lt;400,VLOOKUP(175,'$$$ Replace &amp; Retrofit'!$E$10:$F$13,2),IF(D679&gt;=400,VLOOKUP(400,'$$$ Replace &amp; Retrofit'!$E$10:$F$13,2),NA))))*E679</f>
        <v>36910.931670252357</v>
      </c>
    </row>
    <row r="680" spans="1:10" ht="45" x14ac:dyDescent="0.25">
      <c r="A680" s="255" t="s">
        <v>20</v>
      </c>
      <c r="B680" s="255" t="s">
        <v>208</v>
      </c>
      <c r="C680" s="256">
        <v>2010</v>
      </c>
      <c r="D680" s="256">
        <v>300</v>
      </c>
      <c r="E680">
        <v>5.6456296467768698</v>
      </c>
      <c r="F680" s="257"/>
      <c r="G680">
        <f t="shared" si="10"/>
        <v>300</v>
      </c>
      <c r="H680" s="4">
        <f>IF(B680="RTG Crane",IF(D680&lt;600,800000,1200000),VLOOKUP(B680,'$$$ Replace &amp; Retrofit'!$B$10:$C$14,2)*'CHE Model poplulation'!D680)*E680</f>
        <v>1349870.0485443496</v>
      </c>
      <c r="I680" s="4">
        <f>E680*VLOOKUP('CHE Model poplulation'!G680,'$$$ Replace &amp; Retrofit'!$I$10:$J$15,2)</f>
        <v>162385.24553024312</v>
      </c>
      <c r="J680" s="4">
        <f>IF(D680=50,VLOOKUP(0,'$$$ Replace &amp; Retrofit'!$E$10:$F$13,2),IF(D680&lt;175,VLOOKUP(50,'$$$ Replace &amp; Retrofit'!$E$10:$F$13,2),IF(D680&lt;400,VLOOKUP(175,'$$$ Replace &amp; Retrofit'!$E$10:$F$13,2),IF(D680&gt;=400,VLOOKUP(400,'$$$ Replace &amp; Retrofit'!$E$10:$F$13,2),NA))))*E680</f>
        <v>101621.33364198366</v>
      </c>
    </row>
    <row r="681" spans="1:10" ht="45" x14ac:dyDescent="0.25">
      <c r="A681" s="255" t="s">
        <v>20</v>
      </c>
      <c r="B681" s="255" t="s">
        <v>208</v>
      </c>
      <c r="C681" s="256">
        <v>2010</v>
      </c>
      <c r="D681" s="256">
        <v>600</v>
      </c>
      <c r="E681">
        <v>7.2262486723494703</v>
      </c>
      <c r="F681" s="257"/>
      <c r="G681">
        <f t="shared" si="10"/>
        <v>400</v>
      </c>
      <c r="H681" s="4">
        <f>IF(B681="RTG Crane",IF(D681&lt;600,800000,1200000),VLOOKUP(B681,'$$$ Replace &amp; Retrofit'!$B$10:$C$14,2)*'CHE Model poplulation'!D681)*E681</f>
        <v>3455592.1151175168</v>
      </c>
      <c r="I681" s="4">
        <f>E681*VLOOKUP('CHE Model poplulation'!G681,'$$$ Replace &amp; Retrofit'!$I$10:$J$15,2)</f>
        <v>378171.27177006484</v>
      </c>
      <c r="J681" s="4">
        <f>IF(D681=50,VLOOKUP(0,'$$$ Replace &amp; Retrofit'!$E$10:$F$13,2),IF(D681&lt;175,VLOOKUP(50,'$$$ Replace &amp; Retrofit'!$E$10:$F$13,2),IF(D681&lt;400,VLOOKUP(175,'$$$ Replace &amp; Retrofit'!$E$10:$F$13,2),IF(D681&gt;=400,VLOOKUP(400,'$$$ Replace &amp; Retrofit'!$E$10:$F$13,2),NA))))*E681</f>
        <v>216787.46017048412</v>
      </c>
    </row>
    <row r="682" spans="1:10" ht="45" x14ac:dyDescent="0.25">
      <c r="A682" s="255" t="s">
        <v>20</v>
      </c>
      <c r="B682" s="255" t="s">
        <v>208</v>
      </c>
      <c r="C682" s="256">
        <v>2011</v>
      </c>
      <c r="D682" s="256">
        <v>100</v>
      </c>
      <c r="E682">
        <v>6.0020153116093003E-2</v>
      </c>
      <c r="F682" s="257"/>
      <c r="G682">
        <f t="shared" si="10"/>
        <v>125</v>
      </c>
      <c r="H682" s="4">
        <f>IF(B682="RTG Crane",IF(D682&lt;600,800000,1200000),VLOOKUP(B682,'$$$ Replace &amp; Retrofit'!$B$10:$C$14,2)*'CHE Model poplulation'!D682)*E682</f>
        <v>4783.6062033526123</v>
      </c>
      <c r="I682" s="4">
        <f>E682*VLOOKUP('CHE Model poplulation'!G682,'$$$ Replace &amp; Retrofit'!$I$10:$J$15,2)</f>
        <v>1184.3776814398632</v>
      </c>
      <c r="J682" s="4">
        <f>IF(D682=50,VLOOKUP(0,'$$$ Replace &amp; Retrofit'!$E$10:$F$13,2),IF(D682&lt;175,VLOOKUP(50,'$$$ Replace &amp; Retrofit'!$E$10:$F$13,2),IF(D682&lt;400,VLOOKUP(175,'$$$ Replace &amp; Retrofit'!$E$10:$F$13,2),IF(D682&gt;=400,VLOOKUP(400,'$$$ Replace &amp; Retrofit'!$E$10:$F$13,2),NA))))*E682</f>
        <v>720.24183739311604</v>
      </c>
    </row>
    <row r="683" spans="1:10" ht="45" x14ac:dyDescent="0.25">
      <c r="A683" s="255" t="s">
        <v>20</v>
      </c>
      <c r="B683" s="255" t="s">
        <v>208</v>
      </c>
      <c r="C683" s="256">
        <v>2011</v>
      </c>
      <c r="D683" s="256">
        <v>175</v>
      </c>
      <c r="E683">
        <v>1.6772171314382101</v>
      </c>
      <c r="F683" s="257"/>
      <c r="G683">
        <f t="shared" si="10"/>
        <v>175</v>
      </c>
      <c r="H683" s="4">
        <f>IF(B683="RTG Crane",IF(D683&lt;600,800000,1200000),VLOOKUP(B683,'$$$ Replace &amp; Retrofit'!$B$10:$C$14,2)*'CHE Model poplulation'!D683)*E683</f>
        <v>233929.85940734434</v>
      </c>
      <c r="I683" s="4">
        <f>E683*VLOOKUP('CHE Model poplulation'!G683,'$$$ Replace &amp; Retrofit'!$I$10:$J$15,2)</f>
        <v>41588.275991141854</v>
      </c>
      <c r="J683" s="4">
        <f>IF(D683=50,VLOOKUP(0,'$$$ Replace &amp; Retrofit'!$E$10:$F$13,2),IF(D683&lt;175,VLOOKUP(50,'$$$ Replace &amp; Retrofit'!$E$10:$F$13,2),IF(D683&lt;400,VLOOKUP(175,'$$$ Replace &amp; Retrofit'!$E$10:$F$13,2),IF(D683&gt;=400,VLOOKUP(400,'$$$ Replace &amp; Retrofit'!$E$10:$F$13,2),NA))))*E683</f>
        <v>30189.908365887783</v>
      </c>
    </row>
    <row r="684" spans="1:10" ht="45" x14ac:dyDescent="0.25">
      <c r="A684" s="255" t="s">
        <v>20</v>
      </c>
      <c r="B684" s="255" t="s">
        <v>208</v>
      </c>
      <c r="C684" s="256">
        <v>2011</v>
      </c>
      <c r="D684" s="256">
        <v>300</v>
      </c>
      <c r="E684">
        <v>4.65538581310852</v>
      </c>
      <c r="F684" s="257"/>
      <c r="G684">
        <f t="shared" si="10"/>
        <v>300</v>
      </c>
      <c r="H684" s="4">
        <f>IF(B684="RTG Crane",IF(D684&lt;600,800000,1200000),VLOOKUP(B684,'$$$ Replace &amp; Retrofit'!$B$10:$C$14,2)*'CHE Model poplulation'!D684)*E684</f>
        <v>1113102.7479142472</v>
      </c>
      <c r="I684" s="4">
        <f>E684*VLOOKUP('CHE Model poplulation'!G684,'$$$ Replace &amp; Retrofit'!$I$10:$J$15,2)</f>
        <v>133902.86214244037</v>
      </c>
      <c r="J684" s="4">
        <f>IF(D684=50,VLOOKUP(0,'$$$ Replace &amp; Retrofit'!$E$10:$F$13,2),IF(D684&lt;175,VLOOKUP(50,'$$$ Replace &amp; Retrofit'!$E$10:$F$13,2),IF(D684&lt;400,VLOOKUP(175,'$$$ Replace &amp; Retrofit'!$E$10:$F$13,2),IF(D684&gt;=400,VLOOKUP(400,'$$$ Replace &amp; Retrofit'!$E$10:$F$13,2),NA))))*E684</f>
        <v>83796.944635953361</v>
      </c>
    </row>
    <row r="685" spans="1:10" ht="45" x14ac:dyDescent="0.25">
      <c r="A685" s="255" t="s">
        <v>20</v>
      </c>
      <c r="B685" s="255" t="s">
        <v>208</v>
      </c>
      <c r="C685" s="256">
        <v>2011</v>
      </c>
      <c r="D685" s="256">
        <v>600</v>
      </c>
      <c r="E685">
        <v>6.4189806515094903</v>
      </c>
      <c r="F685" s="257"/>
      <c r="G685">
        <f t="shared" si="10"/>
        <v>400</v>
      </c>
      <c r="H685" s="4">
        <f>IF(B685="RTG Crane",IF(D685&lt;600,800000,1200000),VLOOKUP(B685,'$$$ Replace &amp; Retrofit'!$B$10:$C$14,2)*'CHE Model poplulation'!D685)*E685</f>
        <v>3069556.5475518382</v>
      </c>
      <c r="I685" s="4">
        <f>E685*VLOOKUP('CHE Model poplulation'!G685,'$$$ Replace &amp; Retrofit'!$I$10:$J$15,2)</f>
        <v>335924.51443544618</v>
      </c>
      <c r="J685" s="4">
        <f>IF(D685=50,VLOOKUP(0,'$$$ Replace &amp; Retrofit'!$E$10:$F$13,2),IF(D685&lt;175,VLOOKUP(50,'$$$ Replace &amp; Retrofit'!$E$10:$F$13,2),IF(D685&lt;400,VLOOKUP(175,'$$$ Replace &amp; Retrofit'!$E$10:$F$13,2),IF(D685&gt;=400,VLOOKUP(400,'$$$ Replace &amp; Retrofit'!$E$10:$F$13,2),NA))))*E685</f>
        <v>192569.41954528471</v>
      </c>
    </row>
    <row r="686" spans="1:10" ht="45" x14ac:dyDescent="0.25">
      <c r="A686" s="255" t="s">
        <v>20</v>
      </c>
      <c r="B686" s="255" t="s">
        <v>208</v>
      </c>
      <c r="C686" s="256">
        <v>2012</v>
      </c>
      <c r="D686" s="256">
        <v>100</v>
      </c>
      <c r="E686">
        <v>5.3640355587089697E-2</v>
      </c>
      <c r="F686" s="257"/>
      <c r="G686">
        <f t="shared" si="10"/>
        <v>125</v>
      </c>
      <c r="H686" s="4">
        <f>IF(B686="RTG Crane",IF(D686&lt;600,800000,1200000),VLOOKUP(B686,'$$$ Replace &amp; Retrofit'!$B$10:$C$14,2)*'CHE Model poplulation'!D686)*E686</f>
        <v>4275.1363402910492</v>
      </c>
      <c r="I686" s="4">
        <f>E686*VLOOKUP('CHE Model poplulation'!G686,'$$$ Replace &amp; Retrofit'!$I$10:$J$15,2)</f>
        <v>1058.4851368000409</v>
      </c>
      <c r="J686" s="4">
        <f>IF(D686=50,VLOOKUP(0,'$$$ Replace &amp; Retrofit'!$E$10:$F$13,2),IF(D686&lt;175,VLOOKUP(50,'$$$ Replace &amp; Retrofit'!$E$10:$F$13,2),IF(D686&lt;400,VLOOKUP(175,'$$$ Replace &amp; Retrofit'!$E$10:$F$13,2),IF(D686&gt;=400,VLOOKUP(400,'$$$ Replace &amp; Retrofit'!$E$10:$F$13,2),NA))))*E686</f>
        <v>643.68426704507635</v>
      </c>
    </row>
    <row r="687" spans="1:10" ht="45" x14ac:dyDescent="0.25">
      <c r="A687" s="255" t="s">
        <v>20</v>
      </c>
      <c r="B687" s="255" t="s">
        <v>208</v>
      </c>
      <c r="C687" s="256">
        <v>2012</v>
      </c>
      <c r="D687" s="256">
        <v>175</v>
      </c>
      <c r="E687">
        <v>1.48660737148936</v>
      </c>
      <c r="F687" s="257"/>
      <c r="G687">
        <f t="shared" si="10"/>
        <v>175</v>
      </c>
      <c r="H687" s="4">
        <f>IF(B687="RTG Crane",IF(D687&lt;600,800000,1200000),VLOOKUP(B687,'$$$ Replace &amp; Retrofit'!$B$10:$C$14,2)*'CHE Model poplulation'!D687)*E687</f>
        <v>207344.56313847849</v>
      </c>
      <c r="I687" s="4">
        <f>E687*VLOOKUP('CHE Model poplulation'!G687,'$$$ Replace &amp; Retrofit'!$I$10:$J$15,2)</f>
        <v>36861.916383450167</v>
      </c>
      <c r="J687" s="4">
        <f>IF(D687=50,VLOOKUP(0,'$$$ Replace &amp; Retrofit'!$E$10:$F$13,2),IF(D687&lt;175,VLOOKUP(50,'$$$ Replace &amp; Retrofit'!$E$10:$F$13,2),IF(D687&lt;400,VLOOKUP(175,'$$$ Replace &amp; Retrofit'!$E$10:$F$13,2),IF(D687&gt;=400,VLOOKUP(400,'$$$ Replace &amp; Retrofit'!$E$10:$F$13,2),NA))))*E687</f>
        <v>26758.932686808479</v>
      </c>
    </row>
    <row r="688" spans="1:10" ht="45" x14ac:dyDescent="0.25">
      <c r="A688" s="255" t="s">
        <v>20</v>
      </c>
      <c r="B688" s="255" t="s">
        <v>208</v>
      </c>
      <c r="C688" s="256">
        <v>2012</v>
      </c>
      <c r="D688" s="256">
        <v>300</v>
      </c>
      <c r="E688">
        <v>4.1427561017680397</v>
      </c>
      <c r="F688" s="257"/>
      <c r="G688">
        <f t="shared" si="10"/>
        <v>300</v>
      </c>
      <c r="H688" s="4">
        <f>IF(B688="RTG Crane",IF(D688&lt;600,800000,1200000),VLOOKUP(B688,'$$$ Replace &amp; Retrofit'!$B$10:$C$14,2)*'CHE Model poplulation'!D688)*E688</f>
        <v>990532.98393273831</v>
      </c>
      <c r="I688" s="4">
        <f>E688*VLOOKUP('CHE Model poplulation'!G688,'$$$ Replace &amp; Retrofit'!$I$10:$J$15,2)</f>
        <v>119158.09375515413</v>
      </c>
      <c r="J688" s="4">
        <f>IF(D688=50,VLOOKUP(0,'$$$ Replace &amp; Retrofit'!$E$10:$F$13,2),IF(D688&lt;175,VLOOKUP(50,'$$$ Replace &amp; Retrofit'!$E$10:$F$13,2),IF(D688&lt;400,VLOOKUP(175,'$$$ Replace &amp; Retrofit'!$E$10:$F$13,2),IF(D688&gt;=400,VLOOKUP(400,'$$$ Replace &amp; Retrofit'!$E$10:$F$13,2),NA))))*E688</f>
        <v>74569.60983182471</v>
      </c>
    </row>
    <row r="689" spans="1:10" ht="45" x14ac:dyDescent="0.25">
      <c r="A689" s="255" t="s">
        <v>20</v>
      </c>
      <c r="B689" s="255" t="s">
        <v>208</v>
      </c>
      <c r="C689" s="256">
        <v>2012</v>
      </c>
      <c r="D689" s="256">
        <v>600</v>
      </c>
      <c r="E689">
        <v>5.8116743130329303</v>
      </c>
      <c r="F689" s="257"/>
      <c r="G689">
        <f t="shared" si="10"/>
        <v>400</v>
      </c>
      <c r="H689" s="4">
        <f>IF(B689="RTG Crane",IF(D689&lt;600,800000,1200000),VLOOKUP(B689,'$$$ Replace &amp; Retrofit'!$B$10:$C$14,2)*'CHE Model poplulation'!D689)*E689</f>
        <v>2779142.6564923474</v>
      </c>
      <c r="I689" s="4">
        <f>E689*VLOOKUP('CHE Model poplulation'!G689,'$$$ Replace &amp; Retrofit'!$I$10:$J$15,2)</f>
        <v>304142.35182395234</v>
      </c>
      <c r="J689" s="4">
        <f>IF(D689=50,VLOOKUP(0,'$$$ Replace &amp; Retrofit'!$E$10:$F$13,2),IF(D689&lt;175,VLOOKUP(50,'$$$ Replace &amp; Retrofit'!$E$10:$F$13,2),IF(D689&lt;400,VLOOKUP(175,'$$$ Replace &amp; Retrofit'!$E$10:$F$13,2),IF(D689&gt;=400,VLOOKUP(400,'$$$ Replace &amp; Retrofit'!$E$10:$F$13,2),NA))))*E689</f>
        <v>174350.22939098789</v>
      </c>
    </row>
    <row r="690" spans="1:10" ht="45" x14ac:dyDescent="0.25">
      <c r="A690" s="255" t="s">
        <v>20</v>
      </c>
      <c r="B690" s="255" t="s">
        <v>208</v>
      </c>
      <c r="C690" s="256">
        <v>2013</v>
      </c>
      <c r="D690" s="256">
        <v>100</v>
      </c>
      <c r="E690">
        <v>4.4679817573110597E-2</v>
      </c>
      <c r="F690" s="257"/>
      <c r="G690">
        <f t="shared" si="10"/>
        <v>125</v>
      </c>
      <c r="H690" s="4">
        <f>IF(B690="RTG Crane",IF(D690&lt;600,800000,1200000),VLOOKUP(B690,'$$$ Replace &amp; Retrofit'!$B$10:$C$14,2)*'CHE Model poplulation'!D690)*E690</f>
        <v>3560.9814605769147</v>
      </c>
      <c r="I690" s="4">
        <f>E690*VLOOKUP('CHE Model poplulation'!G690,'$$$ Replace &amp; Retrofit'!$I$10:$J$15,2)</f>
        <v>881.66684017019145</v>
      </c>
      <c r="J690" s="4">
        <f>IF(D690=50,VLOOKUP(0,'$$$ Replace &amp; Retrofit'!$E$10:$F$13,2),IF(D690&lt;175,VLOOKUP(50,'$$$ Replace &amp; Retrofit'!$E$10:$F$13,2),IF(D690&lt;400,VLOOKUP(175,'$$$ Replace &amp; Retrofit'!$E$10:$F$13,2),IF(D690&gt;=400,VLOOKUP(400,'$$$ Replace &amp; Retrofit'!$E$10:$F$13,2),NA))))*E690</f>
        <v>536.15781087732717</v>
      </c>
    </row>
    <row r="691" spans="1:10" ht="45" x14ac:dyDescent="0.25">
      <c r="A691" s="255" t="s">
        <v>20</v>
      </c>
      <c r="B691" s="255" t="s">
        <v>208</v>
      </c>
      <c r="C691" s="256">
        <v>2013</v>
      </c>
      <c r="D691" s="256">
        <v>175</v>
      </c>
      <c r="E691">
        <v>1.0734699933179701</v>
      </c>
      <c r="F691" s="257"/>
      <c r="G691">
        <f t="shared" si="10"/>
        <v>175</v>
      </c>
      <c r="H691" s="4">
        <f>IF(B691="RTG Crane",IF(D691&lt;600,800000,1200000),VLOOKUP(B691,'$$$ Replace &amp; Retrofit'!$B$10:$C$14,2)*'CHE Model poplulation'!D691)*E691</f>
        <v>149722.22731802388</v>
      </c>
      <c r="I691" s="4">
        <f>E691*VLOOKUP('CHE Model poplulation'!G691,'$$$ Replace &amp; Retrofit'!$I$10:$J$15,2)</f>
        <v>26617.761954312387</v>
      </c>
      <c r="J691" s="4">
        <f>IF(D691=50,VLOOKUP(0,'$$$ Replace &amp; Retrofit'!$E$10:$F$13,2),IF(D691&lt;175,VLOOKUP(50,'$$$ Replace &amp; Retrofit'!$E$10:$F$13,2),IF(D691&lt;400,VLOOKUP(175,'$$$ Replace &amp; Retrofit'!$E$10:$F$13,2),IF(D691&gt;=400,VLOOKUP(400,'$$$ Replace &amp; Retrofit'!$E$10:$F$13,2),NA))))*E691</f>
        <v>19322.459879723461</v>
      </c>
    </row>
    <row r="692" spans="1:10" ht="45" x14ac:dyDescent="0.25">
      <c r="A692" s="255" t="s">
        <v>20</v>
      </c>
      <c r="B692" s="255" t="s">
        <v>208</v>
      </c>
      <c r="C692" s="256">
        <v>2013</v>
      </c>
      <c r="D692" s="256">
        <v>300</v>
      </c>
      <c r="E692">
        <v>3.0139328262879599</v>
      </c>
      <c r="F692" s="257"/>
      <c r="G692">
        <f t="shared" si="10"/>
        <v>300</v>
      </c>
      <c r="H692" s="4">
        <f>IF(B692="RTG Crane",IF(D692&lt;600,800000,1200000),VLOOKUP(B692,'$$$ Replace &amp; Retrofit'!$B$10:$C$14,2)*'CHE Model poplulation'!D692)*E692</f>
        <v>720631.33876545122</v>
      </c>
      <c r="I692" s="4">
        <f>E692*VLOOKUP('CHE Model poplulation'!G692,'$$$ Replace &amp; Retrofit'!$I$10:$J$15,2)</f>
        <v>86689.749882520584</v>
      </c>
      <c r="J692" s="4">
        <f>IF(D692=50,VLOOKUP(0,'$$$ Replace &amp; Retrofit'!$E$10:$F$13,2),IF(D692&lt;175,VLOOKUP(50,'$$$ Replace &amp; Retrofit'!$E$10:$F$13,2),IF(D692&lt;400,VLOOKUP(175,'$$$ Replace &amp; Retrofit'!$E$10:$F$13,2),IF(D692&gt;=400,VLOOKUP(400,'$$$ Replace &amp; Retrofit'!$E$10:$F$13,2),NA))))*E692</f>
        <v>54250.790873183279</v>
      </c>
    </row>
    <row r="693" spans="1:10" ht="45" x14ac:dyDescent="0.25">
      <c r="A693" s="255" t="s">
        <v>20</v>
      </c>
      <c r="B693" s="255" t="s">
        <v>208</v>
      </c>
      <c r="C693" s="256">
        <v>2013</v>
      </c>
      <c r="D693" s="256">
        <v>600</v>
      </c>
      <c r="E693">
        <v>4.4276962697704798</v>
      </c>
      <c r="F693" s="257"/>
      <c r="G693">
        <f t="shared" si="10"/>
        <v>400</v>
      </c>
      <c r="H693" s="4">
        <f>IF(B693="RTG Crane",IF(D693&lt;600,800000,1200000),VLOOKUP(B693,'$$$ Replace &amp; Retrofit'!$B$10:$C$14,2)*'CHE Model poplulation'!D693)*E693</f>
        <v>2117324.3562042434</v>
      </c>
      <c r="I693" s="4">
        <f>E693*VLOOKUP('CHE Model poplulation'!G693,'$$$ Replace &amp; Retrofit'!$I$10:$J$15,2)</f>
        <v>231714.62888589851</v>
      </c>
      <c r="J693" s="4">
        <f>IF(D693=50,VLOOKUP(0,'$$$ Replace &amp; Retrofit'!$E$10:$F$13,2),IF(D693&lt;175,VLOOKUP(50,'$$$ Replace &amp; Retrofit'!$E$10:$F$13,2),IF(D693&lt;400,VLOOKUP(175,'$$$ Replace &amp; Retrofit'!$E$10:$F$13,2),IF(D693&gt;=400,VLOOKUP(400,'$$$ Replace &amp; Retrofit'!$E$10:$F$13,2),NA))))*E693</f>
        <v>132830.88809311439</v>
      </c>
    </row>
    <row r="694" spans="1:10" ht="45" x14ac:dyDescent="0.25">
      <c r="A694" s="255" t="s">
        <v>20</v>
      </c>
      <c r="B694" s="255" t="s">
        <v>208</v>
      </c>
      <c r="C694" s="256">
        <v>2014</v>
      </c>
      <c r="D694" s="256">
        <v>100</v>
      </c>
      <c r="E694">
        <v>2.5838121953212199E-2</v>
      </c>
      <c r="F694" s="257"/>
      <c r="G694">
        <f t="shared" si="10"/>
        <v>125</v>
      </c>
      <c r="H694" s="4">
        <f>IF(B694="RTG Crane",IF(D694&lt;600,800000,1200000),VLOOKUP(B694,'$$$ Replace &amp; Retrofit'!$B$10:$C$14,2)*'CHE Model poplulation'!D694)*E694</f>
        <v>2059.2983196710125</v>
      </c>
      <c r="I694" s="4">
        <f>E694*VLOOKUP('CHE Model poplulation'!G694,'$$$ Replace &amp; Retrofit'!$I$10:$J$15,2)</f>
        <v>509.86366050273631</v>
      </c>
      <c r="J694" s="4">
        <f>IF(D694=50,VLOOKUP(0,'$$$ Replace &amp; Retrofit'!$E$10:$F$13,2),IF(D694&lt;175,VLOOKUP(50,'$$$ Replace &amp; Retrofit'!$E$10:$F$13,2),IF(D694&lt;400,VLOOKUP(175,'$$$ Replace &amp; Retrofit'!$E$10:$F$13,2),IF(D694&gt;=400,VLOOKUP(400,'$$$ Replace &amp; Retrofit'!$E$10:$F$13,2),NA))))*E694</f>
        <v>310.05746343854639</v>
      </c>
    </row>
    <row r="695" spans="1:10" ht="45" x14ac:dyDescent="0.25">
      <c r="A695" s="255" t="s">
        <v>20</v>
      </c>
      <c r="B695" s="255" t="s">
        <v>208</v>
      </c>
      <c r="C695" s="256">
        <v>2014</v>
      </c>
      <c r="D695" s="256">
        <v>175</v>
      </c>
      <c r="E695">
        <v>0.56159058458265798</v>
      </c>
      <c r="F695" s="257"/>
      <c r="G695">
        <f t="shared" si="10"/>
        <v>175</v>
      </c>
      <c r="H695" s="4">
        <f>IF(B695="RTG Crane",IF(D695&lt;600,800000,1200000),VLOOKUP(B695,'$$$ Replace &amp; Retrofit'!$B$10:$C$14,2)*'CHE Model poplulation'!D695)*E695</f>
        <v>78327.846784666224</v>
      </c>
      <c r="I695" s="4">
        <f>E695*VLOOKUP('CHE Model poplulation'!G695,'$$$ Replace &amp; Retrofit'!$I$10:$J$15,2)</f>
        <v>13925.200135311587</v>
      </c>
      <c r="J695" s="4">
        <f>IF(D695=50,VLOOKUP(0,'$$$ Replace &amp; Retrofit'!$E$10:$F$13,2),IF(D695&lt;175,VLOOKUP(50,'$$$ Replace &amp; Retrofit'!$E$10:$F$13,2),IF(D695&lt;400,VLOOKUP(175,'$$$ Replace &amp; Retrofit'!$E$10:$F$13,2),IF(D695&gt;=400,VLOOKUP(400,'$$$ Replace &amp; Retrofit'!$E$10:$F$13,2),NA))))*E695</f>
        <v>10108.630522487843</v>
      </c>
    </row>
    <row r="696" spans="1:10" ht="45" x14ac:dyDescent="0.25">
      <c r="A696" s="255" t="s">
        <v>20</v>
      </c>
      <c r="B696" s="255" t="s">
        <v>208</v>
      </c>
      <c r="C696" s="256">
        <v>2014</v>
      </c>
      <c r="D696" s="256">
        <v>300</v>
      </c>
      <c r="E696">
        <v>1.8651265002663699</v>
      </c>
      <c r="F696" s="257"/>
      <c r="G696">
        <f t="shared" si="10"/>
        <v>300</v>
      </c>
      <c r="H696" s="4">
        <f>IF(B696="RTG Crane",IF(D696&lt;600,800000,1200000),VLOOKUP(B696,'$$$ Replace &amp; Retrofit'!$B$10:$C$14,2)*'CHE Model poplulation'!D696)*E696</f>
        <v>445951.74621368904</v>
      </c>
      <c r="I696" s="4">
        <f>E696*VLOOKUP('CHE Model poplulation'!G696,'$$$ Replace &amp; Retrofit'!$I$10:$J$15,2)</f>
        <v>53646.633527161597</v>
      </c>
      <c r="J696" s="4">
        <f>IF(D696=50,VLOOKUP(0,'$$$ Replace &amp; Retrofit'!$E$10:$F$13,2),IF(D696&lt;175,VLOOKUP(50,'$$$ Replace &amp; Retrofit'!$E$10:$F$13,2),IF(D696&lt;400,VLOOKUP(175,'$$$ Replace &amp; Retrofit'!$E$10:$F$13,2),IF(D696&gt;=400,VLOOKUP(400,'$$$ Replace &amp; Retrofit'!$E$10:$F$13,2),NA))))*E696</f>
        <v>33572.277004794661</v>
      </c>
    </row>
    <row r="697" spans="1:10" ht="45" x14ac:dyDescent="0.25">
      <c r="A697" s="255" t="s">
        <v>20</v>
      </c>
      <c r="B697" s="255" t="s">
        <v>208</v>
      </c>
      <c r="C697" s="256">
        <v>2014</v>
      </c>
      <c r="D697" s="256">
        <v>600</v>
      </c>
      <c r="E697">
        <v>3.11438354040745</v>
      </c>
      <c r="F697" s="257"/>
      <c r="G697">
        <f t="shared" si="10"/>
        <v>400</v>
      </c>
      <c r="H697" s="4">
        <f>IF(B697="RTG Crane",IF(D697&lt;600,800000,1200000),VLOOKUP(B697,'$$$ Replace &amp; Retrofit'!$B$10:$C$14,2)*'CHE Model poplulation'!D697)*E697</f>
        <v>1489298.2090228426</v>
      </c>
      <c r="I697" s="4">
        <f>E697*VLOOKUP('CHE Model poplulation'!G697,'$$$ Replace &amp; Retrofit'!$I$10:$J$15,2)</f>
        <v>162985.03382014309</v>
      </c>
      <c r="J697" s="4">
        <f>IF(D697=50,VLOOKUP(0,'$$$ Replace &amp; Retrofit'!$E$10:$F$13,2),IF(D697&lt;175,VLOOKUP(50,'$$$ Replace &amp; Retrofit'!$E$10:$F$13,2),IF(D697&lt;400,VLOOKUP(175,'$$$ Replace &amp; Retrofit'!$E$10:$F$13,2),IF(D697&gt;=400,VLOOKUP(400,'$$$ Replace &amp; Retrofit'!$E$10:$F$13,2),NA))))*E697</f>
        <v>93431.506212223496</v>
      </c>
    </row>
    <row r="698" spans="1:10" ht="45" x14ac:dyDescent="0.25">
      <c r="A698" s="255" t="s">
        <v>20</v>
      </c>
      <c r="B698" s="255" t="s">
        <v>208</v>
      </c>
      <c r="C698" s="256">
        <v>2015</v>
      </c>
      <c r="D698" s="256">
        <v>100</v>
      </c>
      <c r="E698">
        <v>0</v>
      </c>
      <c r="F698" s="257"/>
      <c r="G698">
        <f t="shared" si="10"/>
        <v>125</v>
      </c>
      <c r="H698" s="4">
        <f>IF(B698="RTG Crane",IF(D698&lt;600,800000,1200000),VLOOKUP(B698,'$$$ Replace &amp; Retrofit'!$B$10:$C$14,2)*'CHE Model poplulation'!D698)*E698</f>
        <v>0</v>
      </c>
      <c r="I698" s="4">
        <f>E698*VLOOKUP('CHE Model poplulation'!G698,'$$$ Replace &amp; Retrofit'!$I$10:$J$15,2)</f>
        <v>0</v>
      </c>
      <c r="J698" s="4">
        <f>IF(D698=50,VLOOKUP(0,'$$$ Replace &amp; Retrofit'!$E$10:$F$13,2),IF(D698&lt;175,VLOOKUP(50,'$$$ Replace &amp; Retrofit'!$E$10:$F$13,2),IF(D698&lt;400,VLOOKUP(175,'$$$ Replace &amp; Retrofit'!$E$10:$F$13,2),IF(D698&gt;=400,VLOOKUP(400,'$$$ Replace &amp; Retrofit'!$E$10:$F$13,2),NA))))*E698</f>
        <v>0</v>
      </c>
    </row>
    <row r="699" spans="1:10" ht="45" x14ac:dyDescent="0.25">
      <c r="A699" s="255" t="s">
        <v>20</v>
      </c>
      <c r="B699" s="255" t="s">
        <v>208</v>
      </c>
      <c r="C699" s="256">
        <v>2015</v>
      </c>
      <c r="D699" s="256">
        <v>175</v>
      </c>
      <c r="E699">
        <v>6.4595304883030599E-2</v>
      </c>
      <c r="F699" s="257"/>
      <c r="G699">
        <f t="shared" si="10"/>
        <v>175</v>
      </c>
      <c r="H699" s="4">
        <f>IF(B699="RTG Crane",IF(D699&lt;600,800000,1200000),VLOOKUP(B699,'$$$ Replace &amp; Retrofit'!$B$10:$C$14,2)*'CHE Model poplulation'!D699)*E699</f>
        <v>9009.430148560692</v>
      </c>
      <c r="I699" s="4">
        <f>E699*VLOOKUP('CHE Model poplulation'!G699,'$$$ Replace &amp; Retrofit'!$I$10:$J$15,2)</f>
        <v>1601.7051798796267</v>
      </c>
      <c r="J699" s="4">
        <f>IF(D699=50,VLOOKUP(0,'$$$ Replace &amp; Retrofit'!$E$10:$F$13,2),IF(D699&lt;175,VLOOKUP(50,'$$$ Replace &amp; Retrofit'!$E$10:$F$13,2),IF(D699&lt;400,VLOOKUP(175,'$$$ Replace &amp; Retrofit'!$E$10:$F$13,2),IF(D699&gt;=400,VLOOKUP(400,'$$$ Replace &amp; Retrofit'!$E$10:$F$13,2),NA))))*E699</f>
        <v>1162.7154878945507</v>
      </c>
    </row>
    <row r="700" spans="1:10" ht="45" x14ac:dyDescent="0.25">
      <c r="A700" s="255" t="s">
        <v>20</v>
      </c>
      <c r="B700" s="255" t="s">
        <v>208</v>
      </c>
      <c r="C700" s="256">
        <v>2015</v>
      </c>
      <c r="D700" s="256">
        <v>300</v>
      </c>
      <c r="E700">
        <v>0.59427680492388102</v>
      </c>
      <c r="F700" s="257"/>
      <c r="G700">
        <f t="shared" si="10"/>
        <v>300</v>
      </c>
      <c r="H700" s="4">
        <f>IF(B700="RTG Crane",IF(D700&lt;600,800000,1200000),VLOOKUP(B700,'$$$ Replace &amp; Retrofit'!$B$10:$C$14,2)*'CHE Model poplulation'!D700)*E700</f>
        <v>142091.58405729994</v>
      </c>
      <c r="I700" s="4">
        <f>E700*VLOOKUP('CHE Model poplulation'!G700,'$$$ Replace &amp; Retrofit'!$I$10:$J$15,2)</f>
        <v>17093.18374002559</v>
      </c>
      <c r="J700" s="4">
        <f>IF(D700=50,VLOOKUP(0,'$$$ Replace &amp; Retrofit'!$E$10:$F$13,2),IF(D700&lt;175,VLOOKUP(50,'$$$ Replace &amp; Retrofit'!$E$10:$F$13,2),IF(D700&lt;400,VLOOKUP(175,'$$$ Replace &amp; Retrofit'!$E$10:$F$13,2),IF(D700&gt;=400,VLOOKUP(400,'$$$ Replace &amp; Retrofit'!$E$10:$F$13,2),NA))))*E700</f>
        <v>10696.982488629857</v>
      </c>
    </row>
    <row r="701" spans="1:10" ht="45" x14ac:dyDescent="0.25">
      <c r="A701" s="255" t="s">
        <v>20</v>
      </c>
      <c r="B701" s="255" t="s">
        <v>208</v>
      </c>
      <c r="C701" s="256">
        <v>2015</v>
      </c>
      <c r="D701" s="256">
        <v>600</v>
      </c>
      <c r="E701">
        <v>1.2660679757074</v>
      </c>
      <c r="F701" s="257"/>
      <c r="G701">
        <f t="shared" si="10"/>
        <v>400</v>
      </c>
      <c r="H701" s="4">
        <f>IF(B701="RTG Crane",IF(D701&lt;600,800000,1200000),VLOOKUP(B701,'$$$ Replace &amp; Retrofit'!$B$10:$C$14,2)*'CHE Model poplulation'!D701)*E701</f>
        <v>605433.70598327869</v>
      </c>
      <c r="I701" s="4">
        <f>E701*VLOOKUP('CHE Model poplulation'!G701,'$$$ Replace &amp; Retrofit'!$I$10:$J$15,2)</f>
        <v>66257.135372695368</v>
      </c>
      <c r="J701" s="4">
        <f>IF(D701=50,VLOOKUP(0,'$$$ Replace &amp; Retrofit'!$E$10:$F$13,2),IF(D701&lt;175,VLOOKUP(50,'$$$ Replace &amp; Retrofit'!$E$10:$F$13,2),IF(D701&lt;400,VLOOKUP(175,'$$$ Replace &amp; Retrofit'!$E$10:$F$13,2),IF(D701&gt;=400,VLOOKUP(400,'$$$ Replace &amp; Retrofit'!$E$10:$F$13,2),NA))))*E701</f>
        <v>37982.039271221998</v>
      </c>
    </row>
    <row r="702" spans="1:10" ht="45" x14ac:dyDescent="0.25">
      <c r="A702" s="255" t="s">
        <v>20</v>
      </c>
      <c r="B702" s="255" t="s">
        <v>208</v>
      </c>
      <c r="C702" s="256">
        <v>2016</v>
      </c>
      <c r="D702" s="256">
        <v>100</v>
      </c>
      <c r="E702">
        <v>0</v>
      </c>
      <c r="F702" s="257"/>
      <c r="I702" s="4"/>
    </row>
    <row r="703" spans="1:10" ht="45" x14ac:dyDescent="0.25">
      <c r="A703" s="255" t="s">
        <v>20</v>
      </c>
      <c r="B703" s="255" t="s">
        <v>208</v>
      </c>
      <c r="C703" s="256">
        <v>2016</v>
      </c>
      <c r="D703" s="256">
        <v>175</v>
      </c>
      <c r="E703">
        <v>0</v>
      </c>
      <c r="F703" s="257"/>
      <c r="I703" s="4"/>
    </row>
    <row r="704" spans="1:10" ht="45" x14ac:dyDescent="0.25">
      <c r="A704" s="255" t="s">
        <v>20</v>
      </c>
      <c r="B704" s="255" t="s">
        <v>208</v>
      </c>
      <c r="C704" s="256">
        <v>2016</v>
      </c>
      <c r="D704" s="256">
        <v>300</v>
      </c>
      <c r="E704">
        <v>0</v>
      </c>
      <c r="F704" s="257"/>
      <c r="I704" s="4"/>
    </row>
    <row r="705" spans="1:9" ht="45" x14ac:dyDescent="0.25">
      <c r="A705" s="255" t="s">
        <v>20</v>
      </c>
      <c r="B705" s="255" t="s">
        <v>208</v>
      </c>
      <c r="C705" s="256">
        <v>2016</v>
      </c>
      <c r="D705" s="256">
        <v>600</v>
      </c>
      <c r="E705">
        <v>0</v>
      </c>
      <c r="F705" s="257"/>
      <c r="I705" s="4"/>
    </row>
    <row r="706" spans="1:9" ht="45" x14ac:dyDescent="0.25">
      <c r="A706" s="255" t="s">
        <v>20</v>
      </c>
      <c r="B706" s="255" t="s">
        <v>208</v>
      </c>
      <c r="C706" s="256">
        <v>2017</v>
      </c>
      <c r="D706" s="256">
        <v>100</v>
      </c>
      <c r="E706">
        <v>0</v>
      </c>
      <c r="F706" s="257"/>
      <c r="I706" s="4"/>
    </row>
    <row r="707" spans="1:9" ht="45" x14ac:dyDescent="0.25">
      <c r="A707" s="255" t="s">
        <v>20</v>
      </c>
      <c r="B707" s="255" t="s">
        <v>208</v>
      </c>
      <c r="C707" s="256">
        <v>2017</v>
      </c>
      <c r="D707" s="256">
        <v>175</v>
      </c>
      <c r="E707">
        <v>0</v>
      </c>
      <c r="F707" s="257"/>
      <c r="I707" s="4"/>
    </row>
    <row r="708" spans="1:9" ht="45" x14ac:dyDescent="0.25">
      <c r="A708" s="255" t="s">
        <v>20</v>
      </c>
      <c r="B708" s="255" t="s">
        <v>208</v>
      </c>
      <c r="C708" s="256">
        <v>2017</v>
      </c>
      <c r="D708" s="256">
        <v>300</v>
      </c>
      <c r="E708">
        <v>0</v>
      </c>
      <c r="F708" s="257"/>
      <c r="I708" s="4"/>
    </row>
    <row r="709" spans="1:9" ht="45" x14ac:dyDescent="0.25">
      <c r="A709" s="255" t="s">
        <v>20</v>
      </c>
      <c r="B709" s="255" t="s">
        <v>208</v>
      </c>
      <c r="C709" s="256">
        <v>2017</v>
      </c>
      <c r="D709" s="256">
        <v>600</v>
      </c>
      <c r="E709">
        <v>0</v>
      </c>
      <c r="F709" s="257"/>
      <c r="I709" s="4"/>
    </row>
    <row r="710" spans="1:9" ht="45" x14ac:dyDescent="0.25">
      <c r="A710" s="255" t="s">
        <v>20</v>
      </c>
      <c r="B710" s="255" t="s">
        <v>208</v>
      </c>
      <c r="C710" s="256">
        <v>2018</v>
      </c>
      <c r="D710" s="256">
        <v>100</v>
      </c>
      <c r="E710">
        <v>0</v>
      </c>
      <c r="F710" s="257"/>
      <c r="I710" s="4"/>
    </row>
    <row r="711" spans="1:9" ht="45" x14ac:dyDescent="0.25">
      <c r="A711" s="255" t="s">
        <v>20</v>
      </c>
      <c r="B711" s="255" t="s">
        <v>208</v>
      </c>
      <c r="C711" s="256">
        <v>2018</v>
      </c>
      <c r="D711" s="256">
        <v>175</v>
      </c>
      <c r="E711">
        <v>0</v>
      </c>
      <c r="F711" s="257"/>
      <c r="I711" s="4"/>
    </row>
    <row r="712" spans="1:9" ht="45" x14ac:dyDescent="0.25">
      <c r="A712" s="255" t="s">
        <v>20</v>
      </c>
      <c r="B712" s="255" t="s">
        <v>208</v>
      </c>
      <c r="C712" s="256">
        <v>2018</v>
      </c>
      <c r="D712" s="256">
        <v>300</v>
      </c>
      <c r="E712">
        <v>0</v>
      </c>
      <c r="F712" s="257"/>
      <c r="I712" s="4"/>
    </row>
    <row r="713" spans="1:9" ht="45" x14ac:dyDescent="0.25">
      <c r="A713" s="255" t="s">
        <v>20</v>
      </c>
      <c r="B713" s="255" t="s">
        <v>208</v>
      </c>
      <c r="C713" s="256">
        <v>2018</v>
      </c>
      <c r="D713" s="256">
        <v>600</v>
      </c>
      <c r="E713">
        <v>0</v>
      </c>
      <c r="F713" s="257"/>
      <c r="I713" s="4"/>
    </row>
    <row r="714" spans="1:9" ht="45" x14ac:dyDescent="0.25">
      <c r="A714" s="255" t="s">
        <v>20</v>
      </c>
      <c r="B714" s="255" t="s">
        <v>208</v>
      </c>
      <c r="C714" s="256">
        <v>2019</v>
      </c>
      <c r="D714" s="256">
        <v>100</v>
      </c>
      <c r="E714">
        <v>0</v>
      </c>
      <c r="F714" s="257"/>
      <c r="I714" s="4"/>
    </row>
    <row r="715" spans="1:9" ht="45" x14ac:dyDescent="0.25">
      <c r="A715" s="255" t="s">
        <v>20</v>
      </c>
      <c r="B715" s="255" t="s">
        <v>208</v>
      </c>
      <c r="C715" s="256">
        <v>2019</v>
      </c>
      <c r="D715" s="256">
        <v>175</v>
      </c>
      <c r="E715">
        <v>0</v>
      </c>
      <c r="F715" s="257"/>
      <c r="I715" s="4"/>
    </row>
    <row r="716" spans="1:9" ht="45" x14ac:dyDescent="0.25">
      <c r="A716" s="255" t="s">
        <v>20</v>
      </c>
      <c r="B716" s="255" t="s">
        <v>208</v>
      </c>
      <c r="C716" s="256">
        <v>2019</v>
      </c>
      <c r="D716" s="256">
        <v>300</v>
      </c>
      <c r="E716">
        <v>0</v>
      </c>
      <c r="F716" s="257"/>
      <c r="I716" s="4"/>
    </row>
    <row r="717" spans="1:9" ht="45" x14ac:dyDescent="0.25">
      <c r="A717" s="255" t="s">
        <v>20</v>
      </c>
      <c r="B717" s="255" t="s">
        <v>208</v>
      </c>
      <c r="C717" s="256">
        <v>2019</v>
      </c>
      <c r="D717" s="256">
        <v>600</v>
      </c>
      <c r="E717">
        <v>0</v>
      </c>
      <c r="F717" s="257"/>
      <c r="I717" s="4"/>
    </row>
    <row r="718" spans="1:9" ht="45" x14ac:dyDescent="0.25">
      <c r="A718" s="255" t="s">
        <v>20</v>
      </c>
      <c r="B718" s="255" t="s">
        <v>208</v>
      </c>
      <c r="C718" s="256">
        <v>2020</v>
      </c>
      <c r="D718" s="256">
        <v>100</v>
      </c>
      <c r="E718">
        <v>0</v>
      </c>
      <c r="F718" s="257"/>
      <c r="I718" s="4"/>
    </row>
    <row r="719" spans="1:9" ht="45" x14ac:dyDescent="0.25">
      <c r="A719" s="255" t="s">
        <v>20</v>
      </c>
      <c r="B719" s="255" t="s">
        <v>208</v>
      </c>
      <c r="C719" s="256">
        <v>2020</v>
      </c>
      <c r="D719" s="256">
        <v>175</v>
      </c>
      <c r="E719">
        <v>0</v>
      </c>
      <c r="F719" s="257"/>
      <c r="I719" s="4"/>
    </row>
    <row r="720" spans="1:9" ht="45" x14ac:dyDescent="0.25">
      <c r="A720" s="255" t="s">
        <v>20</v>
      </c>
      <c r="B720" s="255" t="s">
        <v>208</v>
      </c>
      <c r="C720" s="256">
        <v>2020</v>
      </c>
      <c r="D720" s="256">
        <v>300</v>
      </c>
      <c r="E720">
        <v>0</v>
      </c>
      <c r="F720" s="257"/>
      <c r="I720" s="4"/>
    </row>
    <row r="721" spans="1:9" ht="45" x14ac:dyDescent="0.25">
      <c r="A721" s="255" t="s">
        <v>20</v>
      </c>
      <c r="B721" s="255" t="s">
        <v>208</v>
      </c>
      <c r="C721" s="256">
        <v>2020</v>
      </c>
      <c r="D721" s="256">
        <v>600</v>
      </c>
      <c r="E721">
        <v>0</v>
      </c>
      <c r="F721" s="257"/>
      <c r="I721" s="4"/>
    </row>
    <row r="722" spans="1:9" ht="45" x14ac:dyDescent="0.25">
      <c r="A722" s="255" t="s">
        <v>20</v>
      </c>
      <c r="B722" s="255" t="s">
        <v>208</v>
      </c>
      <c r="C722" s="256">
        <v>2021</v>
      </c>
      <c r="D722" s="256">
        <v>100</v>
      </c>
      <c r="E722">
        <v>0</v>
      </c>
      <c r="F722" s="257"/>
      <c r="I722" s="4"/>
    </row>
    <row r="723" spans="1:9" ht="45" x14ac:dyDescent="0.25">
      <c r="A723" s="255" t="s">
        <v>20</v>
      </c>
      <c r="B723" s="255" t="s">
        <v>208</v>
      </c>
      <c r="C723" s="256">
        <v>2021</v>
      </c>
      <c r="D723" s="256">
        <v>175</v>
      </c>
      <c r="E723">
        <v>0</v>
      </c>
      <c r="F723" s="257"/>
      <c r="I723" s="4"/>
    </row>
    <row r="724" spans="1:9" ht="45" x14ac:dyDescent="0.25">
      <c r="A724" s="255" t="s">
        <v>20</v>
      </c>
      <c r="B724" s="255" t="s">
        <v>208</v>
      </c>
      <c r="C724" s="256">
        <v>2021</v>
      </c>
      <c r="D724" s="256">
        <v>300</v>
      </c>
      <c r="E724">
        <v>0</v>
      </c>
      <c r="F724" s="257"/>
      <c r="I724" s="4"/>
    </row>
    <row r="725" spans="1:9" ht="45" x14ac:dyDescent="0.25">
      <c r="A725" s="255" t="s">
        <v>20</v>
      </c>
      <c r="B725" s="255" t="s">
        <v>208</v>
      </c>
      <c r="C725" s="256">
        <v>2021</v>
      </c>
      <c r="D725" s="256">
        <v>600</v>
      </c>
      <c r="E725">
        <v>0</v>
      </c>
      <c r="F725" s="257"/>
      <c r="I725" s="4"/>
    </row>
    <row r="726" spans="1:9" ht="45" x14ac:dyDescent="0.25">
      <c r="A726" s="255" t="s">
        <v>20</v>
      </c>
      <c r="B726" s="255" t="s">
        <v>208</v>
      </c>
      <c r="C726" s="256">
        <v>2022</v>
      </c>
      <c r="D726" s="256">
        <v>100</v>
      </c>
      <c r="E726">
        <v>0</v>
      </c>
      <c r="F726" s="257"/>
      <c r="I726" s="4"/>
    </row>
    <row r="727" spans="1:9" ht="45" x14ac:dyDescent="0.25">
      <c r="A727" s="255" t="s">
        <v>20</v>
      </c>
      <c r="B727" s="255" t="s">
        <v>208</v>
      </c>
      <c r="C727" s="256">
        <v>2022</v>
      </c>
      <c r="D727" s="256">
        <v>175</v>
      </c>
      <c r="E727">
        <v>0</v>
      </c>
      <c r="F727" s="257"/>
      <c r="I727" s="4"/>
    </row>
    <row r="728" spans="1:9" ht="45" x14ac:dyDescent="0.25">
      <c r="A728" s="255" t="s">
        <v>20</v>
      </c>
      <c r="B728" s="255" t="s">
        <v>208</v>
      </c>
      <c r="C728" s="256">
        <v>2022</v>
      </c>
      <c r="D728" s="256">
        <v>300</v>
      </c>
      <c r="E728">
        <v>0</v>
      </c>
      <c r="F728" s="257"/>
      <c r="I728" s="4"/>
    </row>
    <row r="729" spans="1:9" ht="45" x14ac:dyDescent="0.25">
      <c r="A729" s="255" t="s">
        <v>20</v>
      </c>
      <c r="B729" s="255" t="s">
        <v>208</v>
      </c>
      <c r="C729" s="256">
        <v>2022</v>
      </c>
      <c r="D729" s="256">
        <v>600</v>
      </c>
      <c r="E729">
        <v>0</v>
      </c>
      <c r="F729" s="257"/>
      <c r="I729" s="4"/>
    </row>
    <row r="730" spans="1:9" ht="45" x14ac:dyDescent="0.25">
      <c r="A730" s="255" t="s">
        <v>20</v>
      </c>
      <c r="B730" s="255" t="s">
        <v>208</v>
      </c>
      <c r="C730" s="256">
        <v>2023</v>
      </c>
      <c r="D730" s="256">
        <v>100</v>
      </c>
      <c r="E730">
        <v>0</v>
      </c>
      <c r="F730" s="257"/>
      <c r="I730" s="4"/>
    </row>
    <row r="731" spans="1:9" ht="45" x14ac:dyDescent="0.25">
      <c r="A731" s="255" t="s">
        <v>20</v>
      </c>
      <c r="B731" s="255" t="s">
        <v>208</v>
      </c>
      <c r="C731" s="256">
        <v>2023</v>
      </c>
      <c r="D731" s="256">
        <v>175</v>
      </c>
      <c r="E731">
        <v>0</v>
      </c>
      <c r="F731" s="257"/>
      <c r="I731" s="4"/>
    </row>
    <row r="732" spans="1:9" ht="45" x14ac:dyDescent="0.25">
      <c r="A732" s="255" t="s">
        <v>20</v>
      </c>
      <c r="B732" s="255" t="s">
        <v>208</v>
      </c>
      <c r="C732" s="256">
        <v>2023</v>
      </c>
      <c r="D732" s="256">
        <v>300</v>
      </c>
      <c r="E732">
        <v>0</v>
      </c>
      <c r="F732" s="257"/>
      <c r="I732" s="4"/>
    </row>
    <row r="733" spans="1:9" ht="45" x14ac:dyDescent="0.25">
      <c r="A733" s="255" t="s">
        <v>20</v>
      </c>
      <c r="B733" s="255" t="s">
        <v>208</v>
      </c>
      <c r="C733" s="256">
        <v>2023</v>
      </c>
      <c r="D733" s="256">
        <v>600</v>
      </c>
      <c r="E733">
        <v>0</v>
      </c>
      <c r="F733" s="257"/>
      <c r="I733" s="4"/>
    </row>
    <row r="734" spans="1:9" ht="45" x14ac:dyDescent="0.25">
      <c r="A734" s="255" t="s">
        <v>20</v>
      </c>
      <c r="B734" s="255" t="s">
        <v>208</v>
      </c>
      <c r="C734" s="256">
        <v>2024</v>
      </c>
      <c r="D734" s="256">
        <v>100</v>
      </c>
      <c r="E734">
        <v>0</v>
      </c>
      <c r="F734" s="257"/>
      <c r="I734" s="4"/>
    </row>
    <row r="735" spans="1:9" ht="45" x14ac:dyDescent="0.25">
      <c r="A735" s="255" t="s">
        <v>20</v>
      </c>
      <c r="B735" s="255" t="s">
        <v>208</v>
      </c>
      <c r="C735" s="256">
        <v>2024</v>
      </c>
      <c r="D735" s="256">
        <v>175</v>
      </c>
      <c r="E735">
        <v>0</v>
      </c>
      <c r="F735" s="257"/>
      <c r="I735" s="4"/>
    </row>
    <row r="736" spans="1:9" ht="45" x14ac:dyDescent="0.25">
      <c r="A736" s="255" t="s">
        <v>20</v>
      </c>
      <c r="B736" s="255" t="s">
        <v>208</v>
      </c>
      <c r="C736" s="256">
        <v>2024</v>
      </c>
      <c r="D736" s="256">
        <v>300</v>
      </c>
      <c r="E736">
        <v>0</v>
      </c>
      <c r="F736" s="257"/>
      <c r="I736" s="4"/>
    </row>
    <row r="737" spans="1:9" ht="45" x14ac:dyDescent="0.25">
      <c r="A737" s="255" t="s">
        <v>20</v>
      </c>
      <c r="B737" s="255" t="s">
        <v>208</v>
      </c>
      <c r="C737" s="256">
        <v>2024</v>
      </c>
      <c r="D737" s="256">
        <v>600</v>
      </c>
      <c r="E737">
        <v>0</v>
      </c>
      <c r="F737" s="257"/>
      <c r="I737" s="4"/>
    </row>
    <row r="738" spans="1:9" ht="45" x14ac:dyDescent="0.25">
      <c r="A738" s="255" t="s">
        <v>20</v>
      </c>
      <c r="B738" s="255" t="s">
        <v>208</v>
      </c>
      <c r="C738" s="256">
        <v>2025</v>
      </c>
      <c r="D738" s="256">
        <v>100</v>
      </c>
      <c r="E738">
        <v>0</v>
      </c>
      <c r="F738" s="257"/>
      <c r="I738" s="4"/>
    </row>
    <row r="739" spans="1:9" ht="45" x14ac:dyDescent="0.25">
      <c r="A739" s="255" t="s">
        <v>20</v>
      </c>
      <c r="B739" s="255" t="s">
        <v>208</v>
      </c>
      <c r="C739" s="256">
        <v>2025</v>
      </c>
      <c r="D739" s="256">
        <v>175</v>
      </c>
      <c r="E739">
        <v>0</v>
      </c>
      <c r="F739" s="257"/>
      <c r="I739" s="4"/>
    </row>
    <row r="740" spans="1:9" ht="45" x14ac:dyDescent="0.25">
      <c r="A740" s="255" t="s">
        <v>20</v>
      </c>
      <c r="B740" s="255" t="s">
        <v>208</v>
      </c>
      <c r="C740" s="256">
        <v>2025</v>
      </c>
      <c r="D740" s="256">
        <v>300</v>
      </c>
      <c r="E740">
        <v>0</v>
      </c>
      <c r="F740" s="257"/>
      <c r="I740" s="4"/>
    </row>
    <row r="741" spans="1:9" ht="45" x14ac:dyDescent="0.25">
      <c r="A741" s="255" t="s">
        <v>20</v>
      </c>
      <c r="B741" s="255" t="s">
        <v>208</v>
      </c>
      <c r="C741" s="256">
        <v>2025</v>
      </c>
      <c r="D741" s="256">
        <v>600</v>
      </c>
      <c r="E741">
        <v>0</v>
      </c>
      <c r="F741" s="257"/>
      <c r="I741" s="4"/>
    </row>
    <row r="742" spans="1:9" x14ac:dyDescent="0.25">
      <c r="A742" s="255" t="s">
        <v>20</v>
      </c>
      <c r="B742" s="255" t="s">
        <v>192</v>
      </c>
      <c r="C742" s="256">
        <v>2006</v>
      </c>
      <c r="D742" s="256">
        <v>50</v>
      </c>
      <c r="E742">
        <v>0</v>
      </c>
      <c r="F742" s="257"/>
      <c r="I742" s="4"/>
    </row>
    <row r="743" spans="1:9" x14ac:dyDescent="0.25">
      <c r="A743" s="255" t="s">
        <v>20</v>
      </c>
      <c r="B743" s="255" t="s">
        <v>192</v>
      </c>
      <c r="C743" s="256">
        <v>2006</v>
      </c>
      <c r="D743" s="256">
        <v>75</v>
      </c>
      <c r="E743">
        <v>0</v>
      </c>
      <c r="F743" s="257"/>
      <c r="I743" s="4"/>
    </row>
    <row r="744" spans="1:9" x14ac:dyDescent="0.25">
      <c r="A744" s="255" t="s">
        <v>20</v>
      </c>
      <c r="B744" s="255" t="s">
        <v>192</v>
      </c>
      <c r="C744" s="256">
        <v>2006</v>
      </c>
      <c r="D744" s="256">
        <v>100</v>
      </c>
      <c r="E744">
        <v>0</v>
      </c>
      <c r="F744" s="257"/>
      <c r="I744" s="4"/>
    </row>
    <row r="745" spans="1:9" x14ac:dyDescent="0.25">
      <c r="A745" s="255" t="s">
        <v>20</v>
      </c>
      <c r="B745" s="255" t="s">
        <v>192</v>
      </c>
      <c r="C745" s="256">
        <v>2006</v>
      </c>
      <c r="D745" s="256">
        <v>175</v>
      </c>
      <c r="E745">
        <v>0</v>
      </c>
      <c r="F745" s="257"/>
      <c r="I745" s="4"/>
    </row>
    <row r="746" spans="1:9" x14ac:dyDescent="0.25">
      <c r="A746" s="255" t="s">
        <v>20</v>
      </c>
      <c r="B746" s="255" t="s">
        <v>192</v>
      </c>
      <c r="C746" s="256">
        <v>2006</v>
      </c>
      <c r="D746" s="256">
        <v>300</v>
      </c>
      <c r="E746">
        <v>0</v>
      </c>
      <c r="F746" s="257"/>
      <c r="I746" s="4"/>
    </row>
    <row r="747" spans="1:9" x14ac:dyDescent="0.25">
      <c r="A747" s="255" t="s">
        <v>20</v>
      </c>
      <c r="B747" s="255" t="s">
        <v>192</v>
      </c>
      <c r="C747" s="256">
        <v>2006</v>
      </c>
      <c r="D747" s="256">
        <v>600</v>
      </c>
      <c r="E747">
        <v>0</v>
      </c>
      <c r="F747" s="257"/>
      <c r="I747" s="4"/>
    </row>
    <row r="748" spans="1:9" x14ac:dyDescent="0.25">
      <c r="A748" s="255" t="s">
        <v>20</v>
      </c>
      <c r="B748" s="255" t="s">
        <v>192</v>
      </c>
      <c r="C748" s="256">
        <v>2007</v>
      </c>
      <c r="D748" s="256">
        <v>50</v>
      </c>
      <c r="E748">
        <v>0</v>
      </c>
      <c r="F748" s="257"/>
      <c r="I748" s="4"/>
    </row>
    <row r="749" spans="1:9" x14ac:dyDescent="0.25">
      <c r="A749" s="255" t="s">
        <v>20</v>
      </c>
      <c r="B749" s="255" t="s">
        <v>192</v>
      </c>
      <c r="C749" s="256">
        <v>2007</v>
      </c>
      <c r="D749" s="256">
        <v>75</v>
      </c>
      <c r="E749">
        <v>0</v>
      </c>
      <c r="F749" s="257"/>
      <c r="I749" s="4"/>
    </row>
    <row r="750" spans="1:9" x14ac:dyDescent="0.25">
      <c r="A750" s="255" t="s">
        <v>20</v>
      </c>
      <c r="B750" s="255" t="s">
        <v>192</v>
      </c>
      <c r="C750" s="256">
        <v>2007</v>
      </c>
      <c r="D750" s="256">
        <v>100</v>
      </c>
      <c r="E750">
        <v>0</v>
      </c>
      <c r="F750" s="257"/>
      <c r="I750" s="4"/>
    </row>
    <row r="751" spans="1:9" x14ac:dyDescent="0.25">
      <c r="A751" s="255" t="s">
        <v>20</v>
      </c>
      <c r="B751" s="255" t="s">
        <v>192</v>
      </c>
      <c r="C751" s="256">
        <v>2007</v>
      </c>
      <c r="D751" s="256">
        <v>175</v>
      </c>
      <c r="E751">
        <v>0</v>
      </c>
      <c r="F751" s="257"/>
      <c r="I751" s="4"/>
    </row>
    <row r="752" spans="1:9" x14ac:dyDescent="0.25">
      <c r="A752" s="255" t="s">
        <v>20</v>
      </c>
      <c r="B752" s="255" t="s">
        <v>192</v>
      </c>
      <c r="C752" s="256">
        <v>2007</v>
      </c>
      <c r="D752" s="256">
        <v>300</v>
      </c>
      <c r="E752">
        <v>0</v>
      </c>
      <c r="F752" s="257"/>
      <c r="I752" s="4"/>
    </row>
    <row r="753" spans="1:10" x14ac:dyDescent="0.25">
      <c r="A753" s="255" t="s">
        <v>20</v>
      </c>
      <c r="B753" s="255" t="s">
        <v>192</v>
      </c>
      <c r="C753" s="256">
        <v>2007</v>
      </c>
      <c r="D753" s="256">
        <v>600</v>
      </c>
      <c r="E753">
        <v>0</v>
      </c>
      <c r="F753" s="257"/>
      <c r="I753" s="4"/>
    </row>
    <row r="754" spans="1:10" x14ac:dyDescent="0.25">
      <c r="A754" s="255" t="s">
        <v>20</v>
      </c>
      <c r="B754" s="255" t="s">
        <v>192</v>
      </c>
      <c r="C754" s="256">
        <v>2008</v>
      </c>
      <c r="D754" s="256">
        <v>50</v>
      </c>
      <c r="E754">
        <v>0</v>
      </c>
      <c r="F754" s="257"/>
      <c r="I754" s="4"/>
    </row>
    <row r="755" spans="1:10" x14ac:dyDescent="0.25">
      <c r="A755" s="255" t="s">
        <v>20</v>
      </c>
      <c r="B755" s="255" t="s">
        <v>192</v>
      </c>
      <c r="C755" s="256">
        <v>2008</v>
      </c>
      <c r="D755" s="256">
        <v>75</v>
      </c>
      <c r="E755">
        <v>0</v>
      </c>
      <c r="F755" s="257"/>
      <c r="I755" s="4"/>
    </row>
    <row r="756" spans="1:10" x14ac:dyDescent="0.25">
      <c r="A756" s="255" t="s">
        <v>20</v>
      </c>
      <c r="B756" s="255" t="s">
        <v>192</v>
      </c>
      <c r="C756" s="256">
        <v>2008</v>
      </c>
      <c r="D756" s="256">
        <v>100</v>
      </c>
      <c r="E756">
        <v>0</v>
      </c>
      <c r="F756" s="257"/>
      <c r="I756" s="4"/>
    </row>
    <row r="757" spans="1:10" x14ac:dyDescent="0.25">
      <c r="A757" s="255" t="s">
        <v>20</v>
      </c>
      <c r="B757" s="255" t="s">
        <v>192</v>
      </c>
      <c r="C757" s="256">
        <v>2008</v>
      </c>
      <c r="D757" s="256">
        <v>175</v>
      </c>
      <c r="E757">
        <v>0</v>
      </c>
      <c r="F757" s="257"/>
      <c r="I757" s="4"/>
    </row>
    <row r="758" spans="1:10" x14ac:dyDescent="0.25">
      <c r="A758" s="255" t="s">
        <v>20</v>
      </c>
      <c r="B758" s="255" t="s">
        <v>192</v>
      </c>
      <c r="C758" s="256">
        <v>2008</v>
      </c>
      <c r="D758" s="256">
        <v>300</v>
      </c>
      <c r="E758">
        <v>0</v>
      </c>
      <c r="F758" s="257"/>
      <c r="I758" s="4"/>
    </row>
    <row r="759" spans="1:10" x14ac:dyDescent="0.25">
      <c r="A759" s="255" t="s">
        <v>20</v>
      </c>
      <c r="B759" s="255" t="s">
        <v>192</v>
      </c>
      <c r="C759" s="256">
        <v>2008</v>
      </c>
      <c r="D759" s="256">
        <v>600</v>
      </c>
      <c r="E759">
        <v>0</v>
      </c>
      <c r="F759" s="257"/>
      <c r="I759" s="4"/>
    </row>
    <row r="760" spans="1:10" x14ac:dyDescent="0.25">
      <c r="A760" s="255" t="s">
        <v>20</v>
      </c>
      <c r="B760" s="255" t="s">
        <v>192</v>
      </c>
      <c r="C760" s="256">
        <v>2009</v>
      </c>
      <c r="D760" s="256">
        <v>50</v>
      </c>
      <c r="E760">
        <v>0</v>
      </c>
      <c r="F760" s="257"/>
      <c r="I760" s="4"/>
    </row>
    <row r="761" spans="1:10" x14ac:dyDescent="0.25">
      <c r="A761" s="255" t="s">
        <v>20</v>
      </c>
      <c r="B761" s="255" t="s">
        <v>192</v>
      </c>
      <c r="C761" s="256">
        <v>2009</v>
      </c>
      <c r="D761" s="256">
        <v>75</v>
      </c>
      <c r="E761">
        <v>0</v>
      </c>
      <c r="F761" s="257"/>
      <c r="I761" s="4"/>
    </row>
    <row r="762" spans="1:10" x14ac:dyDescent="0.25">
      <c r="A762" s="255" t="s">
        <v>20</v>
      </c>
      <c r="B762" s="255" t="s">
        <v>192</v>
      </c>
      <c r="C762" s="256">
        <v>2009</v>
      </c>
      <c r="D762" s="256">
        <v>100</v>
      </c>
      <c r="E762">
        <v>0</v>
      </c>
      <c r="F762" s="257"/>
      <c r="I762" s="4"/>
    </row>
    <row r="763" spans="1:10" x14ac:dyDescent="0.25">
      <c r="A763" s="255" t="s">
        <v>20</v>
      </c>
      <c r="B763" s="255" t="s">
        <v>192</v>
      </c>
      <c r="C763" s="256">
        <v>2009</v>
      </c>
      <c r="D763" s="256">
        <v>175</v>
      </c>
      <c r="E763">
        <v>0</v>
      </c>
      <c r="F763" s="257"/>
      <c r="I763" s="4"/>
    </row>
    <row r="764" spans="1:10" x14ac:dyDescent="0.25">
      <c r="A764" s="255" t="s">
        <v>20</v>
      </c>
      <c r="B764" s="255" t="s">
        <v>192</v>
      </c>
      <c r="C764" s="256">
        <v>2009</v>
      </c>
      <c r="D764" s="256">
        <v>300</v>
      </c>
      <c r="E764">
        <v>0</v>
      </c>
      <c r="F764" s="257"/>
      <c r="I764" s="4"/>
    </row>
    <row r="765" spans="1:10" x14ac:dyDescent="0.25">
      <c r="A765" s="255" t="s">
        <v>20</v>
      </c>
      <c r="B765" s="255" t="s">
        <v>192</v>
      </c>
      <c r="C765" s="256">
        <v>2009</v>
      </c>
      <c r="D765" s="256">
        <v>600</v>
      </c>
      <c r="E765">
        <v>0</v>
      </c>
      <c r="F765" s="257"/>
      <c r="I765" s="4"/>
    </row>
    <row r="766" spans="1:10" x14ac:dyDescent="0.25">
      <c r="A766" s="255" t="s">
        <v>20</v>
      </c>
      <c r="B766" s="255" t="s">
        <v>192</v>
      </c>
      <c r="C766" s="256">
        <v>2010</v>
      </c>
      <c r="D766" s="256">
        <v>50</v>
      </c>
      <c r="E766">
        <v>5.9394332631733802</v>
      </c>
      <c r="F766" s="257">
        <f>SUM(E766:E771)</f>
        <v>106.99999999999979</v>
      </c>
      <c r="G766">
        <f t="shared" ref="G766:G801" si="11">IF(OR(D766=50,D766=75),50,IF(OR(D766=100,D766=125),125,IF(D766&gt;=400,400,D766)))</f>
        <v>50</v>
      </c>
      <c r="H766" s="4">
        <f>IF(B766="RTG Crane",IF(D766&lt;600,800000,1200000),VLOOKUP(B766,'$$$ Replace &amp; Retrofit'!$B$10:$C$14,2)*'CHE Model poplulation'!D766)*E766</f>
        <v>259850.20526383538</v>
      </c>
      <c r="I766" s="4">
        <f>E766*VLOOKUP('CHE Model poplulation'!G766,'$$$ Replace &amp; Retrofit'!$I$10:$J$15,2)</f>
        <v>104462.75223269341</v>
      </c>
      <c r="J766" s="4">
        <f>IF(D766=50,VLOOKUP(0,'$$$ Replace &amp; Retrofit'!$E$10:$F$13,2),IF(D766&lt;175,VLOOKUP(50,'$$$ Replace &amp; Retrofit'!$E$10:$F$13,2),IF(D766&lt;400,VLOOKUP(175,'$$$ Replace &amp; Retrofit'!$E$10:$F$13,2),IF(D766&gt;=400,VLOOKUP(400,'$$$ Replace &amp; Retrofit'!$E$10:$F$13,2),NA))))*E766</f>
        <v>47515.466105387044</v>
      </c>
    </row>
    <row r="767" spans="1:10" x14ac:dyDescent="0.25">
      <c r="A767" s="255" t="s">
        <v>20</v>
      </c>
      <c r="B767" s="255" t="s">
        <v>192</v>
      </c>
      <c r="C767" s="256">
        <v>2010</v>
      </c>
      <c r="D767" s="256">
        <v>75</v>
      </c>
      <c r="E767">
        <v>9.6765402596314303</v>
      </c>
      <c r="F767" s="257"/>
      <c r="G767">
        <f t="shared" si="11"/>
        <v>50</v>
      </c>
      <c r="H767" s="4">
        <f>IF(B767="RTG Crane",IF(D767&lt;600,800000,1200000),VLOOKUP(B767,'$$$ Replace &amp; Retrofit'!$B$10:$C$14,2)*'CHE Model poplulation'!D767)*E767</f>
        <v>635022.95453831262</v>
      </c>
      <c r="I767" s="4">
        <f>E767*VLOOKUP('CHE Model poplulation'!G767,'$$$ Replace &amp; Retrofit'!$I$10:$J$15,2)</f>
        <v>170190.99008639759</v>
      </c>
      <c r="J767" s="4">
        <f>IF(D767=50,VLOOKUP(0,'$$$ Replace &amp; Retrofit'!$E$10:$F$13,2),IF(D767&lt;175,VLOOKUP(50,'$$$ Replace &amp; Retrofit'!$E$10:$F$13,2),IF(D767&lt;400,VLOOKUP(175,'$$$ Replace &amp; Retrofit'!$E$10:$F$13,2),IF(D767&gt;=400,VLOOKUP(400,'$$$ Replace &amp; Retrofit'!$E$10:$F$13,2),NA))))*E767</f>
        <v>116118.48311557717</v>
      </c>
    </row>
    <row r="768" spans="1:10" x14ac:dyDescent="0.25">
      <c r="A768" s="255" t="s">
        <v>20</v>
      </c>
      <c r="B768" s="255" t="s">
        <v>192</v>
      </c>
      <c r="C768" s="256">
        <v>2010</v>
      </c>
      <c r="D768" s="256">
        <v>100</v>
      </c>
      <c r="E768">
        <v>31.082809353858298</v>
      </c>
      <c r="F768" s="257"/>
      <c r="G768">
        <f t="shared" si="11"/>
        <v>125</v>
      </c>
      <c r="H768" s="4">
        <f>IF(B768="RTG Crane",IF(D768&lt;600,800000,1200000),VLOOKUP(B768,'$$$ Replace &amp; Retrofit'!$B$10:$C$14,2)*'CHE Model poplulation'!D768)*E768</f>
        <v>2719745.8184626009</v>
      </c>
      <c r="I768" s="4">
        <f>E768*VLOOKUP('CHE Model poplulation'!G768,'$$$ Replace &amp; Retrofit'!$I$10:$J$15,2)</f>
        <v>613357.07697968581</v>
      </c>
      <c r="J768" s="4">
        <f>IF(D768=50,VLOOKUP(0,'$$$ Replace &amp; Retrofit'!$E$10:$F$13,2),IF(D768&lt;175,VLOOKUP(50,'$$$ Replace &amp; Retrofit'!$E$10:$F$13,2),IF(D768&lt;400,VLOOKUP(175,'$$$ Replace &amp; Retrofit'!$E$10:$F$13,2),IF(D768&gt;=400,VLOOKUP(400,'$$$ Replace &amp; Retrofit'!$E$10:$F$13,2),NA))))*E768</f>
        <v>372993.7122462996</v>
      </c>
    </row>
    <row r="769" spans="1:10" x14ac:dyDescent="0.25">
      <c r="A769" s="255" t="s">
        <v>20</v>
      </c>
      <c r="B769" s="255" t="s">
        <v>192</v>
      </c>
      <c r="C769" s="256">
        <v>2010</v>
      </c>
      <c r="D769" s="256">
        <v>175</v>
      </c>
      <c r="E769">
        <v>45.516105823673101</v>
      </c>
      <c r="F769" s="257"/>
      <c r="G769">
        <f t="shared" si="11"/>
        <v>175</v>
      </c>
      <c r="H769" s="4">
        <f>IF(B769="RTG Crane",IF(D769&lt;600,800000,1200000),VLOOKUP(B769,'$$$ Replace &amp; Retrofit'!$B$10:$C$14,2)*'CHE Model poplulation'!D769)*E769</f>
        <v>6969653.7042499436</v>
      </c>
      <c r="I769" s="4">
        <f>E769*VLOOKUP('CHE Model poplulation'!G769,'$$$ Replace &amp; Retrofit'!$I$10:$J$15,2)</f>
        <v>1128617.3600037983</v>
      </c>
      <c r="J769" s="4">
        <f>IF(D769=50,VLOOKUP(0,'$$$ Replace &amp; Retrofit'!$E$10:$F$13,2),IF(D769&lt;175,VLOOKUP(50,'$$$ Replace &amp; Retrofit'!$E$10:$F$13,2),IF(D769&lt;400,VLOOKUP(175,'$$$ Replace &amp; Retrofit'!$E$10:$F$13,2),IF(D769&gt;=400,VLOOKUP(400,'$$$ Replace &amp; Retrofit'!$E$10:$F$13,2),NA))))*E769</f>
        <v>819289.90482611582</v>
      </c>
    </row>
    <row r="770" spans="1:10" x14ac:dyDescent="0.25">
      <c r="A770" s="255" t="s">
        <v>20</v>
      </c>
      <c r="B770" s="255" t="s">
        <v>192</v>
      </c>
      <c r="C770" s="256">
        <v>2010</v>
      </c>
      <c r="D770" s="256">
        <v>300</v>
      </c>
      <c r="E770">
        <v>13.5323795880054</v>
      </c>
      <c r="F770" s="257"/>
      <c r="G770">
        <f t="shared" si="11"/>
        <v>300</v>
      </c>
      <c r="H770" s="4">
        <f>IF(B770="RTG Crane",IF(D770&lt;600,800000,1200000),VLOOKUP(B770,'$$$ Replace &amp; Retrofit'!$B$10:$C$14,2)*'CHE Model poplulation'!D770)*E770</f>
        <v>3552249.6418514173</v>
      </c>
      <c r="I770" s="4">
        <f>E770*VLOOKUP('CHE Model poplulation'!G770,'$$$ Replace &amp; Retrofit'!$I$10:$J$15,2)</f>
        <v>389231.83408979932</v>
      </c>
      <c r="J770" s="4">
        <f>IF(D770=50,VLOOKUP(0,'$$$ Replace &amp; Retrofit'!$E$10:$F$13,2),IF(D770&lt;175,VLOOKUP(50,'$$$ Replace &amp; Retrofit'!$E$10:$F$13,2),IF(D770&lt;400,VLOOKUP(175,'$$$ Replace &amp; Retrofit'!$E$10:$F$13,2),IF(D770&gt;=400,VLOOKUP(400,'$$$ Replace &amp; Retrofit'!$E$10:$F$13,2),NA))))*E770</f>
        <v>243582.8325840972</v>
      </c>
    </row>
    <row r="771" spans="1:10" x14ac:dyDescent="0.25">
      <c r="A771" s="255" t="s">
        <v>20</v>
      </c>
      <c r="B771" s="255" t="s">
        <v>192</v>
      </c>
      <c r="C771" s="256">
        <v>2010</v>
      </c>
      <c r="D771" s="256">
        <v>600</v>
      </c>
      <c r="E771">
        <v>1.25273171165817</v>
      </c>
      <c r="F771" s="257"/>
      <c r="G771">
        <f t="shared" si="11"/>
        <v>400</v>
      </c>
      <c r="H771" s="4">
        <f>IF(B771="RTG Crane",IF(D771&lt;600,800000,1200000),VLOOKUP(B771,'$$$ Replace &amp; Retrofit'!$B$10:$C$14,2)*'CHE Model poplulation'!D771)*E771</f>
        <v>657684.14862053923</v>
      </c>
      <c r="I771" s="4">
        <f>E771*VLOOKUP('CHE Model poplulation'!G771,'$$$ Replace &amp; Retrofit'!$I$10:$J$15,2)</f>
        <v>65559.208666207007</v>
      </c>
      <c r="J771" s="4">
        <f>IF(D771=50,VLOOKUP(0,'$$$ Replace &amp; Retrofit'!$E$10:$F$13,2),IF(D771&lt;175,VLOOKUP(50,'$$$ Replace &amp; Retrofit'!$E$10:$F$13,2),IF(D771&lt;400,VLOOKUP(175,'$$$ Replace &amp; Retrofit'!$E$10:$F$13,2),IF(D771&gt;=400,VLOOKUP(400,'$$$ Replace &amp; Retrofit'!$E$10:$F$13,2),NA))))*E771</f>
        <v>37581.951349745097</v>
      </c>
    </row>
    <row r="772" spans="1:10" x14ac:dyDescent="0.25">
      <c r="A772" s="255" t="s">
        <v>20</v>
      </c>
      <c r="B772" s="255" t="s">
        <v>192</v>
      </c>
      <c r="C772" s="256">
        <v>2011</v>
      </c>
      <c r="D772" s="256">
        <v>50</v>
      </c>
      <c r="E772">
        <v>5.2489402307603603</v>
      </c>
      <c r="F772" s="257">
        <f>SUM(E772:E777)</f>
        <v>98.74364813941564</v>
      </c>
      <c r="G772">
        <f t="shared" si="11"/>
        <v>50</v>
      </c>
      <c r="H772" s="4">
        <f>IF(B772="RTG Crane",IF(D772&lt;600,800000,1200000),VLOOKUP(B772,'$$$ Replace &amp; Retrofit'!$B$10:$C$14,2)*'CHE Model poplulation'!D772)*E772</f>
        <v>229641.13509576576</v>
      </c>
      <c r="I772" s="4">
        <f>E772*VLOOKUP('CHE Model poplulation'!G772,'$$$ Replace &amp; Retrofit'!$I$10:$J$15,2)</f>
        <v>92318.36077861322</v>
      </c>
      <c r="J772" s="4">
        <f>IF(D772=50,VLOOKUP(0,'$$$ Replace &amp; Retrofit'!$E$10:$F$13,2),IF(D772&lt;175,VLOOKUP(50,'$$$ Replace &amp; Retrofit'!$E$10:$F$13,2),IF(D772&lt;400,VLOOKUP(175,'$$$ Replace &amp; Retrofit'!$E$10:$F$13,2),IF(D772&gt;=400,VLOOKUP(400,'$$$ Replace &amp; Retrofit'!$E$10:$F$13,2),NA))))*E772</f>
        <v>41991.521846082884</v>
      </c>
    </row>
    <row r="773" spans="1:10" x14ac:dyDescent="0.25">
      <c r="A773" s="255" t="s">
        <v>20</v>
      </c>
      <c r="B773" s="255" t="s">
        <v>192</v>
      </c>
      <c r="C773" s="256">
        <v>2011</v>
      </c>
      <c r="D773" s="256">
        <v>75</v>
      </c>
      <c r="E773">
        <v>9.2339576118965798</v>
      </c>
      <c r="F773" s="257"/>
      <c r="G773">
        <f t="shared" si="11"/>
        <v>50</v>
      </c>
      <c r="H773" s="4">
        <f>IF(B773="RTG Crane",IF(D773&lt;600,800000,1200000),VLOOKUP(B773,'$$$ Replace &amp; Retrofit'!$B$10:$C$14,2)*'CHE Model poplulation'!D773)*E773</f>
        <v>605978.46828071307</v>
      </c>
      <c r="I773" s="4">
        <f>E773*VLOOKUP('CHE Model poplulation'!G773,'$$$ Replace &amp; Retrofit'!$I$10:$J$15,2)</f>
        <v>162406.84647803704</v>
      </c>
      <c r="J773" s="4">
        <f>IF(D773=50,VLOOKUP(0,'$$$ Replace &amp; Retrofit'!$E$10:$F$13,2),IF(D773&lt;175,VLOOKUP(50,'$$$ Replace &amp; Retrofit'!$E$10:$F$13,2),IF(D773&lt;400,VLOOKUP(175,'$$$ Replace &amp; Retrofit'!$E$10:$F$13,2),IF(D773&gt;=400,VLOOKUP(400,'$$$ Replace &amp; Retrofit'!$E$10:$F$13,2),NA))))*E773</f>
        <v>110807.49134275896</v>
      </c>
    </row>
    <row r="774" spans="1:10" x14ac:dyDescent="0.25">
      <c r="A774" s="255" t="s">
        <v>20</v>
      </c>
      <c r="B774" s="255" t="s">
        <v>192</v>
      </c>
      <c r="C774" s="256">
        <v>2011</v>
      </c>
      <c r="D774" s="256">
        <v>100</v>
      </c>
      <c r="E774">
        <v>29.407401924694501</v>
      </c>
      <c r="F774" s="257"/>
      <c r="G774">
        <f t="shared" si="11"/>
        <v>125</v>
      </c>
      <c r="H774" s="4">
        <f>IF(B774="RTG Crane",IF(D774&lt;600,800000,1200000),VLOOKUP(B774,'$$$ Replace &amp; Retrofit'!$B$10:$C$14,2)*'CHE Model poplulation'!D774)*E774</f>
        <v>2573147.6684107687</v>
      </c>
      <c r="I774" s="4">
        <f>E774*VLOOKUP('CHE Model poplulation'!G774,'$$$ Replace &amp; Retrofit'!$I$10:$J$15,2)</f>
        <v>580296.26217999659</v>
      </c>
      <c r="J774" s="4">
        <f>IF(D774=50,VLOOKUP(0,'$$$ Replace &amp; Retrofit'!$E$10:$F$13,2),IF(D774&lt;175,VLOOKUP(50,'$$$ Replace &amp; Retrofit'!$E$10:$F$13,2),IF(D774&lt;400,VLOOKUP(175,'$$$ Replace &amp; Retrofit'!$E$10:$F$13,2),IF(D774&gt;=400,VLOOKUP(400,'$$$ Replace &amp; Retrofit'!$E$10:$F$13,2),NA))))*E774</f>
        <v>352888.823096334</v>
      </c>
    </row>
    <row r="775" spans="1:10" x14ac:dyDescent="0.25">
      <c r="A775" s="255" t="s">
        <v>20</v>
      </c>
      <c r="B775" s="255" t="s">
        <v>192</v>
      </c>
      <c r="C775" s="256">
        <v>2011</v>
      </c>
      <c r="D775" s="256">
        <v>175</v>
      </c>
      <c r="E775">
        <v>41.023472899974898</v>
      </c>
      <c r="F775" s="257"/>
      <c r="G775">
        <f t="shared" si="11"/>
        <v>175</v>
      </c>
      <c r="H775" s="4">
        <f>IF(B775="RTG Crane",IF(D775&lt;600,800000,1200000),VLOOKUP(B775,'$$$ Replace &amp; Retrofit'!$B$10:$C$14,2)*'CHE Model poplulation'!D775)*E775</f>
        <v>6281719.2878086567</v>
      </c>
      <c r="I775" s="4">
        <f>E775*VLOOKUP('CHE Model poplulation'!G775,'$$$ Replace &amp; Retrofit'!$I$10:$J$15,2)</f>
        <v>1017218.0340277776</v>
      </c>
      <c r="J775" s="4">
        <f>IF(D775=50,VLOOKUP(0,'$$$ Replace &amp; Retrofit'!$E$10:$F$13,2),IF(D775&lt;175,VLOOKUP(50,'$$$ Replace &amp; Retrofit'!$E$10:$F$13,2),IF(D775&lt;400,VLOOKUP(175,'$$$ Replace &amp; Retrofit'!$E$10:$F$13,2),IF(D775&gt;=400,VLOOKUP(400,'$$$ Replace &amp; Retrofit'!$E$10:$F$13,2),NA))))*E775</f>
        <v>738422.51219954819</v>
      </c>
    </row>
    <row r="776" spans="1:10" x14ac:dyDescent="0.25">
      <c r="A776" s="255" t="s">
        <v>20</v>
      </c>
      <c r="B776" s="255" t="s">
        <v>192</v>
      </c>
      <c r="C776" s="256">
        <v>2011</v>
      </c>
      <c r="D776" s="256">
        <v>300</v>
      </c>
      <c r="E776">
        <v>12.5882778679238</v>
      </c>
      <c r="F776" s="257"/>
      <c r="G776">
        <f t="shared" si="11"/>
        <v>300</v>
      </c>
      <c r="H776" s="4">
        <f>IF(B776="RTG Crane",IF(D776&lt;600,800000,1200000),VLOOKUP(B776,'$$$ Replace &amp; Retrofit'!$B$10:$C$14,2)*'CHE Model poplulation'!D776)*E776</f>
        <v>3304422.9403299973</v>
      </c>
      <c r="I776" s="4">
        <f>E776*VLOOKUP('CHE Model poplulation'!G776,'$$$ Replace &amp; Retrofit'!$I$10:$J$15,2)</f>
        <v>362076.63631509227</v>
      </c>
      <c r="J776" s="4">
        <f>IF(D776=50,VLOOKUP(0,'$$$ Replace &amp; Retrofit'!$E$10:$F$13,2),IF(D776&lt;175,VLOOKUP(50,'$$$ Replace &amp; Retrofit'!$E$10:$F$13,2),IF(D776&lt;400,VLOOKUP(175,'$$$ Replace &amp; Retrofit'!$E$10:$F$13,2),IF(D776&gt;=400,VLOOKUP(400,'$$$ Replace &amp; Retrofit'!$E$10:$F$13,2),NA))))*E776</f>
        <v>226589.00162262839</v>
      </c>
    </row>
    <row r="777" spans="1:10" x14ac:dyDescent="0.25">
      <c r="A777" s="255" t="s">
        <v>20</v>
      </c>
      <c r="B777" s="255" t="s">
        <v>192</v>
      </c>
      <c r="C777" s="256">
        <v>2011</v>
      </c>
      <c r="D777" s="256">
        <v>600</v>
      </c>
      <c r="E777">
        <v>1.2415976041654999</v>
      </c>
      <c r="F777" s="257"/>
      <c r="G777">
        <f t="shared" si="11"/>
        <v>400</v>
      </c>
      <c r="H777" s="4">
        <f>IF(B777="RTG Crane",IF(D777&lt;600,800000,1200000),VLOOKUP(B777,'$$$ Replace &amp; Retrofit'!$B$10:$C$14,2)*'CHE Model poplulation'!D777)*E777</f>
        <v>651838.74218688742</v>
      </c>
      <c r="I777" s="4">
        <f>E777*VLOOKUP('CHE Model poplulation'!G777,'$$$ Replace &amp; Retrofit'!$I$10:$J$15,2)</f>
        <v>64976.527418793106</v>
      </c>
      <c r="J777" s="4">
        <f>IF(D777=50,VLOOKUP(0,'$$$ Replace &amp; Retrofit'!$E$10:$F$13,2),IF(D777&lt;175,VLOOKUP(50,'$$$ Replace &amp; Retrofit'!$E$10:$F$13,2),IF(D777&lt;400,VLOOKUP(175,'$$$ Replace &amp; Retrofit'!$E$10:$F$13,2),IF(D777&gt;=400,VLOOKUP(400,'$$$ Replace &amp; Retrofit'!$E$10:$F$13,2),NA))))*E777</f>
        <v>37247.928124964994</v>
      </c>
    </row>
    <row r="778" spans="1:10" x14ac:dyDescent="0.25">
      <c r="A778" s="255" t="s">
        <v>20</v>
      </c>
      <c r="B778" s="255" t="s">
        <v>192</v>
      </c>
      <c r="C778" s="256">
        <v>2012</v>
      </c>
      <c r="D778" s="256">
        <v>50</v>
      </c>
      <c r="E778">
        <v>5.0889634536430899</v>
      </c>
      <c r="F778" s="257"/>
      <c r="G778">
        <f t="shared" si="11"/>
        <v>50</v>
      </c>
      <c r="H778" s="4">
        <f>IF(B778="RTG Crane",IF(D778&lt;600,800000,1200000),VLOOKUP(B778,'$$$ Replace &amp; Retrofit'!$B$10:$C$14,2)*'CHE Model poplulation'!D778)*E778</f>
        <v>222642.15109688518</v>
      </c>
      <c r="I778" s="4">
        <f>E778*VLOOKUP('CHE Model poplulation'!G778,'$$$ Replace &amp; Retrofit'!$I$10:$J$15,2)</f>
        <v>89504.689222674671</v>
      </c>
      <c r="J778" s="4">
        <f>IF(D778=50,VLOOKUP(0,'$$$ Replace &amp; Retrofit'!$E$10:$F$13,2),IF(D778&lt;175,VLOOKUP(50,'$$$ Replace &amp; Retrofit'!$E$10:$F$13,2),IF(D778&lt;400,VLOOKUP(175,'$$$ Replace &amp; Retrofit'!$E$10:$F$13,2),IF(D778&gt;=400,VLOOKUP(400,'$$$ Replace &amp; Retrofit'!$E$10:$F$13,2),NA))))*E778</f>
        <v>40711.707629144716</v>
      </c>
    </row>
    <row r="779" spans="1:10" x14ac:dyDescent="0.25">
      <c r="A779" s="255" t="s">
        <v>20</v>
      </c>
      <c r="B779" s="255" t="s">
        <v>192</v>
      </c>
      <c r="C779" s="256">
        <v>2012</v>
      </c>
      <c r="D779" s="256">
        <v>75</v>
      </c>
      <c r="E779">
        <v>9.0299520082595706</v>
      </c>
      <c r="F779" s="257"/>
      <c r="G779">
        <f t="shared" si="11"/>
        <v>50</v>
      </c>
      <c r="H779" s="4">
        <f>IF(B779="RTG Crane",IF(D779&lt;600,800000,1200000),VLOOKUP(B779,'$$$ Replace &amp; Retrofit'!$B$10:$C$14,2)*'CHE Model poplulation'!D779)*E779</f>
        <v>592590.60054203437</v>
      </c>
      <c r="I779" s="4">
        <f>E779*VLOOKUP('CHE Model poplulation'!G779,'$$$ Replace &amp; Retrofit'!$I$10:$J$15,2)</f>
        <v>158818.79592126934</v>
      </c>
      <c r="J779" s="4">
        <f>IF(D779=50,VLOOKUP(0,'$$$ Replace &amp; Retrofit'!$E$10:$F$13,2),IF(D779&lt;175,VLOOKUP(50,'$$$ Replace &amp; Retrofit'!$E$10:$F$13,2),IF(D779&lt;400,VLOOKUP(175,'$$$ Replace &amp; Retrofit'!$E$10:$F$13,2),IF(D779&gt;=400,VLOOKUP(400,'$$$ Replace &amp; Retrofit'!$E$10:$F$13,2),NA))))*E779</f>
        <v>108359.42409911484</v>
      </c>
    </row>
    <row r="780" spans="1:10" x14ac:dyDescent="0.25">
      <c r="A780" s="255" t="s">
        <v>20</v>
      </c>
      <c r="B780" s="255" t="s">
        <v>192</v>
      </c>
      <c r="C780" s="256">
        <v>2012</v>
      </c>
      <c r="D780" s="256">
        <v>100</v>
      </c>
      <c r="E780">
        <v>28.396836053130698</v>
      </c>
      <c r="F780" s="257"/>
      <c r="G780">
        <f t="shared" si="11"/>
        <v>125</v>
      </c>
      <c r="H780" s="4">
        <f>IF(B780="RTG Crane",IF(D780&lt;600,800000,1200000),VLOOKUP(B780,'$$$ Replace &amp; Retrofit'!$B$10:$C$14,2)*'CHE Model poplulation'!D780)*E780</f>
        <v>2484723.1546489359</v>
      </c>
      <c r="I780" s="4">
        <f>E780*VLOOKUP('CHE Model poplulation'!G780,'$$$ Replace &amp; Retrofit'!$I$10:$J$15,2)</f>
        <v>560354.76583642804</v>
      </c>
      <c r="J780" s="4">
        <f>IF(D780=50,VLOOKUP(0,'$$$ Replace &amp; Retrofit'!$E$10:$F$13,2),IF(D780&lt;175,VLOOKUP(50,'$$$ Replace &amp; Retrofit'!$E$10:$F$13,2),IF(D780&lt;400,VLOOKUP(175,'$$$ Replace &amp; Retrofit'!$E$10:$F$13,2),IF(D780&gt;=400,VLOOKUP(400,'$$$ Replace &amp; Retrofit'!$E$10:$F$13,2),NA))))*E780</f>
        <v>340762.03263756837</v>
      </c>
    </row>
    <row r="781" spans="1:10" x14ac:dyDescent="0.25">
      <c r="A781" s="255" t="s">
        <v>20</v>
      </c>
      <c r="B781" s="255" t="s">
        <v>192</v>
      </c>
      <c r="C781" s="256">
        <v>2012</v>
      </c>
      <c r="D781" s="256">
        <v>175</v>
      </c>
      <c r="E781">
        <v>40.253447240289603</v>
      </c>
      <c r="F781" s="257"/>
      <c r="G781">
        <f t="shared" si="11"/>
        <v>175</v>
      </c>
      <c r="H781" s="4">
        <f>IF(B781="RTG Crane",IF(D781&lt;600,800000,1200000),VLOOKUP(B781,'$$$ Replace &amp; Retrofit'!$B$10:$C$14,2)*'CHE Model poplulation'!D781)*E781</f>
        <v>6163809.1086693453</v>
      </c>
      <c r="I781" s="4">
        <f>E781*VLOOKUP('CHE Model poplulation'!G781,'$$$ Replace &amp; Retrofit'!$I$10:$J$15,2)</f>
        <v>998124.47777022095</v>
      </c>
      <c r="J781" s="4">
        <f>IF(D781=50,VLOOKUP(0,'$$$ Replace &amp; Retrofit'!$E$10:$F$13,2),IF(D781&lt;175,VLOOKUP(50,'$$$ Replace &amp; Retrofit'!$E$10:$F$13,2),IF(D781&lt;400,VLOOKUP(175,'$$$ Replace &amp; Retrofit'!$E$10:$F$13,2),IF(D781&gt;=400,VLOOKUP(400,'$$$ Replace &amp; Retrofit'!$E$10:$F$13,2),NA))))*E781</f>
        <v>724562.05032521288</v>
      </c>
    </row>
    <row r="782" spans="1:10" x14ac:dyDescent="0.25">
      <c r="A782" s="255" t="s">
        <v>20</v>
      </c>
      <c r="B782" s="255" t="s">
        <v>192</v>
      </c>
      <c r="C782" s="256">
        <v>2012</v>
      </c>
      <c r="D782" s="256">
        <v>300</v>
      </c>
      <c r="E782">
        <v>11.6820090250517</v>
      </c>
      <c r="F782" s="257"/>
      <c r="G782">
        <f t="shared" si="11"/>
        <v>300</v>
      </c>
      <c r="H782" s="4">
        <f>IF(B782="RTG Crane",IF(D782&lt;600,800000,1200000),VLOOKUP(B782,'$$$ Replace &amp; Retrofit'!$B$10:$C$14,2)*'CHE Model poplulation'!D782)*E782</f>
        <v>3066527.3690760713</v>
      </c>
      <c r="I782" s="4">
        <f>E782*VLOOKUP('CHE Model poplulation'!G782,'$$$ Replace &amp; Retrofit'!$I$10:$J$15,2)</f>
        <v>336009.62558756204</v>
      </c>
      <c r="J782" s="4">
        <f>IF(D782=50,VLOOKUP(0,'$$$ Replace &amp; Retrofit'!$E$10:$F$13,2),IF(D782&lt;175,VLOOKUP(50,'$$$ Replace &amp; Retrofit'!$E$10:$F$13,2),IF(D782&lt;400,VLOOKUP(175,'$$$ Replace &amp; Retrofit'!$E$10:$F$13,2),IF(D782&gt;=400,VLOOKUP(400,'$$$ Replace &amp; Retrofit'!$E$10:$F$13,2),NA))))*E782</f>
        <v>210276.1624509306</v>
      </c>
    </row>
    <row r="783" spans="1:10" x14ac:dyDescent="0.25">
      <c r="A783" s="255" t="s">
        <v>20</v>
      </c>
      <c r="B783" s="255" t="s">
        <v>192</v>
      </c>
      <c r="C783" s="256">
        <v>2012</v>
      </c>
      <c r="D783" s="256">
        <v>600</v>
      </c>
      <c r="E783">
        <v>1.23285858073903</v>
      </c>
      <c r="F783" s="257"/>
      <c r="G783">
        <f t="shared" si="11"/>
        <v>400</v>
      </c>
      <c r="H783" s="4">
        <f>IF(B783="RTG Crane",IF(D783&lt;600,800000,1200000),VLOOKUP(B783,'$$$ Replace &amp; Retrofit'!$B$10:$C$14,2)*'CHE Model poplulation'!D783)*E783</f>
        <v>647250.75488799077</v>
      </c>
      <c r="I783" s="4">
        <f>E783*VLOOKUP('CHE Model poplulation'!G783,'$$$ Replace &amp; Retrofit'!$I$10:$J$15,2)</f>
        <v>64519.188105815658</v>
      </c>
      <c r="J783" s="4">
        <f>IF(D783=50,VLOOKUP(0,'$$$ Replace &amp; Retrofit'!$E$10:$F$13,2),IF(D783&lt;175,VLOOKUP(50,'$$$ Replace &amp; Retrofit'!$E$10:$F$13,2),IF(D783&lt;400,VLOOKUP(175,'$$$ Replace &amp; Retrofit'!$E$10:$F$13,2),IF(D783&gt;=400,VLOOKUP(400,'$$$ Replace &amp; Retrofit'!$E$10:$F$13,2),NA))))*E783</f>
        <v>36985.7574221709</v>
      </c>
    </row>
    <row r="784" spans="1:10" x14ac:dyDescent="0.25">
      <c r="A784" s="255" t="s">
        <v>20</v>
      </c>
      <c r="B784" s="255" t="s">
        <v>192</v>
      </c>
      <c r="C784" s="256">
        <v>2013</v>
      </c>
      <c r="D784" s="256">
        <v>50</v>
      </c>
      <c r="E784">
        <v>1.7934560565836799</v>
      </c>
      <c r="F784" s="257"/>
      <c r="G784">
        <f t="shared" si="11"/>
        <v>50</v>
      </c>
      <c r="H784" s="4">
        <f>IF(B784="RTG Crane",IF(D784&lt;600,800000,1200000),VLOOKUP(B784,'$$$ Replace &amp; Retrofit'!$B$10:$C$14,2)*'CHE Model poplulation'!D784)*E784</f>
        <v>78463.702475535989</v>
      </c>
      <c r="I784" s="4">
        <f>E784*VLOOKUP('CHE Model poplulation'!G784,'$$$ Replace &amp; Retrofit'!$I$10:$J$15,2)</f>
        <v>31543.305123193761</v>
      </c>
      <c r="J784" s="4">
        <f>IF(D784=50,VLOOKUP(0,'$$$ Replace &amp; Retrofit'!$E$10:$F$13,2),IF(D784&lt;175,VLOOKUP(50,'$$$ Replace &amp; Retrofit'!$E$10:$F$13,2),IF(D784&lt;400,VLOOKUP(175,'$$$ Replace &amp; Retrofit'!$E$10:$F$13,2),IF(D784&gt;=400,VLOOKUP(400,'$$$ Replace &amp; Retrofit'!$E$10:$F$13,2),NA))))*E784</f>
        <v>14347.648452669438</v>
      </c>
    </row>
    <row r="785" spans="1:10" x14ac:dyDescent="0.25">
      <c r="A785" s="255" t="s">
        <v>20</v>
      </c>
      <c r="B785" s="255" t="s">
        <v>192</v>
      </c>
      <c r="C785" s="256">
        <v>2013</v>
      </c>
      <c r="D785" s="256">
        <v>75</v>
      </c>
      <c r="E785">
        <v>2.6879415076809798</v>
      </c>
      <c r="F785" s="257"/>
      <c r="G785">
        <f t="shared" si="11"/>
        <v>50</v>
      </c>
      <c r="H785" s="4">
        <f>IF(B785="RTG Crane",IF(D785&lt;600,800000,1200000),VLOOKUP(B785,'$$$ Replace &amp; Retrofit'!$B$10:$C$14,2)*'CHE Model poplulation'!D785)*E785</f>
        <v>176396.1614415643</v>
      </c>
      <c r="I785" s="4">
        <f>E785*VLOOKUP('CHE Model poplulation'!G785,'$$$ Replace &amp; Retrofit'!$I$10:$J$15,2)</f>
        <v>47275.515237093074</v>
      </c>
      <c r="J785" s="4">
        <f>IF(D785=50,VLOOKUP(0,'$$$ Replace &amp; Retrofit'!$E$10:$F$13,2),IF(D785&lt;175,VLOOKUP(50,'$$$ Replace &amp; Retrofit'!$E$10:$F$13,2),IF(D785&lt;400,VLOOKUP(175,'$$$ Replace &amp; Retrofit'!$E$10:$F$13,2),IF(D785&gt;=400,VLOOKUP(400,'$$$ Replace &amp; Retrofit'!$E$10:$F$13,2),NA))))*E785</f>
        <v>32255.298092171757</v>
      </c>
    </row>
    <row r="786" spans="1:10" x14ac:dyDescent="0.25">
      <c r="A786" s="255" t="s">
        <v>20</v>
      </c>
      <c r="B786" s="255" t="s">
        <v>192</v>
      </c>
      <c r="C786" s="256">
        <v>2013</v>
      </c>
      <c r="D786" s="256">
        <v>100</v>
      </c>
      <c r="E786">
        <v>15.6135408911386</v>
      </c>
      <c r="F786" s="257"/>
      <c r="G786">
        <f t="shared" si="11"/>
        <v>125</v>
      </c>
      <c r="H786" s="4">
        <f>IF(B786="RTG Crane",IF(D786&lt;600,800000,1200000),VLOOKUP(B786,'$$$ Replace &amp; Retrofit'!$B$10:$C$14,2)*'CHE Model poplulation'!D786)*E786</f>
        <v>1366184.8279746275</v>
      </c>
      <c r="I786" s="4">
        <f>E786*VLOOKUP('CHE Model poplulation'!G786,'$$$ Replace &amp; Retrofit'!$I$10:$J$15,2)</f>
        <v>308102.00240483799</v>
      </c>
      <c r="J786" s="4">
        <f>IF(D786=50,VLOOKUP(0,'$$$ Replace &amp; Retrofit'!$E$10:$F$13,2),IF(D786&lt;175,VLOOKUP(50,'$$$ Replace &amp; Retrofit'!$E$10:$F$13,2),IF(D786&lt;400,VLOOKUP(175,'$$$ Replace &amp; Retrofit'!$E$10:$F$13,2),IF(D786&gt;=400,VLOOKUP(400,'$$$ Replace &amp; Retrofit'!$E$10:$F$13,2),NA))))*E786</f>
        <v>187362.49069366319</v>
      </c>
    </row>
    <row r="787" spans="1:10" x14ac:dyDescent="0.25">
      <c r="A787" s="255" t="s">
        <v>20</v>
      </c>
      <c r="B787" s="255" t="s">
        <v>192</v>
      </c>
      <c r="C787" s="256">
        <v>2013</v>
      </c>
      <c r="D787" s="256">
        <v>175</v>
      </c>
      <c r="E787">
        <v>16.2911637676578</v>
      </c>
      <c r="F787" s="257"/>
      <c r="G787">
        <f t="shared" si="11"/>
        <v>175</v>
      </c>
      <c r="H787" s="4">
        <f>IF(B787="RTG Crane",IF(D787&lt;600,800000,1200000),VLOOKUP(B787,'$$$ Replace &amp; Retrofit'!$B$10:$C$14,2)*'CHE Model poplulation'!D787)*E787</f>
        <v>2494584.4519226006</v>
      </c>
      <c r="I787" s="4">
        <f>E787*VLOOKUP('CHE Model poplulation'!G787,'$$$ Replace &amp; Retrofit'!$I$10:$J$15,2)</f>
        <v>403955.6967828428</v>
      </c>
      <c r="J787" s="4">
        <f>IF(D787=50,VLOOKUP(0,'$$$ Replace &amp; Retrofit'!$E$10:$F$13,2),IF(D787&lt;175,VLOOKUP(50,'$$$ Replace &amp; Retrofit'!$E$10:$F$13,2),IF(D787&lt;400,VLOOKUP(175,'$$$ Replace &amp; Retrofit'!$E$10:$F$13,2),IF(D787&gt;=400,VLOOKUP(400,'$$$ Replace &amp; Retrofit'!$E$10:$F$13,2),NA))))*E787</f>
        <v>293240.94781784038</v>
      </c>
    </row>
    <row r="788" spans="1:10" x14ac:dyDescent="0.25">
      <c r="A788" s="255" t="s">
        <v>20</v>
      </c>
      <c r="B788" s="255" t="s">
        <v>192</v>
      </c>
      <c r="C788" s="256">
        <v>2013</v>
      </c>
      <c r="D788" s="256">
        <v>300</v>
      </c>
      <c r="E788">
        <v>5.6729189333761099</v>
      </c>
      <c r="F788" s="257"/>
      <c r="G788">
        <f t="shared" si="11"/>
        <v>300</v>
      </c>
      <c r="H788" s="4">
        <f>IF(B788="RTG Crane",IF(D788&lt;600,800000,1200000),VLOOKUP(B788,'$$$ Replace &amp; Retrofit'!$B$10:$C$14,2)*'CHE Model poplulation'!D788)*E788</f>
        <v>1489141.2200112289</v>
      </c>
      <c r="I788" s="4">
        <f>E788*VLOOKUP('CHE Model poplulation'!G788,'$$$ Replace &amp; Retrofit'!$I$10:$J$15,2)</f>
        <v>163170.16728069706</v>
      </c>
      <c r="J788" s="4">
        <f>IF(D788=50,VLOOKUP(0,'$$$ Replace &amp; Retrofit'!$E$10:$F$13,2),IF(D788&lt;175,VLOOKUP(50,'$$$ Replace &amp; Retrofit'!$E$10:$F$13,2),IF(D788&lt;400,VLOOKUP(175,'$$$ Replace &amp; Retrofit'!$E$10:$F$13,2),IF(D788&gt;=400,VLOOKUP(400,'$$$ Replace &amp; Retrofit'!$E$10:$F$13,2),NA))))*E788</f>
        <v>102112.54080076997</v>
      </c>
    </row>
    <row r="789" spans="1:10" x14ac:dyDescent="0.25">
      <c r="A789" s="255" t="s">
        <v>20</v>
      </c>
      <c r="B789" s="255" t="s">
        <v>192</v>
      </c>
      <c r="C789" s="256">
        <v>2013</v>
      </c>
      <c r="D789" s="256">
        <v>600</v>
      </c>
      <c r="E789">
        <v>0.93954878374362805</v>
      </c>
      <c r="F789" s="257"/>
      <c r="G789">
        <f t="shared" si="11"/>
        <v>400</v>
      </c>
      <c r="H789" s="4">
        <f>IF(B789="RTG Crane",IF(D789&lt;600,800000,1200000),VLOOKUP(B789,'$$$ Replace &amp; Retrofit'!$B$10:$C$14,2)*'CHE Model poplulation'!D789)*E789</f>
        <v>493263.11146540474</v>
      </c>
      <c r="I789" s="4">
        <f>E789*VLOOKUP('CHE Model poplulation'!G789,'$$$ Replace &amp; Retrofit'!$I$10:$J$15,2)</f>
        <v>49169.406499655284</v>
      </c>
      <c r="J789" s="4">
        <f>IF(D789=50,VLOOKUP(0,'$$$ Replace &amp; Retrofit'!$E$10:$F$13,2),IF(D789&lt;175,VLOOKUP(50,'$$$ Replace &amp; Retrofit'!$E$10:$F$13,2),IF(D789&lt;400,VLOOKUP(175,'$$$ Replace &amp; Retrofit'!$E$10:$F$13,2),IF(D789&gt;=400,VLOOKUP(400,'$$$ Replace &amp; Retrofit'!$E$10:$F$13,2),NA))))*E789</f>
        <v>28186.463512308841</v>
      </c>
    </row>
    <row r="790" spans="1:10" x14ac:dyDescent="0.25">
      <c r="A790" s="255" t="s">
        <v>20</v>
      </c>
      <c r="B790" s="255" t="s">
        <v>192</v>
      </c>
      <c r="C790" s="256">
        <v>2014</v>
      </c>
      <c r="D790" s="256">
        <v>50</v>
      </c>
      <c r="E790">
        <v>0.28110980319420598</v>
      </c>
      <c r="F790" s="257"/>
      <c r="G790">
        <f t="shared" si="11"/>
        <v>50</v>
      </c>
      <c r="H790" s="4">
        <f>IF(B790="RTG Crane",IF(D790&lt;600,800000,1200000),VLOOKUP(B790,'$$$ Replace &amp; Retrofit'!$B$10:$C$14,2)*'CHE Model poplulation'!D790)*E790</f>
        <v>12298.553889746512</v>
      </c>
      <c r="I790" s="4">
        <f>E790*VLOOKUP('CHE Model poplulation'!G790,'$$$ Replace &amp; Retrofit'!$I$10:$J$15,2)</f>
        <v>4944.1592185796944</v>
      </c>
      <c r="J790" s="4">
        <f>IF(D790=50,VLOOKUP(0,'$$$ Replace &amp; Retrofit'!$E$10:$F$13,2),IF(D790&lt;175,VLOOKUP(50,'$$$ Replace &amp; Retrofit'!$E$10:$F$13,2),IF(D790&lt;400,VLOOKUP(175,'$$$ Replace &amp; Retrofit'!$E$10:$F$13,2),IF(D790&gt;=400,VLOOKUP(400,'$$$ Replace &amp; Retrofit'!$E$10:$F$13,2),NA))))*E790</f>
        <v>2248.878425553648</v>
      </c>
    </row>
    <row r="791" spans="1:10" x14ac:dyDescent="0.25">
      <c r="A791" s="255" t="s">
        <v>20</v>
      </c>
      <c r="B791" s="255" t="s">
        <v>192</v>
      </c>
      <c r="C791" s="256">
        <v>2014</v>
      </c>
      <c r="D791" s="256">
        <v>75</v>
      </c>
      <c r="E791">
        <v>0.966954988824543</v>
      </c>
      <c r="F791" s="257"/>
      <c r="G791">
        <f t="shared" si="11"/>
        <v>50</v>
      </c>
      <c r="H791" s="4">
        <f>IF(B791="RTG Crane",IF(D791&lt;600,800000,1200000),VLOOKUP(B791,'$$$ Replace &amp; Retrofit'!$B$10:$C$14,2)*'CHE Model poplulation'!D791)*E791</f>
        <v>63456.421141610634</v>
      </c>
      <c r="I791" s="4">
        <f>E791*VLOOKUP('CHE Model poplulation'!G791,'$$$ Replace &amp; Retrofit'!$I$10:$J$15,2)</f>
        <v>17006.804343446063</v>
      </c>
      <c r="J791" s="4">
        <f>IF(D791=50,VLOOKUP(0,'$$$ Replace &amp; Retrofit'!$E$10:$F$13,2),IF(D791&lt;175,VLOOKUP(50,'$$$ Replace &amp; Retrofit'!$E$10:$F$13,2),IF(D791&lt;400,VLOOKUP(175,'$$$ Replace &amp; Retrofit'!$E$10:$F$13,2),IF(D791&gt;=400,VLOOKUP(400,'$$$ Replace &amp; Retrofit'!$E$10:$F$13,2),NA))))*E791</f>
        <v>11603.459865894516</v>
      </c>
    </row>
    <row r="792" spans="1:10" x14ac:dyDescent="0.25">
      <c r="A792" s="255" t="s">
        <v>20</v>
      </c>
      <c r="B792" s="255" t="s">
        <v>192</v>
      </c>
      <c r="C792" s="256">
        <v>2014</v>
      </c>
      <c r="D792" s="256">
        <v>100</v>
      </c>
      <c r="E792">
        <v>5.1217634862956603</v>
      </c>
      <c r="F792" s="257"/>
      <c r="G792">
        <f t="shared" si="11"/>
        <v>125</v>
      </c>
      <c r="H792" s="4">
        <f>IF(B792="RTG Crane",IF(D792&lt;600,800000,1200000),VLOOKUP(B792,'$$$ Replace &amp; Retrofit'!$B$10:$C$14,2)*'CHE Model poplulation'!D792)*E792</f>
        <v>448154.30505087029</v>
      </c>
      <c r="I792" s="4">
        <f>E792*VLOOKUP('CHE Model poplulation'!G792,'$$$ Replace &amp; Retrofit'!$I$10:$J$15,2)</f>
        <v>101067.75887507226</v>
      </c>
      <c r="J792" s="4">
        <f>IF(D792=50,VLOOKUP(0,'$$$ Replace &amp; Retrofit'!$E$10:$F$13,2),IF(D792&lt;175,VLOOKUP(50,'$$$ Replace &amp; Retrofit'!$E$10:$F$13,2),IF(D792&lt;400,VLOOKUP(175,'$$$ Replace &amp; Retrofit'!$E$10:$F$13,2),IF(D792&gt;=400,VLOOKUP(400,'$$$ Replace &amp; Retrofit'!$E$10:$F$13,2),NA))))*E792</f>
        <v>61461.161835547922</v>
      </c>
    </row>
    <row r="793" spans="1:10" x14ac:dyDescent="0.25">
      <c r="A793" s="255" t="s">
        <v>20</v>
      </c>
      <c r="B793" s="255" t="s">
        <v>192</v>
      </c>
      <c r="C793" s="256">
        <v>2014</v>
      </c>
      <c r="D793" s="256">
        <v>175</v>
      </c>
      <c r="E793">
        <v>5.8944926177822703</v>
      </c>
      <c r="F793" s="257"/>
      <c r="G793">
        <f t="shared" si="11"/>
        <v>175</v>
      </c>
      <c r="H793" s="4">
        <f>IF(B793="RTG Crane",IF(D793&lt;600,800000,1200000),VLOOKUP(B793,'$$$ Replace &amp; Retrofit'!$B$10:$C$14,2)*'CHE Model poplulation'!D793)*E793</f>
        <v>902594.18209791009</v>
      </c>
      <c r="I793" s="4">
        <f>E793*VLOOKUP('CHE Model poplulation'!G793,'$$$ Replace &amp; Retrofit'!$I$10:$J$15,2)</f>
        <v>146159.83895052917</v>
      </c>
      <c r="J793" s="4">
        <f>IF(D793=50,VLOOKUP(0,'$$$ Replace &amp; Retrofit'!$E$10:$F$13,2),IF(D793&lt;175,VLOOKUP(50,'$$$ Replace &amp; Retrofit'!$E$10:$F$13,2),IF(D793&lt;400,VLOOKUP(175,'$$$ Replace &amp; Retrofit'!$E$10:$F$13,2),IF(D793&gt;=400,VLOOKUP(400,'$$$ Replace &amp; Retrofit'!$E$10:$F$13,2),NA))))*E793</f>
        <v>106100.86712008086</v>
      </c>
    </row>
    <row r="794" spans="1:10" x14ac:dyDescent="0.25">
      <c r="A794" s="255" t="s">
        <v>20</v>
      </c>
      <c r="B794" s="255" t="s">
        <v>192</v>
      </c>
      <c r="C794" s="256">
        <v>2014</v>
      </c>
      <c r="D794" s="256">
        <v>300</v>
      </c>
      <c r="E794">
        <v>1.9075687427522201</v>
      </c>
      <c r="F794" s="257"/>
      <c r="G794">
        <f t="shared" si="11"/>
        <v>300</v>
      </c>
      <c r="H794" s="4">
        <f>IF(B794="RTG Crane",IF(D794&lt;600,800000,1200000),VLOOKUP(B794,'$$$ Replace &amp; Retrofit'!$B$10:$C$14,2)*'CHE Model poplulation'!D794)*E794</f>
        <v>500736.79497245775</v>
      </c>
      <c r="I794" s="4">
        <f>E794*VLOOKUP('CHE Model poplulation'!G794,'$$$ Replace &amp; Retrofit'!$I$10:$J$15,2)</f>
        <v>54867.39974778211</v>
      </c>
      <c r="J794" s="4">
        <f>IF(D794=50,VLOOKUP(0,'$$$ Replace &amp; Retrofit'!$E$10:$F$13,2),IF(D794&lt;175,VLOOKUP(50,'$$$ Replace &amp; Retrofit'!$E$10:$F$13,2),IF(D794&lt;400,VLOOKUP(175,'$$$ Replace &amp; Retrofit'!$E$10:$F$13,2),IF(D794&gt;=400,VLOOKUP(400,'$$$ Replace &amp; Retrofit'!$E$10:$F$13,2),NA))))*E794</f>
        <v>34336.237369539958</v>
      </c>
    </row>
    <row r="795" spans="1:10" x14ac:dyDescent="0.25">
      <c r="A795" s="255" t="s">
        <v>20</v>
      </c>
      <c r="B795" s="255" t="s">
        <v>192</v>
      </c>
      <c r="C795" s="256">
        <v>2014</v>
      </c>
      <c r="D795" s="256">
        <v>600</v>
      </c>
      <c r="E795">
        <v>0.62636585582908599</v>
      </c>
      <c r="F795" s="257"/>
      <c r="G795">
        <f t="shared" si="11"/>
        <v>400</v>
      </c>
      <c r="H795" s="4">
        <f>IF(B795="RTG Crane",IF(D795&lt;600,800000,1200000),VLOOKUP(B795,'$$$ Replace &amp; Retrofit'!$B$10:$C$14,2)*'CHE Model poplulation'!D795)*E795</f>
        <v>328842.07431027014</v>
      </c>
      <c r="I795" s="4">
        <f>E795*VLOOKUP('CHE Model poplulation'!G795,'$$$ Replace &amp; Retrofit'!$I$10:$J$15,2)</f>
        <v>32779.604333103554</v>
      </c>
      <c r="J795" s="4">
        <f>IF(D795=50,VLOOKUP(0,'$$$ Replace &amp; Retrofit'!$E$10:$F$13,2),IF(D795&lt;175,VLOOKUP(50,'$$$ Replace &amp; Retrofit'!$E$10:$F$13,2),IF(D795&lt;400,VLOOKUP(175,'$$$ Replace &amp; Retrofit'!$E$10:$F$13,2),IF(D795&gt;=400,VLOOKUP(400,'$$$ Replace &amp; Retrofit'!$E$10:$F$13,2),NA))))*E795</f>
        <v>18790.975674872581</v>
      </c>
    </row>
    <row r="796" spans="1:10" x14ac:dyDescent="0.25">
      <c r="A796" s="255" t="s">
        <v>20</v>
      </c>
      <c r="B796" s="255" t="s">
        <v>192</v>
      </c>
      <c r="C796" s="256">
        <v>2015</v>
      </c>
      <c r="D796" s="256">
        <v>50</v>
      </c>
      <c r="E796">
        <v>2.84711752649584E-2</v>
      </c>
      <c r="F796" s="257"/>
      <c r="G796">
        <f t="shared" si="11"/>
        <v>50</v>
      </c>
      <c r="H796" s="4">
        <f>IF(B796="RTG Crane",IF(D796&lt;600,800000,1200000),VLOOKUP(B796,'$$$ Replace &amp; Retrofit'!$B$10:$C$14,2)*'CHE Model poplulation'!D796)*E796</f>
        <v>1245.6139178419301</v>
      </c>
      <c r="I796" s="4">
        <f>E796*VLOOKUP('CHE Model poplulation'!G796,'$$$ Replace &amp; Retrofit'!$I$10:$J$15,2)</f>
        <v>500.75103056008834</v>
      </c>
      <c r="J796" s="4">
        <f>IF(D796=50,VLOOKUP(0,'$$$ Replace &amp; Retrofit'!$E$10:$F$13,2),IF(D796&lt;175,VLOOKUP(50,'$$$ Replace &amp; Retrofit'!$E$10:$F$13,2),IF(D796&lt;400,VLOOKUP(175,'$$$ Replace &amp; Retrofit'!$E$10:$F$13,2),IF(D796&gt;=400,VLOOKUP(400,'$$$ Replace &amp; Retrofit'!$E$10:$F$13,2),NA))))*E796</f>
        <v>227.76940211966721</v>
      </c>
    </row>
    <row r="797" spans="1:10" x14ac:dyDescent="0.25">
      <c r="A797" s="255" t="s">
        <v>20</v>
      </c>
      <c r="B797" s="255" t="s">
        <v>192</v>
      </c>
      <c r="C797" s="256">
        <v>2015</v>
      </c>
      <c r="D797" s="256">
        <v>75</v>
      </c>
      <c r="E797">
        <v>0.28471175264958398</v>
      </c>
      <c r="F797" s="257"/>
      <c r="G797">
        <f t="shared" si="11"/>
        <v>50</v>
      </c>
      <c r="H797" s="4">
        <f>IF(B797="RTG Crane",IF(D797&lt;600,800000,1200000),VLOOKUP(B797,'$$$ Replace &amp; Retrofit'!$B$10:$C$14,2)*'CHE Model poplulation'!D797)*E797</f>
        <v>18684.208767628948</v>
      </c>
      <c r="I797" s="4">
        <f>E797*VLOOKUP('CHE Model poplulation'!G797,'$$$ Replace &amp; Retrofit'!$I$10:$J$15,2)</f>
        <v>5007.5103056008829</v>
      </c>
      <c r="J797" s="4">
        <f>IF(D797=50,VLOOKUP(0,'$$$ Replace &amp; Retrofit'!$E$10:$F$13,2),IF(D797&lt;175,VLOOKUP(50,'$$$ Replace &amp; Retrofit'!$E$10:$F$13,2),IF(D797&lt;400,VLOOKUP(175,'$$$ Replace &amp; Retrofit'!$E$10:$F$13,2),IF(D797&gt;=400,VLOOKUP(400,'$$$ Replace &amp; Retrofit'!$E$10:$F$13,2),NA))))*E797</f>
        <v>3416.5410317950077</v>
      </c>
    </row>
    <row r="798" spans="1:10" x14ac:dyDescent="0.25">
      <c r="A798" s="255" t="s">
        <v>20</v>
      </c>
      <c r="B798" s="255" t="s">
        <v>192</v>
      </c>
      <c r="C798" s="256">
        <v>2015</v>
      </c>
      <c r="D798" s="256">
        <v>100</v>
      </c>
      <c r="E798">
        <v>1.9075687427522201</v>
      </c>
      <c r="F798" s="257"/>
      <c r="G798">
        <f t="shared" si="11"/>
        <v>125</v>
      </c>
      <c r="H798" s="4">
        <f>IF(B798="RTG Crane",IF(D798&lt;600,800000,1200000),VLOOKUP(B798,'$$$ Replace &amp; Retrofit'!$B$10:$C$14,2)*'CHE Model poplulation'!D798)*E798</f>
        <v>166912.26499081927</v>
      </c>
      <c r="I798" s="4">
        <f>E798*VLOOKUP('CHE Model poplulation'!G798,'$$$ Replace &amp; Retrofit'!$I$10:$J$15,2)</f>
        <v>37642.054000729557</v>
      </c>
      <c r="J798" s="4">
        <f>IF(D798=50,VLOOKUP(0,'$$$ Replace &amp; Retrofit'!$E$10:$F$13,2),IF(D798&lt;175,VLOOKUP(50,'$$$ Replace &amp; Retrofit'!$E$10:$F$13,2),IF(D798&lt;400,VLOOKUP(175,'$$$ Replace &amp; Retrofit'!$E$10:$F$13,2),IF(D798&gt;=400,VLOOKUP(400,'$$$ Replace &amp; Retrofit'!$E$10:$F$13,2),NA))))*E798</f>
        <v>22890.824913026641</v>
      </c>
    </row>
    <row r="799" spans="1:10" x14ac:dyDescent="0.25">
      <c r="A799" s="255" t="s">
        <v>20</v>
      </c>
      <c r="B799" s="255" t="s">
        <v>192</v>
      </c>
      <c r="C799" s="256">
        <v>2015</v>
      </c>
      <c r="D799" s="256">
        <v>175</v>
      </c>
      <c r="E799">
        <v>1.9054163238575399</v>
      </c>
      <c r="F799" s="257"/>
      <c r="G799">
        <f t="shared" si="11"/>
        <v>175</v>
      </c>
      <c r="H799" s="4">
        <f>IF(B799="RTG Crane",IF(D799&lt;600,800000,1200000),VLOOKUP(B799,'$$$ Replace &amp; Retrofit'!$B$10:$C$14,2)*'CHE Model poplulation'!D799)*E799</f>
        <v>291766.87459068582</v>
      </c>
      <c r="I799" s="4">
        <f>E799*VLOOKUP('CHE Model poplulation'!G799,'$$$ Replace &amp; Retrofit'!$I$10:$J$15,2)</f>
        <v>47246.703166371561</v>
      </c>
      <c r="J799" s="4">
        <f>IF(D799=50,VLOOKUP(0,'$$$ Replace &amp; Retrofit'!$E$10:$F$13,2),IF(D799&lt;175,VLOOKUP(50,'$$$ Replace &amp; Retrofit'!$E$10:$F$13,2),IF(D799&lt;400,VLOOKUP(175,'$$$ Replace &amp; Retrofit'!$E$10:$F$13,2),IF(D799&gt;=400,VLOOKUP(400,'$$$ Replace &amp; Retrofit'!$E$10:$F$13,2),NA))))*E799</f>
        <v>34297.49382943572</v>
      </c>
    </row>
    <row r="800" spans="1:10" x14ac:dyDescent="0.25">
      <c r="A800" s="255" t="s">
        <v>20</v>
      </c>
      <c r="B800" s="255" t="s">
        <v>192</v>
      </c>
      <c r="C800" s="256">
        <v>2015</v>
      </c>
      <c r="D800" s="256">
        <v>300</v>
      </c>
      <c r="E800">
        <v>0.62636585582908599</v>
      </c>
      <c r="F800" s="257"/>
      <c r="G800">
        <f t="shared" si="11"/>
        <v>300</v>
      </c>
      <c r="H800" s="4">
        <f>IF(B800="RTG Crane",IF(D800&lt;600,800000,1200000),VLOOKUP(B800,'$$$ Replace &amp; Retrofit'!$B$10:$C$14,2)*'CHE Model poplulation'!D800)*E800</f>
        <v>164421.03715513507</v>
      </c>
      <c r="I800" s="4">
        <f>E800*VLOOKUP('CHE Model poplulation'!G800,'$$$ Replace &amp; Retrofit'!$I$10:$J$15,2)</f>
        <v>18016.161111212001</v>
      </c>
      <c r="J800" s="4">
        <f>IF(D800=50,VLOOKUP(0,'$$$ Replace &amp; Retrofit'!$E$10:$F$13,2),IF(D800&lt;175,VLOOKUP(50,'$$$ Replace &amp; Retrofit'!$E$10:$F$13,2),IF(D800&lt;400,VLOOKUP(175,'$$$ Replace &amp; Retrofit'!$E$10:$F$13,2),IF(D800&gt;=400,VLOOKUP(400,'$$$ Replace &amp; Retrofit'!$E$10:$F$13,2),NA))))*E800</f>
        <v>11274.585404923548</v>
      </c>
    </row>
    <row r="801" spans="1:10" x14ac:dyDescent="0.25">
      <c r="A801" s="255" t="s">
        <v>20</v>
      </c>
      <c r="B801" s="255" t="s">
        <v>192</v>
      </c>
      <c r="C801" s="256">
        <v>2015</v>
      </c>
      <c r="D801" s="256">
        <v>600</v>
      </c>
      <c r="E801">
        <v>0.313182927914543</v>
      </c>
      <c r="F801" s="257"/>
      <c r="G801">
        <f t="shared" si="11"/>
        <v>400</v>
      </c>
      <c r="H801" s="4">
        <f>IF(B801="RTG Crane",IF(D801&lt;600,800000,1200000),VLOOKUP(B801,'$$$ Replace &amp; Retrofit'!$B$10:$C$14,2)*'CHE Model poplulation'!D801)*E801</f>
        <v>164421.03715513507</v>
      </c>
      <c r="I801" s="4">
        <f>E801*VLOOKUP('CHE Model poplulation'!G801,'$$$ Replace &amp; Retrofit'!$I$10:$J$15,2)</f>
        <v>16389.802166551777</v>
      </c>
      <c r="J801" s="4">
        <f>IF(D801=50,VLOOKUP(0,'$$$ Replace &amp; Retrofit'!$E$10:$F$13,2),IF(D801&lt;175,VLOOKUP(50,'$$$ Replace &amp; Retrofit'!$E$10:$F$13,2),IF(D801&lt;400,VLOOKUP(175,'$$$ Replace &amp; Retrofit'!$E$10:$F$13,2),IF(D801&gt;=400,VLOOKUP(400,'$$$ Replace &amp; Retrofit'!$E$10:$F$13,2),NA))))*E801</f>
        <v>9395.4878374362906</v>
      </c>
    </row>
    <row r="802" spans="1:10" x14ac:dyDescent="0.25">
      <c r="A802" s="255" t="s">
        <v>20</v>
      </c>
      <c r="B802" s="255" t="s">
        <v>192</v>
      </c>
      <c r="C802" s="256">
        <v>2016</v>
      </c>
      <c r="D802" s="256">
        <v>50</v>
      </c>
      <c r="E802">
        <v>0</v>
      </c>
      <c r="F802" s="257"/>
      <c r="I802" s="4"/>
    </row>
    <row r="803" spans="1:10" x14ac:dyDescent="0.25">
      <c r="A803" s="255" t="s">
        <v>20</v>
      </c>
      <c r="B803" s="255" t="s">
        <v>192</v>
      </c>
      <c r="C803" s="256">
        <v>2016</v>
      </c>
      <c r="D803" s="256">
        <v>75</v>
      </c>
      <c r="E803">
        <v>0</v>
      </c>
      <c r="F803" s="257"/>
      <c r="I803" s="4"/>
    </row>
    <row r="804" spans="1:10" x14ac:dyDescent="0.25">
      <c r="A804" s="255" t="s">
        <v>20</v>
      </c>
      <c r="B804" s="255" t="s">
        <v>192</v>
      </c>
      <c r="C804" s="256">
        <v>2016</v>
      </c>
      <c r="D804" s="256">
        <v>100</v>
      </c>
      <c r="E804">
        <v>0</v>
      </c>
      <c r="F804" s="257"/>
      <c r="I804" s="4"/>
    </row>
    <row r="805" spans="1:10" x14ac:dyDescent="0.25">
      <c r="A805" s="255" t="s">
        <v>20</v>
      </c>
      <c r="B805" s="255" t="s">
        <v>192</v>
      </c>
      <c r="C805" s="256">
        <v>2016</v>
      </c>
      <c r="D805" s="256">
        <v>175</v>
      </c>
      <c r="E805">
        <v>0</v>
      </c>
      <c r="F805" s="257"/>
      <c r="I805" s="4"/>
    </row>
    <row r="806" spans="1:10" x14ac:dyDescent="0.25">
      <c r="A806" s="255" t="s">
        <v>20</v>
      </c>
      <c r="B806" s="255" t="s">
        <v>192</v>
      </c>
      <c r="C806" s="256">
        <v>2016</v>
      </c>
      <c r="D806" s="256">
        <v>300</v>
      </c>
      <c r="E806">
        <v>0</v>
      </c>
      <c r="F806" s="257"/>
      <c r="I806" s="4"/>
    </row>
    <row r="807" spans="1:10" x14ac:dyDescent="0.25">
      <c r="A807" s="255" t="s">
        <v>20</v>
      </c>
      <c r="B807" s="255" t="s">
        <v>192</v>
      </c>
      <c r="C807" s="256">
        <v>2016</v>
      </c>
      <c r="D807" s="256">
        <v>600</v>
      </c>
      <c r="E807">
        <v>0</v>
      </c>
      <c r="F807" s="257"/>
      <c r="I807" s="4"/>
    </row>
    <row r="808" spans="1:10" x14ac:dyDescent="0.25">
      <c r="A808" s="255" t="s">
        <v>20</v>
      </c>
      <c r="B808" s="255" t="s">
        <v>192</v>
      </c>
      <c r="C808" s="256">
        <v>2017</v>
      </c>
      <c r="D808" s="256">
        <v>50</v>
      </c>
      <c r="E808">
        <v>0</v>
      </c>
      <c r="F808" s="257"/>
      <c r="I808" s="4"/>
    </row>
    <row r="809" spans="1:10" x14ac:dyDescent="0.25">
      <c r="A809" s="255" t="s">
        <v>20</v>
      </c>
      <c r="B809" s="255" t="s">
        <v>192</v>
      </c>
      <c r="C809" s="256">
        <v>2017</v>
      </c>
      <c r="D809" s="256">
        <v>75</v>
      </c>
      <c r="E809">
        <v>0</v>
      </c>
      <c r="F809" s="257"/>
      <c r="I809" s="4"/>
    </row>
    <row r="810" spans="1:10" x14ac:dyDescent="0.25">
      <c r="A810" s="255" t="s">
        <v>20</v>
      </c>
      <c r="B810" s="255" t="s">
        <v>192</v>
      </c>
      <c r="C810" s="256">
        <v>2017</v>
      </c>
      <c r="D810" s="256">
        <v>100</v>
      </c>
      <c r="E810">
        <v>0</v>
      </c>
      <c r="F810" s="257"/>
      <c r="I810" s="4"/>
    </row>
    <row r="811" spans="1:10" x14ac:dyDescent="0.25">
      <c r="A811" s="255" t="s">
        <v>20</v>
      </c>
      <c r="B811" s="255" t="s">
        <v>192</v>
      </c>
      <c r="C811" s="256">
        <v>2017</v>
      </c>
      <c r="D811" s="256">
        <v>175</v>
      </c>
      <c r="E811">
        <v>0</v>
      </c>
      <c r="F811" s="257"/>
      <c r="I811" s="4"/>
    </row>
    <row r="812" spans="1:10" x14ac:dyDescent="0.25">
      <c r="A812" s="255" t="s">
        <v>20</v>
      </c>
      <c r="B812" s="255" t="s">
        <v>192</v>
      </c>
      <c r="C812" s="256">
        <v>2017</v>
      </c>
      <c r="D812" s="256">
        <v>300</v>
      </c>
      <c r="E812">
        <v>0</v>
      </c>
      <c r="F812" s="257"/>
      <c r="I812" s="4"/>
    </row>
    <row r="813" spans="1:10" x14ac:dyDescent="0.25">
      <c r="A813" s="255" t="s">
        <v>20</v>
      </c>
      <c r="B813" s="255" t="s">
        <v>192</v>
      </c>
      <c r="C813" s="256">
        <v>2017</v>
      </c>
      <c r="D813" s="256">
        <v>600</v>
      </c>
      <c r="E813">
        <v>0</v>
      </c>
      <c r="F813" s="257"/>
      <c r="I813" s="4"/>
    </row>
    <row r="814" spans="1:10" x14ac:dyDescent="0.25">
      <c r="A814" s="255" t="s">
        <v>20</v>
      </c>
      <c r="B814" s="255" t="s">
        <v>192</v>
      </c>
      <c r="C814" s="256">
        <v>2018</v>
      </c>
      <c r="D814" s="256">
        <v>50</v>
      </c>
      <c r="E814">
        <v>0</v>
      </c>
      <c r="F814" s="257"/>
      <c r="I814" s="4"/>
    </row>
    <row r="815" spans="1:10" x14ac:dyDescent="0.25">
      <c r="A815" s="255" t="s">
        <v>20</v>
      </c>
      <c r="B815" s="255" t="s">
        <v>192</v>
      </c>
      <c r="C815" s="256">
        <v>2018</v>
      </c>
      <c r="D815" s="256">
        <v>75</v>
      </c>
      <c r="E815">
        <v>0</v>
      </c>
      <c r="F815" s="257"/>
      <c r="I815" s="4"/>
    </row>
    <row r="816" spans="1:10" x14ac:dyDescent="0.25">
      <c r="A816" s="255" t="s">
        <v>20</v>
      </c>
      <c r="B816" s="255" t="s">
        <v>192</v>
      </c>
      <c r="C816" s="256">
        <v>2018</v>
      </c>
      <c r="D816" s="256">
        <v>100</v>
      </c>
      <c r="E816">
        <v>0</v>
      </c>
      <c r="F816" s="257"/>
      <c r="I816" s="4"/>
    </row>
    <row r="817" spans="1:9" x14ac:dyDescent="0.25">
      <c r="A817" s="255" t="s">
        <v>20</v>
      </c>
      <c r="B817" s="255" t="s">
        <v>192</v>
      </c>
      <c r="C817" s="256">
        <v>2018</v>
      </c>
      <c r="D817" s="256">
        <v>175</v>
      </c>
      <c r="E817">
        <v>0</v>
      </c>
      <c r="F817" s="257"/>
      <c r="I817" s="4"/>
    </row>
    <row r="818" spans="1:9" x14ac:dyDescent="0.25">
      <c r="A818" s="255" t="s">
        <v>20</v>
      </c>
      <c r="B818" s="255" t="s">
        <v>192</v>
      </c>
      <c r="C818" s="256">
        <v>2018</v>
      </c>
      <c r="D818" s="256">
        <v>300</v>
      </c>
      <c r="E818">
        <v>0</v>
      </c>
      <c r="F818" s="257"/>
      <c r="I818" s="4"/>
    </row>
    <row r="819" spans="1:9" x14ac:dyDescent="0.25">
      <c r="A819" s="255" t="s">
        <v>20</v>
      </c>
      <c r="B819" s="255" t="s">
        <v>192</v>
      </c>
      <c r="C819" s="256">
        <v>2018</v>
      </c>
      <c r="D819" s="256">
        <v>600</v>
      </c>
      <c r="E819">
        <v>0</v>
      </c>
      <c r="F819" s="257"/>
      <c r="I819" s="4"/>
    </row>
    <row r="820" spans="1:9" x14ac:dyDescent="0.25">
      <c r="A820" s="255" t="s">
        <v>20</v>
      </c>
      <c r="B820" s="255" t="s">
        <v>192</v>
      </c>
      <c r="C820" s="256">
        <v>2019</v>
      </c>
      <c r="D820" s="256">
        <v>50</v>
      </c>
      <c r="E820">
        <v>0</v>
      </c>
      <c r="F820" s="257"/>
      <c r="I820" s="4"/>
    </row>
    <row r="821" spans="1:9" x14ac:dyDescent="0.25">
      <c r="A821" s="255" t="s">
        <v>20</v>
      </c>
      <c r="B821" s="255" t="s">
        <v>192</v>
      </c>
      <c r="C821" s="256">
        <v>2019</v>
      </c>
      <c r="D821" s="256">
        <v>75</v>
      </c>
      <c r="E821">
        <v>0</v>
      </c>
      <c r="F821" s="257"/>
      <c r="I821" s="4"/>
    </row>
    <row r="822" spans="1:9" x14ac:dyDescent="0.25">
      <c r="A822" s="255" t="s">
        <v>20</v>
      </c>
      <c r="B822" s="255" t="s">
        <v>192</v>
      </c>
      <c r="C822" s="256">
        <v>2019</v>
      </c>
      <c r="D822" s="256">
        <v>100</v>
      </c>
      <c r="E822">
        <v>0</v>
      </c>
      <c r="F822" s="257"/>
      <c r="I822" s="4"/>
    </row>
    <row r="823" spans="1:9" x14ac:dyDescent="0.25">
      <c r="A823" s="255" t="s">
        <v>20</v>
      </c>
      <c r="B823" s="255" t="s">
        <v>192</v>
      </c>
      <c r="C823" s="256">
        <v>2019</v>
      </c>
      <c r="D823" s="256">
        <v>175</v>
      </c>
      <c r="E823">
        <v>0</v>
      </c>
      <c r="F823" s="257"/>
      <c r="I823" s="4"/>
    </row>
    <row r="824" spans="1:9" x14ac:dyDescent="0.25">
      <c r="A824" s="255" t="s">
        <v>20</v>
      </c>
      <c r="B824" s="255" t="s">
        <v>192</v>
      </c>
      <c r="C824" s="256">
        <v>2019</v>
      </c>
      <c r="D824" s="256">
        <v>300</v>
      </c>
      <c r="E824">
        <v>0</v>
      </c>
      <c r="F824" s="257"/>
      <c r="I824" s="4"/>
    </row>
    <row r="825" spans="1:9" x14ac:dyDescent="0.25">
      <c r="A825" s="255" t="s">
        <v>20</v>
      </c>
      <c r="B825" s="255" t="s">
        <v>192</v>
      </c>
      <c r="C825" s="256">
        <v>2019</v>
      </c>
      <c r="D825" s="256">
        <v>600</v>
      </c>
      <c r="E825">
        <v>0</v>
      </c>
      <c r="F825" s="257"/>
      <c r="I825" s="4"/>
    </row>
    <row r="826" spans="1:9" x14ac:dyDescent="0.25">
      <c r="A826" s="255" t="s">
        <v>20</v>
      </c>
      <c r="B826" s="255" t="s">
        <v>192</v>
      </c>
      <c r="C826" s="256">
        <v>2020</v>
      </c>
      <c r="D826" s="256">
        <v>50</v>
      </c>
      <c r="E826">
        <v>0</v>
      </c>
      <c r="F826" s="257"/>
      <c r="I826" s="4"/>
    </row>
    <row r="827" spans="1:9" x14ac:dyDescent="0.25">
      <c r="A827" s="255" t="s">
        <v>20</v>
      </c>
      <c r="B827" s="255" t="s">
        <v>192</v>
      </c>
      <c r="C827" s="256">
        <v>2020</v>
      </c>
      <c r="D827" s="256">
        <v>75</v>
      </c>
      <c r="E827">
        <v>0</v>
      </c>
      <c r="F827" s="257"/>
      <c r="I827" s="4"/>
    </row>
    <row r="828" spans="1:9" x14ac:dyDescent="0.25">
      <c r="A828" s="255" t="s">
        <v>20</v>
      </c>
      <c r="B828" s="255" t="s">
        <v>192</v>
      </c>
      <c r="C828" s="256">
        <v>2020</v>
      </c>
      <c r="D828" s="256">
        <v>100</v>
      </c>
      <c r="E828">
        <v>0</v>
      </c>
      <c r="F828" s="257"/>
      <c r="I828" s="4"/>
    </row>
    <row r="829" spans="1:9" x14ac:dyDescent="0.25">
      <c r="A829" s="255" t="s">
        <v>20</v>
      </c>
      <c r="B829" s="255" t="s">
        <v>192</v>
      </c>
      <c r="C829" s="256">
        <v>2020</v>
      </c>
      <c r="D829" s="256">
        <v>175</v>
      </c>
      <c r="E829">
        <v>0</v>
      </c>
      <c r="F829" s="257"/>
      <c r="I829" s="4"/>
    </row>
    <row r="830" spans="1:9" x14ac:dyDescent="0.25">
      <c r="A830" s="255" t="s">
        <v>20</v>
      </c>
      <c r="B830" s="255" t="s">
        <v>192</v>
      </c>
      <c r="C830" s="256">
        <v>2020</v>
      </c>
      <c r="D830" s="256">
        <v>300</v>
      </c>
      <c r="E830">
        <v>0</v>
      </c>
      <c r="F830" s="257"/>
      <c r="I830" s="4"/>
    </row>
    <row r="831" spans="1:9" x14ac:dyDescent="0.25">
      <c r="A831" s="255" t="s">
        <v>20</v>
      </c>
      <c r="B831" s="255" t="s">
        <v>192</v>
      </c>
      <c r="C831" s="256">
        <v>2020</v>
      </c>
      <c r="D831" s="256">
        <v>600</v>
      </c>
      <c r="E831">
        <v>0</v>
      </c>
      <c r="F831" s="257"/>
      <c r="I831" s="4"/>
    </row>
    <row r="832" spans="1:9" x14ac:dyDescent="0.25">
      <c r="A832" s="255" t="s">
        <v>20</v>
      </c>
      <c r="B832" s="255" t="s">
        <v>192</v>
      </c>
      <c r="C832" s="256">
        <v>2021</v>
      </c>
      <c r="D832" s="256">
        <v>50</v>
      </c>
      <c r="E832">
        <v>0</v>
      </c>
      <c r="F832" s="257"/>
      <c r="I832" s="4"/>
    </row>
    <row r="833" spans="1:9" x14ac:dyDescent="0.25">
      <c r="A833" s="255" t="s">
        <v>20</v>
      </c>
      <c r="B833" s="255" t="s">
        <v>192</v>
      </c>
      <c r="C833" s="256">
        <v>2021</v>
      </c>
      <c r="D833" s="256">
        <v>75</v>
      </c>
      <c r="E833">
        <v>0</v>
      </c>
      <c r="F833" s="257"/>
      <c r="I833" s="4"/>
    </row>
    <row r="834" spans="1:9" x14ac:dyDescent="0.25">
      <c r="A834" s="255" t="s">
        <v>20</v>
      </c>
      <c r="B834" s="255" t="s">
        <v>192</v>
      </c>
      <c r="C834" s="256">
        <v>2021</v>
      </c>
      <c r="D834" s="256">
        <v>100</v>
      </c>
      <c r="E834">
        <v>0</v>
      </c>
      <c r="F834" s="257"/>
      <c r="I834" s="4"/>
    </row>
    <row r="835" spans="1:9" x14ac:dyDescent="0.25">
      <c r="A835" s="255" t="s">
        <v>20</v>
      </c>
      <c r="B835" s="255" t="s">
        <v>192</v>
      </c>
      <c r="C835" s="256">
        <v>2021</v>
      </c>
      <c r="D835" s="256">
        <v>175</v>
      </c>
      <c r="E835">
        <v>0</v>
      </c>
      <c r="F835" s="257"/>
      <c r="I835" s="4"/>
    </row>
    <row r="836" spans="1:9" x14ac:dyDescent="0.25">
      <c r="A836" s="255" t="s">
        <v>20</v>
      </c>
      <c r="B836" s="255" t="s">
        <v>192</v>
      </c>
      <c r="C836" s="256">
        <v>2021</v>
      </c>
      <c r="D836" s="256">
        <v>300</v>
      </c>
      <c r="E836">
        <v>0</v>
      </c>
      <c r="F836" s="257"/>
      <c r="I836" s="4"/>
    </row>
    <row r="837" spans="1:9" x14ac:dyDescent="0.25">
      <c r="A837" s="255" t="s">
        <v>20</v>
      </c>
      <c r="B837" s="255" t="s">
        <v>192</v>
      </c>
      <c r="C837" s="256">
        <v>2021</v>
      </c>
      <c r="D837" s="256">
        <v>600</v>
      </c>
      <c r="E837">
        <v>0</v>
      </c>
      <c r="F837" s="257"/>
      <c r="I837" s="4"/>
    </row>
    <row r="838" spans="1:9" x14ac:dyDescent="0.25">
      <c r="A838" s="255" t="s">
        <v>20</v>
      </c>
      <c r="B838" s="255" t="s">
        <v>192</v>
      </c>
      <c r="C838" s="256">
        <v>2022</v>
      </c>
      <c r="D838" s="256">
        <v>50</v>
      </c>
      <c r="E838">
        <v>0</v>
      </c>
      <c r="F838" s="257"/>
      <c r="I838" s="4"/>
    </row>
    <row r="839" spans="1:9" x14ac:dyDescent="0.25">
      <c r="A839" s="255" t="s">
        <v>20</v>
      </c>
      <c r="B839" s="255" t="s">
        <v>192</v>
      </c>
      <c r="C839" s="256">
        <v>2022</v>
      </c>
      <c r="D839" s="256">
        <v>75</v>
      </c>
      <c r="E839">
        <v>0</v>
      </c>
      <c r="F839" s="257"/>
      <c r="I839" s="4"/>
    </row>
    <row r="840" spans="1:9" x14ac:dyDescent="0.25">
      <c r="A840" s="255" t="s">
        <v>20</v>
      </c>
      <c r="B840" s="255" t="s">
        <v>192</v>
      </c>
      <c r="C840" s="256">
        <v>2022</v>
      </c>
      <c r="D840" s="256">
        <v>100</v>
      </c>
      <c r="E840">
        <v>0</v>
      </c>
      <c r="F840" s="257"/>
      <c r="I840" s="4"/>
    </row>
    <row r="841" spans="1:9" x14ac:dyDescent="0.25">
      <c r="A841" s="255" t="s">
        <v>20</v>
      </c>
      <c r="B841" s="255" t="s">
        <v>192</v>
      </c>
      <c r="C841" s="256">
        <v>2022</v>
      </c>
      <c r="D841" s="256">
        <v>175</v>
      </c>
      <c r="E841">
        <v>0</v>
      </c>
      <c r="F841" s="257"/>
      <c r="I841" s="4"/>
    </row>
    <row r="842" spans="1:9" x14ac:dyDescent="0.25">
      <c r="A842" s="255" t="s">
        <v>20</v>
      </c>
      <c r="B842" s="255" t="s">
        <v>192</v>
      </c>
      <c r="C842" s="256">
        <v>2022</v>
      </c>
      <c r="D842" s="256">
        <v>300</v>
      </c>
      <c r="E842">
        <v>0</v>
      </c>
      <c r="F842" s="257"/>
      <c r="I842" s="4"/>
    </row>
    <row r="843" spans="1:9" x14ac:dyDescent="0.25">
      <c r="A843" s="255" t="s">
        <v>20</v>
      </c>
      <c r="B843" s="255" t="s">
        <v>192</v>
      </c>
      <c r="C843" s="256">
        <v>2022</v>
      </c>
      <c r="D843" s="256">
        <v>600</v>
      </c>
      <c r="E843">
        <v>0</v>
      </c>
      <c r="F843" s="257"/>
      <c r="I843" s="4"/>
    </row>
    <row r="844" spans="1:9" x14ac:dyDescent="0.25">
      <c r="A844" s="255" t="s">
        <v>20</v>
      </c>
      <c r="B844" s="255" t="s">
        <v>192</v>
      </c>
      <c r="C844" s="256">
        <v>2023</v>
      </c>
      <c r="D844" s="256">
        <v>50</v>
      </c>
      <c r="E844">
        <v>0</v>
      </c>
      <c r="F844" s="257"/>
      <c r="I844" s="4"/>
    </row>
    <row r="845" spans="1:9" x14ac:dyDescent="0.25">
      <c r="A845" s="255" t="s">
        <v>20</v>
      </c>
      <c r="B845" s="255" t="s">
        <v>192</v>
      </c>
      <c r="C845" s="256">
        <v>2023</v>
      </c>
      <c r="D845" s="256">
        <v>75</v>
      </c>
      <c r="E845">
        <v>0</v>
      </c>
      <c r="F845" s="257"/>
      <c r="I845" s="4"/>
    </row>
    <row r="846" spans="1:9" x14ac:dyDescent="0.25">
      <c r="A846" s="255" t="s">
        <v>20</v>
      </c>
      <c r="B846" s="255" t="s">
        <v>192</v>
      </c>
      <c r="C846" s="256">
        <v>2023</v>
      </c>
      <c r="D846" s="256">
        <v>100</v>
      </c>
      <c r="E846">
        <v>0</v>
      </c>
      <c r="F846" s="257"/>
      <c r="I846" s="4"/>
    </row>
    <row r="847" spans="1:9" x14ac:dyDescent="0.25">
      <c r="A847" s="255" t="s">
        <v>20</v>
      </c>
      <c r="B847" s="255" t="s">
        <v>192</v>
      </c>
      <c r="C847" s="256">
        <v>2023</v>
      </c>
      <c r="D847" s="256">
        <v>175</v>
      </c>
      <c r="E847">
        <v>0</v>
      </c>
      <c r="F847" s="257"/>
      <c r="I847" s="4"/>
    </row>
    <row r="848" spans="1:9" x14ac:dyDescent="0.25">
      <c r="A848" s="255" t="s">
        <v>20</v>
      </c>
      <c r="B848" s="255" t="s">
        <v>192</v>
      </c>
      <c r="C848" s="256">
        <v>2023</v>
      </c>
      <c r="D848" s="256">
        <v>300</v>
      </c>
      <c r="E848">
        <v>0</v>
      </c>
      <c r="F848" s="257"/>
      <c r="I848" s="4"/>
    </row>
    <row r="849" spans="1:9" x14ac:dyDescent="0.25">
      <c r="A849" s="255" t="s">
        <v>20</v>
      </c>
      <c r="B849" s="255" t="s">
        <v>192</v>
      </c>
      <c r="C849" s="256">
        <v>2023</v>
      </c>
      <c r="D849" s="256">
        <v>600</v>
      </c>
      <c r="E849">
        <v>0</v>
      </c>
      <c r="F849" s="257"/>
      <c r="I849" s="4"/>
    </row>
    <row r="850" spans="1:9" x14ac:dyDescent="0.25">
      <c r="A850" s="255" t="s">
        <v>20</v>
      </c>
      <c r="B850" s="255" t="s">
        <v>192</v>
      </c>
      <c r="C850" s="256">
        <v>2024</v>
      </c>
      <c r="D850" s="256">
        <v>50</v>
      </c>
      <c r="E850">
        <v>0</v>
      </c>
      <c r="F850" s="257"/>
      <c r="I850" s="4"/>
    </row>
    <row r="851" spans="1:9" x14ac:dyDescent="0.25">
      <c r="A851" s="255" t="s">
        <v>20</v>
      </c>
      <c r="B851" s="255" t="s">
        <v>192</v>
      </c>
      <c r="C851" s="256">
        <v>2024</v>
      </c>
      <c r="D851" s="256">
        <v>75</v>
      </c>
      <c r="E851">
        <v>0</v>
      </c>
      <c r="F851" s="257"/>
      <c r="I851" s="4"/>
    </row>
    <row r="852" spans="1:9" x14ac:dyDescent="0.25">
      <c r="A852" s="255" t="s">
        <v>20</v>
      </c>
      <c r="B852" s="255" t="s">
        <v>192</v>
      </c>
      <c r="C852" s="256">
        <v>2024</v>
      </c>
      <c r="D852" s="256">
        <v>100</v>
      </c>
      <c r="E852">
        <v>0</v>
      </c>
      <c r="F852" s="257"/>
      <c r="I852" s="4"/>
    </row>
    <row r="853" spans="1:9" x14ac:dyDescent="0.25">
      <c r="A853" s="255" t="s">
        <v>20</v>
      </c>
      <c r="B853" s="255" t="s">
        <v>192</v>
      </c>
      <c r="C853" s="256">
        <v>2024</v>
      </c>
      <c r="D853" s="256">
        <v>175</v>
      </c>
      <c r="E853">
        <v>0</v>
      </c>
      <c r="F853" s="257"/>
      <c r="I853" s="4"/>
    </row>
    <row r="854" spans="1:9" x14ac:dyDescent="0.25">
      <c r="A854" s="255" t="s">
        <v>20</v>
      </c>
      <c r="B854" s="255" t="s">
        <v>192</v>
      </c>
      <c r="C854" s="256">
        <v>2024</v>
      </c>
      <c r="D854" s="256">
        <v>300</v>
      </c>
      <c r="E854">
        <v>0</v>
      </c>
      <c r="F854" s="257"/>
      <c r="I854" s="4"/>
    </row>
    <row r="855" spans="1:9" x14ac:dyDescent="0.25">
      <c r="A855" s="255" t="s">
        <v>20</v>
      </c>
      <c r="B855" s="255" t="s">
        <v>192</v>
      </c>
      <c r="C855" s="256">
        <v>2024</v>
      </c>
      <c r="D855" s="256">
        <v>600</v>
      </c>
      <c r="E855">
        <v>0</v>
      </c>
      <c r="F855" s="257"/>
      <c r="I855" s="4"/>
    </row>
    <row r="856" spans="1:9" x14ac:dyDescent="0.25">
      <c r="A856" s="255" t="s">
        <v>20</v>
      </c>
      <c r="B856" s="255" t="s">
        <v>192</v>
      </c>
      <c r="C856" s="256">
        <v>2025</v>
      </c>
      <c r="D856" s="256">
        <v>50</v>
      </c>
      <c r="E856">
        <v>0</v>
      </c>
      <c r="F856" s="257"/>
      <c r="I856" s="4"/>
    </row>
    <row r="857" spans="1:9" x14ac:dyDescent="0.25">
      <c r="A857" s="255" t="s">
        <v>20</v>
      </c>
      <c r="B857" s="255" t="s">
        <v>192</v>
      </c>
      <c r="C857" s="256">
        <v>2025</v>
      </c>
      <c r="D857" s="256">
        <v>75</v>
      </c>
      <c r="E857">
        <v>0</v>
      </c>
      <c r="F857" s="257"/>
      <c r="I857" s="4"/>
    </row>
    <row r="858" spans="1:9" x14ac:dyDescent="0.25">
      <c r="A858" s="255" t="s">
        <v>20</v>
      </c>
      <c r="B858" s="255" t="s">
        <v>192</v>
      </c>
      <c r="C858" s="256">
        <v>2025</v>
      </c>
      <c r="D858" s="256">
        <v>100</v>
      </c>
      <c r="E858">
        <v>0</v>
      </c>
      <c r="F858" s="257"/>
      <c r="I858" s="4"/>
    </row>
    <row r="859" spans="1:9" x14ac:dyDescent="0.25">
      <c r="A859" s="255" t="s">
        <v>20</v>
      </c>
      <c r="B859" s="255" t="s">
        <v>192</v>
      </c>
      <c r="C859" s="256">
        <v>2025</v>
      </c>
      <c r="D859" s="256">
        <v>175</v>
      </c>
      <c r="E859">
        <v>0</v>
      </c>
      <c r="F859" s="257"/>
      <c r="I859" s="4"/>
    </row>
    <row r="860" spans="1:9" x14ac:dyDescent="0.25">
      <c r="A860" s="255" t="s">
        <v>20</v>
      </c>
      <c r="B860" s="255" t="s">
        <v>192</v>
      </c>
      <c r="C860" s="256">
        <v>2025</v>
      </c>
      <c r="D860" s="256">
        <v>300</v>
      </c>
      <c r="E860">
        <v>0</v>
      </c>
      <c r="F860" s="257"/>
      <c r="I860" s="4"/>
    </row>
    <row r="861" spans="1:9" x14ac:dyDescent="0.25">
      <c r="A861" s="255" t="s">
        <v>20</v>
      </c>
      <c r="B861" s="255" t="s">
        <v>192</v>
      </c>
      <c r="C861" s="256">
        <v>2025</v>
      </c>
      <c r="D861" s="256">
        <v>600</v>
      </c>
      <c r="E861">
        <v>0</v>
      </c>
      <c r="F861" s="257"/>
      <c r="I861" s="4"/>
    </row>
    <row r="862" spans="1:9" ht="45" x14ac:dyDescent="0.25">
      <c r="A862" s="255" t="s">
        <v>20</v>
      </c>
      <c r="B862" s="255" t="s">
        <v>211</v>
      </c>
      <c r="C862" s="256">
        <v>2006</v>
      </c>
      <c r="D862" s="256">
        <v>50</v>
      </c>
      <c r="E862">
        <v>0</v>
      </c>
      <c r="F862" s="257"/>
      <c r="I862" s="4"/>
    </row>
    <row r="863" spans="1:9" ht="45" x14ac:dyDescent="0.25">
      <c r="A863" s="255" t="s">
        <v>20</v>
      </c>
      <c r="B863" s="255" t="s">
        <v>211</v>
      </c>
      <c r="C863" s="256">
        <v>2006</v>
      </c>
      <c r="D863" s="256">
        <v>75</v>
      </c>
      <c r="E863">
        <v>0</v>
      </c>
      <c r="F863" s="257"/>
      <c r="I863" s="4"/>
    </row>
    <row r="864" spans="1:9" ht="45" x14ac:dyDescent="0.25">
      <c r="A864" s="255" t="s">
        <v>20</v>
      </c>
      <c r="B864" s="255" t="s">
        <v>211</v>
      </c>
      <c r="C864" s="256">
        <v>2006</v>
      </c>
      <c r="D864" s="256">
        <v>100</v>
      </c>
      <c r="E864">
        <v>0</v>
      </c>
      <c r="F864" s="257"/>
      <c r="I864" s="4"/>
    </row>
    <row r="865" spans="1:9" ht="45" x14ac:dyDescent="0.25">
      <c r="A865" s="255" t="s">
        <v>20</v>
      </c>
      <c r="B865" s="255" t="s">
        <v>211</v>
      </c>
      <c r="C865" s="256">
        <v>2006</v>
      </c>
      <c r="D865" s="256">
        <v>175</v>
      </c>
      <c r="E865">
        <v>0</v>
      </c>
      <c r="F865" s="257"/>
      <c r="I865" s="4"/>
    </row>
    <row r="866" spans="1:9" ht="45" x14ac:dyDescent="0.25">
      <c r="A866" s="255" t="s">
        <v>20</v>
      </c>
      <c r="B866" s="255" t="s">
        <v>211</v>
      </c>
      <c r="C866" s="256">
        <v>2006</v>
      </c>
      <c r="D866" s="256">
        <v>300</v>
      </c>
      <c r="E866">
        <v>0</v>
      </c>
      <c r="F866" s="257"/>
      <c r="I866" s="4"/>
    </row>
    <row r="867" spans="1:9" ht="45" x14ac:dyDescent="0.25">
      <c r="A867" s="255" t="s">
        <v>20</v>
      </c>
      <c r="B867" s="255" t="s">
        <v>211</v>
      </c>
      <c r="C867" s="256">
        <v>2006</v>
      </c>
      <c r="D867" s="256">
        <v>600</v>
      </c>
      <c r="E867">
        <v>0</v>
      </c>
      <c r="F867" s="257"/>
      <c r="I867" s="4"/>
    </row>
    <row r="868" spans="1:9" ht="45" x14ac:dyDescent="0.25">
      <c r="A868" s="255" t="s">
        <v>20</v>
      </c>
      <c r="B868" s="255" t="s">
        <v>211</v>
      </c>
      <c r="C868" s="256">
        <v>2007</v>
      </c>
      <c r="D868" s="256">
        <v>50</v>
      </c>
      <c r="E868">
        <v>0</v>
      </c>
      <c r="F868" s="257"/>
      <c r="I868" s="4"/>
    </row>
    <row r="869" spans="1:9" ht="45" x14ac:dyDescent="0.25">
      <c r="A869" s="255" t="s">
        <v>20</v>
      </c>
      <c r="B869" s="255" t="s">
        <v>211</v>
      </c>
      <c r="C869" s="256">
        <v>2007</v>
      </c>
      <c r="D869" s="256">
        <v>75</v>
      </c>
      <c r="E869">
        <v>0</v>
      </c>
      <c r="F869" s="257"/>
      <c r="I869" s="4"/>
    </row>
    <row r="870" spans="1:9" ht="45" x14ac:dyDescent="0.25">
      <c r="A870" s="255" t="s">
        <v>20</v>
      </c>
      <c r="B870" s="255" t="s">
        <v>211</v>
      </c>
      <c r="C870" s="256">
        <v>2007</v>
      </c>
      <c r="D870" s="256">
        <v>100</v>
      </c>
      <c r="E870">
        <v>0</v>
      </c>
      <c r="F870" s="257"/>
      <c r="I870" s="4"/>
    </row>
    <row r="871" spans="1:9" ht="45" x14ac:dyDescent="0.25">
      <c r="A871" s="255" t="s">
        <v>20</v>
      </c>
      <c r="B871" s="255" t="s">
        <v>211</v>
      </c>
      <c r="C871" s="256">
        <v>2007</v>
      </c>
      <c r="D871" s="256">
        <v>175</v>
      </c>
      <c r="E871">
        <v>0</v>
      </c>
      <c r="F871" s="257"/>
      <c r="I871" s="4"/>
    </row>
    <row r="872" spans="1:9" ht="45" x14ac:dyDescent="0.25">
      <c r="A872" s="255" t="s">
        <v>20</v>
      </c>
      <c r="B872" s="255" t="s">
        <v>211</v>
      </c>
      <c r="C872" s="256">
        <v>2007</v>
      </c>
      <c r="D872" s="256">
        <v>300</v>
      </c>
      <c r="E872">
        <v>0</v>
      </c>
      <c r="F872" s="257"/>
      <c r="I872" s="4"/>
    </row>
    <row r="873" spans="1:9" ht="45" x14ac:dyDescent="0.25">
      <c r="A873" s="255" t="s">
        <v>20</v>
      </c>
      <c r="B873" s="255" t="s">
        <v>211</v>
      </c>
      <c r="C873" s="256">
        <v>2007</v>
      </c>
      <c r="D873" s="256">
        <v>600</v>
      </c>
      <c r="E873">
        <v>0</v>
      </c>
      <c r="F873" s="257"/>
      <c r="I873" s="4"/>
    </row>
    <row r="874" spans="1:9" ht="45" x14ac:dyDescent="0.25">
      <c r="A874" s="255" t="s">
        <v>20</v>
      </c>
      <c r="B874" s="255" t="s">
        <v>211</v>
      </c>
      <c r="C874" s="256">
        <v>2008</v>
      </c>
      <c r="D874" s="256">
        <v>50</v>
      </c>
      <c r="E874">
        <v>0</v>
      </c>
      <c r="F874" s="257"/>
      <c r="I874" s="4"/>
    </row>
    <row r="875" spans="1:9" ht="45" x14ac:dyDescent="0.25">
      <c r="A875" s="255" t="s">
        <v>20</v>
      </c>
      <c r="B875" s="255" t="s">
        <v>211</v>
      </c>
      <c r="C875" s="256">
        <v>2008</v>
      </c>
      <c r="D875" s="256">
        <v>75</v>
      </c>
      <c r="E875">
        <v>0</v>
      </c>
      <c r="F875" s="257"/>
      <c r="I875" s="4"/>
    </row>
    <row r="876" spans="1:9" ht="45" x14ac:dyDescent="0.25">
      <c r="A876" s="255" t="s">
        <v>20</v>
      </c>
      <c r="B876" s="255" t="s">
        <v>211</v>
      </c>
      <c r="C876" s="256">
        <v>2008</v>
      </c>
      <c r="D876" s="256">
        <v>100</v>
      </c>
      <c r="E876">
        <v>0</v>
      </c>
      <c r="F876" s="257"/>
      <c r="I876" s="4"/>
    </row>
    <row r="877" spans="1:9" ht="45" x14ac:dyDescent="0.25">
      <c r="A877" s="255" t="s">
        <v>20</v>
      </c>
      <c r="B877" s="255" t="s">
        <v>211</v>
      </c>
      <c r="C877" s="256">
        <v>2008</v>
      </c>
      <c r="D877" s="256">
        <v>175</v>
      </c>
      <c r="E877">
        <v>0</v>
      </c>
      <c r="F877" s="257"/>
      <c r="I877" s="4"/>
    </row>
    <row r="878" spans="1:9" ht="45" x14ac:dyDescent="0.25">
      <c r="A878" s="255" t="s">
        <v>20</v>
      </c>
      <c r="B878" s="255" t="s">
        <v>211</v>
      </c>
      <c r="C878" s="256">
        <v>2008</v>
      </c>
      <c r="D878" s="256">
        <v>300</v>
      </c>
      <c r="E878">
        <v>0</v>
      </c>
      <c r="F878" s="257"/>
      <c r="I878" s="4"/>
    </row>
    <row r="879" spans="1:9" ht="45" x14ac:dyDescent="0.25">
      <c r="A879" s="255" t="s">
        <v>20</v>
      </c>
      <c r="B879" s="255" t="s">
        <v>211</v>
      </c>
      <c r="C879" s="256">
        <v>2008</v>
      </c>
      <c r="D879" s="256">
        <v>600</v>
      </c>
      <c r="E879">
        <v>0</v>
      </c>
      <c r="F879" s="257"/>
      <c r="I879" s="4"/>
    </row>
    <row r="880" spans="1:9" ht="45" x14ac:dyDescent="0.25">
      <c r="A880" s="255" t="s">
        <v>20</v>
      </c>
      <c r="B880" s="255" t="s">
        <v>211</v>
      </c>
      <c r="C880" s="256">
        <v>2009</v>
      </c>
      <c r="D880" s="256">
        <v>50</v>
      </c>
      <c r="E880">
        <v>0</v>
      </c>
      <c r="F880" s="257"/>
      <c r="I880" s="4"/>
    </row>
    <row r="881" spans="1:10" ht="45" x14ac:dyDescent="0.25">
      <c r="A881" s="255" t="s">
        <v>20</v>
      </c>
      <c r="B881" s="255" t="s">
        <v>211</v>
      </c>
      <c r="C881" s="256">
        <v>2009</v>
      </c>
      <c r="D881" s="256">
        <v>75</v>
      </c>
      <c r="E881">
        <v>0</v>
      </c>
      <c r="F881" s="257"/>
      <c r="I881" s="4"/>
    </row>
    <row r="882" spans="1:10" ht="45" x14ac:dyDescent="0.25">
      <c r="A882" s="255" t="s">
        <v>20</v>
      </c>
      <c r="B882" s="255" t="s">
        <v>211</v>
      </c>
      <c r="C882" s="256">
        <v>2009</v>
      </c>
      <c r="D882" s="256">
        <v>100</v>
      </c>
      <c r="E882">
        <v>0</v>
      </c>
      <c r="F882" s="257"/>
      <c r="I882" s="4"/>
    </row>
    <row r="883" spans="1:10" ht="45" x14ac:dyDescent="0.25">
      <c r="A883" s="255" t="s">
        <v>20</v>
      </c>
      <c r="B883" s="255" t="s">
        <v>211</v>
      </c>
      <c r="C883" s="256">
        <v>2009</v>
      </c>
      <c r="D883" s="256">
        <v>175</v>
      </c>
      <c r="E883">
        <v>0</v>
      </c>
      <c r="F883" s="257"/>
      <c r="I883" s="4"/>
    </row>
    <row r="884" spans="1:10" ht="45" x14ac:dyDescent="0.25">
      <c r="A884" s="255" t="s">
        <v>20</v>
      </c>
      <c r="B884" s="255" t="s">
        <v>211</v>
      </c>
      <c r="C884" s="256">
        <v>2009</v>
      </c>
      <c r="D884" s="256">
        <v>300</v>
      </c>
      <c r="E884">
        <v>0</v>
      </c>
      <c r="F884" s="257"/>
      <c r="I884" s="4"/>
    </row>
    <row r="885" spans="1:10" ht="45" x14ac:dyDescent="0.25">
      <c r="A885" s="255" t="s">
        <v>20</v>
      </c>
      <c r="B885" s="255" t="s">
        <v>211</v>
      </c>
      <c r="C885" s="256">
        <v>2009</v>
      </c>
      <c r="D885" s="256">
        <v>600</v>
      </c>
      <c r="E885">
        <v>0</v>
      </c>
      <c r="F885" s="257"/>
      <c r="I885" s="4"/>
    </row>
    <row r="886" spans="1:10" ht="45" x14ac:dyDescent="0.25">
      <c r="A886" s="255" t="s">
        <v>20</v>
      </c>
      <c r="B886" s="255" t="s">
        <v>211</v>
      </c>
      <c r="C886" s="256">
        <v>2010</v>
      </c>
      <c r="D886" s="256">
        <v>50</v>
      </c>
      <c r="E886">
        <v>4.4376641515723598</v>
      </c>
      <c r="F886" s="257">
        <f>SUM(E886:E891)</f>
        <v>19.999999999999982</v>
      </c>
      <c r="G886">
        <f t="shared" ref="G886:G921" si="12">IF(OR(D886=50,D886=75),50,IF(OR(D886=100,D886=125),125,IF(D886&gt;=400,400,D886)))</f>
        <v>50</v>
      </c>
      <c r="H886" s="4">
        <f>IF(B886="RTG Crane",IF(D886&lt;600,800000,1200000),VLOOKUP(B886,'$$$ Replace &amp; Retrofit'!$B$10:$C$14,2)*'CHE Model poplulation'!D886)*E886</f>
        <v>221883.20757861799</v>
      </c>
      <c r="I886" s="4">
        <f>E886*VLOOKUP('CHE Model poplulation'!G886,'$$$ Replace &amp; Retrofit'!$I$10:$J$15,2)</f>
        <v>78049.637097854662</v>
      </c>
      <c r="J886" s="4">
        <f>IF(D886=50,VLOOKUP(0,'$$$ Replace &amp; Retrofit'!$E$10:$F$13,2),IF(D886&lt;175,VLOOKUP(50,'$$$ Replace &amp; Retrofit'!$E$10:$F$13,2),IF(D886&lt;400,VLOOKUP(175,'$$$ Replace &amp; Retrofit'!$E$10:$F$13,2),IF(D886&gt;=400,VLOOKUP(400,'$$$ Replace &amp; Retrofit'!$E$10:$F$13,2),NA))))*E886</f>
        <v>35501.313212578876</v>
      </c>
    </row>
    <row r="887" spans="1:10" ht="45" x14ac:dyDescent="0.25">
      <c r="A887" s="255" t="s">
        <v>20</v>
      </c>
      <c r="B887" s="255" t="s">
        <v>211</v>
      </c>
      <c r="C887" s="256">
        <v>2010</v>
      </c>
      <c r="D887" s="256">
        <v>75</v>
      </c>
      <c r="E887">
        <v>1.9960883815555599</v>
      </c>
      <c r="F887" s="257"/>
      <c r="G887">
        <f t="shared" si="12"/>
        <v>50</v>
      </c>
      <c r="H887" s="4">
        <f>IF(B887="RTG Crane",IF(D887&lt;600,800000,1200000),VLOOKUP(B887,'$$$ Replace &amp; Retrofit'!$B$10:$C$14,2)*'CHE Model poplulation'!D887)*E887</f>
        <v>149706.628616667</v>
      </c>
      <c r="I887" s="4">
        <f>E887*VLOOKUP('CHE Model poplulation'!G887,'$$$ Replace &amp; Retrofit'!$I$10:$J$15,2)</f>
        <v>35107.20245479919</v>
      </c>
      <c r="J887" s="4">
        <f>IF(D887=50,VLOOKUP(0,'$$$ Replace &amp; Retrofit'!$E$10:$F$13,2),IF(D887&lt;175,VLOOKUP(50,'$$$ Replace &amp; Retrofit'!$E$10:$F$13,2),IF(D887&lt;400,VLOOKUP(175,'$$$ Replace &amp; Retrofit'!$E$10:$F$13,2),IF(D887&gt;=400,VLOOKUP(400,'$$$ Replace &amp; Retrofit'!$E$10:$F$13,2),NA))))*E887</f>
        <v>23953.060578666718</v>
      </c>
    </row>
    <row r="888" spans="1:10" ht="45" x14ac:dyDescent="0.25">
      <c r="A888" s="255" t="s">
        <v>20</v>
      </c>
      <c r="B888" s="255" t="s">
        <v>211</v>
      </c>
      <c r="C888" s="256">
        <v>2010</v>
      </c>
      <c r="D888" s="256">
        <v>100</v>
      </c>
      <c r="E888">
        <v>2.3387585941765598</v>
      </c>
      <c r="F888" s="257"/>
      <c r="G888">
        <f t="shared" si="12"/>
        <v>125</v>
      </c>
      <c r="H888" s="4">
        <f>IF(B888="RTG Crane",IF(D888&lt;600,800000,1200000),VLOOKUP(B888,'$$$ Replace &amp; Retrofit'!$B$10:$C$14,2)*'CHE Model poplulation'!D888)*E888</f>
        <v>233875.85941765597</v>
      </c>
      <c r="I888" s="4">
        <f>E888*VLOOKUP('CHE Model poplulation'!G888,'$$$ Replace &amp; Retrofit'!$I$10:$J$15,2)</f>
        <v>46150.723338886055</v>
      </c>
      <c r="J888" s="4">
        <f>IF(D888=50,VLOOKUP(0,'$$$ Replace &amp; Retrofit'!$E$10:$F$13,2),IF(D888&lt;175,VLOOKUP(50,'$$$ Replace &amp; Retrofit'!$E$10:$F$13,2),IF(D888&lt;400,VLOOKUP(175,'$$$ Replace &amp; Retrofit'!$E$10:$F$13,2),IF(D888&gt;=400,VLOOKUP(400,'$$$ Replace &amp; Retrofit'!$E$10:$F$13,2),NA))))*E888</f>
        <v>28065.103130118718</v>
      </c>
    </row>
    <row r="889" spans="1:10" ht="45" x14ac:dyDescent="0.25">
      <c r="A889" s="255" t="s">
        <v>20</v>
      </c>
      <c r="B889" s="255" t="s">
        <v>211</v>
      </c>
      <c r="C889" s="256">
        <v>2010</v>
      </c>
      <c r="D889" s="256">
        <v>175</v>
      </c>
      <c r="E889">
        <v>4.6775989880116304</v>
      </c>
      <c r="F889" s="257"/>
      <c r="G889">
        <f t="shared" si="12"/>
        <v>175</v>
      </c>
      <c r="H889" s="4">
        <f>IF(B889="RTG Crane",IF(D889&lt;600,800000,1200000),VLOOKUP(B889,'$$$ Replace &amp; Retrofit'!$B$10:$C$14,2)*'CHE Model poplulation'!D889)*E889</f>
        <v>818579.82290203532</v>
      </c>
      <c r="I889" s="4">
        <f>E889*VLOOKUP('CHE Model poplulation'!G889,'$$$ Replace &amp; Retrofit'!$I$10:$J$15,2)</f>
        <v>115985.74450673639</v>
      </c>
      <c r="J889" s="4">
        <f>IF(D889=50,VLOOKUP(0,'$$$ Replace &amp; Retrofit'!$E$10:$F$13,2),IF(D889&lt;175,VLOOKUP(50,'$$$ Replace &amp; Retrofit'!$E$10:$F$13,2),IF(D889&lt;400,VLOOKUP(175,'$$$ Replace &amp; Retrofit'!$E$10:$F$13,2),IF(D889&gt;=400,VLOOKUP(400,'$$$ Replace &amp; Retrofit'!$E$10:$F$13,2),NA))))*E889</f>
        <v>84196.78178420935</v>
      </c>
    </row>
    <row r="890" spans="1:10" ht="45" x14ac:dyDescent="0.25">
      <c r="A890" s="255" t="s">
        <v>20</v>
      </c>
      <c r="B890" s="255" t="s">
        <v>211</v>
      </c>
      <c r="C890" s="256">
        <v>2010</v>
      </c>
      <c r="D890" s="256">
        <v>300</v>
      </c>
      <c r="E890">
        <v>3.5253129214195198</v>
      </c>
      <c r="F890" s="257"/>
      <c r="G890">
        <f t="shared" si="12"/>
        <v>300</v>
      </c>
      <c r="H890" s="4">
        <f>IF(B890="RTG Crane",IF(D890&lt;600,800000,1200000),VLOOKUP(B890,'$$$ Replace &amp; Retrofit'!$B$10:$C$14,2)*'CHE Model poplulation'!D890)*E890</f>
        <v>1057593.876425856</v>
      </c>
      <c r="I890" s="4">
        <f>E890*VLOOKUP('CHE Model poplulation'!G890,'$$$ Replace &amp; Retrofit'!$I$10:$J$15,2)</f>
        <v>101398.57555878964</v>
      </c>
      <c r="J890" s="4">
        <f>IF(D890=50,VLOOKUP(0,'$$$ Replace &amp; Retrofit'!$E$10:$F$13,2),IF(D890&lt;175,VLOOKUP(50,'$$$ Replace &amp; Retrofit'!$E$10:$F$13,2),IF(D890&lt;400,VLOOKUP(175,'$$$ Replace &amp; Retrofit'!$E$10:$F$13,2),IF(D890&gt;=400,VLOOKUP(400,'$$$ Replace &amp; Retrofit'!$E$10:$F$13,2),NA))))*E890</f>
        <v>63455.632585551357</v>
      </c>
    </row>
    <row r="891" spans="1:10" ht="45" x14ac:dyDescent="0.25">
      <c r="A891" s="255" t="s">
        <v>20</v>
      </c>
      <c r="B891" s="255" t="s">
        <v>211</v>
      </c>
      <c r="C891" s="256">
        <v>2010</v>
      </c>
      <c r="D891" s="256">
        <v>600</v>
      </c>
      <c r="E891">
        <v>3.0245769632643502</v>
      </c>
      <c r="F891" s="257"/>
      <c r="G891">
        <f t="shared" si="12"/>
        <v>400</v>
      </c>
      <c r="H891" s="4">
        <f>IF(B891="RTG Crane",IF(D891&lt;600,800000,1200000),VLOOKUP(B891,'$$$ Replace &amp; Retrofit'!$B$10:$C$14,2)*'CHE Model poplulation'!D891)*E891</f>
        <v>1814746.1779586102</v>
      </c>
      <c r="I891" s="4">
        <f>E891*VLOOKUP('CHE Model poplulation'!G891,'$$$ Replace &amp; Retrofit'!$I$10:$J$15,2)</f>
        <v>158285.18621851323</v>
      </c>
      <c r="J891" s="4">
        <f>IF(D891=50,VLOOKUP(0,'$$$ Replace &amp; Retrofit'!$E$10:$F$13,2),IF(D891&lt;175,VLOOKUP(50,'$$$ Replace &amp; Retrofit'!$E$10:$F$13,2),IF(D891&lt;400,VLOOKUP(175,'$$$ Replace &amp; Retrofit'!$E$10:$F$13,2),IF(D891&gt;=400,VLOOKUP(400,'$$$ Replace &amp; Retrofit'!$E$10:$F$13,2),NA))))*E891</f>
        <v>90737.308897930503</v>
      </c>
    </row>
    <row r="892" spans="1:10" ht="45" x14ac:dyDescent="0.25">
      <c r="A892" s="255" t="s">
        <v>20</v>
      </c>
      <c r="B892" s="255" t="s">
        <v>211</v>
      </c>
      <c r="C892" s="256">
        <v>2011</v>
      </c>
      <c r="D892" s="256">
        <v>50</v>
      </c>
      <c r="E892">
        <v>4.3006242540019004</v>
      </c>
      <c r="F892" s="257"/>
      <c r="G892">
        <f t="shared" si="12"/>
        <v>50</v>
      </c>
      <c r="H892" s="4">
        <f>IF(B892="RTG Crane",IF(D892&lt;600,800000,1200000),VLOOKUP(B892,'$$$ Replace &amp; Retrofit'!$B$10:$C$14,2)*'CHE Model poplulation'!D892)*E892</f>
        <v>215031.21270009503</v>
      </c>
      <c r="I892" s="4">
        <f>E892*VLOOKUP('CHE Model poplulation'!G892,'$$$ Replace &amp; Retrofit'!$I$10:$J$15,2)</f>
        <v>75639.379379385427</v>
      </c>
      <c r="J892" s="4">
        <f>IF(D892=50,VLOOKUP(0,'$$$ Replace &amp; Retrofit'!$E$10:$F$13,2),IF(D892&lt;175,VLOOKUP(50,'$$$ Replace &amp; Retrofit'!$E$10:$F$13,2),IF(D892&lt;400,VLOOKUP(175,'$$$ Replace &amp; Retrofit'!$E$10:$F$13,2),IF(D892&gt;=400,VLOOKUP(400,'$$$ Replace &amp; Retrofit'!$E$10:$F$13,2),NA))))*E892</f>
        <v>34404.994032015202</v>
      </c>
    </row>
    <row r="893" spans="1:10" ht="45" x14ac:dyDescent="0.25">
      <c r="A893" s="255" t="s">
        <v>20</v>
      </c>
      <c r="B893" s="255" t="s">
        <v>211</v>
      </c>
      <c r="C893" s="256">
        <v>2011</v>
      </c>
      <c r="D893" s="256">
        <v>75</v>
      </c>
      <c r="E893">
        <v>1.93120974290098</v>
      </c>
      <c r="F893" s="257"/>
      <c r="G893">
        <f t="shared" si="12"/>
        <v>50</v>
      </c>
      <c r="H893" s="4">
        <f>IF(B893="RTG Crane",IF(D893&lt;600,800000,1200000),VLOOKUP(B893,'$$$ Replace &amp; Retrofit'!$B$10:$C$14,2)*'CHE Model poplulation'!D893)*E893</f>
        <v>144840.73071757349</v>
      </c>
      <c r="I893" s="4">
        <f>E893*VLOOKUP('CHE Model poplulation'!G893,'$$$ Replace &amp; Retrofit'!$I$10:$J$15,2)</f>
        <v>33966.11695814244</v>
      </c>
      <c r="J893" s="4">
        <f>IF(D893=50,VLOOKUP(0,'$$$ Replace &amp; Retrofit'!$E$10:$F$13,2),IF(D893&lt;175,VLOOKUP(50,'$$$ Replace &amp; Retrofit'!$E$10:$F$13,2),IF(D893&lt;400,VLOOKUP(175,'$$$ Replace &amp; Retrofit'!$E$10:$F$13,2),IF(D893&gt;=400,VLOOKUP(400,'$$$ Replace &amp; Retrofit'!$E$10:$F$13,2),NA))))*E893</f>
        <v>23174.51691481176</v>
      </c>
    </row>
    <row r="894" spans="1:10" ht="45" x14ac:dyDescent="0.25">
      <c r="A894" s="255" t="s">
        <v>20</v>
      </c>
      <c r="B894" s="255" t="s">
        <v>211</v>
      </c>
      <c r="C894" s="256">
        <v>2011</v>
      </c>
      <c r="D894" s="256">
        <v>100</v>
      </c>
      <c r="E894">
        <v>2.28310459710345</v>
      </c>
      <c r="F894" s="257"/>
      <c r="G894">
        <f t="shared" si="12"/>
        <v>125</v>
      </c>
      <c r="H894" s="4">
        <f>IF(B894="RTG Crane",IF(D894&lt;600,800000,1200000),VLOOKUP(B894,'$$$ Replace &amp; Retrofit'!$B$10:$C$14,2)*'CHE Model poplulation'!D894)*E894</f>
        <v>228310.45971034499</v>
      </c>
      <c r="I894" s="4">
        <f>E894*VLOOKUP('CHE Model poplulation'!G894,'$$$ Replace &amp; Retrofit'!$I$10:$J$15,2)</f>
        <v>45052.503014642381</v>
      </c>
      <c r="J894" s="4">
        <f>IF(D894=50,VLOOKUP(0,'$$$ Replace &amp; Retrofit'!$E$10:$F$13,2),IF(D894&lt;175,VLOOKUP(50,'$$$ Replace &amp; Retrofit'!$E$10:$F$13,2),IF(D894&lt;400,VLOOKUP(175,'$$$ Replace &amp; Retrofit'!$E$10:$F$13,2),IF(D894&gt;=400,VLOOKUP(400,'$$$ Replace &amp; Retrofit'!$E$10:$F$13,2),NA))))*E894</f>
        <v>27397.2551652414</v>
      </c>
    </row>
    <row r="895" spans="1:10" ht="45" x14ac:dyDescent="0.25">
      <c r="A895" s="255" t="s">
        <v>20</v>
      </c>
      <c r="B895" s="255" t="s">
        <v>211</v>
      </c>
      <c r="C895" s="256">
        <v>2011</v>
      </c>
      <c r="D895" s="256">
        <v>175</v>
      </c>
      <c r="E895">
        <v>4.0817566371029903</v>
      </c>
      <c r="F895" s="257"/>
      <c r="G895">
        <f t="shared" si="12"/>
        <v>175</v>
      </c>
      <c r="H895" s="4">
        <f>IF(B895="RTG Crane",IF(D895&lt;600,800000,1200000),VLOOKUP(B895,'$$$ Replace &amp; Retrofit'!$B$10:$C$14,2)*'CHE Model poplulation'!D895)*E895</f>
        <v>714307.41149302328</v>
      </c>
      <c r="I895" s="4">
        <f>E895*VLOOKUP('CHE Model poplulation'!G895,'$$$ Replace &amp; Retrofit'!$I$10:$J$15,2)</f>
        <v>101211.23757360574</v>
      </c>
      <c r="J895" s="4">
        <f>IF(D895=50,VLOOKUP(0,'$$$ Replace &amp; Retrofit'!$E$10:$F$13,2),IF(D895&lt;175,VLOOKUP(50,'$$$ Replace &amp; Retrofit'!$E$10:$F$13,2),IF(D895&lt;400,VLOOKUP(175,'$$$ Replace &amp; Retrofit'!$E$10:$F$13,2),IF(D895&gt;=400,VLOOKUP(400,'$$$ Replace &amp; Retrofit'!$E$10:$F$13,2),NA))))*E895</f>
        <v>73471.61946785383</v>
      </c>
    </row>
    <row r="896" spans="1:10" ht="45" x14ac:dyDescent="0.25">
      <c r="A896" s="255" t="s">
        <v>20</v>
      </c>
      <c r="B896" s="255" t="s">
        <v>211</v>
      </c>
      <c r="C896" s="256">
        <v>2011</v>
      </c>
      <c r="D896" s="256">
        <v>300</v>
      </c>
      <c r="E896">
        <v>3.40370031287484</v>
      </c>
      <c r="F896" s="257"/>
      <c r="G896">
        <f t="shared" si="12"/>
        <v>300</v>
      </c>
      <c r="H896" s="4">
        <f>IF(B896="RTG Crane",IF(D896&lt;600,800000,1200000),VLOOKUP(B896,'$$$ Replace &amp; Retrofit'!$B$10:$C$14,2)*'CHE Model poplulation'!D896)*E896</f>
        <v>1021110.093862452</v>
      </c>
      <c r="I896" s="4">
        <f>E896*VLOOKUP('CHE Model poplulation'!G896,'$$$ Replace &amp; Retrofit'!$I$10:$J$15,2)</f>
        <v>97900.632099219016</v>
      </c>
      <c r="J896" s="4">
        <f>IF(D896=50,VLOOKUP(0,'$$$ Replace &amp; Retrofit'!$E$10:$F$13,2),IF(D896&lt;175,VLOOKUP(50,'$$$ Replace &amp; Retrofit'!$E$10:$F$13,2),IF(D896&lt;400,VLOOKUP(175,'$$$ Replace &amp; Retrofit'!$E$10:$F$13,2),IF(D896&gt;=400,VLOOKUP(400,'$$$ Replace &amp; Retrofit'!$E$10:$F$13,2),NA))))*E896</f>
        <v>61266.605631747123</v>
      </c>
    </row>
    <row r="897" spans="1:10" ht="45" x14ac:dyDescent="0.25">
      <c r="A897" s="255" t="s">
        <v>20</v>
      </c>
      <c r="B897" s="255" t="s">
        <v>211</v>
      </c>
      <c r="C897" s="256">
        <v>2011</v>
      </c>
      <c r="D897" s="256">
        <v>600</v>
      </c>
      <c r="E897">
        <v>2.6993423585096599</v>
      </c>
      <c r="F897" s="257"/>
      <c r="G897">
        <f t="shared" si="12"/>
        <v>400</v>
      </c>
      <c r="H897" s="4">
        <f>IF(B897="RTG Crane",IF(D897&lt;600,800000,1200000),VLOOKUP(B897,'$$$ Replace &amp; Retrofit'!$B$10:$C$14,2)*'CHE Model poplulation'!D897)*E897</f>
        <v>1619605.415105796</v>
      </c>
      <c r="I897" s="4">
        <f>E897*VLOOKUP('CHE Model poplulation'!G897,'$$$ Replace &amp; Retrofit'!$I$10:$J$15,2)</f>
        <v>141264.68364788604</v>
      </c>
      <c r="J897" s="4">
        <f>IF(D897=50,VLOOKUP(0,'$$$ Replace &amp; Retrofit'!$E$10:$F$13,2),IF(D897&lt;175,VLOOKUP(50,'$$$ Replace &amp; Retrofit'!$E$10:$F$13,2),IF(D897&lt;400,VLOOKUP(175,'$$$ Replace &amp; Retrofit'!$E$10:$F$13,2),IF(D897&gt;=400,VLOOKUP(400,'$$$ Replace &amp; Retrofit'!$E$10:$F$13,2),NA))))*E897</f>
        <v>80980.270755289792</v>
      </c>
    </row>
    <row r="898" spans="1:10" ht="45" x14ac:dyDescent="0.25">
      <c r="A898" s="255" t="s">
        <v>20</v>
      </c>
      <c r="B898" s="255" t="s">
        <v>211</v>
      </c>
      <c r="C898" s="256">
        <v>2012</v>
      </c>
      <c r="D898" s="256">
        <v>50</v>
      </c>
      <c r="E898">
        <v>4.2231000350836503</v>
      </c>
      <c r="F898" s="257"/>
      <c r="G898">
        <f t="shared" si="12"/>
        <v>50</v>
      </c>
      <c r="H898" s="4">
        <f>IF(B898="RTG Crane",IF(D898&lt;600,800000,1200000),VLOOKUP(B898,'$$$ Replace &amp; Retrofit'!$B$10:$C$14,2)*'CHE Model poplulation'!D898)*E898</f>
        <v>211155.00175418251</v>
      </c>
      <c r="I898" s="4">
        <f>E898*VLOOKUP('CHE Model poplulation'!G898,'$$$ Replace &amp; Retrofit'!$I$10:$J$15,2)</f>
        <v>74275.883417051242</v>
      </c>
      <c r="J898" s="4">
        <f>IF(D898=50,VLOOKUP(0,'$$$ Replace &amp; Retrofit'!$E$10:$F$13,2),IF(D898&lt;175,VLOOKUP(50,'$$$ Replace &amp; Retrofit'!$E$10:$F$13,2),IF(D898&lt;400,VLOOKUP(175,'$$$ Replace &amp; Retrofit'!$E$10:$F$13,2),IF(D898&gt;=400,VLOOKUP(400,'$$$ Replace &amp; Retrofit'!$E$10:$F$13,2),NA))))*E898</f>
        <v>33784.800280669202</v>
      </c>
    </row>
    <row r="899" spans="1:10" ht="45" x14ac:dyDescent="0.25">
      <c r="A899" s="255" t="s">
        <v>20</v>
      </c>
      <c r="B899" s="255" t="s">
        <v>211</v>
      </c>
      <c r="C899" s="256">
        <v>2012</v>
      </c>
      <c r="D899" s="256">
        <v>75</v>
      </c>
      <c r="E899">
        <v>1.9110629817418301</v>
      </c>
      <c r="F899" s="257"/>
      <c r="G899">
        <f t="shared" si="12"/>
        <v>50</v>
      </c>
      <c r="H899" s="4">
        <f>IF(B899="RTG Crane",IF(D899&lt;600,800000,1200000),VLOOKUP(B899,'$$$ Replace &amp; Retrofit'!$B$10:$C$14,2)*'CHE Model poplulation'!D899)*E899</f>
        <v>143329.72363063725</v>
      </c>
      <c r="I899" s="4">
        <f>E899*VLOOKUP('CHE Model poplulation'!G899,'$$$ Replace &amp; Retrofit'!$I$10:$J$15,2)</f>
        <v>33611.775722875311</v>
      </c>
      <c r="J899" s="4">
        <f>IF(D899=50,VLOOKUP(0,'$$$ Replace &amp; Retrofit'!$E$10:$F$13,2),IF(D899&lt;175,VLOOKUP(50,'$$$ Replace &amp; Retrofit'!$E$10:$F$13,2),IF(D899&lt;400,VLOOKUP(175,'$$$ Replace &amp; Retrofit'!$E$10:$F$13,2),IF(D899&gt;=400,VLOOKUP(400,'$$$ Replace &amp; Retrofit'!$E$10:$F$13,2),NA))))*E899</f>
        <v>22932.75578090196</v>
      </c>
    </row>
    <row r="900" spans="1:10" ht="45" x14ac:dyDescent="0.25">
      <c r="A900" s="255" t="s">
        <v>20</v>
      </c>
      <c r="B900" s="255" t="s">
        <v>211</v>
      </c>
      <c r="C900" s="256">
        <v>2012</v>
      </c>
      <c r="D900" s="256">
        <v>100</v>
      </c>
      <c r="E900">
        <v>2.2450696646569099</v>
      </c>
      <c r="F900" s="257"/>
      <c r="G900">
        <f t="shared" si="12"/>
        <v>125</v>
      </c>
      <c r="H900" s="4">
        <f>IF(B900="RTG Crane",IF(D900&lt;600,800000,1200000),VLOOKUP(B900,'$$$ Replace &amp; Retrofit'!$B$10:$C$14,2)*'CHE Model poplulation'!D900)*E900</f>
        <v>224506.96646569099</v>
      </c>
      <c r="I900" s="4">
        <f>E900*VLOOKUP('CHE Model poplulation'!G900,'$$$ Replace &amp; Retrofit'!$I$10:$J$15,2)</f>
        <v>44301.959692674805</v>
      </c>
      <c r="J900" s="4">
        <f>IF(D900=50,VLOOKUP(0,'$$$ Replace &amp; Retrofit'!$E$10:$F$13,2),IF(D900&lt;175,VLOOKUP(50,'$$$ Replace &amp; Retrofit'!$E$10:$F$13,2),IF(D900&lt;400,VLOOKUP(175,'$$$ Replace &amp; Retrofit'!$E$10:$F$13,2),IF(D900&gt;=400,VLOOKUP(400,'$$$ Replace &amp; Retrofit'!$E$10:$F$13,2),NA))))*E900</f>
        <v>26940.835975882917</v>
      </c>
    </row>
    <row r="901" spans="1:10" ht="45" x14ac:dyDescent="0.25">
      <c r="A901" s="255" t="s">
        <v>20</v>
      </c>
      <c r="B901" s="255" t="s">
        <v>211</v>
      </c>
      <c r="C901" s="256">
        <v>2012</v>
      </c>
      <c r="D901" s="256">
        <v>175</v>
      </c>
      <c r="E901">
        <v>3.9707069763432701</v>
      </c>
      <c r="F901" s="257"/>
      <c r="G901">
        <f t="shared" si="12"/>
        <v>175</v>
      </c>
      <c r="H901" s="4">
        <f>IF(B901="RTG Crane",IF(D901&lt;600,800000,1200000),VLOOKUP(B901,'$$$ Replace &amp; Retrofit'!$B$10:$C$14,2)*'CHE Model poplulation'!D901)*E901</f>
        <v>694873.7208600723</v>
      </c>
      <c r="I901" s="4">
        <f>E901*VLOOKUP('CHE Model poplulation'!G901,'$$$ Replace &amp; Retrofit'!$I$10:$J$15,2)</f>
        <v>98457.650185407721</v>
      </c>
      <c r="J901" s="4">
        <f>IF(D901=50,VLOOKUP(0,'$$$ Replace &amp; Retrofit'!$E$10:$F$13,2),IF(D901&lt;175,VLOOKUP(50,'$$$ Replace &amp; Retrofit'!$E$10:$F$13,2),IF(D901&lt;400,VLOOKUP(175,'$$$ Replace &amp; Retrofit'!$E$10:$F$13,2),IF(D901&gt;=400,VLOOKUP(400,'$$$ Replace &amp; Retrofit'!$E$10:$F$13,2),NA))))*E901</f>
        <v>71472.725574178869</v>
      </c>
    </row>
    <row r="902" spans="1:10" ht="45" x14ac:dyDescent="0.25">
      <c r="A902" s="255" t="s">
        <v>20</v>
      </c>
      <c r="B902" s="255" t="s">
        <v>211</v>
      </c>
      <c r="C902" s="256">
        <v>2012</v>
      </c>
      <c r="D902" s="256">
        <v>300</v>
      </c>
      <c r="E902">
        <v>3.3049618656119799</v>
      </c>
      <c r="F902" s="257"/>
      <c r="G902">
        <f t="shared" si="12"/>
        <v>300</v>
      </c>
      <c r="H902" s="4">
        <f>IF(B902="RTG Crane",IF(D902&lt;600,800000,1200000),VLOOKUP(B902,'$$$ Replace &amp; Retrofit'!$B$10:$C$14,2)*'CHE Model poplulation'!D902)*E902</f>
        <v>991488.55968359392</v>
      </c>
      <c r="I902" s="4">
        <f>E902*VLOOKUP('CHE Model poplulation'!G902,'$$$ Replace &amp; Retrofit'!$I$10:$J$15,2)</f>
        <v>95060.618140597377</v>
      </c>
      <c r="J902" s="4">
        <f>IF(D902=50,VLOOKUP(0,'$$$ Replace &amp; Retrofit'!$E$10:$F$13,2),IF(D902&lt;175,VLOOKUP(50,'$$$ Replace &amp; Retrofit'!$E$10:$F$13,2),IF(D902&lt;400,VLOOKUP(175,'$$$ Replace &amp; Retrofit'!$E$10:$F$13,2),IF(D902&gt;=400,VLOOKUP(400,'$$$ Replace &amp; Retrofit'!$E$10:$F$13,2),NA))))*E902</f>
        <v>59489.313581015638</v>
      </c>
    </row>
    <row r="903" spans="1:10" ht="45" x14ac:dyDescent="0.25">
      <c r="A903" s="255" t="s">
        <v>20</v>
      </c>
      <c r="B903" s="255" t="s">
        <v>211</v>
      </c>
      <c r="C903" s="256">
        <v>2012</v>
      </c>
      <c r="D903" s="256">
        <v>600</v>
      </c>
      <c r="E903">
        <v>2.5761562430093701</v>
      </c>
      <c r="F903" s="257"/>
      <c r="G903">
        <f t="shared" si="12"/>
        <v>400</v>
      </c>
      <c r="H903" s="4">
        <f>IF(B903="RTG Crane",IF(D903&lt;600,800000,1200000),VLOOKUP(B903,'$$$ Replace &amp; Retrofit'!$B$10:$C$14,2)*'CHE Model poplulation'!D903)*E903</f>
        <v>1545693.7458056221</v>
      </c>
      <c r="I903" s="4">
        <f>E903*VLOOKUP('CHE Model poplulation'!G903,'$$$ Replace &amp; Retrofit'!$I$10:$J$15,2)</f>
        <v>134817.98466540937</v>
      </c>
      <c r="J903" s="4">
        <f>IF(D903=50,VLOOKUP(0,'$$$ Replace &amp; Retrofit'!$E$10:$F$13,2),IF(D903&lt;175,VLOOKUP(50,'$$$ Replace &amp; Retrofit'!$E$10:$F$13,2),IF(D903&lt;400,VLOOKUP(175,'$$$ Replace &amp; Retrofit'!$E$10:$F$13,2),IF(D903&gt;=400,VLOOKUP(400,'$$$ Replace &amp; Retrofit'!$E$10:$F$13,2),NA))))*E903</f>
        <v>77284.687290281101</v>
      </c>
    </row>
    <row r="904" spans="1:10" ht="45" x14ac:dyDescent="0.25">
      <c r="A904" s="255" t="s">
        <v>20</v>
      </c>
      <c r="B904" s="255" t="s">
        <v>211</v>
      </c>
      <c r="C904" s="256">
        <v>2013</v>
      </c>
      <c r="D904" s="256">
        <v>50</v>
      </c>
      <c r="E904">
        <v>2.80083690756679</v>
      </c>
      <c r="F904" s="257"/>
      <c r="G904">
        <f t="shared" si="12"/>
        <v>50</v>
      </c>
      <c r="H904" s="4">
        <f>IF(B904="RTG Crane",IF(D904&lt;600,800000,1200000),VLOOKUP(B904,'$$$ Replace &amp; Retrofit'!$B$10:$C$14,2)*'CHE Model poplulation'!D904)*E904</f>
        <v>140041.84537833949</v>
      </c>
      <c r="I904" s="4">
        <f>E904*VLOOKUP('CHE Model poplulation'!G904,'$$$ Replace &amp; Retrofit'!$I$10:$J$15,2)</f>
        <v>49261.119530284705</v>
      </c>
      <c r="J904" s="4">
        <f>IF(D904=50,VLOOKUP(0,'$$$ Replace &amp; Retrofit'!$E$10:$F$13,2),IF(D904&lt;175,VLOOKUP(50,'$$$ Replace &amp; Retrofit'!$E$10:$F$13,2),IF(D904&lt;400,VLOOKUP(175,'$$$ Replace &amp; Retrofit'!$E$10:$F$13,2),IF(D904&gt;=400,VLOOKUP(400,'$$$ Replace &amp; Retrofit'!$E$10:$F$13,2),NA))))*E904</f>
        <v>22406.695260534321</v>
      </c>
    </row>
    <row r="905" spans="1:10" ht="45" x14ac:dyDescent="0.25">
      <c r="A905" s="255" t="s">
        <v>20</v>
      </c>
      <c r="B905" s="255" t="s">
        <v>211</v>
      </c>
      <c r="C905" s="256">
        <v>2013</v>
      </c>
      <c r="D905" s="256">
        <v>75</v>
      </c>
      <c r="E905">
        <v>1.2837036257838601</v>
      </c>
      <c r="F905" s="257"/>
      <c r="G905">
        <f t="shared" si="12"/>
        <v>50</v>
      </c>
      <c r="H905" s="4">
        <f>IF(B905="RTG Crane",IF(D905&lt;600,800000,1200000),VLOOKUP(B905,'$$$ Replace &amp; Retrofit'!$B$10:$C$14,2)*'CHE Model poplulation'!D905)*E905</f>
        <v>96277.771933789511</v>
      </c>
      <c r="I905" s="4">
        <f>E905*VLOOKUP('CHE Model poplulation'!G905,'$$$ Replace &amp; Retrofit'!$I$10:$J$15,2)</f>
        <v>22577.779370286531</v>
      </c>
      <c r="J905" s="4">
        <f>IF(D905=50,VLOOKUP(0,'$$$ Replace &amp; Retrofit'!$E$10:$F$13,2),IF(D905&lt;175,VLOOKUP(50,'$$$ Replace &amp; Retrofit'!$E$10:$F$13,2),IF(D905&lt;400,VLOOKUP(175,'$$$ Replace &amp; Retrofit'!$E$10:$F$13,2),IF(D905&gt;=400,VLOOKUP(400,'$$$ Replace &amp; Retrofit'!$E$10:$F$13,2),NA))))*E905</f>
        <v>15404.443509406321</v>
      </c>
    </row>
    <row r="906" spans="1:10" ht="45" x14ac:dyDescent="0.25">
      <c r="A906" s="255" t="s">
        <v>20</v>
      </c>
      <c r="B906" s="255" t="s">
        <v>211</v>
      </c>
      <c r="C906" s="256">
        <v>2013</v>
      </c>
      <c r="D906" s="256">
        <v>100</v>
      </c>
      <c r="E906">
        <v>1.55060347187184</v>
      </c>
      <c r="F906" s="257"/>
      <c r="G906">
        <f t="shared" si="12"/>
        <v>125</v>
      </c>
      <c r="H906" s="4">
        <f>IF(B906="RTG Crane",IF(D906&lt;600,800000,1200000),VLOOKUP(B906,'$$$ Replace &amp; Retrofit'!$B$10:$C$14,2)*'CHE Model poplulation'!D906)*E906</f>
        <v>155060.347187184</v>
      </c>
      <c r="I906" s="4">
        <f>E906*VLOOKUP('CHE Model poplulation'!G906,'$$$ Replace &amp; Retrofit'!$I$10:$J$15,2)</f>
        <v>30598.058310447017</v>
      </c>
      <c r="J906" s="4">
        <f>IF(D906=50,VLOOKUP(0,'$$$ Replace &amp; Retrofit'!$E$10:$F$13,2),IF(D906&lt;175,VLOOKUP(50,'$$$ Replace &amp; Retrofit'!$E$10:$F$13,2),IF(D906&lt;400,VLOOKUP(175,'$$$ Replace &amp; Retrofit'!$E$10:$F$13,2),IF(D906&gt;=400,VLOOKUP(400,'$$$ Replace &amp; Retrofit'!$E$10:$F$13,2),NA))))*E906</f>
        <v>18607.241662462078</v>
      </c>
    </row>
    <row r="907" spans="1:10" ht="45" x14ac:dyDescent="0.25">
      <c r="A907" s="255" t="s">
        <v>20</v>
      </c>
      <c r="B907" s="255" t="s">
        <v>211</v>
      </c>
      <c r="C907" s="256">
        <v>2013</v>
      </c>
      <c r="D907" s="256">
        <v>175</v>
      </c>
      <c r="E907">
        <v>2.2416038986502298</v>
      </c>
      <c r="F907" s="257"/>
      <c r="G907">
        <f t="shared" si="12"/>
        <v>175</v>
      </c>
      <c r="H907" s="4">
        <f>IF(B907="RTG Crane",IF(D907&lt;600,800000,1200000),VLOOKUP(B907,'$$$ Replace &amp; Retrofit'!$B$10:$C$14,2)*'CHE Model poplulation'!D907)*E907</f>
        <v>392280.68226379022</v>
      </c>
      <c r="I907" s="4">
        <f>E907*VLOOKUP('CHE Model poplulation'!G907,'$$$ Replace &amp; Retrofit'!$I$10:$J$15,2)</f>
        <v>55582.810270931099</v>
      </c>
      <c r="J907" s="4">
        <f>IF(D907=50,VLOOKUP(0,'$$$ Replace &amp; Retrofit'!$E$10:$F$13,2),IF(D907&lt;175,VLOOKUP(50,'$$$ Replace &amp; Retrofit'!$E$10:$F$13,2),IF(D907&lt;400,VLOOKUP(175,'$$$ Replace &amp; Retrofit'!$E$10:$F$13,2),IF(D907&gt;=400,VLOOKUP(400,'$$$ Replace &amp; Retrofit'!$E$10:$F$13,2),NA))))*E907</f>
        <v>40348.870175704134</v>
      </c>
    </row>
    <row r="908" spans="1:10" ht="45" x14ac:dyDescent="0.25">
      <c r="A908" s="255" t="s">
        <v>20</v>
      </c>
      <c r="B908" s="255" t="s">
        <v>211</v>
      </c>
      <c r="C908" s="256">
        <v>2013</v>
      </c>
      <c r="D908" s="256">
        <v>300</v>
      </c>
      <c r="E908">
        <v>2.0635888282901802</v>
      </c>
      <c r="F908" s="257"/>
      <c r="G908">
        <f t="shared" si="12"/>
        <v>300</v>
      </c>
      <c r="H908" s="4">
        <f>IF(B908="RTG Crane",IF(D908&lt;600,800000,1200000),VLOOKUP(B908,'$$$ Replace &amp; Retrofit'!$B$10:$C$14,2)*'CHE Model poplulation'!D908)*E908</f>
        <v>619076.64848705404</v>
      </c>
      <c r="I908" s="4">
        <f>E908*VLOOKUP('CHE Model poplulation'!G908,'$$$ Replace &amp; Retrofit'!$I$10:$J$15,2)</f>
        <v>59355.005468110452</v>
      </c>
      <c r="J908" s="4">
        <f>IF(D908=50,VLOOKUP(0,'$$$ Replace &amp; Retrofit'!$E$10:$F$13,2),IF(D908&lt;175,VLOOKUP(50,'$$$ Replace &amp; Retrofit'!$E$10:$F$13,2),IF(D908&lt;400,VLOOKUP(175,'$$$ Replace &amp; Retrofit'!$E$10:$F$13,2),IF(D908&gt;=400,VLOOKUP(400,'$$$ Replace &amp; Retrofit'!$E$10:$F$13,2),NA))))*E908</f>
        <v>37144.598909223241</v>
      </c>
    </row>
    <row r="909" spans="1:10" ht="45" x14ac:dyDescent="0.25">
      <c r="A909" s="255" t="s">
        <v>20</v>
      </c>
      <c r="B909" s="255" t="s">
        <v>211</v>
      </c>
      <c r="C909" s="256">
        <v>2013</v>
      </c>
      <c r="D909" s="256">
        <v>600</v>
      </c>
      <c r="E909">
        <v>1.09066368452856</v>
      </c>
      <c r="F909" s="257"/>
      <c r="G909">
        <f t="shared" si="12"/>
        <v>400</v>
      </c>
      <c r="H909" s="4">
        <f>IF(B909="RTG Crane",IF(D909&lt;600,800000,1200000),VLOOKUP(B909,'$$$ Replace &amp; Retrofit'!$B$10:$C$14,2)*'CHE Model poplulation'!D909)*E909</f>
        <v>654398.21071713604</v>
      </c>
      <c r="I909" s="4">
        <f>E909*VLOOKUP('CHE Model poplulation'!G909,'$$$ Replace &amp; Retrofit'!$I$10:$J$15,2)</f>
        <v>57077.702602433128</v>
      </c>
      <c r="J909" s="4">
        <f>IF(D909=50,VLOOKUP(0,'$$$ Replace &amp; Retrofit'!$E$10:$F$13,2),IF(D909&lt;175,VLOOKUP(50,'$$$ Replace &amp; Retrofit'!$E$10:$F$13,2),IF(D909&lt;400,VLOOKUP(175,'$$$ Replace &amp; Retrofit'!$E$10:$F$13,2),IF(D909&gt;=400,VLOOKUP(400,'$$$ Replace &amp; Retrofit'!$E$10:$F$13,2),NA))))*E909</f>
        <v>32719.910535856801</v>
      </c>
    </row>
    <row r="910" spans="1:10" ht="45" x14ac:dyDescent="0.25">
      <c r="A910" s="255" t="s">
        <v>20</v>
      </c>
      <c r="B910" s="255" t="s">
        <v>211</v>
      </c>
      <c r="C910" s="256">
        <v>2014</v>
      </c>
      <c r="D910" s="256">
        <v>50</v>
      </c>
      <c r="E910">
        <v>1.34671017159335</v>
      </c>
      <c r="F910" s="257"/>
      <c r="G910">
        <f t="shared" si="12"/>
        <v>50</v>
      </c>
      <c r="H910" s="4">
        <f>IF(B910="RTG Crane",IF(D910&lt;600,800000,1200000),VLOOKUP(B910,'$$$ Replace &amp; Retrofit'!$B$10:$C$14,2)*'CHE Model poplulation'!D910)*E910</f>
        <v>67335.508579667498</v>
      </c>
      <c r="I910" s="4">
        <f>E910*VLOOKUP('CHE Model poplulation'!G910,'$$$ Replace &amp; Retrofit'!$I$10:$J$15,2)</f>
        <v>23685.93849798384</v>
      </c>
      <c r="J910" s="4">
        <f>IF(D910=50,VLOOKUP(0,'$$$ Replace &amp; Retrofit'!$E$10:$F$13,2),IF(D910&lt;175,VLOOKUP(50,'$$$ Replace &amp; Retrofit'!$E$10:$F$13,2),IF(D910&lt;400,VLOOKUP(175,'$$$ Replace &amp; Retrofit'!$E$10:$F$13,2),IF(D910&gt;=400,VLOOKUP(400,'$$$ Replace &amp; Retrofit'!$E$10:$F$13,2),NA))))*E910</f>
        <v>10773.6813727468</v>
      </c>
    </row>
    <row r="911" spans="1:10" ht="45" x14ac:dyDescent="0.25">
      <c r="A911" s="255" t="s">
        <v>20</v>
      </c>
      <c r="B911" s="255" t="s">
        <v>211</v>
      </c>
      <c r="C911" s="256">
        <v>2014</v>
      </c>
      <c r="D911" s="256">
        <v>75</v>
      </c>
      <c r="E911">
        <v>0.66821497063792301</v>
      </c>
      <c r="F911" s="257"/>
      <c r="G911">
        <f t="shared" si="12"/>
        <v>50</v>
      </c>
      <c r="H911" s="4">
        <f>IF(B911="RTG Crane",IF(D911&lt;600,800000,1200000),VLOOKUP(B911,'$$$ Replace &amp; Retrofit'!$B$10:$C$14,2)*'CHE Model poplulation'!D911)*E911</f>
        <v>50116.122797844226</v>
      </c>
      <c r="I911" s="4">
        <f>E911*VLOOKUP('CHE Model poplulation'!G911,'$$$ Replace &amp; Retrofit'!$I$10:$J$15,2)</f>
        <v>11752.564903579791</v>
      </c>
      <c r="J911" s="4">
        <f>IF(D911=50,VLOOKUP(0,'$$$ Replace &amp; Retrofit'!$E$10:$F$13,2),IF(D911&lt;175,VLOOKUP(50,'$$$ Replace &amp; Retrofit'!$E$10:$F$13,2),IF(D911&lt;400,VLOOKUP(175,'$$$ Replace &amp; Retrofit'!$E$10:$F$13,2),IF(D911&gt;=400,VLOOKUP(400,'$$$ Replace &amp; Retrofit'!$E$10:$F$13,2),NA))))*E911</f>
        <v>8018.5796476550759</v>
      </c>
    </row>
    <row r="912" spans="1:10" ht="45" x14ac:dyDescent="0.25">
      <c r="A912" s="255" t="s">
        <v>20</v>
      </c>
      <c r="B912" s="255" t="s">
        <v>211</v>
      </c>
      <c r="C912" s="256">
        <v>2014</v>
      </c>
      <c r="D912" s="256">
        <v>100</v>
      </c>
      <c r="E912">
        <v>0.82241842540052001</v>
      </c>
      <c r="F912" s="257"/>
      <c r="G912">
        <f t="shared" si="12"/>
        <v>125</v>
      </c>
      <c r="H912" s="4">
        <f>IF(B912="RTG Crane",IF(D912&lt;600,800000,1200000),VLOOKUP(B912,'$$$ Replace &amp; Retrofit'!$B$10:$C$14,2)*'CHE Model poplulation'!D912)*E912</f>
        <v>82241.842540052006</v>
      </c>
      <c r="I912" s="4">
        <f>E912*VLOOKUP('CHE Model poplulation'!G912,'$$$ Replace &amp; Retrofit'!$I$10:$J$15,2)</f>
        <v>16228.782788428462</v>
      </c>
      <c r="J912" s="4">
        <f>IF(D912=50,VLOOKUP(0,'$$$ Replace &amp; Retrofit'!$E$10:$F$13,2),IF(D912&lt;175,VLOOKUP(50,'$$$ Replace &amp; Retrofit'!$E$10:$F$13,2),IF(D912&lt;400,VLOOKUP(175,'$$$ Replace &amp; Retrofit'!$E$10:$F$13,2),IF(D912&gt;=400,VLOOKUP(400,'$$$ Replace &amp; Retrofit'!$E$10:$F$13,2),NA))))*E912</f>
        <v>9869.0211048062411</v>
      </c>
    </row>
    <row r="913" spans="1:10" ht="45" x14ac:dyDescent="0.25">
      <c r="A913" s="255" t="s">
        <v>20</v>
      </c>
      <c r="B913" s="255" t="s">
        <v>211</v>
      </c>
      <c r="C913" s="256">
        <v>2014</v>
      </c>
      <c r="D913" s="256">
        <v>175</v>
      </c>
      <c r="E913">
        <v>0.75045681317797497</v>
      </c>
      <c r="F913" s="257"/>
      <c r="G913">
        <f t="shared" si="12"/>
        <v>175</v>
      </c>
      <c r="H913" s="4">
        <f>IF(B913="RTG Crane",IF(D913&lt;600,800000,1200000),VLOOKUP(B913,'$$$ Replace &amp; Retrofit'!$B$10:$C$14,2)*'CHE Model poplulation'!D913)*E913</f>
        <v>131329.94230614562</v>
      </c>
      <c r="I913" s="4">
        <f>E913*VLOOKUP('CHE Model poplulation'!G913,'$$$ Replace &amp; Retrofit'!$I$10:$J$15,2)</f>
        <v>18608.327139561068</v>
      </c>
      <c r="J913" s="4">
        <f>IF(D913=50,VLOOKUP(0,'$$$ Replace &amp; Retrofit'!$E$10:$F$13,2),IF(D913&lt;175,VLOOKUP(50,'$$$ Replace &amp; Retrofit'!$E$10:$F$13,2),IF(D913&lt;400,VLOOKUP(175,'$$$ Replace &amp; Retrofit'!$E$10:$F$13,2),IF(D913&gt;=400,VLOOKUP(400,'$$$ Replace &amp; Retrofit'!$E$10:$F$13,2),NA))))*E913</f>
        <v>13508.222637203549</v>
      </c>
    </row>
    <row r="914" spans="1:10" ht="45" x14ac:dyDescent="0.25">
      <c r="A914" s="255" t="s">
        <v>20</v>
      </c>
      <c r="B914" s="255" t="s">
        <v>211</v>
      </c>
      <c r="C914" s="256">
        <v>2014</v>
      </c>
      <c r="D914" s="256">
        <v>300</v>
      </c>
      <c r="E914">
        <v>0.82241842540052001</v>
      </c>
      <c r="F914" s="257"/>
      <c r="G914">
        <f t="shared" si="12"/>
        <v>300</v>
      </c>
      <c r="H914" s="4">
        <f>IF(B914="RTG Crane",IF(D914&lt;600,800000,1200000),VLOOKUP(B914,'$$$ Replace &amp; Retrofit'!$B$10:$C$14,2)*'CHE Model poplulation'!D914)*E914</f>
        <v>246725.527620156</v>
      </c>
      <c r="I914" s="4">
        <f>E914*VLOOKUP('CHE Model poplulation'!G914,'$$$ Replace &amp; Retrofit'!$I$10:$J$15,2)</f>
        <v>23655.221169795157</v>
      </c>
      <c r="J914" s="4">
        <f>IF(D914=50,VLOOKUP(0,'$$$ Replace &amp; Retrofit'!$E$10:$F$13,2),IF(D914&lt;175,VLOOKUP(50,'$$$ Replace &amp; Retrofit'!$E$10:$F$13,2),IF(D914&lt;400,VLOOKUP(175,'$$$ Replace &amp; Retrofit'!$E$10:$F$13,2),IF(D914&gt;=400,VLOOKUP(400,'$$$ Replace &amp; Retrofit'!$E$10:$F$13,2),NA))))*E914</f>
        <v>14803.53165720936</v>
      </c>
    </row>
    <row r="915" spans="1:10" ht="45" x14ac:dyDescent="0.25">
      <c r="A915" s="255" t="s">
        <v>20</v>
      </c>
      <c r="B915" s="255" t="s">
        <v>211</v>
      </c>
      <c r="C915" s="256">
        <v>2014</v>
      </c>
      <c r="D915" s="256">
        <v>600</v>
      </c>
      <c r="E915">
        <v>0.20560460635013</v>
      </c>
      <c r="F915" s="257"/>
      <c r="G915">
        <f t="shared" si="12"/>
        <v>400</v>
      </c>
      <c r="H915" s="4">
        <f>IF(B915="RTG Crane",IF(D915&lt;600,800000,1200000),VLOOKUP(B915,'$$$ Replace &amp; Retrofit'!$B$10:$C$14,2)*'CHE Model poplulation'!D915)*E915</f>
        <v>123362.763810078</v>
      </c>
      <c r="I915" s="4">
        <f>E915*VLOOKUP('CHE Model poplulation'!G915,'$$$ Replace &amp; Retrofit'!$I$10:$J$15,2)</f>
        <v>10759.905864121354</v>
      </c>
      <c r="J915" s="4">
        <f>IF(D915=50,VLOOKUP(0,'$$$ Replace &amp; Retrofit'!$E$10:$F$13,2),IF(D915&lt;175,VLOOKUP(50,'$$$ Replace &amp; Retrofit'!$E$10:$F$13,2),IF(D915&lt;400,VLOOKUP(175,'$$$ Replace &amp; Retrofit'!$E$10:$F$13,2),IF(D915&gt;=400,VLOOKUP(400,'$$$ Replace &amp; Retrofit'!$E$10:$F$13,2),NA))))*E915</f>
        <v>6168.1381905038998</v>
      </c>
    </row>
    <row r="916" spans="1:10" ht="45" x14ac:dyDescent="0.25">
      <c r="A916" s="255" t="s">
        <v>20</v>
      </c>
      <c r="B916" s="255" t="s">
        <v>211</v>
      </c>
      <c r="C916" s="256">
        <v>2015</v>
      </c>
      <c r="D916" s="256">
        <v>50</v>
      </c>
      <c r="E916">
        <v>0.257005757937663</v>
      </c>
      <c r="F916" s="257"/>
      <c r="G916">
        <f t="shared" si="12"/>
        <v>50</v>
      </c>
      <c r="H916" s="4">
        <f>IF(B916="RTG Crane",IF(D916&lt;600,800000,1200000),VLOOKUP(B916,'$$$ Replace &amp; Retrofit'!$B$10:$C$14,2)*'CHE Model poplulation'!D916)*E916</f>
        <v>12850.28789688315</v>
      </c>
      <c r="I916" s="4">
        <f>E916*VLOOKUP('CHE Model poplulation'!G916,'$$$ Replace &amp; Retrofit'!$I$10:$J$15,2)</f>
        <v>4520.2172706076171</v>
      </c>
      <c r="J916" s="4">
        <f>IF(D916=50,VLOOKUP(0,'$$$ Replace &amp; Retrofit'!$E$10:$F$13,2),IF(D916&lt;175,VLOOKUP(50,'$$$ Replace &amp; Retrofit'!$E$10:$F$13,2),IF(D916&lt;400,VLOOKUP(175,'$$$ Replace &amp; Retrofit'!$E$10:$F$13,2),IF(D916&gt;=400,VLOOKUP(400,'$$$ Replace &amp; Retrofit'!$E$10:$F$13,2),NA))))*E916</f>
        <v>2056.0460635013042</v>
      </c>
    </row>
    <row r="917" spans="1:10" ht="45" x14ac:dyDescent="0.25">
      <c r="A917" s="255" t="s">
        <v>20</v>
      </c>
      <c r="B917" s="255" t="s">
        <v>211</v>
      </c>
      <c r="C917" s="256">
        <v>2015</v>
      </c>
      <c r="D917" s="256">
        <v>75</v>
      </c>
      <c r="E917">
        <v>0.154203454762598</v>
      </c>
      <c r="F917" s="257"/>
      <c r="G917">
        <f t="shared" si="12"/>
        <v>50</v>
      </c>
      <c r="H917" s="4">
        <f>IF(B917="RTG Crane",IF(D917&lt;600,800000,1200000),VLOOKUP(B917,'$$$ Replace &amp; Retrofit'!$B$10:$C$14,2)*'CHE Model poplulation'!D917)*E917</f>
        <v>11565.25910719485</v>
      </c>
      <c r="I917" s="4">
        <f>E917*VLOOKUP('CHE Model poplulation'!G917,'$$$ Replace &amp; Retrofit'!$I$10:$J$15,2)</f>
        <v>2712.1303623645736</v>
      </c>
      <c r="J917" s="4">
        <f>IF(D917=50,VLOOKUP(0,'$$$ Replace &amp; Retrofit'!$E$10:$F$13,2),IF(D917&lt;175,VLOOKUP(50,'$$$ Replace &amp; Retrofit'!$E$10:$F$13,2),IF(D917&lt;400,VLOOKUP(175,'$$$ Replace &amp; Retrofit'!$E$10:$F$13,2),IF(D917&gt;=400,VLOOKUP(400,'$$$ Replace &amp; Retrofit'!$E$10:$F$13,2),NA))))*E917</f>
        <v>1850.4414571511761</v>
      </c>
    </row>
    <row r="918" spans="1:10" ht="45" x14ac:dyDescent="0.25">
      <c r="A918" s="255" t="s">
        <v>20</v>
      </c>
      <c r="B918" s="255" t="s">
        <v>211</v>
      </c>
      <c r="C918" s="256">
        <v>2015</v>
      </c>
      <c r="D918" s="256">
        <v>100</v>
      </c>
      <c r="E918">
        <v>0.154203454762598</v>
      </c>
      <c r="F918" s="257"/>
      <c r="G918">
        <f t="shared" si="12"/>
        <v>125</v>
      </c>
      <c r="H918" s="4">
        <f>IF(B918="RTG Crane",IF(D918&lt;600,800000,1200000),VLOOKUP(B918,'$$$ Replace &amp; Retrofit'!$B$10:$C$14,2)*'CHE Model poplulation'!D918)*E918</f>
        <v>15420.345476259799</v>
      </c>
      <c r="I918" s="4">
        <f>E918*VLOOKUP('CHE Model poplulation'!G918,'$$$ Replace &amp; Retrofit'!$I$10:$J$15,2)</f>
        <v>3042.8967728303464</v>
      </c>
      <c r="J918" s="4">
        <f>IF(D918=50,VLOOKUP(0,'$$$ Replace &amp; Retrofit'!$E$10:$F$13,2),IF(D918&lt;175,VLOOKUP(50,'$$$ Replace &amp; Retrofit'!$E$10:$F$13,2),IF(D918&lt;400,VLOOKUP(175,'$$$ Replace &amp; Retrofit'!$E$10:$F$13,2),IF(D918&gt;=400,VLOOKUP(400,'$$$ Replace &amp; Retrofit'!$E$10:$F$13,2),NA))))*E918</f>
        <v>1850.4414571511761</v>
      </c>
    </row>
    <row r="919" spans="1:10" ht="45" x14ac:dyDescent="0.25">
      <c r="A919" s="255" t="s">
        <v>20</v>
      </c>
      <c r="B919" s="255" t="s">
        <v>211</v>
      </c>
      <c r="C919" s="256">
        <v>2015</v>
      </c>
      <c r="D919" s="256">
        <v>175</v>
      </c>
      <c r="E919">
        <v>0.154203454762598</v>
      </c>
      <c r="F919" s="257"/>
      <c r="G919">
        <f t="shared" si="12"/>
        <v>175</v>
      </c>
      <c r="H919" s="4">
        <f>IF(B919="RTG Crane",IF(D919&lt;600,800000,1200000),VLOOKUP(B919,'$$$ Replace &amp; Retrofit'!$B$10:$C$14,2)*'CHE Model poplulation'!D919)*E919</f>
        <v>26985.604583454649</v>
      </c>
      <c r="I919" s="4">
        <f>E919*VLOOKUP('CHE Model poplulation'!G919,'$$$ Replace &amp; Retrofit'!$I$10:$J$15,2)</f>
        <v>3823.62886429338</v>
      </c>
      <c r="J919" s="4">
        <f>IF(D919=50,VLOOKUP(0,'$$$ Replace &amp; Retrofit'!$E$10:$F$13,2),IF(D919&lt;175,VLOOKUP(50,'$$$ Replace &amp; Retrofit'!$E$10:$F$13,2),IF(D919&lt;400,VLOOKUP(175,'$$$ Replace &amp; Retrofit'!$E$10:$F$13,2),IF(D919&gt;=400,VLOOKUP(400,'$$$ Replace &amp; Retrofit'!$E$10:$F$13,2),NA))))*E919</f>
        <v>2775.6621857267642</v>
      </c>
    </row>
    <row r="920" spans="1:10" ht="45" x14ac:dyDescent="0.25">
      <c r="A920" s="255" t="s">
        <v>20</v>
      </c>
      <c r="B920" s="255" t="s">
        <v>211</v>
      </c>
      <c r="C920" s="256">
        <v>2015</v>
      </c>
      <c r="D920" s="256">
        <v>300</v>
      </c>
      <c r="E920">
        <v>0.20560460635013</v>
      </c>
      <c r="F920" s="257"/>
      <c r="G920">
        <f t="shared" si="12"/>
        <v>300</v>
      </c>
      <c r="H920" s="4">
        <f>IF(B920="RTG Crane",IF(D920&lt;600,800000,1200000),VLOOKUP(B920,'$$$ Replace &amp; Retrofit'!$B$10:$C$14,2)*'CHE Model poplulation'!D920)*E920</f>
        <v>61681.381905039001</v>
      </c>
      <c r="I920" s="4">
        <f>E920*VLOOKUP('CHE Model poplulation'!G920,'$$$ Replace &amp; Retrofit'!$I$10:$J$15,2)</f>
        <v>5913.8052924487893</v>
      </c>
      <c r="J920" s="4">
        <f>IF(D920=50,VLOOKUP(0,'$$$ Replace &amp; Retrofit'!$E$10:$F$13,2),IF(D920&lt;175,VLOOKUP(50,'$$$ Replace &amp; Retrofit'!$E$10:$F$13,2),IF(D920&lt;400,VLOOKUP(175,'$$$ Replace &amp; Retrofit'!$E$10:$F$13,2),IF(D920&gt;=400,VLOOKUP(400,'$$$ Replace &amp; Retrofit'!$E$10:$F$13,2),NA))))*E920</f>
        <v>3700.8829143023399</v>
      </c>
    </row>
    <row r="921" spans="1:10" ht="45" x14ac:dyDescent="0.25">
      <c r="A921" s="255" t="s">
        <v>20</v>
      </c>
      <c r="B921" s="255" t="s">
        <v>211</v>
      </c>
      <c r="C921" s="256">
        <v>2015</v>
      </c>
      <c r="D921" s="256">
        <v>600</v>
      </c>
      <c r="E921">
        <v>5.1401151587532501E-2</v>
      </c>
      <c r="F921" s="257"/>
      <c r="G921">
        <f t="shared" si="12"/>
        <v>400</v>
      </c>
      <c r="H921" s="4">
        <f>IF(B921="RTG Crane",IF(D921&lt;600,800000,1200000),VLOOKUP(B921,'$$$ Replace &amp; Retrofit'!$B$10:$C$14,2)*'CHE Model poplulation'!D921)*E921</f>
        <v>30840.690952519501</v>
      </c>
      <c r="I921" s="4">
        <f>E921*VLOOKUP('CHE Model poplulation'!G921,'$$$ Replace &amp; Retrofit'!$I$10:$J$15,2)</f>
        <v>2689.9764660303385</v>
      </c>
      <c r="J921" s="4">
        <f>IF(D921=50,VLOOKUP(0,'$$$ Replace &amp; Retrofit'!$E$10:$F$13,2),IF(D921&lt;175,VLOOKUP(50,'$$$ Replace &amp; Retrofit'!$E$10:$F$13,2),IF(D921&lt;400,VLOOKUP(175,'$$$ Replace &amp; Retrofit'!$E$10:$F$13,2),IF(D921&gt;=400,VLOOKUP(400,'$$$ Replace &amp; Retrofit'!$E$10:$F$13,2),NA))))*E921</f>
        <v>1542.0345476259749</v>
      </c>
    </row>
    <row r="922" spans="1:10" ht="45" x14ac:dyDescent="0.25">
      <c r="A922" s="255" t="s">
        <v>20</v>
      </c>
      <c r="B922" s="255" t="s">
        <v>211</v>
      </c>
      <c r="C922" s="256">
        <v>2016</v>
      </c>
      <c r="D922" s="256">
        <v>50</v>
      </c>
      <c r="E922">
        <v>0</v>
      </c>
      <c r="F922" s="257"/>
      <c r="I922" s="4"/>
    </row>
    <row r="923" spans="1:10" ht="45" x14ac:dyDescent="0.25">
      <c r="A923" s="255" t="s">
        <v>20</v>
      </c>
      <c r="B923" s="255" t="s">
        <v>211</v>
      </c>
      <c r="C923" s="256">
        <v>2016</v>
      </c>
      <c r="D923" s="256">
        <v>75</v>
      </c>
      <c r="E923">
        <v>0</v>
      </c>
      <c r="F923" s="257"/>
      <c r="I923" s="4"/>
    </row>
    <row r="924" spans="1:10" ht="45" x14ac:dyDescent="0.25">
      <c r="A924" s="255" t="s">
        <v>20</v>
      </c>
      <c r="B924" s="255" t="s">
        <v>211</v>
      </c>
      <c r="C924" s="256">
        <v>2016</v>
      </c>
      <c r="D924" s="256">
        <v>100</v>
      </c>
      <c r="E924">
        <v>0</v>
      </c>
      <c r="F924" s="257"/>
      <c r="I924" s="4"/>
    </row>
    <row r="925" spans="1:10" ht="45" x14ac:dyDescent="0.25">
      <c r="A925" s="255" t="s">
        <v>20</v>
      </c>
      <c r="B925" s="255" t="s">
        <v>211</v>
      </c>
      <c r="C925" s="256">
        <v>2016</v>
      </c>
      <c r="D925" s="256">
        <v>175</v>
      </c>
      <c r="E925">
        <v>0</v>
      </c>
      <c r="F925" s="257"/>
      <c r="I925" s="4"/>
    </row>
    <row r="926" spans="1:10" ht="45" x14ac:dyDescent="0.25">
      <c r="A926" s="255" t="s">
        <v>20</v>
      </c>
      <c r="B926" s="255" t="s">
        <v>211</v>
      </c>
      <c r="C926" s="256">
        <v>2016</v>
      </c>
      <c r="D926" s="256">
        <v>300</v>
      </c>
      <c r="E926">
        <v>0</v>
      </c>
      <c r="F926" s="257"/>
      <c r="I926" s="4"/>
    </row>
    <row r="927" spans="1:10" ht="45" x14ac:dyDescent="0.25">
      <c r="A927" s="255" t="s">
        <v>20</v>
      </c>
      <c r="B927" s="255" t="s">
        <v>211</v>
      </c>
      <c r="C927" s="256">
        <v>2016</v>
      </c>
      <c r="D927" s="256">
        <v>600</v>
      </c>
      <c r="E927">
        <v>0</v>
      </c>
      <c r="F927" s="257"/>
      <c r="I927" s="4"/>
    </row>
    <row r="928" spans="1:10" ht="45" x14ac:dyDescent="0.25">
      <c r="A928" s="255" t="s">
        <v>20</v>
      </c>
      <c r="B928" s="255" t="s">
        <v>211</v>
      </c>
      <c r="C928" s="256">
        <v>2017</v>
      </c>
      <c r="D928" s="256">
        <v>50</v>
      </c>
      <c r="E928">
        <v>0</v>
      </c>
      <c r="F928" s="257"/>
      <c r="I928" s="4"/>
    </row>
    <row r="929" spans="1:9" ht="45" x14ac:dyDescent="0.25">
      <c r="A929" s="255" t="s">
        <v>20</v>
      </c>
      <c r="B929" s="255" t="s">
        <v>211</v>
      </c>
      <c r="C929" s="256">
        <v>2017</v>
      </c>
      <c r="D929" s="256">
        <v>75</v>
      </c>
      <c r="E929">
        <v>0</v>
      </c>
      <c r="F929" s="257"/>
      <c r="I929" s="4"/>
    </row>
    <row r="930" spans="1:9" ht="45" x14ac:dyDescent="0.25">
      <c r="A930" s="255" t="s">
        <v>20</v>
      </c>
      <c r="B930" s="255" t="s">
        <v>211</v>
      </c>
      <c r="C930" s="256">
        <v>2017</v>
      </c>
      <c r="D930" s="256">
        <v>100</v>
      </c>
      <c r="E930">
        <v>0</v>
      </c>
      <c r="F930" s="257"/>
      <c r="I930" s="4"/>
    </row>
    <row r="931" spans="1:9" ht="45" x14ac:dyDescent="0.25">
      <c r="A931" s="255" t="s">
        <v>20</v>
      </c>
      <c r="B931" s="255" t="s">
        <v>211</v>
      </c>
      <c r="C931" s="256">
        <v>2017</v>
      </c>
      <c r="D931" s="256">
        <v>175</v>
      </c>
      <c r="E931">
        <v>0</v>
      </c>
      <c r="F931" s="257"/>
      <c r="I931" s="4"/>
    </row>
    <row r="932" spans="1:9" ht="45" x14ac:dyDescent="0.25">
      <c r="A932" s="255" t="s">
        <v>20</v>
      </c>
      <c r="B932" s="255" t="s">
        <v>211</v>
      </c>
      <c r="C932" s="256">
        <v>2017</v>
      </c>
      <c r="D932" s="256">
        <v>300</v>
      </c>
      <c r="E932">
        <v>0</v>
      </c>
      <c r="F932" s="257"/>
      <c r="I932" s="4"/>
    </row>
    <row r="933" spans="1:9" ht="45" x14ac:dyDescent="0.25">
      <c r="A933" s="255" t="s">
        <v>20</v>
      </c>
      <c r="B933" s="255" t="s">
        <v>211</v>
      </c>
      <c r="C933" s="256">
        <v>2017</v>
      </c>
      <c r="D933" s="256">
        <v>600</v>
      </c>
      <c r="E933">
        <v>0</v>
      </c>
      <c r="F933" s="257"/>
      <c r="I933" s="4"/>
    </row>
    <row r="934" spans="1:9" ht="45" x14ac:dyDescent="0.25">
      <c r="A934" s="255" t="s">
        <v>20</v>
      </c>
      <c r="B934" s="255" t="s">
        <v>211</v>
      </c>
      <c r="C934" s="256">
        <v>2018</v>
      </c>
      <c r="D934" s="256">
        <v>50</v>
      </c>
      <c r="E934">
        <v>0</v>
      </c>
      <c r="F934" s="257"/>
      <c r="I934" s="4"/>
    </row>
    <row r="935" spans="1:9" ht="45" x14ac:dyDescent="0.25">
      <c r="A935" s="255" t="s">
        <v>20</v>
      </c>
      <c r="B935" s="255" t="s">
        <v>211</v>
      </c>
      <c r="C935" s="256">
        <v>2018</v>
      </c>
      <c r="D935" s="256">
        <v>75</v>
      </c>
      <c r="E935">
        <v>0</v>
      </c>
      <c r="F935" s="257"/>
      <c r="I935" s="4"/>
    </row>
    <row r="936" spans="1:9" ht="45" x14ac:dyDescent="0.25">
      <c r="A936" s="255" t="s">
        <v>20</v>
      </c>
      <c r="B936" s="255" t="s">
        <v>211</v>
      </c>
      <c r="C936" s="256">
        <v>2018</v>
      </c>
      <c r="D936" s="256">
        <v>100</v>
      </c>
      <c r="E936">
        <v>0</v>
      </c>
      <c r="F936" s="257"/>
      <c r="I936" s="4"/>
    </row>
    <row r="937" spans="1:9" ht="45" x14ac:dyDescent="0.25">
      <c r="A937" s="255" t="s">
        <v>20</v>
      </c>
      <c r="B937" s="255" t="s">
        <v>211</v>
      </c>
      <c r="C937" s="256">
        <v>2018</v>
      </c>
      <c r="D937" s="256">
        <v>175</v>
      </c>
      <c r="E937">
        <v>0</v>
      </c>
      <c r="F937" s="257"/>
      <c r="I937" s="4"/>
    </row>
    <row r="938" spans="1:9" ht="45" x14ac:dyDescent="0.25">
      <c r="A938" s="255" t="s">
        <v>20</v>
      </c>
      <c r="B938" s="255" t="s">
        <v>211</v>
      </c>
      <c r="C938" s="256">
        <v>2018</v>
      </c>
      <c r="D938" s="256">
        <v>300</v>
      </c>
      <c r="E938">
        <v>0</v>
      </c>
      <c r="F938" s="257"/>
      <c r="I938" s="4"/>
    </row>
    <row r="939" spans="1:9" ht="45" x14ac:dyDescent="0.25">
      <c r="A939" s="255" t="s">
        <v>20</v>
      </c>
      <c r="B939" s="255" t="s">
        <v>211</v>
      </c>
      <c r="C939" s="256">
        <v>2018</v>
      </c>
      <c r="D939" s="256">
        <v>600</v>
      </c>
      <c r="E939">
        <v>0</v>
      </c>
      <c r="F939" s="257"/>
      <c r="I939" s="4"/>
    </row>
    <row r="940" spans="1:9" ht="45" x14ac:dyDescent="0.25">
      <c r="A940" s="255" t="s">
        <v>20</v>
      </c>
      <c r="B940" s="255" t="s">
        <v>211</v>
      </c>
      <c r="C940" s="256">
        <v>2019</v>
      </c>
      <c r="D940" s="256">
        <v>50</v>
      </c>
      <c r="E940">
        <v>0</v>
      </c>
      <c r="F940" s="257"/>
      <c r="I940" s="4"/>
    </row>
    <row r="941" spans="1:9" ht="45" x14ac:dyDescent="0.25">
      <c r="A941" s="255" t="s">
        <v>20</v>
      </c>
      <c r="B941" s="255" t="s">
        <v>211</v>
      </c>
      <c r="C941" s="256">
        <v>2019</v>
      </c>
      <c r="D941" s="256">
        <v>75</v>
      </c>
      <c r="E941">
        <v>0</v>
      </c>
      <c r="F941" s="257"/>
      <c r="I941" s="4"/>
    </row>
    <row r="942" spans="1:9" ht="45" x14ac:dyDescent="0.25">
      <c r="A942" s="255" t="s">
        <v>20</v>
      </c>
      <c r="B942" s="255" t="s">
        <v>211</v>
      </c>
      <c r="C942" s="256">
        <v>2019</v>
      </c>
      <c r="D942" s="256">
        <v>100</v>
      </c>
      <c r="E942">
        <v>0</v>
      </c>
      <c r="F942" s="257"/>
      <c r="I942" s="4"/>
    </row>
    <row r="943" spans="1:9" ht="45" x14ac:dyDescent="0.25">
      <c r="A943" s="255" t="s">
        <v>20</v>
      </c>
      <c r="B943" s="255" t="s">
        <v>211</v>
      </c>
      <c r="C943" s="256">
        <v>2019</v>
      </c>
      <c r="D943" s="256">
        <v>175</v>
      </c>
      <c r="E943">
        <v>0</v>
      </c>
      <c r="F943" s="257"/>
      <c r="I943" s="4"/>
    </row>
    <row r="944" spans="1:9" ht="45" x14ac:dyDescent="0.25">
      <c r="A944" s="255" t="s">
        <v>20</v>
      </c>
      <c r="B944" s="255" t="s">
        <v>211</v>
      </c>
      <c r="C944" s="256">
        <v>2019</v>
      </c>
      <c r="D944" s="256">
        <v>300</v>
      </c>
      <c r="E944">
        <v>0</v>
      </c>
      <c r="F944" s="257"/>
      <c r="I944" s="4"/>
    </row>
    <row r="945" spans="1:9" ht="45" x14ac:dyDescent="0.25">
      <c r="A945" s="255" t="s">
        <v>20</v>
      </c>
      <c r="B945" s="255" t="s">
        <v>211</v>
      </c>
      <c r="C945" s="256">
        <v>2019</v>
      </c>
      <c r="D945" s="256">
        <v>600</v>
      </c>
      <c r="E945">
        <v>0</v>
      </c>
      <c r="F945" s="257"/>
      <c r="I945" s="4"/>
    </row>
    <row r="946" spans="1:9" ht="45" x14ac:dyDescent="0.25">
      <c r="A946" s="255" t="s">
        <v>20</v>
      </c>
      <c r="B946" s="255" t="s">
        <v>211</v>
      </c>
      <c r="C946" s="256">
        <v>2020</v>
      </c>
      <c r="D946" s="256">
        <v>50</v>
      </c>
      <c r="E946">
        <v>0</v>
      </c>
      <c r="F946" s="257"/>
      <c r="I946" s="4"/>
    </row>
    <row r="947" spans="1:9" ht="45" x14ac:dyDescent="0.25">
      <c r="A947" s="255" t="s">
        <v>20</v>
      </c>
      <c r="B947" s="255" t="s">
        <v>211</v>
      </c>
      <c r="C947" s="256">
        <v>2020</v>
      </c>
      <c r="D947" s="256">
        <v>75</v>
      </c>
      <c r="E947">
        <v>0</v>
      </c>
      <c r="F947" s="257"/>
      <c r="I947" s="4"/>
    </row>
    <row r="948" spans="1:9" ht="45" x14ac:dyDescent="0.25">
      <c r="A948" s="255" t="s">
        <v>20</v>
      </c>
      <c r="B948" s="255" t="s">
        <v>211</v>
      </c>
      <c r="C948" s="256">
        <v>2020</v>
      </c>
      <c r="D948" s="256">
        <v>100</v>
      </c>
      <c r="E948">
        <v>0</v>
      </c>
      <c r="F948" s="257"/>
      <c r="I948" s="4"/>
    </row>
    <row r="949" spans="1:9" ht="45" x14ac:dyDescent="0.25">
      <c r="A949" s="255" t="s">
        <v>20</v>
      </c>
      <c r="B949" s="255" t="s">
        <v>211</v>
      </c>
      <c r="C949" s="256">
        <v>2020</v>
      </c>
      <c r="D949" s="256">
        <v>175</v>
      </c>
      <c r="E949">
        <v>0</v>
      </c>
      <c r="F949" s="257"/>
      <c r="I949" s="4"/>
    </row>
    <row r="950" spans="1:9" ht="45" x14ac:dyDescent="0.25">
      <c r="A950" s="255" t="s">
        <v>20</v>
      </c>
      <c r="B950" s="255" t="s">
        <v>211</v>
      </c>
      <c r="C950" s="256">
        <v>2020</v>
      </c>
      <c r="D950" s="256">
        <v>300</v>
      </c>
      <c r="E950">
        <v>0</v>
      </c>
      <c r="F950" s="257"/>
      <c r="I950" s="4"/>
    </row>
    <row r="951" spans="1:9" ht="45" x14ac:dyDescent="0.25">
      <c r="A951" s="255" t="s">
        <v>20</v>
      </c>
      <c r="B951" s="255" t="s">
        <v>211</v>
      </c>
      <c r="C951" s="256">
        <v>2020</v>
      </c>
      <c r="D951" s="256">
        <v>600</v>
      </c>
      <c r="E951">
        <v>0</v>
      </c>
      <c r="F951" s="257"/>
      <c r="I951" s="4"/>
    </row>
    <row r="952" spans="1:9" ht="45" x14ac:dyDescent="0.25">
      <c r="A952" s="255" t="s">
        <v>20</v>
      </c>
      <c r="B952" s="255" t="s">
        <v>211</v>
      </c>
      <c r="C952" s="256">
        <v>2021</v>
      </c>
      <c r="D952" s="256">
        <v>50</v>
      </c>
      <c r="E952">
        <v>0</v>
      </c>
      <c r="F952" s="257"/>
      <c r="I952" s="4"/>
    </row>
    <row r="953" spans="1:9" ht="45" x14ac:dyDescent="0.25">
      <c r="A953" s="255" t="s">
        <v>20</v>
      </c>
      <c r="B953" s="255" t="s">
        <v>211</v>
      </c>
      <c r="C953" s="256">
        <v>2021</v>
      </c>
      <c r="D953" s="256">
        <v>75</v>
      </c>
      <c r="E953">
        <v>0</v>
      </c>
      <c r="F953" s="257"/>
      <c r="I953" s="4"/>
    </row>
    <row r="954" spans="1:9" ht="45" x14ac:dyDescent="0.25">
      <c r="A954" s="255" t="s">
        <v>20</v>
      </c>
      <c r="B954" s="255" t="s">
        <v>211</v>
      </c>
      <c r="C954" s="256">
        <v>2021</v>
      </c>
      <c r="D954" s="256">
        <v>100</v>
      </c>
      <c r="E954">
        <v>0</v>
      </c>
      <c r="F954" s="257"/>
      <c r="I954" s="4"/>
    </row>
    <row r="955" spans="1:9" ht="45" x14ac:dyDescent="0.25">
      <c r="A955" s="255" t="s">
        <v>20</v>
      </c>
      <c r="B955" s="255" t="s">
        <v>211</v>
      </c>
      <c r="C955" s="256">
        <v>2021</v>
      </c>
      <c r="D955" s="256">
        <v>175</v>
      </c>
      <c r="E955">
        <v>0</v>
      </c>
      <c r="F955" s="257"/>
      <c r="I955" s="4"/>
    </row>
    <row r="956" spans="1:9" ht="45" x14ac:dyDescent="0.25">
      <c r="A956" s="255" t="s">
        <v>20</v>
      </c>
      <c r="B956" s="255" t="s">
        <v>211</v>
      </c>
      <c r="C956" s="256">
        <v>2021</v>
      </c>
      <c r="D956" s="256">
        <v>300</v>
      </c>
      <c r="E956">
        <v>0</v>
      </c>
      <c r="F956" s="257"/>
      <c r="I956" s="4"/>
    </row>
    <row r="957" spans="1:9" ht="45" x14ac:dyDescent="0.25">
      <c r="A957" s="255" t="s">
        <v>20</v>
      </c>
      <c r="B957" s="255" t="s">
        <v>211</v>
      </c>
      <c r="C957" s="256">
        <v>2021</v>
      </c>
      <c r="D957" s="256">
        <v>600</v>
      </c>
      <c r="E957">
        <v>0</v>
      </c>
      <c r="F957" s="257"/>
      <c r="I957" s="4"/>
    </row>
    <row r="958" spans="1:9" ht="45" x14ac:dyDescent="0.25">
      <c r="A958" s="255" t="s">
        <v>20</v>
      </c>
      <c r="B958" s="255" t="s">
        <v>211</v>
      </c>
      <c r="C958" s="256">
        <v>2022</v>
      </c>
      <c r="D958" s="256">
        <v>50</v>
      </c>
      <c r="E958">
        <v>0</v>
      </c>
      <c r="F958" s="257"/>
      <c r="I958" s="4"/>
    </row>
    <row r="959" spans="1:9" ht="45" x14ac:dyDescent="0.25">
      <c r="A959" s="255" t="s">
        <v>20</v>
      </c>
      <c r="B959" s="255" t="s">
        <v>211</v>
      </c>
      <c r="C959" s="256">
        <v>2022</v>
      </c>
      <c r="D959" s="256">
        <v>75</v>
      </c>
      <c r="E959">
        <v>0</v>
      </c>
      <c r="F959" s="257"/>
      <c r="I959" s="4"/>
    </row>
    <row r="960" spans="1:9" ht="45" x14ac:dyDescent="0.25">
      <c r="A960" s="255" t="s">
        <v>20</v>
      </c>
      <c r="B960" s="255" t="s">
        <v>211</v>
      </c>
      <c r="C960" s="256">
        <v>2022</v>
      </c>
      <c r="D960" s="256">
        <v>100</v>
      </c>
      <c r="E960">
        <v>0</v>
      </c>
      <c r="F960" s="257"/>
      <c r="I960" s="4"/>
    </row>
    <row r="961" spans="1:9" ht="45" x14ac:dyDescent="0.25">
      <c r="A961" s="255" t="s">
        <v>20</v>
      </c>
      <c r="B961" s="255" t="s">
        <v>211</v>
      </c>
      <c r="C961" s="256">
        <v>2022</v>
      </c>
      <c r="D961" s="256">
        <v>175</v>
      </c>
      <c r="E961">
        <v>0</v>
      </c>
      <c r="F961" s="257"/>
      <c r="I961" s="4"/>
    </row>
    <row r="962" spans="1:9" ht="45" x14ac:dyDescent="0.25">
      <c r="A962" s="255" t="s">
        <v>20</v>
      </c>
      <c r="B962" s="255" t="s">
        <v>211</v>
      </c>
      <c r="C962" s="256">
        <v>2022</v>
      </c>
      <c r="D962" s="256">
        <v>300</v>
      </c>
      <c r="E962">
        <v>0</v>
      </c>
      <c r="F962" s="257"/>
      <c r="I962" s="4"/>
    </row>
    <row r="963" spans="1:9" ht="45" x14ac:dyDescent="0.25">
      <c r="A963" s="255" t="s">
        <v>20</v>
      </c>
      <c r="B963" s="255" t="s">
        <v>211</v>
      </c>
      <c r="C963" s="256">
        <v>2022</v>
      </c>
      <c r="D963" s="256">
        <v>600</v>
      </c>
      <c r="E963">
        <v>0</v>
      </c>
      <c r="F963" s="257"/>
      <c r="I963" s="4"/>
    </row>
    <row r="964" spans="1:9" ht="45" x14ac:dyDescent="0.25">
      <c r="A964" s="255" t="s">
        <v>20</v>
      </c>
      <c r="B964" s="255" t="s">
        <v>211</v>
      </c>
      <c r="C964" s="256">
        <v>2023</v>
      </c>
      <c r="D964" s="256">
        <v>50</v>
      </c>
      <c r="E964">
        <v>0</v>
      </c>
      <c r="F964" s="257"/>
      <c r="I964" s="4"/>
    </row>
    <row r="965" spans="1:9" ht="45" x14ac:dyDescent="0.25">
      <c r="A965" s="255" t="s">
        <v>20</v>
      </c>
      <c r="B965" s="255" t="s">
        <v>211</v>
      </c>
      <c r="C965" s="256">
        <v>2023</v>
      </c>
      <c r="D965" s="256">
        <v>75</v>
      </c>
      <c r="E965">
        <v>0</v>
      </c>
      <c r="F965" s="257"/>
      <c r="I965" s="4"/>
    </row>
    <row r="966" spans="1:9" ht="45" x14ac:dyDescent="0.25">
      <c r="A966" s="255" t="s">
        <v>20</v>
      </c>
      <c r="B966" s="255" t="s">
        <v>211</v>
      </c>
      <c r="C966" s="256">
        <v>2023</v>
      </c>
      <c r="D966" s="256">
        <v>100</v>
      </c>
      <c r="E966">
        <v>0</v>
      </c>
      <c r="F966" s="257"/>
      <c r="I966" s="4"/>
    </row>
    <row r="967" spans="1:9" ht="45" x14ac:dyDescent="0.25">
      <c r="A967" s="255" t="s">
        <v>20</v>
      </c>
      <c r="B967" s="255" t="s">
        <v>211</v>
      </c>
      <c r="C967" s="256">
        <v>2023</v>
      </c>
      <c r="D967" s="256">
        <v>175</v>
      </c>
      <c r="E967">
        <v>0</v>
      </c>
      <c r="F967" s="257"/>
      <c r="I967" s="4"/>
    </row>
    <row r="968" spans="1:9" ht="45" x14ac:dyDescent="0.25">
      <c r="A968" s="255" t="s">
        <v>20</v>
      </c>
      <c r="B968" s="255" t="s">
        <v>211</v>
      </c>
      <c r="C968" s="256">
        <v>2023</v>
      </c>
      <c r="D968" s="256">
        <v>300</v>
      </c>
      <c r="E968">
        <v>0</v>
      </c>
      <c r="F968" s="257"/>
      <c r="I968" s="4"/>
    </row>
    <row r="969" spans="1:9" ht="45" x14ac:dyDescent="0.25">
      <c r="A969" s="255" t="s">
        <v>20</v>
      </c>
      <c r="B969" s="255" t="s">
        <v>211</v>
      </c>
      <c r="C969" s="256">
        <v>2023</v>
      </c>
      <c r="D969" s="256">
        <v>600</v>
      </c>
      <c r="E969">
        <v>0</v>
      </c>
      <c r="F969" s="257"/>
      <c r="I969" s="4"/>
    </row>
    <row r="970" spans="1:9" ht="45" x14ac:dyDescent="0.25">
      <c r="A970" s="255" t="s">
        <v>20</v>
      </c>
      <c r="B970" s="255" t="s">
        <v>211</v>
      </c>
      <c r="C970" s="256">
        <v>2024</v>
      </c>
      <c r="D970" s="256">
        <v>50</v>
      </c>
      <c r="E970">
        <v>0</v>
      </c>
      <c r="F970" s="257"/>
      <c r="I970" s="4"/>
    </row>
    <row r="971" spans="1:9" ht="45" x14ac:dyDescent="0.25">
      <c r="A971" s="255" t="s">
        <v>20</v>
      </c>
      <c r="B971" s="255" t="s">
        <v>211</v>
      </c>
      <c r="C971" s="256">
        <v>2024</v>
      </c>
      <c r="D971" s="256">
        <v>75</v>
      </c>
      <c r="E971">
        <v>0</v>
      </c>
      <c r="F971" s="257"/>
      <c r="I971" s="4"/>
    </row>
    <row r="972" spans="1:9" ht="45" x14ac:dyDescent="0.25">
      <c r="A972" s="255" t="s">
        <v>20</v>
      </c>
      <c r="B972" s="255" t="s">
        <v>211</v>
      </c>
      <c r="C972" s="256">
        <v>2024</v>
      </c>
      <c r="D972" s="256">
        <v>100</v>
      </c>
      <c r="E972">
        <v>0</v>
      </c>
      <c r="F972" s="257"/>
      <c r="I972" s="4"/>
    </row>
    <row r="973" spans="1:9" ht="45" x14ac:dyDescent="0.25">
      <c r="A973" s="255" t="s">
        <v>20</v>
      </c>
      <c r="B973" s="255" t="s">
        <v>211</v>
      </c>
      <c r="C973" s="256">
        <v>2024</v>
      </c>
      <c r="D973" s="256">
        <v>175</v>
      </c>
      <c r="E973">
        <v>0</v>
      </c>
      <c r="F973" s="257"/>
      <c r="I973" s="4"/>
    </row>
    <row r="974" spans="1:9" ht="45" x14ac:dyDescent="0.25">
      <c r="A974" s="255" t="s">
        <v>20</v>
      </c>
      <c r="B974" s="255" t="s">
        <v>211</v>
      </c>
      <c r="C974" s="256">
        <v>2024</v>
      </c>
      <c r="D974" s="256">
        <v>300</v>
      </c>
      <c r="E974">
        <v>0</v>
      </c>
      <c r="F974" s="257"/>
      <c r="I974" s="4"/>
    </row>
    <row r="975" spans="1:9" ht="45" x14ac:dyDescent="0.25">
      <c r="A975" s="255" t="s">
        <v>20</v>
      </c>
      <c r="B975" s="255" t="s">
        <v>211</v>
      </c>
      <c r="C975" s="256">
        <v>2024</v>
      </c>
      <c r="D975" s="256">
        <v>600</v>
      </c>
      <c r="E975">
        <v>0</v>
      </c>
      <c r="F975" s="257"/>
      <c r="I975" s="4"/>
    </row>
    <row r="976" spans="1:9" ht="45" x14ac:dyDescent="0.25">
      <c r="A976" s="255" t="s">
        <v>20</v>
      </c>
      <c r="B976" s="255" t="s">
        <v>211</v>
      </c>
      <c r="C976" s="256">
        <v>2025</v>
      </c>
      <c r="D976" s="256">
        <v>50</v>
      </c>
      <c r="E976">
        <v>0</v>
      </c>
      <c r="F976" s="257"/>
      <c r="I976" s="4"/>
    </row>
    <row r="977" spans="1:9" ht="45" x14ac:dyDescent="0.25">
      <c r="A977" s="255" t="s">
        <v>20</v>
      </c>
      <c r="B977" s="255" t="s">
        <v>211</v>
      </c>
      <c r="C977" s="256">
        <v>2025</v>
      </c>
      <c r="D977" s="256">
        <v>75</v>
      </c>
      <c r="E977">
        <v>0</v>
      </c>
      <c r="F977" s="257"/>
      <c r="I977" s="4"/>
    </row>
    <row r="978" spans="1:9" ht="45" x14ac:dyDescent="0.25">
      <c r="A978" s="255" t="s">
        <v>20</v>
      </c>
      <c r="B978" s="255" t="s">
        <v>211</v>
      </c>
      <c r="C978" s="256">
        <v>2025</v>
      </c>
      <c r="D978" s="256">
        <v>100</v>
      </c>
      <c r="E978">
        <v>0</v>
      </c>
      <c r="F978" s="257"/>
      <c r="I978" s="4"/>
    </row>
    <row r="979" spans="1:9" ht="45" x14ac:dyDescent="0.25">
      <c r="A979" s="255" t="s">
        <v>20</v>
      </c>
      <c r="B979" s="255" t="s">
        <v>211</v>
      </c>
      <c r="C979" s="256">
        <v>2025</v>
      </c>
      <c r="D979" s="256">
        <v>175</v>
      </c>
      <c r="E979">
        <v>0</v>
      </c>
      <c r="F979" s="257"/>
      <c r="I979" s="4"/>
    </row>
    <row r="980" spans="1:9" ht="45" x14ac:dyDescent="0.25">
      <c r="A980" s="255" t="s">
        <v>20</v>
      </c>
      <c r="B980" s="255" t="s">
        <v>211</v>
      </c>
      <c r="C980" s="256">
        <v>2025</v>
      </c>
      <c r="D980" s="256">
        <v>300</v>
      </c>
      <c r="E980">
        <v>0</v>
      </c>
      <c r="F980" s="257"/>
      <c r="I980" s="4"/>
    </row>
    <row r="981" spans="1:9" ht="45" x14ac:dyDescent="0.25">
      <c r="A981" s="255" t="s">
        <v>20</v>
      </c>
      <c r="B981" s="255" t="s">
        <v>211</v>
      </c>
      <c r="C981" s="256">
        <v>2025</v>
      </c>
      <c r="D981" s="256">
        <v>600</v>
      </c>
      <c r="E981">
        <v>0</v>
      </c>
      <c r="F981" s="257"/>
      <c r="I981" s="4"/>
    </row>
    <row r="982" spans="1:9" x14ac:dyDescent="0.25">
      <c r="A982" s="255" t="s">
        <v>20</v>
      </c>
      <c r="B982" s="255" t="s">
        <v>212</v>
      </c>
      <c r="C982" s="256">
        <v>2006</v>
      </c>
      <c r="D982" s="256">
        <v>100</v>
      </c>
      <c r="E982">
        <v>0</v>
      </c>
      <c r="F982" s="257"/>
      <c r="I982" s="4"/>
    </row>
    <row r="983" spans="1:9" x14ac:dyDescent="0.25">
      <c r="A983" s="255" t="s">
        <v>20</v>
      </c>
      <c r="B983" s="255" t="s">
        <v>212</v>
      </c>
      <c r="C983" s="256">
        <v>2006</v>
      </c>
      <c r="D983" s="256">
        <v>300</v>
      </c>
      <c r="E983">
        <v>0</v>
      </c>
      <c r="F983" s="257"/>
      <c r="I983" s="4"/>
    </row>
    <row r="984" spans="1:9" x14ac:dyDescent="0.25">
      <c r="A984" s="255" t="s">
        <v>20</v>
      </c>
      <c r="B984" s="255" t="s">
        <v>212</v>
      </c>
      <c r="C984" s="256">
        <v>2006</v>
      </c>
      <c r="D984" s="256">
        <v>600</v>
      </c>
      <c r="E984">
        <v>0</v>
      </c>
      <c r="F984" s="257"/>
      <c r="I984" s="4"/>
    </row>
    <row r="985" spans="1:9" x14ac:dyDescent="0.25">
      <c r="A985" s="255" t="s">
        <v>20</v>
      </c>
      <c r="B985" s="255" t="s">
        <v>212</v>
      </c>
      <c r="C985" s="256">
        <v>2006</v>
      </c>
      <c r="D985" s="256">
        <v>750</v>
      </c>
      <c r="E985">
        <v>0</v>
      </c>
      <c r="F985" s="257"/>
      <c r="I985" s="4"/>
    </row>
    <row r="986" spans="1:9" x14ac:dyDescent="0.25">
      <c r="A986" s="255" t="s">
        <v>20</v>
      </c>
      <c r="B986" s="255" t="s">
        <v>212</v>
      </c>
      <c r="C986" s="256">
        <v>2006</v>
      </c>
      <c r="D986" s="256">
        <v>9999</v>
      </c>
      <c r="E986">
        <v>0</v>
      </c>
      <c r="F986" s="257"/>
      <c r="I986" s="4"/>
    </row>
    <row r="987" spans="1:9" x14ac:dyDescent="0.25">
      <c r="A987" s="255" t="s">
        <v>20</v>
      </c>
      <c r="B987" s="255" t="s">
        <v>212</v>
      </c>
      <c r="C987" s="256">
        <v>2007</v>
      </c>
      <c r="D987" s="256">
        <v>100</v>
      </c>
      <c r="E987">
        <v>0</v>
      </c>
      <c r="F987" s="257"/>
      <c r="I987" s="4"/>
    </row>
    <row r="988" spans="1:9" x14ac:dyDescent="0.25">
      <c r="A988" s="255" t="s">
        <v>20</v>
      </c>
      <c r="B988" s="255" t="s">
        <v>212</v>
      </c>
      <c r="C988" s="256">
        <v>2007</v>
      </c>
      <c r="D988" s="256">
        <v>300</v>
      </c>
      <c r="E988">
        <v>0</v>
      </c>
      <c r="F988" s="257"/>
      <c r="I988" s="4"/>
    </row>
    <row r="989" spans="1:9" x14ac:dyDescent="0.25">
      <c r="A989" s="255" t="s">
        <v>20</v>
      </c>
      <c r="B989" s="255" t="s">
        <v>212</v>
      </c>
      <c r="C989" s="256">
        <v>2007</v>
      </c>
      <c r="D989" s="256">
        <v>600</v>
      </c>
      <c r="E989">
        <v>0</v>
      </c>
      <c r="F989" s="257"/>
      <c r="I989" s="4"/>
    </row>
    <row r="990" spans="1:9" x14ac:dyDescent="0.25">
      <c r="A990" s="255" t="s">
        <v>20</v>
      </c>
      <c r="B990" s="255" t="s">
        <v>212</v>
      </c>
      <c r="C990" s="256">
        <v>2007</v>
      </c>
      <c r="D990" s="256">
        <v>750</v>
      </c>
      <c r="E990">
        <v>0</v>
      </c>
      <c r="F990" s="257"/>
      <c r="I990" s="4"/>
    </row>
    <row r="991" spans="1:9" x14ac:dyDescent="0.25">
      <c r="A991" s="255" t="s">
        <v>20</v>
      </c>
      <c r="B991" s="255" t="s">
        <v>212</v>
      </c>
      <c r="C991" s="256">
        <v>2007</v>
      </c>
      <c r="D991" s="256">
        <v>9999</v>
      </c>
      <c r="E991">
        <v>0</v>
      </c>
      <c r="F991" s="257"/>
      <c r="I991" s="4"/>
    </row>
    <row r="992" spans="1:9" x14ac:dyDescent="0.25">
      <c r="A992" s="255" t="s">
        <v>20</v>
      </c>
      <c r="B992" s="255" t="s">
        <v>212</v>
      </c>
      <c r="C992" s="256">
        <v>2008</v>
      </c>
      <c r="D992" s="256">
        <v>100</v>
      </c>
      <c r="E992">
        <v>0</v>
      </c>
      <c r="F992" s="257"/>
      <c r="I992" s="4"/>
    </row>
    <row r="993" spans="1:10" x14ac:dyDescent="0.25">
      <c r="A993" s="255" t="s">
        <v>20</v>
      </c>
      <c r="B993" s="255" t="s">
        <v>212</v>
      </c>
      <c r="C993" s="256">
        <v>2008</v>
      </c>
      <c r="D993" s="256">
        <v>300</v>
      </c>
      <c r="E993">
        <v>0</v>
      </c>
      <c r="F993" s="257"/>
      <c r="I993" s="4"/>
    </row>
    <row r="994" spans="1:10" x14ac:dyDescent="0.25">
      <c r="A994" s="255" t="s">
        <v>20</v>
      </c>
      <c r="B994" s="255" t="s">
        <v>212</v>
      </c>
      <c r="C994" s="256">
        <v>2008</v>
      </c>
      <c r="D994" s="256">
        <v>600</v>
      </c>
      <c r="E994">
        <v>0</v>
      </c>
      <c r="F994" s="257"/>
      <c r="I994" s="4"/>
    </row>
    <row r="995" spans="1:10" x14ac:dyDescent="0.25">
      <c r="A995" s="255" t="s">
        <v>20</v>
      </c>
      <c r="B995" s="255" t="s">
        <v>212</v>
      </c>
      <c r="C995" s="256">
        <v>2008</v>
      </c>
      <c r="D995" s="256">
        <v>750</v>
      </c>
      <c r="E995">
        <v>0</v>
      </c>
      <c r="F995" s="257"/>
      <c r="I995" s="4"/>
    </row>
    <row r="996" spans="1:10" x14ac:dyDescent="0.25">
      <c r="A996" s="255" t="s">
        <v>20</v>
      </c>
      <c r="B996" s="255" t="s">
        <v>212</v>
      </c>
      <c r="C996" s="256">
        <v>2008</v>
      </c>
      <c r="D996" s="256">
        <v>9999</v>
      </c>
      <c r="E996">
        <v>0</v>
      </c>
      <c r="F996" s="257"/>
      <c r="I996" s="4"/>
    </row>
    <row r="997" spans="1:10" x14ac:dyDescent="0.25">
      <c r="A997" s="255" t="s">
        <v>20</v>
      </c>
      <c r="B997" s="255" t="s">
        <v>212</v>
      </c>
      <c r="C997" s="256">
        <v>2009</v>
      </c>
      <c r="D997" s="256">
        <v>100</v>
      </c>
      <c r="E997">
        <v>0</v>
      </c>
      <c r="F997" s="257"/>
      <c r="I997" s="4"/>
    </row>
    <row r="998" spans="1:10" x14ac:dyDescent="0.25">
      <c r="A998" s="255" t="s">
        <v>20</v>
      </c>
      <c r="B998" s="255" t="s">
        <v>212</v>
      </c>
      <c r="C998" s="256">
        <v>2009</v>
      </c>
      <c r="D998" s="256">
        <v>300</v>
      </c>
      <c r="E998">
        <v>0</v>
      </c>
      <c r="F998" s="257"/>
      <c r="I998" s="4"/>
    </row>
    <row r="999" spans="1:10" x14ac:dyDescent="0.25">
      <c r="A999" s="255" t="s">
        <v>20</v>
      </c>
      <c r="B999" s="255" t="s">
        <v>212</v>
      </c>
      <c r="C999" s="256">
        <v>2009</v>
      </c>
      <c r="D999" s="256">
        <v>600</v>
      </c>
      <c r="E999">
        <v>0</v>
      </c>
      <c r="F999" s="257"/>
      <c r="I999" s="4"/>
    </row>
    <row r="1000" spans="1:10" x14ac:dyDescent="0.25">
      <c r="A1000" s="255" t="s">
        <v>20</v>
      </c>
      <c r="B1000" s="255" t="s">
        <v>212</v>
      </c>
      <c r="C1000" s="256">
        <v>2009</v>
      </c>
      <c r="D1000" s="256">
        <v>750</v>
      </c>
      <c r="E1000">
        <v>0</v>
      </c>
      <c r="F1000" s="257"/>
      <c r="I1000" s="4"/>
    </row>
    <row r="1001" spans="1:10" x14ac:dyDescent="0.25">
      <c r="A1001" s="255" t="s">
        <v>20</v>
      </c>
      <c r="B1001" s="255" t="s">
        <v>212</v>
      </c>
      <c r="C1001" s="256">
        <v>2009</v>
      </c>
      <c r="D1001" s="256">
        <v>9999</v>
      </c>
      <c r="E1001">
        <v>0</v>
      </c>
      <c r="F1001" s="257"/>
      <c r="I1001" s="4"/>
    </row>
    <row r="1002" spans="1:10" x14ac:dyDescent="0.25">
      <c r="A1002" s="255" t="s">
        <v>20</v>
      </c>
      <c r="B1002" s="255" t="s">
        <v>212</v>
      </c>
      <c r="C1002" s="256">
        <v>2010</v>
      </c>
      <c r="D1002" s="256">
        <v>100</v>
      </c>
      <c r="E1002">
        <v>4.7326076668244302E-2</v>
      </c>
      <c r="F1002" s="257">
        <f>SUM(E1002:E1006)</f>
        <v>25.000000000000036</v>
      </c>
      <c r="G1002">
        <f t="shared" ref="G1002:G1031" si="13">IF(OR(D1002=50,D1002=75),50,IF(OR(D1002=100,D1002=125),125,IF(D1002&gt;=400,400,D1002)))</f>
        <v>125</v>
      </c>
      <c r="H1002" s="4">
        <f>IF(B1002="RTG Crane",IF(D1002&lt;600,800000,1200000),VLOOKUP(B1002,'$$$ Replace &amp; Retrofit'!$B$10:$C$14,2)*'CHE Model poplulation'!D1002)*E1002</f>
        <v>37860.861334595444</v>
      </c>
      <c r="I1002" s="4">
        <f>E1002*VLOOKUP('CHE Model poplulation'!G1002,'$$$ Replace &amp; Retrofit'!$I$10:$J$15,2)</f>
        <v>933.88547089446479</v>
      </c>
      <c r="J1002" s="4">
        <f>IF(D1002=50,VLOOKUP(0,'$$$ Replace &amp; Retrofit'!$E$10:$F$13,2),IF(D1002&lt;175,VLOOKUP(50,'$$$ Replace &amp; Retrofit'!$E$10:$F$13,2),IF(D1002&lt;400,VLOOKUP(175,'$$$ Replace &amp; Retrofit'!$E$10:$F$13,2),IF(D1002&gt;=400,VLOOKUP(400,'$$$ Replace &amp; Retrofit'!$E$10:$F$13,2),NA))))*E1002</f>
        <v>567.91292001893157</v>
      </c>
    </row>
    <row r="1003" spans="1:10" x14ac:dyDescent="0.25">
      <c r="A1003" s="255" t="s">
        <v>20</v>
      </c>
      <c r="B1003" s="255" t="s">
        <v>212</v>
      </c>
      <c r="C1003" s="256">
        <v>2010</v>
      </c>
      <c r="D1003" s="256">
        <v>300</v>
      </c>
      <c r="E1003">
        <v>5.26502602934218</v>
      </c>
      <c r="F1003" s="257"/>
      <c r="G1003">
        <f t="shared" si="13"/>
        <v>300</v>
      </c>
      <c r="H1003" s="4">
        <f>IF(B1003="RTG Crane",IF(D1003&lt;600,800000,1200000),VLOOKUP(B1003,'$$$ Replace &amp; Retrofit'!$B$10:$C$14,2)*'CHE Model poplulation'!D1003)*E1003</f>
        <v>4212020.8234737441</v>
      </c>
      <c r="I1003" s="4">
        <f>E1003*VLOOKUP('CHE Model poplulation'!G1003,'$$$ Replace &amp; Retrofit'!$I$10:$J$15,2)</f>
        <v>151437.94368196913</v>
      </c>
      <c r="J1003" s="4">
        <f>IF(D1003=50,VLOOKUP(0,'$$$ Replace &amp; Retrofit'!$E$10:$F$13,2),IF(D1003&lt;175,VLOOKUP(50,'$$$ Replace &amp; Retrofit'!$E$10:$F$13,2),IF(D1003&lt;400,VLOOKUP(175,'$$$ Replace &amp; Retrofit'!$E$10:$F$13,2),IF(D1003&gt;=400,VLOOKUP(400,'$$$ Replace &amp; Retrofit'!$E$10:$F$13,2),NA))))*E1003</f>
        <v>94770.468528159239</v>
      </c>
    </row>
    <row r="1004" spans="1:10" x14ac:dyDescent="0.25">
      <c r="A1004" s="255" t="s">
        <v>20</v>
      </c>
      <c r="B1004" s="255" t="s">
        <v>212</v>
      </c>
      <c r="C1004" s="256">
        <v>2010</v>
      </c>
      <c r="D1004" s="256">
        <v>600</v>
      </c>
      <c r="E1004">
        <v>10.3880738286796</v>
      </c>
      <c r="F1004" s="257"/>
      <c r="G1004">
        <f t="shared" si="13"/>
        <v>400</v>
      </c>
      <c r="H1004" s="4">
        <f>IF(B1004="RTG Crane",IF(D1004&lt;600,800000,1200000),VLOOKUP(B1004,'$$$ Replace &amp; Retrofit'!$B$10:$C$14,2)*'CHE Model poplulation'!D1004)*E1004</f>
        <v>12465688.594415519</v>
      </c>
      <c r="I1004" s="4">
        <f>E1004*VLOOKUP('CHE Model poplulation'!G1004,'$$$ Replace &amp; Retrofit'!$I$10:$J$15,2)</f>
        <v>543639.06767628947</v>
      </c>
      <c r="J1004" s="4">
        <f>IF(D1004=50,VLOOKUP(0,'$$$ Replace &amp; Retrofit'!$E$10:$F$13,2),IF(D1004&lt;175,VLOOKUP(50,'$$$ Replace &amp; Retrofit'!$E$10:$F$13,2),IF(D1004&lt;400,VLOOKUP(175,'$$$ Replace &amp; Retrofit'!$E$10:$F$13,2),IF(D1004&gt;=400,VLOOKUP(400,'$$$ Replace &amp; Retrofit'!$E$10:$F$13,2),NA))))*E1004</f>
        <v>311642.21486038802</v>
      </c>
    </row>
    <row r="1005" spans="1:10" x14ac:dyDescent="0.25">
      <c r="A1005" s="255" t="s">
        <v>20</v>
      </c>
      <c r="B1005" s="255" t="s">
        <v>212</v>
      </c>
      <c r="C1005" s="256">
        <v>2010</v>
      </c>
      <c r="D1005" s="256">
        <v>750</v>
      </c>
      <c r="E1005">
        <v>6.60198769522008</v>
      </c>
      <c r="F1005" s="257"/>
      <c r="G1005">
        <f t="shared" si="13"/>
        <v>400</v>
      </c>
      <c r="H1005" s="4">
        <f>IF(B1005="RTG Crane",IF(D1005&lt;600,800000,1200000),VLOOKUP(B1005,'$$$ Replace &amp; Retrofit'!$B$10:$C$14,2)*'CHE Model poplulation'!D1005)*E1005</f>
        <v>7922385.2342640962</v>
      </c>
      <c r="I1005" s="4">
        <f>E1005*VLOOKUP('CHE Model poplulation'!G1005,'$$$ Replace &amp; Retrofit'!$I$10:$J$15,2)</f>
        <v>345501.82205395243</v>
      </c>
      <c r="J1005" s="4">
        <f>IF(D1005=50,VLOOKUP(0,'$$$ Replace &amp; Retrofit'!$E$10:$F$13,2),IF(D1005&lt;175,VLOOKUP(50,'$$$ Replace &amp; Retrofit'!$E$10:$F$13,2),IF(D1005&lt;400,VLOOKUP(175,'$$$ Replace &amp; Retrofit'!$E$10:$F$13,2),IF(D1005&gt;=400,VLOOKUP(400,'$$$ Replace &amp; Retrofit'!$E$10:$F$13,2),NA))))*E1005</f>
        <v>198059.63085660239</v>
      </c>
    </row>
    <row r="1006" spans="1:10" x14ac:dyDescent="0.25">
      <c r="A1006" s="255" t="s">
        <v>20</v>
      </c>
      <c r="B1006" s="255" t="s">
        <v>212</v>
      </c>
      <c r="C1006" s="256">
        <v>2010</v>
      </c>
      <c r="D1006" s="256">
        <v>9999</v>
      </c>
      <c r="E1006">
        <v>2.6975863700899301</v>
      </c>
      <c r="F1006" s="257"/>
      <c r="G1006">
        <f t="shared" si="13"/>
        <v>400</v>
      </c>
      <c r="H1006" s="4">
        <f>IF(B1006="RTG Crane",IF(D1006&lt;600,800000,1200000),VLOOKUP(B1006,'$$$ Replace &amp; Retrofit'!$B$10:$C$14,2)*'CHE Model poplulation'!D1006)*E1006</f>
        <v>3237103.6441079159</v>
      </c>
      <c r="I1006" s="4">
        <f>E1006*VLOOKUP('CHE Model poplulation'!G1006,'$$$ Replace &amp; Retrofit'!$I$10:$J$15,2)</f>
        <v>141172.78750591632</v>
      </c>
      <c r="J1006" s="4">
        <f>IF(D1006=50,VLOOKUP(0,'$$$ Replace &amp; Retrofit'!$E$10:$F$13,2),IF(D1006&lt;175,VLOOKUP(50,'$$$ Replace &amp; Retrofit'!$E$10:$F$13,2),IF(D1006&lt;400,VLOOKUP(175,'$$$ Replace &amp; Retrofit'!$E$10:$F$13,2),IF(D1006&gt;=400,VLOOKUP(400,'$$$ Replace &amp; Retrofit'!$E$10:$F$13,2),NA))))*E1006</f>
        <v>80927.591102697901</v>
      </c>
    </row>
    <row r="1007" spans="1:10" x14ac:dyDescent="0.25">
      <c r="A1007" s="255" t="s">
        <v>20</v>
      </c>
      <c r="B1007" s="255" t="s">
        <v>212</v>
      </c>
      <c r="C1007" s="256">
        <v>2011</v>
      </c>
      <c r="D1007" s="256">
        <v>100</v>
      </c>
      <c r="E1007">
        <v>4.7326076668244302E-2</v>
      </c>
      <c r="F1007" s="257"/>
      <c r="G1007">
        <f t="shared" si="13"/>
        <v>125</v>
      </c>
      <c r="H1007" s="4">
        <f>IF(B1007="RTG Crane",IF(D1007&lt;600,800000,1200000),VLOOKUP(B1007,'$$$ Replace &amp; Retrofit'!$B$10:$C$14,2)*'CHE Model poplulation'!D1007)*E1007</f>
        <v>37860.861334595444</v>
      </c>
      <c r="I1007" s="4">
        <f>E1007*VLOOKUP('CHE Model poplulation'!G1007,'$$$ Replace &amp; Retrofit'!$I$10:$J$15,2)</f>
        <v>933.88547089446479</v>
      </c>
      <c r="J1007" s="4">
        <f>IF(D1007=50,VLOOKUP(0,'$$$ Replace &amp; Retrofit'!$E$10:$F$13,2),IF(D1007&lt;175,VLOOKUP(50,'$$$ Replace &amp; Retrofit'!$E$10:$F$13,2),IF(D1007&lt;400,VLOOKUP(175,'$$$ Replace &amp; Retrofit'!$E$10:$F$13,2),IF(D1007&gt;=400,VLOOKUP(400,'$$$ Replace &amp; Retrofit'!$E$10:$F$13,2),NA))))*E1007</f>
        <v>567.91292001893157</v>
      </c>
    </row>
    <row r="1008" spans="1:10" x14ac:dyDescent="0.25">
      <c r="A1008" s="255" t="s">
        <v>20</v>
      </c>
      <c r="B1008" s="255" t="s">
        <v>212</v>
      </c>
      <c r="C1008" s="256">
        <v>2011</v>
      </c>
      <c r="D1008" s="256">
        <v>300</v>
      </c>
      <c r="E1008">
        <v>4.9837043226310902</v>
      </c>
      <c r="F1008" s="257"/>
      <c r="G1008">
        <f t="shared" si="13"/>
        <v>300</v>
      </c>
      <c r="H1008" s="4">
        <f>IF(B1008="RTG Crane",IF(D1008&lt;600,800000,1200000),VLOOKUP(B1008,'$$$ Replace &amp; Retrofit'!$B$10:$C$14,2)*'CHE Model poplulation'!D1008)*E1008</f>
        <v>3986963.4581048721</v>
      </c>
      <c r="I1008" s="4">
        <f>E1008*VLOOKUP('CHE Model poplulation'!G1008,'$$$ Replace &amp; Retrofit'!$I$10:$J$15,2)</f>
        <v>143346.28743183805</v>
      </c>
      <c r="J1008" s="4">
        <f>IF(D1008=50,VLOOKUP(0,'$$$ Replace &amp; Retrofit'!$E$10:$F$13,2),IF(D1008&lt;175,VLOOKUP(50,'$$$ Replace &amp; Retrofit'!$E$10:$F$13,2),IF(D1008&lt;400,VLOOKUP(175,'$$$ Replace &amp; Retrofit'!$E$10:$F$13,2),IF(D1008&gt;=400,VLOOKUP(400,'$$$ Replace &amp; Retrofit'!$E$10:$F$13,2),NA))))*E1008</f>
        <v>89706.677807359622</v>
      </c>
    </row>
    <row r="1009" spans="1:10" x14ac:dyDescent="0.25">
      <c r="A1009" s="255" t="s">
        <v>20</v>
      </c>
      <c r="B1009" s="255" t="s">
        <v>212</v>
      </c>
      <c r="C1009" s="256">
        <v>2011</v>
      </c>
      <c r="D1009" s="256">
        <v>600</v>
      </c>
      <c r="E1009">
        <v>9.5129982515340306</v>
      </c>
      <c r="F1009" s="257"/>
      <c r="G1009">
        <f t="shared" si="13"/>
        <v>400</v>
      </c>
      <c r="H1009" s="4">
        <f>IF(B1009="RTG Crane",IF(D1009&lt;600,800000,1200000),VLOOKUP(B1009,'$$$ Replace &amp; Retrofit'!$B$10:$C$14,2)*'CHE Model poplulation'!D1009)*E1009</f>
        <v>11415597.901840836</v>
      </c>
      <c r="I1009" s="4">
        <f>E1009*VLOOKUP('CHE Model poplulation'!G1009,'$$$ Replace &amp; Retrofit'!$I$10:$J$15,2)</f>
        <v>497843.73749753041</v>
      </c>
      <c r="J1009" s="4">
        <f>IF(D1009=50,VLOOKUP(0,'$$$ Replace &amp; Retrofit'!$E$10:$F$13,2),IF(D1009&lt;175,VLOOKUP(50,'$$$ Replace &amp; Retrofit'!$E$10:$F$13,2),IF(D1009&lt;400,VLOOKUP(175,'$$$ Replace &amp; Retrofit'!$E$10:$F$13,2),IF(D1009&gt;=400,VLOOKUP(400,'$$$ Replace &amp; Retrofit'!$E$10:$F$13,2),NA))))*E1009</f>
        <v>285389.94754602091</v>
      </c>
    </row>
    <row r="1010" spans="1:10" x14ac:dyDescent="0.25">
      <c r="A1010" s="255" t="s">
        <v>20</v>
      </c>
      <c r="B1010" s="255" t="s">
        <v>212</v>
      </c>
      <c r="C1010" s="256">
        <v>2011</v>
      </c>
      <c r="D1010" s="256">
        <v>750</v>
      </c>
      <c r="E1010">
        <v>6.2132436155816801</v>
      </c>
      <c r="F1010" s="257"/>
      <c r="G1010">
        <f t="shared" si="13"/>
        <v>400</v>
      </c>
      <c r="H1010" s="4">
        <f>IF(B1010="RTG Crane",IF(D1010&lt;600,800000,1200000),VLOOKUP(B1010,'$$$ Replace &amp; Retrofit'!$B$10:$C$14,2)*'CHE Model poplulation'!D1010)*E1010</f>
        <v>7455892.3386980165</v>
      </c>
      <c r="I1010" s="4">
        <f>E1010*VLOOKUP('CHE Model poplulation'!G1010,'$$$ Replace &amp; Retrofit'!$I$10:$J$15,2)</f>
        <v>325157.67813423608</v>
      </c>
      <c r="J1010" s="4">
        <f>IF(D1010=50,VLOOKUP(0,'$$$ Replace &amp; Retrofit'!$E$10:$F$13,2),IF(D1010&lt;175,VLOOKUP(50,'$$$ Replace &amp; Retrofit'!$E$10:$F$13,2),IF(D1010&lt;400,VLOOKUP(175,'$$$ Replace &amp; Retrofit'!$E$10:$F$13,2),IF(D1010&gt;=400,VLOOKUP(400,'$$$ Replace &amp; Retrofit'!$E$10:$F$13,2),NA))))*E1010</f>
        <v>186397.30846745041</v>
      </c>
    </row>
    <row r="1011" spans="1:10" x14ac:dyDescent="0.25">
      <c r="A1011" s="255" t="s">
        <v>20</v>
      </c>
      <c r="B1011" s="255" t="s">
        <v>212</v>
      </c>
      <c r="C1011" s="256">
        <v>2011</v>
      </c>
      <c r="D1011" s="256">
        <v>9999</v>
      </c>
      <c r="E1011">
        <v>2.6205629306712801</v>
      </c>
      <c r="F1011" s="257"/>
      <c r="G1011">
        <f t="shared" si="13"/>
        <v>400</v>
      </c>
      <c r="H1011" s="4">
        <f>IF(B1011="RTG Crane",IF(D1011&lt;600,800000,1200000),VLOOKUP(B1011,'$$$ Replace &amp; Retrofit'!$B$10:$C$14,2)*'CHE Model poplulation'!D1011)*E1011</f>
        <v>3144675.5168055361</v>
      </c>
      <c r="I1011" s="4">
        <f>E1011*VLOOKUP('CHE Model poplulation'!G1011,'$$$ Replace &amp; Retrofit'!$I$10:$J$15,2)</f>
        <v>137141.91985082009</v>
      </c>
      <c r="J1011" s="4">
        <f>IF(D1011=50,VLOOKUP(0,'$$$ Replace &amp; Retrofit'!$E$10:$F$13,2),IF(D1011&lt;175,VLOOKUP(50,'$$$ Replace &amp; Retrofit'!$E$10:$F$13,2),IF(D1011&lt;400,VLOOKUP(175,'$$$ Replace &amp; Retrofit'!$E$10:$F$13,2),IF(D1011&gt;=400,VLOOKUP(400,'$$$ Replace &amp; Retrofit'!$E$10:$F$13,2),NA))))*E1011</f>
        <v>78616.887920138397</v>
      </c>
    </row>
    <row r="1012" spans="1:10" x14ac:dyDescent="0.25">
      <c r="A1012" s="255" t="s">
        <v>20</v>
      </c>
      <c r="B1012" s="255" t="s">
        <v>212</v>
      </c>
      <c r="C1012" s="256">
        <v>2012</v>
      </c>
      <c r="D1012" s="256">
        <v>100</v>
      </c>
      <c r="E1012">
        <v>4.2395742826264002E-2</v>
      </c>
      <c r="F1012" s="257"/>
      <c r="G1012">
        <f t="shared" si="13"/>
        <v>125</v>
      </c>
      <c r="H1012" s="4">
        <f>IF(B1012="RTG Crane",IF(D1012&lt;600,800000,1200000),VLOOKUP(B1012,'$$$ Replace &amp; Retrofit'!$B$10:$C$14,2)*'CHE Model poplulation'!D1012)*E1012</f>
        <v>33916.594261011203</v>
      </c>
      <c r="I1012" s="4">
        <f>E1012*VLOOKUP('CHE Model poplulation'!G1012,'$$$ Replace &amp; Retrofit'!$I$10:$J$15,2)</f>
        <v>836.5951931906676</v>
      </c>
      <c r="J1012" s="4">
        <f>IF(D1012=50,VLOOKUP(0,'$$$ Replace &amp; Retrofit'!$E$10:$F$13,2),IF(D1012&lt;175,VLOOKUP(50,'$$$ Replace &amp; Retrofit'!$E$10:$F$13,2),IF(D1012&lt;400,VLOOKUP(175,'$$$ Replace &amp; Retrofit'!$E$10:$F$13,2),IF(D1012&gt;=400,VLOOKUP(400,'$$$ Replace &amp; Retrofit'!$E$10:$F$13,2),NA))))*E1012</f>
        <v>508.74891391516803</v>
      </c>
    </row>
    <row r="1013" spans="1:10" x14ac:dyDescent="0.25">
      <c r="A1013" s="255" t="s">
        <v>20</v>
      </c>
      <c r="B1013" s="255" t="s">
        <v>212</v>
      </c>
      <c r="C1013" s="256">
        <v>2012</v>
      </c>
      <c r="D1013" s="256">
        <v>300</v>
      </c>
      <c r="E1013">
        <v>4.3289392163139997</v>
      </c>
      <c r="F1013" s="257"/>
      <c r="G1013">
        <f t="shared" si="13"/>
        <v>300</v>
      </c>
      <c r="H1013" s="4">
        <f>IF(B1013="RTG Crane",IF(D1013&lt;600,800000,1200000),VLOOKUP(B1013,'$$$ Replace &amp; Retrofit'!$B$10:$C$14,2)*'CHE Model poplulation'!D1013)*E1013</f>
        <v>3463151.3730511996</v>
      </c>
      <c r="I1013" s="4">
        <f>E1013*VLOOKUP('CHE Model poplulation'!G1013,'$$$ Replace &amp; Retrofit'!$I$10:$J$15,2)</f>
        <v>124513.27867883958</v>
      </c>
      <c r="J1013" s="4">
        <f>IF(D1013=50,VLOOKUP(0,'$$$ Replace &amp; Retrofit'!$E$10:$F$13,2),IF(D1013&lt;175,VLOOKUP(50,'$$$ Replace &amp; Retrofit'!$E$10:$F$13,2),IF(D1013&lt;400,VLOOKUP(175,'$$$ Replace &amp; Retrofit'!$E$10:$F$13,2),IF(D1013&gt;=400,VLOOKUP(400,'$$$ Replace &amp; Retrofit'!$E$10:$F$13,2),NA))))*E1013</f>
        <v>77920.905893652001</v>
      </c>
    </row>
    <row r="1014" spans="1:10" x14ac:dyDescent="0.25">
      <c r="A1014" s="255" t="s">
        <v>20</v>
      </c>
      <c r="B1014" s="255" t="s">
        <v>212</v>
      </c>
      <c r="C1014" s="256">
        <v>2012</v>
      </c>
      <c r="D1014" s="256">
        <v>600</v>
      </c>
      <c r="E1014">
        <v>8.4432356790381906</v>
      </c>
      <c r="F1014" s="257"/>
      <c r="G1014">
        <f t="shared" si="13"/>
        <v>400</v>
      </c>
      <c r="H1014" s="4">
        <f>IF(B1014="RTG Crane",IF(D1014&lt;600,800000,1200000),VLOOKUP(B1014,'$$$ Replace &amp; Retrofit'!$B$10:$C$14,2)*'CHE Model poplulation'!D1014)*E1014</f>
        <v>10131882.814845828</v>
      </c>
      <c r="I1014" s="4">
        <f>E1014*VLOOKUP('CHE Model poplulation'!G1014,'$$$ Replace &amp; Retrofit'!$I$10:$J$15,2)</f>
        <v>441859.85279110563</v>
      </c>
      <c r="J1014" s="4">
        <f>IF(D1014=50,VLOOKUP(0,'$$$ Replace &amp; Retrofit'!$E$10:$F$13,2),IF(D1014&lt;175,VLOOKUP(50,'$$$ Replace &amp; Retrofit'!$E$10:$F$13,2),IF(D1014&lt;400,VLOOKUP(175,'$$$ Replace &amp; Retrofit'!$E$10:$F$13,2),IF(D1014&gt;=400,VLOOKUP(400,'$$$ Replace &amp; Retrofit'!$E$10:$F$13,2),NA))))*E1014</f>
        <v>253297.07037114573</v>
      </c>
    </row>
    <row r="1015" spans="1:10" x14ac:dyDescent="0.25">
      <c r="A1015" s="255" t="s">
        <v>20</v>
      </c>
      <c r="B1015" s="255" t="s">
        <v>212</v>
      </c>
      <c r="C1015" s="256">
        <v>2012</v>
      </c>
      <c r="D1015" s="256">
        <v>750</v>
      </c>
      <c r="E1015">
        <v>5.8297336801186201</v>
      </c>
      <c r="F1015" s="257"/>
      <c r="G1015">
        <f t="shared" si="13"/>
        <v>400</v>
      </c>
      <c r="H1015" s="4">
        <f>IF(B1015="RTG Crane",IF(D1015&lt;600,800000,1200000),VLOOKUP(B1015,'$$$ Replace &amp; Retrofit'!$B$10:$C$14,2)*'CHE Model poplulation'!D1015)*E1015</f>
        <v>6995680.4161423445</v>
      </c>
      <c r="I1015" s="4">
        <f>E1015*VLOOKUP('CHE Model poplulation'!G1015,'$$$ Replace &amp; Retrofit'!$I$10:$J$15,2)</f>
        <v>305087.45268164773</v>
      </c>
      <c r="J1015" s="4">
        <f>IF(D1015=50,VLOOKUP(0,'$$$ Replace &amp; Retrofit'!$E$10:$F$13,2),IF(D1015&lt;175,VLOOKUP(50,'$$$ Replace &amp; Retrofit'!$E$10:$F$13,2),IF(D1015&lt;400,VLOOKUP(175,'$$$ Replace &amp; Retrofit'!$E$10:$F$13,2),IF(D1015&gt;=400,VLOOKUP(400,'$$$ Replace &amp; Retrofit'!$E$10:$F$13,2),NA))))*E1015</f>
        <v>174892.01040355861</v>
      </c>
    </row>
    <row r="1016" spans="1:10" x14ac:dyDescent="0.25">
      <c r="A1016" s="255" t="s">
        <v>20</v>
      </c>
      <c r="B1016" s="255" t="s">
        <v>212</v>
      </c>
      <c r="C1016" s="256">
        <v>2012</v>
      </c>
      <c r="D1016" s="256">
        <v>9999</v>
      </c>
      <c r="E1016">
        <v>2.5203972440473099</v>
      </c>
      <c r="F1016" s="257"/>
      <c r="G1016">
        <f t="shared" si="13"/>
        <v>400</v>
      </c>
      <c r="H1016" s="4">
        <f>IF(B1016="RTG Crane",IF(D1016&lt;600,800000,1200000),VLOOKUP(B1016,'$$$ Replace &amp; Retrofit'!$B$10:$C$14,2)*'CHE Model poplulation'!D1016)*E1016</f>
        <v>3024476.6928567719</v>
      </c>
      <c r="I1016" s="4">
        <f>E1016*VLOOKUP('CHE Model poplulation'!G1016,'$$$ Replace &amp; Retrofit'!$I$10:$J$15,2)</f>
        <v>131899.94897272787</v>
      </c>
      <c r="J1016" s="4">
        <f>IF(D1016=50,VLOOKUP(0,'$$$ Replace &amp; Retrofit'!$E$10:$F$13,2),IF(D1016&lt;175,VLOOKUP(50,'$$$ Replace &amp; Retrofit'!$E$10:$F$13,2),IF(D1016&lt;400,VLOOKUP(175,'$$$ Replace &amp; Retrofit'!$E$10:$F$13,2),IF(D1016&gt;=400,VLOOKUP(400,'$$$ Replace &amp; Retrofit'!$E$10:$F$13,2),NA))))*E1016</f>
        <v>75611.9173214193</v>
      </c>
    </row>
    <row r="1017" spans="1:10" x14ac:dyDescent="0.25">
      <c r="A1017" s="255" t="s">
        <v>20</v>
      </c>
      <c r="B1017" s="255" t="s">
        <v>212</v>
      </c>
      <c r="C1017" s="256">
        <v>2013</v>
      </c>
      <c r="D1017" s="256">
        <v>100</v>
      </c>
      <c r="E1017">
        <v>2.3663038334122199E-2</v>
      </c>
      <c r="F1017" s="257"/>
      <c r="G1017">
        <f t="shared" si="13"/>
        <v>125</v>
      </c>
      <c r="H1017" s="4">
        <f>IF(B1017="RTG Crane",IF(D1017&lt;600,800000,1200000),VLOOKUP(B1017,'$$$ Replace &amp; Retrofit'!$B$10:$C$14,2)*'CHE Model poplulation'!D1017)*E1017</f>
        <v>18930.430667297758</v>
      </c>
      <c r="I1017" s="4">
        <f>E1017*VLOOKUP('CHE Model poplulation'!G1017,'$$$ Replace &amp; Retrofit'!$I$10:$J$15,2)</f>
        <v>466.94273544723336</v>
      </c>
      <c r="J1017" s="4">
        <f>IF(D1017=50,VLOOKUP(0,'$$$ Replace &amp; Retrofit'!$E$10:$F$13,2),IF(D1017&lt;175,VLOOKUP(50,'$$$ Replace &amp; Retrofit'!$E$10:$F$13,2),IF(D1017&lt;400,VLOOKUP(175,'$$$ Replace &amp; Retrofit'!$E$10:$F$13,2),IF(D1017&gt;=400,VLOOKUP(400,'$$$ Replace &amp; Retrofit'!$E$10:$F$13,2),NA))))*E1017</f>
        <v>283.95646000946641</v>
      </c>
    </row>
    <row r="1018" spans="1:10" x14ac:dyDescent="0.25">
      <c r="A1018" s="255" t="s">
        <v>20</v>
      </c>
      <c r="B1018" s="255" t="s">
        <v>212</v>
      </c>
      <c r="C1018" s="256">
        <v>2013</v>
      </c>
      <c r="D1018" s="256">
        <v>300</v>
      </c>
      <c r="E1018">
        <v>2.9903658858445699</v>
      </c>
      <c r="F1018" s="257"/>
      <c r="G1018">
        <f t="shared" si="13"/>
        <v>300</v>
      </c>
      <c r="H1018" s="4">
        <f>IF(B1018="RTG Crane",IF(D1018&lt;600,800000,1200000),VLOOKUP(B1018,'$$$ Replace &amp; Retrofit'!$B$10:$C$14,2)*'CHE Model poplulation'!D1018)*E1018</f>
        <v>2392292.708675656</v>
      </c>
      <c r="I1018" s="4">
        <f>E1018*VLOOKUP('CHE Model poplulation'!G1018,'$$$ Replace &amp; Retrofit'!$I$10:$J$15,2)</f>
        <v>86011.893974547362</v>
      </c>
      <c r="J1018" s="4">
        <f>IF(D1018=50,VLOOKUP(0,'$$$ Replace &amp; Retrofit'!$E$10:$F$13,2),IF(D1018&lt;175,VLOOKUP(50,'$$$ Replace &amp; Retrofit'!$E$10:$F$13,2),IF(D1018&lt;400,VLOOKUP(175,'$$$ Replace &amp; Retrofit'!$E$10:$F$13,2),IF(D1018&gt;=400,VLOOKUP(400,'$$$ Replace &amp; Retrofit'!$E$10:$F$13,2),NA))))*E1018</f>
        <v>53826.585945202256</v>
      </c>
    </row>
    <row r="1019" spans="1:10" x14ac:dyDescent="0.25">
      <c r="A1019" s="255" t="s">
        <v>20</v>
      </c>
      <c r="B1019" s="255" t="s">
        <v>212</v>
      </c>
      <c r="C1019" s="256">
        <v>2013</v>
      </c>
      <c r="D1019" s="256">
        <v>600</v>
      </c>
      <c r="E1019">
        <v>6.4440920769860002</v>
      </c>
      <c r="F1019" s="257"/>
      <c r="G1019">
        <f t="shared" si="13"/>
        <v>400</v>
      </c>
      <c r="H1019" s="4">
        <f>IF(B1019="RTG Crane",IF(D1019&lt;600,800000,1200000),VLOOKUP(B1019,'$$$ Replace &amp; Retrofit'!$B$10:$C$14,2)*'CHE Model poplulation'!D1019)*E1019</f>
        <v>7732910.4923831997</v>
      </c>
      <c r="I1019" s="4">
        <f>E1019*VLOOKUP('CHE Model poplulation'!G1019,'$$$ Replace &amp; Retrofit'!$I$10:$J$15,2)</f>
        <v>337238.67066490836</v>
      </c>
      <c r="J1019" s="4">
        <f>IF(D1019=50,VLOOKUP(0,'$$$ Replace &amp; Retrofit'!$E$10:$F$13,2),IF(D1019&lt;175,VLOOKUP(50,'$$$ Replace &amp; Retrofit'!$E$10:$F$13,2),IF(D1019&lt;400,VLOOKUP(175,'$$$ Replace &amp; Retrofit'!$E$10:$F$13,2),IF(D1019&gt;=400,VLOOKUP(400,'$$$ Replace &amp; Retrofit'!$E$10:$F$13,2),NA))))*E1019</f>
        <v>193322.76230957999</v>
      </c>
    </row>
    <row r="1020" spans="1:10" x14ac:dyDescent="0.25">
      <c r="A1020" s="255" t="s">
        <v>20</v>
      </c>
      <c r="B1020" s="255" t="s">
        <v>212</v>
      </c>
      <c r="C1020" s="256">
        <v>2013</v>
      </c>
      <c r="D1020" s="256">
        <v>750</v>
      </c>
      <c r="E1020">
        <v>4.70345751363645</v>
      </c>
      <c r="F1020" s="257"/>
      <c r="G1020">
        <f t="shared" si="13"/>
        <v>400</v>
      </c>
      <c r="H1020" s="4">
        <f>IF(B1020="RTG Crane",IF(D1020&lt;600,800000,1200000),VLOOKUP(B1020,'$$$ Replace &amp; Retrofit'!$B$10:$C$14,2)*'CHE Model poplulation'!D1020)*E1020</f>
        <v>5644149.01636374</v>
      </c>
      <c r="I1020" s="4">
        <f>E1020*VLOOKUP('CHE Model poplulation'!G1020,'$$$ Replace &amp; Retrofit'!$I$10:$J$15,2)</f>
        <v>246146.04206113634</v>
      </c>
      <c r="J1020" s="4">
        <f>IF(D1020=50,VLOOKUP(0,'$$$ Replace &amp; Retrofit'!$E$10:$F$13,2),IF(D1020&lt;175,VLOOKUP(50,'$$$ Replace &amp; Retrofit'!$E$10:$F$13,2),IF(D1020&lt;400,VLOOKUP(175,'$$$ Replace &amp; Retrofit'!$E$10:$F$13,2),IF(D1020&gt;=400,VLOOKUP(400,'$$$ Replace &amp; Retrofit'!$E$10:$F$13,2),NA))))*E1020</f>
        <v>141103.72540909349</v>
      </c>
    </row>
    <row r="1021" spans="1:10" x14ac:dyDescent="0.25">
      <c r="A1021" s="255" t="s">
        <v>20</v>
      </c>
      <c r="B1021" s="255" t="s">
        <v>212</v>
      </c>
      <c r="C1021" s="256">
        <v>2013</v>
      </c>
      <c r="D1021" s="256">
        <v>9999</v>
      </c>
      <c r="E1021">
        <v>1.9096643648001399</v>
      </c>
      <c r="F1021" s="257"/>
      <c r="G1021">
        <f t="shared" si="13"/>
        <v>400</v>
      </c>
      <c r="H1021" s="4">
        <f>IF(B1021="RTG Crane",IF(D1021&lt;600,800000,1200000),VLOOKUP(B1021,'$$$ Replace &amp; Retrofit'!$B$10:$C$14,2)*'CHE Model poplulation'!D1021)*E1021</f>
        <v>2291597.237760168</v>
      </c>
      <c r="I1021" s="4">
        <f>E1021*VLOOKUP('CHE Model poplulation'!G1021,'$$$ Replace &amp; Retrofit'!$I$10:$J$15,2)</f>
        <v>99938.465203085725</v>
      </c>
      <c r="J1021" s="4">
        <f>IF(D1021=50,VLOOKUP(0,'$$$ Replace &amp; Retrofit'!$E$10:$F$13,2),IF(D1021&lt;175,VLOOKUP(50,'$$$ Replace &amp; Retrofit'!$E$10:$F$13,2),IF(D1021&lt;400,VLOOKUP(175,'$$$ Replace &amp; Retrofit'!$E$10:$F$13,2),IF(D1021&gt;=400,VLOOKUP(400,'$$$ Replace &amp; Retrofit'!$E$10:$F$13,2),NA))))*E1021</f>
        <v>57289.930944004198</v>
      </c>
    </row>
    <row r="1022" spans="1:10" x14ac:dyDescent="0.25">
      <c r="A1022" s="255" t="s">
        <v>20</v>
      </c>
      <c r="B1022" s="255" t="s">
        <v>212</v>
      </c>
      <c r="C1022" s="256">
        <v>2014</v>
      </c>
      <c r="D1022" s="256">
        <v>100</v>
      </c>
      <c r="E1022">
        <v>0</v>
      </c>
      <c r="F1022" s="257"/>
      <c r="G1022">
        <f t="shared" si="13"/>
        <v>125</v>
      </c>
      <c r="H1022" s="4">
        <f>IF(B1022="RTG Crane",IF(D1022&lt;600,800000,1200000),VLOOKUP(B1022,'$$$ Replace &amp; Retrofit'!$B$10:$C$14,2)*'CHE Model poplulation'!D1022)*E1022</f>
        <v>0</v>
      </c>
      <c r="I1022" s="4">
        <f>E1022*VLOOKUP('CHE Model poplulation'!G1022,'$$$ Replace &amp; Retrofit'!$I$10:$J$15,2)</f>
        <v>0</v>
      </c>
      <c r="J1022" s="4">
        <f>IF(D1022=50,VLOOKUP(0,'$$$ Replace &amp; Retrofit'!$E$10:$F$13,2),IF(D1022&lt;175,VLOOKUP(50,'$$$ Replace &amp; Retrofit'!$E$10:$F$13,2),IF(D1022&lt;400,VLOOKUP(175,'$$$ Replace &amp; Retrofit'!$E$10:$F$13,2),IF(D1022&gt;=400,VLOOKUP(400,'$$$ Replace &amp; Retrofit'!$E$10:$F$13,2),NA))))*E1022</f>
        <v>0</v>
      </c>
    </row>
    <row r="1023" spans="1:10" x14ac:dyDescent="0.25">
      <c r="A1023" s="255" t="s">
        <v>20</v>
      </c>
      <c r="B1023" s="255" t="s">
        <v>212</v>
      </c>
      <c r="C1023" s="256">
        <v>2014</v>
      </c>
      <c r="D1023" s="256">
        <v>300</v>
      </c>
      <c r="E1023">
        <v>1.63141281246446</v>
      </c>
      <c r="F1023" s="257"/>
      <c r="G1023">
        <f t="shared" si="13"/>
        <v>300</v>
      </c>
      <c r="H1023" s="4">
        <f>IF(B1023="RTG Crane",IF(D1023&lt;600,800000,1200000),VLOOKUP(B1023,'$$$ Replace &amp; Retrofit'!$B$10:$C$14,2)*'CHE Model poplulation'!D1023)*E1023</f>
        <v>1305130.2499715681</v>
      </c>
      <c r="I1023" s="4">
        <f>E1023*VLOOKUP('CHE Model poplulation'!G1023,'$$$ Replace &amp; Retrofit'!$I$10:$J$15,2)</f>
        <v>46924.326724915263</v>
      </c>
      <c r="J1023" s="4">
        <f>IF(D1023=50,VLOOKUP(0,'$$$ Replace &amp; Retrofit'!$E$10:$F$13,2),IF(D1023&lt;175,VLOOKUP(50,'$$$ Replace &amp; Retrofit'!$E$10:$F$13,2),IF(D1023&lt;400,VLOOKUP(175,'$$$ Replace &amp; Retrofit'!$E$10:$F$13,2),IF(D1023&gt;=400,VLOOKUP(400,'$$$ Replace &amp; Retrofit'!$E$10:$F$13,2),NA))))*E1023</f>
        <v>29365.43062436028</v>
      </c>
    </row>
    <row r="1024" spans="1:10" x14ac:dyDescent="0.25">
      <c r="A1024" s="255" t="s">
        <v>20</v>
      </c>
      <c r="B1024" s="255" t="s">
        <v>212</v>
      </c>
      <c r="C1024" s="256">
        <v>2014</v>
      </c>
      <c r="D1024" s="256">
        <v>600</v>
      </c>
      <c r="E1024">
        <v>3.9933061998214399</v>
      </c>
      <c r="F1024" s="257"/>
      <c r="G1024">
        <f t="shared" si="13"/>
        <v>400</v>
      </c>
      <c r="H1024" s="4">
        <f>IF(B1024="RTG Crane",IF(D1024&lt;600,800000,1200000),VLOOKUP(B1024,'$$$ Replace &amp; Retrofit'!$B$10:$C$14,2)*'CHE Model poplulation'!D1024)*E1024</f>
        <v>4791967.4397857282</v>
      </c>
      <c r="I1024" s="4">
        <f>E1024*VLOOKUP('CHE Model poplulation'!G1024,'$$$ Replace &amp; Retrofit'!$I$10:$J$15,2)</f>
        <v>208981.69335525541</v>
      </c>
      <c r="J1024" s="4">
        <f>IF(D1024=50,VLOOKUP(0,'$$$ Replace &amp; Retrofit'!$E$10:$F$13,2),IF(D1024&lt;175,VLOOKUP(50,'$$$ Replace &amp; Retrofit'!$E$10:$F$13,2),IF(D1024&lt;400,VLOOKUP(175,'$$$ Replace &amp; Retrofit'!$E$10:$F$13,2),IF(D1024&gt;=400,VLOOKUP(400,'$$$ Replace &amp; Retrofit'!$E$10:$F$13,2),NA))))*E1024</f>
        <v>119799.18599464319</v>
      </c>
    </row>
    <row r="1025" spans="1:10" x14ac:dyDescent="0.25">
      <c r="A1025" s="255" t="s">
        <v>20</v>
      </c>
      <c r="B1025" s="255" t="s">
        <v>212</v>
      </c>
      <c r="C1025" s="256">
        <v>2014</v>
      </c>
      <c r="D1025" s="256">
        <v>750</v>
      </c>
      <c r="E1025">
        <v>3.0498582799218199</v>
      </c>
      <c r="F1025" s="257"/>
      <c r="G1025">
        <f t="shared" si="13"/>
        <v>400</v>
      </c>
      <c r="H1025" s="4">
        <f>IF(B1025="RTG Crane",IF(D1025&lt;600,800000,1200000),VLOOKUP(B1025,'$$$ Replace &amp; Retrofit'!$B$10:$C$14,2)*'CHE Model poplulation'!D1025)*E1025</f>
        <v>3659829.9359061839</v>
      </c>
      <c r="I1025" s="4">
        <f>E1025*VLOOKUP('CHE Model poplulation'!G1025,'$$$ Replace &amp; Retrofit'!$I$10:$J$15,2)</f>
        <v>159608.23336314861</v>
      </c>
      <c r="J1025" s="4">
        <f>IF(D1025=50,VLOOKUP(0,'$$$ Replace &amp; Retrofit'!$E$10:$F$13,2),IF(D1025&lt;175,VLOOKUP(50,'$$$ Replace &amp; Retrofit'!$E$10:$F$13,2),IF(D1025&lt;400,VLOOKUP(175,'$$$ Replace &amp; Retrofit'!$E$10:$F$13,2),IF(D1025&gt;=400,VLOOKUP(400,'$$$ Replace &amp; Retrofit'!$E$10:$F$13,2),NA))))*E1025</f>
        <v>91495.748397654592</v>
      </c>
    </row>
    <row r="1026" spans="1:10" x14ac:dyDescent="0.25">
      <c r="A1026" s="255" t="s">
        <v>20</v>
      </c>
      <c r="B1026" s="255" t="s">
        <v>212</v>
      </c>
      <c r="C1026" s="256">
        <v>2014</v>
      </c>
      <c r="D1026" s="256">
        <v>9999</v>
      </c>
      <c r="E1026">
        <v>1.18315191670611</v>
      </c>
      <c r="F1026" s="257"/>
      <c r="G1026">
        <f t="shared" si="13"/>
        <v>400</v>
      </c>
      <c r="H1026" s="4">
        <f>IF(B1026="RTG Crane",IF(D1026&lt;600,800000,1200000),VLOOKUP(B1026,'$$$ Replace &amp; Retrofit'!$B$10:$C$14,2)*'CHE Model poplulation'!D1026)*E1026</f>
        <v>1419782.300047332</v>
      </c>
      <c r="I1026" s="4">
        <f>E1026*VLOOKUP('CHE Model poplulation'!G1026,'$$$ Replace &amp; Retrofit'!$I$10:$J$15,2)</f>
        <v>61917.889256980852</v>
      </c>
      <c r="J1026" s="4">
        <f>IF(D1026=50,VLOOKUP(0,'$$$ Replace &amp; Retrofit'!$E$10:$F$13,2),IF(D1026&lt;175,VLOOKUP(50,'$$$ Replace &amp; Retrofit'!$E$10:$F$13,2),IF(D1026&lt;400,VLOOKUP(175,'$$$ Replace &amp; Retrofit'!$E$10:$F$13,2),IF(D1026&gt;=400,VLOOKUP(400,'$$$ Replace &amp; Retrofit'!$E$10:$F$13,2),NA))))*E1026</f>
        <v>35494.557501183299</v>
      </c>
    </row>
    <row r="1027" spans="1:10" x14ac:dyDescent="0.25">
      <c r="A1027" s="255" t="s">
        <v>20</v>
      </c>
      <c r="B1027" s="255" t="s">
        <v>212</v>
      </c>
      <c r="C1027" s="256">
        <v>2015</v>
      </c>
      <c r="D1027" s="256">
        <v>100</v>
      </c>
      <c r="E1027">
        <v>0</v>
      </c>
      <c r="F1027" s="257"/>
      <c r="G1027">
        <f t="shared" si="13"/>
        <v>125</v>
      </c>
      <c r="H1027" s="4">
        <f>IF(B1027="RTG Crane",IF(D1027&lt;600,800000,1200000),VLOOKUP(B1027,'$$$ Replace &amp; Retrofit'!$B$10:$C$14,2)*'CHE Model poplulation'!D1027)*E1027</f>
        <v>0</v>
      </c>
      <c r="I1027" s="4">
        <f>E1027*VLOOKUP('CHE Model poplulation'!G1027,'$$$ Replace &amp; Retrofit'!$I$10:$J$15,2)</f>
        <v>0</v>
      </c>
      <c r="J1027" s="4">
        <f>IF(D1027=50,VLOOKUP(0,'$$$ Replace &amp; Retrofit'!$E$10:$F$13,2),IF(D1027&lt;175,VLOOKUP(50,'$$$ Replace &amp; Retrofit'!$E$10:$F$13,2),IF(D1027&lt;400,VLOOKUP(175,'$$$ Replace &amp; Retrofit'!$E$10:$F$13,2),IF(D1027&gt;=400,VLOOKUP(400,'$$$ Replace &amp; Retrofit'!$E$10:$F$13,2),NA))))*E1027</f>
        <v>0</v>
      </c>
    </row>
    <row r="1028" spans="1:10" x14ac:dyDescent="0.25">
      <c r="A1028" s="255" t="s">
        <v>20</v>
      </c>
      <c r="B1028" s="255" t="s">
        <v>212</v>
      </c>
      <c r="C1028" s="256">
        <v>2015</v>
      </c>
      <c r="D1028" s="256">
        <v>300</v>
      </c>
      <c r="E1028">
        <v>0.52058684335068695</v>
      </c>
      <c r="F1028" s="257"/>
      <c r="G1028">
        <f t="shared" si="13"/>
        <v>300</v>
      </c>
      <c r="H1028" s="4">
        <f>IF(B1028="RTG Crane",IF(D1028&lt;600,800000,1200000),VLOOKUP(B1028,'$$$ Replace &amp; Retrofit'!$B$10:$C$14,2)*'CHE Model poplulation'!D1028)*E1028</f>
        <v>416469.47468054958</v>
      </c>
      <c r="I1028" s="4">
        <f>E1028*VLOOKUP('CHE Model poplulation'!G1028,'$$$ Replace &amp; Retrofit'!$I$10:$J$15,2)</f>
        <v>14973.639375295808</v>
      </c>
      <c r="J1028" s="4">
        <f>IF(D1028=50,VLOOKUP(0,'$$$ Replace &amp; Retrofit'!$E$10:$F$13,2),IF(D1028&lt;175,VLOOKUP(50,'$$$ Replace &amp; Retrofit'!$E$10:$F$13,2),IF(D1028&lt;400,VLOOKUP(175,'$$$ Replace &amp; Retrofit'!$E$10:$F$13,2),IF(D1028&gt;=400,VLOOKUP(400,'$$$ Replace &amp; Retrofit'!$E$10:$F$13,2),NA))))*E1028</f>
        <v>9370.5631803123651</v>
      </c>
    </row>
    <row r="1029" spans="1:10" x14ac:dyDescent="0.25">
      <c r="A1029" s="255" t="s">
        <v>20</v>
      </c>
      <c r="B1029" s="255" t="s">
        <v>212</v>
      </c>
      <c r="C1029" s="256">
        <v>2015</v>
      </c>
      <c r="D1029" s="256">
        <v>600</v>
      </c>
      <c r="E1029">
        <v>1.41978230004733</v>
      </c>
      <c r="F1029" s="257"/>
      <c r="G1029">
        <f t="shared" si="13"/>
        <v>400</v>
      </c>
      <c r="H1029" s="4">
        <f>IF(B1029="RTG Crane",IF(D1029&lt;600,800000,1200000),VLOOKUP(B1029,'$$$ Replace &amp; Retrofit'!$B$10:$C$14,2)*'CHE Model poplulation'!D1029)*E1029</f>
        <v>1703738.760056796</v>
      </c>
      <c r="I1029" s="4">
        <f>E1029*VLOOKUP('CHE Model poplulation'!G1029,'$$$ Replace &amp; Retrofit'!$I$10:$J$15,2)</f>
        <v>74301.467108376921</v>
      </c>
      <c r="J1029" s="4">
        <f>IF(D1029=50,VLOOKUP(0,'$$$ Replace &amp; Retrofit'!$E$10:$F$13,2),IF(D1029&lt;175,VLOOKUP(50,'$$$ Replace &amp; Retrofit'!$E$10:$F$13,2),IF(D1029&lt;400,VLOOKUP(175,'$$$ Replace &amp; Retrofit'!$E$10:$F$13,2),IF(D1029&gt;=400,VLOOKUP(400,'$$$ Replace &amp; Retrofit'!$E$10:$F$13,2),NA))))*E1029</f>
        <v>42593.4690014199</v>
      </c>
    </row>
    <row r="1030" spans="1:10" x14ac:dyDescent="0.25">
      <c r="A1030" s="255" t="s">
        <v>20</v>
      </c>
      <c r="B1030" s="255" t="s">
        <v>212</v>
      </c>
      <c r="C1030" s="256">
        <v>2015</v>
      </c>
      <c r="D1030" s="256">
        <v>750</v>
      </c>
      <c r="E1030">
        <v>1.2778040700426001</v>
      </c>
      <c r="F1030" s="257"/>
      <c r="G1030">
        <f t="shared" si="13"/>
        <v>400</v>
      </c>
      <c r="H1030" s="4">
        <f>IF(B1030="RTG Crane",IF(D1030&lt;600,800000,1200000),VLOOKUP(B1030,'$$$ Replace &amp; Retrofit'!$B$10:$C$14,2)*'CHE Model poplulation'!D1030)*E1030</f>
        <v>1533364.8840511201</v>
      </c>
      <c r="I1030" s="4">
        <f>E1030*VLOOKUP('CHE Model poplulation'!G1030,'$$$ Replace &amp; Retrofit'!$I$10:$J$15,2)</f>
        <v>66871.320397539384</v>
      </c>
      <c r="J1030" s="4">
        <f>IF(D1030=50,VLOOKUP(0,'$$$ Replace &amp; Retrofit'!$E$10:$F$13,2),IF(D1030&lt;175,VLOOKUP(50,'$$$ Replace &amp; Retrofit'!$E$10:$F$13,2),IF(D1030&lt;400,VLOOKUP(175,'$$$ Replace &amp; Retrofit'!$E$10:$F$13,2),IF(D1030&gt;=400,VLOOKUP(400,'$$$ Replace &amp; Retrofit'!$E$10:$F$13,2),NA))))*E1030</f>
        <v>38334.122101278001</v>
      </c>
    </row>
    <row r="1031" spans="1:10" x14ac:dyDescent="0.25">
      <c r="A1031" s="255" t="s">
        <v>20</v>
      </c>
      <c r="B1031" s="255" t="s">
        <v>212</v>
      </c>
      <c r="C1031" s="256">
        <v>2015</v>
      </c>
      <c r="D1031" s="256">
        <v>9999</v>
      </c>
      <c r="E1031">
        <v>0.42593469001419898</v>
      </c>
      <c r="F1031" s="257"/>
      <c r="G1031">
        <f t="shared" si="13"/>
        <v>400</v>
      </c>
      <c r="H1031" s="4">
        <f>IF(B1031="RTG Crane",IF(D1031&lt;600,800000,1200000),VLOOKUP(B1031,'$$$ Replace &amp; Retrofit'!$B$10:$C$14,2)*'CHE Model poplulation'!D1031)*E1031</f>
        <v>511121.62801703875</v>
      </c>
      <c r="I1031" s="4">
        <f>E1031*VLOOKUP('CHE Model poplulation'!G1031,'$$$ Replace &amp; Retrofit'!$I$10:$J$15,2)</f>
        <v>22290.440132513075</v>
      </c>
      <c r="J1031" s="4">
        <f>IF(D1031=50,VLOOKUP(0,'$$$ Replace &amp; Retrofit'!$E$10:$F$13,2),IF(D1031&lt;175,VLOOKUP(50,'$$$ Replace &amp; Retrofit'!$E$10:$F$13,2),IF(D1031&lt;400,VLOOKUP(175,'$$$ Replace &amp; Retrofit'!$E$10:$F$13,2),IF(D1031&gt;=400,VLOOKUP(400,'$$$ Replace &amp; Retrofit'!$E$10:$F$13,2),NA))))*E1031</f>
        <v>12778.040700425969</v>
      </c>
    </row>
    <row r="1032" spans="1:10" x14ac:dyDescent="0.25">
      <c r="A1032" s="255" t="s">
        <v>20</v>
      </c>
      <c r="B1032" s="255" t="s">
        <v>212</v>
      </c>
      <c r="C1032" s="256">
        <v>2016</v>
      </c>
      <c r="D1032" s="256">
        <v>100</v>
      </c>
      <c r="E1032">
        <v>0</v>
      </c>
      <c r="F1032" s="257"/>
      <c r="I1032" s="4"/>
    </row>
    <row r="1033" spans="1:10" x14ac:dyDescent="0.25">
      <c r="A1033" s="255" t="s">
        <v>20</v>
      </c>
      <c r="B1033" s="255" t="s">
        <v>212</v>
      </c>
      <c r="C1033" s="256">
        <v>2016</v>
      </c>
      <c r="D1033" s="256">
        <v>300</v>
      </c>
      <c r="E1033">
        <v>0</v>
      </c>
      <c r="F1033" s="257"/>
      <c r="I1033" s="4"/>
    </row>
    <row r="1034" spans="1:10" x14ac:dyDescent="0.25">
      <c r="A1034" s="255" t="s">
        <v>20</v>
      </c>
      <c r="B1034" s="255" t="s">
        <v>212</v>
      </c>
      <c r="C1034" s="256">
        <v>2016</v>
      </c>
      <c r="D1034" s="256">
        <v>600</v>
      </c>
      <c r="E1034">
        <v>0</v>
      </c>
      <c r="F1034" s="257"/>
      <c r="I1034" s="4"/>
    </row>
    <row r="1035" spans="1:10" x14ac:dyDescent="0.25">
      <c r="A1035" s="255" t="s">
        <v>20</v>
      </c>
      <c r="B1035" s="255" t="s">
        <v>212</v>
      </c>
      <c r="C1035" s="256">
        <v>2016</v>
      </c>
      <c r="D1035" s="256">
        <v>750</v>
      </c>
      <c r="E1035">
        <v>0</v>
      </c>
      <c r="F1035" s="257"/>
      <c r="I1035" s="4"/>
    </row>
    <row r="1036" spans="1:10" x14ac:dyDescent="0.25">
      <c r="A1036" s="255" t="s">
        <v>20</v>
      </c>
      <c r="B1036" s="255" t="s">
        <v>212</v>
      </c>
      <c r="C1036" s="256">
        <v>2016</v>
      </c>
      <c r="D1036" s="256">
        <v>9999</v>
      </c>
      <c r="E1036">
        <v>0</v>
      </c>
      <c r="F1036" s="257"/>
      <c r="I1036" s="4"/>
    </row>
    <row r="1037" spans="1:10" x14ac:dyDescent="0.25">
      <c r="A1037" s="255" t="s">
        <v>20</v>
      </c>
      <c r="B1037" s="255" t="s">
        <v>212</v>
      </c>
      <c r="C1037" s="256">
        <v>2017</v>
      </c>
      <c r="D1037" s="256">
        <v>100</v>
      </c>
      <c r="E1037">
        <v>0</v>
      </c>
      <c r="F1037" s="257"/>
      <c r="I1037" s="4"/>
    </row>
    <row r="1038" spans="1:10" x14ac:dyDescent="0.25">
      <c r="A1038" s="255" t="s">
        <v>20</v>
      </c>
      <c r="B1038" s="255" t="s">
        <v>212</v>
      </c>
      <c r="C1038" s="256">
        <v>2017</v>
      </c>
      <c r="D1038" s="256">
        <v>300</v>
      </c>
      <c r="E1038">
        <v>0</v>
      </c>
      <c r="F1038" s="257"/>
      <c r="I1038" s="4"/>
    </row>
    <row r="1039" spans="1:10" x14ac:dyDescent="0.25">
      <c r="A1039" s="255" t="s">
        <v>20</v>
      </c>
      <c r="B1039" s="255" t="s">
        <v>212</v>
      </c>
      <c r="C1039" s="256">
        <v>2017</v>
      </c>
      <c r="D1039" s="256">
        <v>600</v>
      </c>
      <c r="E1039">
        <v>0</v>
      </c>
      <c r="F1039" s="257"/>
      <c r="I1039" s="4"/>
    </row>
    <row r="1040" spans="1:10" x14ac:dyDescent="0.25">
      <c r="A1040" s="255" t="s">
        <v>20</v>
      </c>
      <c r="B1040" s="255" t="s">
        <v>212</v>
      </c>
      <c r="C1040" s="256">
        <v>2017</v>
      </c>
      <c r="D1040" s="256">
        <v>750</v>
      </c>
      <c r="E1040">
        <v>0</v>
      </c>
      <c r="F1040" s="257"/>
      <c r="I1040" s="4"/>
    </row>
    <row r="1041" spans="1:9" x14ac:dyDescent="0.25">
      <c r="A1041" s="255" t="s">
        <v>20</v>
      </c>
      <c r="B1041" s="255" t="s">
        <v>212</v>
      </c>
      <c r="C1041" s="256">
        <v>2017</v>
      </c>
      <c r="D1041" s="256">
        <v>9999</v>
      </c>
      <c r="E1041">
        <v>0</v>
      </c>
      <c r="F1041" s="257"/>
      <c r="I1041" s="4"/>
    </row>
    <row r="1042" spans="1:9" x14ac:dyDescent="0.25">
      <c r="A1042" s="255" t="s">
        <v>20</v>
      </c>
      <c r="B1042" s="255" t="s">
        <v>212</v>
      </c>
      <c r="C1042" s="256">
        <v>2018</v>
      </c>
      <c r="D1042" s="256">
        <v>100</v>
      </c>
      <c r="E1042">
        <v>0</v>
      </c>
      <c r="F1042" s="257"/>
      <c r="I1042" s="4"/>
    </row>
    <row r="1043" spans="1:9" x14ac:dyDescent="0.25">
      <c r="A1043" s="255" t="s">
        <v>20</v>
      </c>
      <c r="B1043" s="255" t="s">
        <v>212</v>
      </c>
      <c r="C1043" s="256">
        <v>2018</v>
      </c>
      <c r="D1043" s="256">
        <v>300</v>
      </c>
      <c r="E1043">
        <v>0</v>
      </c>
      <c r="F1043" s="257"/>
      <c r="I1043" s="4"/>
    </row>
    <row r="1044" spans="1:9" x14ac:dyDescent="0.25">
      <c r="A1044" s="255" t="s">
        <v>20</v>
      </c>
      <c r="B1044" s="255" t="s">
        <v>212</v>
      </c>
      <c r="C1044" s="256">
        <v>2018</v>
      </c>
      <c r="D1044" s="256">
        <v>600</v>
      </c>
      <c r="E1044">
        <v>0</v>
      </c>
      <c r="F1044" s="257"/>
      <c r="I1044" s="4"/>
    </row>
    <row r="1045" spans="1:9" x14ac:dyDescent="0.25">
      <c r="A1045" s="255" t="s">
        <v>20</v>
      </c>
      <c r="B1045" s="255" t="s">
        <v>212</v>
      </c>
      <c r="C1045" s="256">
        <v>2018</v>
      </c>
      <c r="D1045" s="256">
        <v>750</v>
      </c>
      <c r="E1045">
        <v>0</v>
      </c>
      <c r="F1045" s="257"/>
      <c r="I1045" s="4"/>
    </row>
    <row r="1046" spans="1:9" x14ac:dyDescent="0.25">
      <c r="A1046" s="255" t="s">
        <v>20</v>
      </c>
      <c r="B1046" s="255" t="s">
        <v>212</v>
      </c>
      <c r="C1046" s="256">
        <v>2018</v>
      </c>
      <c r="D1046" s="256">
        <v>9999</v>
      </c>
      <c r="E1046">
        <v>0</v>
      </c>
      <c r="F1046" s="257"/>
      <c r="I1046" s="4"/>
    </row>
    <row r="1047" spans="1:9" x14ac:dyDescent="0.25">
      <c r="A1047" s="255" t="s">
        <v>20</v>
      </c>
      <c r="B1047" s="255" t="s">
        <v>212</v>
      </c>
      <c r="C1047" s="256">
        <v>2019</v>
      </c>
      <c r="D1047" s="256">
        <v>100</v>
      </c>
      <c r="E1047">
        <v>0</v>
      </c>
      <c r="F1047" s="257"/>
      <c r="I1047" s="4"/>
    </row>
    <row r="1048" spans="1:9" x14ac:dyDescent="0.25">
      <c r="A1048" s="255" t="s">
        <v>20</v>
      </c>
      <c r="B1048" s="255" t="s">
        <v>212</v>
      </c>
      <c r="C1048" s="256">
        <v>2019</v>
      </c>
      <c r="D1048" s="256">
        <v>300</v>
      </c>
      <c r="E1048">
        <v>0</v>
      </c>
      <c r="F1048" s="257"/>
      <c r="I1048" s="4"/>
    </row>
    <row r="1049" spans="1:9" x14ac:dyDescent="0.25">
      <c r="A1049" s="255" t="s">
        <v>20</v>
      </c>
      <c r="B1049" s="255" t="s">
        <v>212</v>
      </c>
      <c r="C1049" s="256">
        <v>2019</v>
      </c>
      <c r="D1049" s="256">
        <v>600</v>
      </c>
      <c r="E1049">
        <v>0</v>
      </c>
      <c r="F1049" s="257"/>
      <c r="I1049" s="4"/>
    </row>
    <row r="1050" spans="1:9" x14ac:dyDescent="0.25">
      <c r="A1050" s="255" t="s">
        <v>20</v>
      </c>
      <c r="B1050" s="255" t="s">
        <v>212</v>
      </c>
      <c r="C1050" s="256">
        <v>2019</v>
      </c>
      <c r="D1050" s="256">
        <v>750</v>
      </c>
      <c r="E1050">
        <v>0</v>
      </c>
      <c r="F1050" s="257"/>
      <c r="I1050" s="4"/>
    </row>
    <row r="1051" spans="1:9" x14ac:dyDescent="0.25">
      <c r="A1051" s="255" t="s">
        <v>20</v>
      </c>
      <c r="B1051" s="255" t="s">
        <v>212</v>
      </c>
      <c r="C1051" s="256">
        <v>2019</v>
      </c>
      <c r="D1051" s="256">
        <v>9999</v>
      </c>
      <c r="E1051">
        <v>0</v>
      </c>
      <c r="F1051" s="257"/>
      <c r="I1051" s="4"/>
    </row>
    <row r="1052" spans="1:9" x14ac:dyDescent="0.25">
      <c r="A1052" s="255" t="s">
        <v>20</v>
      </c>
      <c r="B1052" s="255" t="s">
        <v>212</v>
      </c>
      <c r="C1052" s="256">
        <v>2020</v>
      </c>
      <c r="D1052" s="256">
        <v>100</v>
      </c>
      <c r="E1052">
        <v>0</v>
      </c>
      <c r="F1052" s="257"/>
      <c r="I1052" s="4"/>
    </row>
    <row r="1053" spans="1:9" x14ac:dyDescent="0.25">
      <c r="A1053" s="255" t="s">
        <v>20</v>
      </c>
      <c r="B1053" s="255" t="s">
        <v>212</v>
      </c>
      <c r="C1053" s="256">
        <v>2020</v>
      </c>
      <c r="D1053" s="256">
        <v>300</v>
      </c>
      <c r="E1053">
        <v>0</v>
      </c>
      <c r="F1053" s="257"/>
      <c r="I1053" s="4"/>
    </row>
    <row r="1054" spans="1:9" x14ac:dyDescent="0.25">
      <c r="A1054" s="255" t="s">
        <v>20</v>
      </c>
      <c r="B1054" s="255" t="s">
        <v>212</v>
      </c>
      <c r="C1054" s="256">
        <v>2020</v>
      </c>
      <c r="D1054" s="256">
        <v>600</v>
      </c>
      <c r="E1054">
        <v>0</v>
      </c>
      <c r="F1054" s="257"/>
      <c r="I1054" s="4"/>
    </row>
    <row r="1055" spans="1:9" x14ac:dyDescent="0.25">
      <c r="A1055" s="255" t="s">
        <v>20</v>
      </c>
      <c r="B1055" s="255" t="s">
        <v>212</v>
      </c>
      <c r="C1055" s="256">
        <v>2020</v>
      </c>
      <c r="D1055" s="256">
        <v>750</v>
      </c>
      <c r="E1055">
        <v>0</v>
      </c>
      <c r="F1055" s="257"/>
      <c r="I1055" s="4"/>
    </row>
    <row r="1056" spans="1:9" x14ac:dyDescent="0.25">
      <c r="A1056" s="255" t="s">
        <v>20</v>
      </c>
      <c r="B1056" s="255" t="s">
        <v>212</v>
      </c>
      <c r="C1056" s="256">
        <v>2020</v>
      </c>
      <c r="D1056" s="256">
        <v>9999</v>
      </c>
      <c r="E1056">
        <v>0</v>
      </c>
      <c r="F1056" s="257"/>
      <c r="I1056" s="4"/>
    </row>
    <row r="1057" spans="1:9" x14ac:dyDescent="0.25">
      <c r="A1057" s="255" t="s">
        <v>20</v>
      </c>
      <c r="B1057" s="255" t="s">
        <v>212</v>
      </c>
      <c r="C1057" s="256">
        <v>2021</v>
      </c>
      <c r="D1057" s="256">
        <v>100</v>
      </c>
      <c r="E1057">
        <v>0</v>
      </c>
      <c r="F1057" s="257"/>
      <c r="I1057" s="4"/>
    </row>
    <row r="1058" spans="1:9" x14ac:dyDescent="0.25">
      <c r="A1058" s="255" t="s">
        <v>20</v>
      </c>
      <c r="B1058" s="255" t="s">
        <v>212</v>
      </c>
      <c r="C1058" s="256">
        <v>2021</v>
      </c>
      <c r="D1058" s="256">
        <v>300</v>
      </c>
      <c r="E1058">
        <v>0</v>
      </c>
      <c r="F1058" s="257"/>
      <c r="I1058" s="4"/>
    </row>
    <row r="1059" spans="1:9" x14ac:dyDescent="0.25">
      <c r="A1059" s="255" t="s">
        <v>20</v>
      </c>
      <c r="B1059" s="255" t="s">
        <v>212</v>
      </c>
      <c r="C1059" s="256">
        <v>2021</v>
      </c>
      <c r="D1059" s="256">
        <v>600</v>
      </c>
      <c r="E1059">
        <v>0</v>
      </c>
      <c r="F1059" s="257"/>
      <c r="I1059" s="4"/>
    </row>
    <row r="1060" spans="1:9" x14ac:dyDescent="0.25">
      <c r="A1060" s="255" t="s">
        <v>20</v>
      </c>
      <c r="B1060" s="255" t="s">
        <v>212</v>
      </c>
      <c r="C1060" s="256">
        <v>2021</v>
      </c>
      <c r="D1060" s="256">
        <v>750</v>
      </c>
      <c r="E1060">
        <v>0</v>
      </c>
      <c r="F1060" s="257"/>
      <c r="I1060" s="4"/>
    </row>
    <row r="1061" spans="1:9" x14ac:dyDescent="0.25">
      <c r="A1061" s="255" t="s">
        <v>20</v>
      </c>
      <c r="B1061" s="255" t="s">
        <v>212</v>
      </c>
      <c r="C1061" s="256">
        <v>2021</v>
      </c>
      <c r="D1061" s="256">
        <v>9999</v>
      </c>
      <c r="E1061">
        <v>0</v>
      </c>
      <c r="F1061" s="257"/>
      <c r="I1061" s="4"/>
    </row>
    <row r="1062" spans="1:9" x14ac:dyDescent="0.25">
      <c r="A1062" s="255" t="s">
        <v>20</v>
      </c>
      <c r="B1062" s="255" t="s">
        <v>212</v>
      </c>
      <c r="C1062" s="256">
        <v>2022</v>
      </c>
      <c r="D1062" s="256">
        <v>100</v>
      </c>
      <c r="E1062">
        <v>0</v>
      </c>
      <c r="F1062" s="257"/>
      <c r="I1062" s="4"/>
    </row>
    <row r="1063" spans="1:9" x14ac:dyDescent="0.25">
      <c r="A1063" s="255" t="s">
        <v>20</v>
      </c>
      <c r="B1063" s="255" t="s">
        <v>212</v>
      </c>
      <c r="C1063" s="256">
        <v>2022</v>
      </c>
      <c r="D1063" s="256">
        <v>300</v>
      </c>
      <c r="E1063">
        <v>0</v>
      </c>
      <c r="F1063" s="257"/>
      <c r="I1063" s="4"/>
    </row>
    <row r="1064" spans="1:9" x14ac:dyDescent="0.25">
      <c r="A1064" s="255" t="s">
        <v>20</v>
      </c>
      <c r="B1064" s="255" t="s">
        <v>212</v>
      </c>
      <c r="C1064" s="256">
        <v>2022</v>
      </c>
      <c r="D1064" s="256">
        <v>600</v>
      </c>
      <c r="E1064">
        <v>0</v>
      </c>
      <c r="F1064" s="257"/>
      <c r="I1064" s="4"/>
    </row>
    <row r="1065" spans="1:9" x14ac:dyDescent="0.25">
      <c r="A1065" s="255" t="s">
        <v>20</v>
      </c>
      <c r="B1065" s="255" t="s">
        <v>212</v>
      </c>
      <c r="C1065" s="256">
        <v>2022</v>
      </c>
      <c r="D1065" s="256">
        <v>750</v>
      </c>
      <c r="E1065">
        <v>0</v>
      </c>
      <c r="F1065" s="257"/>
      <c r="I1065" s="4"/>
    </row>
    <row r="1066" spans="1:9" x14ac:dyDescent="0.25">
      <c r="A1066" s="255" t="s">
        <v>20</v>
      </c>
      <c r="B1066" s="255" t="s">
        <v>212</v>
      </c>
      <c r="C1066" s="256">
        <v>2022</v>
      </c>
      <c r="D1066" s="256">
        <v>9999</v>
      </c>
      <c r="E1066">
        <v>0</v>
      </c>
      <c r="F1066" s="257"/>
      <c r="I1066" s="4"/>
    </row>
    <row r="1067" spans="1:9" x14ac:dyDescent="0.25">
      <c r="A1067" s="255" t="s">
        <v>20</v>
      </c>
      <c r="B1067" s="255" t="s">
        <v>212</v>
      </c>
      <c r="C1067" s="256">
        <v>2023</v>
      </c>
      <c r="D1067" s="256">
        <v>100</v>
      </c>
      <c r="E1067">
        <v>0</v>
      </c>
      <c r="F1067" s="257"/>
      <c r="I1067" s="4"/>
    </row>
    <row r="1068" spans="1:9" x14ac:dyDescent="0.25">
      <c r="A1068" s="255" t="s">
        <v>20</v>
      </c>
      <c r="B1068" s="255" t="s">
        <v>212</v>
      </c>
      <c r="C1068" s="256">
        <v>2023</v>
      </c>
      <c r="D1068" s="256">
        <v>300</v>
      </c>
      <c r="E1068">
        <v>0</v>
      </c>
      <c r="F1068" s="257"/>
      <c r="I1068" s="4"/>
    </row>
    <row r="1069" spans="1:9" x14ac:dyDescent="0.25">
      <c r="A1069" s="255" t="s">
        <v>20</v>
      </c>
      <c r="B1069" s="255" t="s">
        <v>212</v>
      </c>
      <c r="C1069" s="256">
        <v>2023</v>
      </c>
      <c r="D1069" s="256">
        <v>600</v>
      </c>
      <c r="E1069">
        <v>0</v>
      </c>
      <c r="F1069" s="257"/>
      <c r="I1069" s="4"/>
    </row>
    <row r="1070" spans="1:9" x14ac:dyDescent="0.25">
      <c r="A1070" s="255" t="s">
        <v>20</v>
      </c>
      <c r="B1070" s="255" t="s">
        <v>212</v>
      </c>
      <c r="C1070" s="256">
        <v>2023</v>
      </c>
      <c r="D1070" s="256">
        <v>750</v>
      </c>
      <c r="E1070">
        <v>0</v>
      </c>
      <c r="F1070" s="257"/>
      <c r="I1070" s="4"/>
    </row>
    <row r="1071" spans="1:9" x14ac:dyDescent="0.25">
      <c r="A1071" s="255" t="s">
        <v>20</v>
      </c>
      <c r="B1071" s="255" t="s">
        <v>212</v>
      </c>
      <c r="C1071" s="256">
        <v>2023</v>
      </c>
      <c r="D1071" s="256">
        <v>9999</v>
      </c>
      <c r="E1071">
        <v>0</v>
      </c>
      <c r="F1071" s="257"/>
      <c r="I1071" s="4"/>
    </row>
    <row r="1072" spans="1:9" x14ac:dyDescent="0.25">
      <c r="A1072" s="255" t="s">
        <v>20</v>
      </c>
      <c r="B1072" s="255" t="s">
        <v>212</v>
      </c>
      <c r="C1072" s="256">
        <v>2024</v>
      </c>
      <c r="D1072" s="256">
        <v>100</v>
      </c>
      <c r="E1072">
        <v>0</v>
      </c>
      <c r="F1072" s="257"/>
      <c r="I1072" s="4"/>
    </row>
    <row r="1073" spans="1:13" x14ac:dyDescent="0.25">
      <c r="A1073" s="255" t="s">
        <v>20</v>
      </c>
      <c r="B1073" s="255" t="s">
        <v>212</v>
      </c>
      <c r="C1073" s="256">
        <v>2024</v>
      </c>
      <c r="D1073" s="256">
        <v>300</v>
      </c>
      <c r="E1073">
        <v>0</v>
      </c>
      <c r="F1073" s="257"/>
      <c r="I1073" s="4"/>
    </row>
    <row r="1074" spans="1:13" x14ac:dyDescent="0.25">
      <c r="A1074" s="255" t="s">
        <v>20</v>
      </c>
      <c r="B1074" s="255" t="s">
        <v>212</v>
      </c>
      <c r="C1074" s="256">
        <v>2024</v>
      </c>
      <c r="D1074" s="256">
        <v>600</v>
      </c>
      <c r="E1074">
        <v>0</v>
      </c>
      <c r="F1074" s="257"/>
      <c r="I1074" s="4"/>
    </row>
    <row r="1075" spans="1:13" x14ac:dyDescent="0.25">
      <c r="A1075" s="255" t="s">
        <v>20</v>
      </c>
      <c r="B1075" s="255" t="s">
        <v>212</v>
      </c>
      <c r="C1075" s="256">
        <v>2024</v>
      </c>
      <c r="D1075" s="256">
        <v>750</v>
      </c>
      <c r="E1075">
        <v>0</v>
      </c>
      <c r="F1075" s="257"/>
      <c r="I1075" s="4"/>
    </row>
    <row r="1076" spans="1:13" x14ac:dyDescent="0.25">
      <c r="A1076" s="255" t="s">
        <v>20</v>
      </c>
      <c r="B1076" s="255" t="s">
        <v>212</v>
      </c>
      <c r="C1076" s="256">
        <v>2024</v>
      </c>
      <c r="D1076" s="256">
        <v>9999</v>
      </c>
      <c r="E1076">
        <v>0</v>
      </c>
      <c r="F1076" s="257"/>
      <c r="I1076" s="4"/>
    </row>
    <row r="1077" spans="1:13" x14ac:dyDescent="0.25">
      <c r="A1077" s="255" t="s">
        <v>20</v>
      </c>
      <c r="B1077" s="255" t="s">
        <v>212</v>
      </c>
      <c r="C1077" s="256">
        <v>2025</v>
      </c>
      <c r="D1077" s="256">
        <v>100</v>
      </c>
      <c r="E1077">
        <v>0</v>
      </c>
      <c r="F1077" s="257"/>
      <c r="I1077" s="4"/>
    </row>
    <row r="1078" spans="1:13" x14ac:dyDescent="0.25">
      <c r="A1078" s="255" t="s">
        <v>20</v>
      </c>
      <c r="B1078" s="255" t="s">
        <v>212</v>
      </c>
      <c r="C1078" s="256">
        <v>2025</v>
      </c>
      <c r="D1078" s="256">
        <v>300</v>
      </c>
      <c r="E1078">
        <v>0</v>
      </c>
      <c r="F1078" s="257"/>
      <c r="I1078" s="4"/>
    </row>
    <row r="1079" spans="1:13" x14ac:dyDescent="0.25">
      <c r="A1079" s="255" t="s">
        <v>20</v>
      </c>
      <c r="B1079" s="255" t="s">
        <v>212</v>
      </c>
      <c r="C1079" s="256">
        <v>2025</v>
      </c>
      <c r="D1079" s="256">
        <v>600</v>
      </c>
      <c r="E1079">
        <v>0</v>
      </c>
      <c r="F1079" s="257"/>
      <c r="I1079" s="4"/>
    </row>
    <row r="1080" spans="1:13" x14ac:dyDescent="0.25">
      <c r="A1080" s="255" t="s">
        <v>20</v>
      </c>
      <c r="B1080" s="255" t="s">
        <v>212</v>
      </c>
      <c r="C1080" s="256">
        <v>2025</v>
      </c>
      <c r="D1080" s="256">
        <v>750</v>
      </c>
      <c r="E1080">
        <v>0</v>
      </c>
      <c r="F1080" s="257"/>
      <c r="I1080" s="4"/>
    </row>
    <row r="1081" spans="1:13" x14ac:dyDescent="0.25">
      <c r="A1081" s="255" t="s">
        <v>20</v>
      </c>
      <c r="B1081" s="255" t="s">
        <v>212</v>
      </c>
      <c r="C1081" s="256">
        <v>2025</v>
      </c>
      <c r="D1081" s="256">
        <v>9999</v>
      </c>
      <c r="E1081">
        <v>0</v>
      </c>
      <c r="F1081" s="257"/>
      <c r="I1081" s="4"/>
    </row>
    <row r="1082" spans="1:13" ht="30" x14ac:dyDescent="0.25">
      <c r="A1082" s="259" t="s">
        <v>249</v>
      </c>
      <c r="B1082" s="259" t="s">
        <v>206</v>
      </c>
      <c r="C1082" s="260">
        <v>2006</v>
      </c>
      <c r="D1082" s="260">
        <v>50</v>
      </c>
      <c r="E1082" s="261">
        <v>0</v>
      </c>
      <c r="F1082" s="262"/>
      <c r="G1082" s="261"/>
      <c r="H1082" s="261"/>
      <c r="I1082" s="263"/>
      <c r="J1082" s="261"/>
      <c r="K1082" s="261"/>
      <c r="L1082" s="261"/>
      <c r="M1082" s="261"/>
    </row>
    <row r="1083" spans="1:13" ht="30" x14ac:dyDescent="0.25">
      <c r="A1083" s="259" t="s">
        <v>249</v>
      </c>
      <c r="B1083" s="259" t="s">
        <v>206</v>
      </c>
      <c r="C1083" s="260">
        <v>2006</v>
      </c>
      <c r="D1083" s="260">
        <v>75</v>
      </c>
      <c r="E1083" s="261">
        <v>0</v>
      </c>
      <c r="F1083" s="262"/>
      <c r="G1083" s="261"/>
      <c r="H1083" s="261"/>
      <c r="I1083" s="263"/>
      <c r="J1083" s="261"/>
      <c r="K1083" s="261"/>
      <c r="L1083" s="261"/>
      <c r="M1083" s="261"/>
    </row>
    <row r="1084" spans="1:13" ht="30" x14ac:dyDescent="0.25">
      <c r="A1084" s="259" t="s">
        <v>249</v>
      </c>
      <c r="B1084" s="259" t="s">
        <v>206</v>
      </c>
      <c r="C1084" s="260">
        <v>2006</v>
      </c>
      <c r="D1084" s="260">
        <v>100</v>
      </c>
      <c r="E1084" s="261">
        <v>0</v>
      </c>
      <c r="F1084" s="262"/>
      <c r="G1084" s="261"/>
      <c r="H1084" s="261"/>
      <c r="I1084" s="263"/>
      <c r="J1084" s="261"/>
      <c r="K1084" s="261"/>
      <c r="L1084" s="261"/>
      <c r="M1084" s="261"/>
    </row>
    <row r="1085" spans="1:13" ht="30" x14ac:dyDescent="0.25">
      <c r="A1085" s="259" t="s">
        <v>249</v>
      </c>
      <c r="B1085" s="259" t="s">
        <v>206</v>
      </c>
      <c r="C1085" s="260">
        <v>2006</v>
      </c>
      <c r="D1085" s="260">
        <v>175</v>
      </c>
      <c r="E1085" s="261">
        <v>0</v>
      </c>
      <c r="F1085" s="262"/>
      <c r="G1085" s="261"/>
      <c r="H1085" s="261"/>
      <c r="I1085" s="263"/>
      <c r="J1085" s="261"/>
      <c r="K1085" s="261"/>
      <c r="L1085" s="261"/>
      <c r="M1085" s="261"/>
    </row>
    <row r="1086" spans="1:13" ht="30" x14ac:dyDescent="0.25">
      <c r="A1086" s="259" t="s">
        <v>249</v>
      </c>
      <c r="B1086" s="259" t="s">
        <v>206</v>
      </c>
      <c r="C1086" s="260">
        <v>2006</v>
      </c>
      <c r="D1086" s="260">
        <v>300</v>
      </c>
      <c r="E1086" s="261">
        <v>0</v>
      </c>
      <c r="F1086" s="262"/>
      <c r="G1086" s="261"/>
      <c r="H1086" s="261"/>
      <c r="I1086" s="263"/>
      <c r="J1086" s="261"/>
      <c r="K1086" s="261"/>
      <c r="L1086" s="261"/>
      <c r="M1086" s="261"/>
    </row>
    <row r="1087" spans="1:13" ht="30" x14ac:dyDescent="0.25">
      <c r="A1087" s="259" t="s">
        <v>249</v>
      </c>
      <c r="B1087" s="259" t="s">
        <v>206</v>
      </c>
      <c r="C1087" s="260">
        <v>2006</v>
      </c>
      <c r="D1087" s="260">
        <v>600</v>
      </c>
      <c r="E1087" s="261">
        <v>0</v>
      </c>
      <c r="F1087" s="262"/>
      <c r="G1087" s="261"/>
      <c r="H1087" s="261"/>
      <c r="I1087" s="263"/>
      <c r="J1087" s="261"/>
      <c r="K1087" s="261"/>
      <c r="L1087" s="261"/>
      <c r="M1087" s="261"/>
    </row>
    <row r="1088" spans="1:13" ht="45" x14ac:dyDescent="0.25">
      <c r="A1088" s="259" t="s">
        <v>249</v>
      </c>
      <c r="B1088" s="259" t="s">
        <v>208</v>
      </c>
      <c r="C1088" s="260">
        <v>2006</v>
      </c>
      <c r="D1088" s="260">
        <v>100</v>
      </c>
      <c r="E1088" s="261">
        <v>0</v>
      </c>
      <c r="F1088" s="262"/>
      <c r="G1088" s="261"/>
      <c r="H1088" s="261"/>
      <c r="I1088" s="263"/>
      <c r="J1088" s="261"/>
      <c r="K1088" s="261"/>
      <c r="L1088" s="261"/>
      <c r="M1088" s="261"/>
    </row>
    <row r="1089" spans="1:13" ht="45" x14ac:dyDescent="0.25">
      <c r="A1089" s="259" t="s">
        <v>249</v>
      </c>
      <c r="B1089" s="259" t="s">
        <v>208</v>
      </c>
      <c r="C1089" s="260">
        <v>2006</v>
      </c>
      <c r="D1089" s="260">
        <v>175</v>
      </c>
      <c r="E1089" s="261">
        <v>0</v>
      </c>
      <c r="F1089" s="262"/>
      <c r="G1089" s="261"/>
      <c r="H1089" s="261"/>
      <c r="I1089" s="263"/>
      <c r="J1089" s="261"/>
      <c r="K1089" s="261"/>
      <c r="L1089" s="261"/>
      <c r="M1089" s="261"/>
    </row>
    <row r="1090" spans="1:13" ht="45" x14ac:dyDescent="0.25">
      <c r="A1090" s="259" t="s">
        <v>249</v>
      </c>
      <c r="B1090" s="259" t="s">
        <v>208</v>
      </c>
      <c r="C1090" s="260">
        <v>2006</v>
      </c>
      <c r="D1090" s="260">
        <v>300</v>
      </c>
      <c r="E1090" s="261">
        <v>0</v>
      </c>
      <c r="F1090" s="262"/>
      <c r="G1090" s="261"/>
      <c r="H1090" s="261"/>
      <c r="I1090" s="263"/>
      <c r="J1090" s="261"/>
      <c r="K1090" s="261"/>
      <c r="L1090" s="261"/>
      <c r="M1090" s="261"/>
    </row>
    <row r="1091" spans="1:13" ht="45" x14ac:dyDescent="0.25">
      <c r="A1091" s="259" t="s">
        <v>249</v>
      </c>
      <c r="B1091" s="259" t="s">
        <v>208</v>
      </c>
      <c r="C1091" s="260">
        <v>2006</v>
      </c>
      <c r="D1091" s="260">
        <v>600</v>
      </c>
      <c r="E1091" s="261">
        <v>0</v>
      </c>
      <c r="F1091" s="262"/>
      <c r="G1091" s="261"/>
      <c r="H1091" s="261"/>
      <c r="I1091" s="263"/>
      <c r="J1091" s="261"/>
      <c r="K1091" s="261"/>
      <c r="L1091" s="261"/>
      <c r="M1091" s="261"/>
    </row>
    <row r="1092" spans="1:13" ht="30" x14ac:dyDescent="0.25">
      <c r="A1092" s="259" t="s">
        <v>249</v>
      </c>
      <c r="B1092" s="259" t="s">
        <v>192</v>
      </c>
      <c r="C1092" s="260">
        <v>2006</v>
      </c>
      <c r="D1092" s="260">
        <v>50</v>
      </c>
      <c r="E1092" s="261">
        <v>0</v>
      </c>
      <c r="F1092" s="262"/>
      <c r="G1092" s="261"/>
      <c r="H1092" s="261"/>
      <c r="I1092" s="263"/>
      <c r="J1092" s="261"/>
      <c r="K1092" s="261"/>
      <c r="L1092" s="261"/>
      <c r="M1092" s="261"/>
    </row>
    <row r="1093" spans="1:13" ht="30" x14ac:dyDescent="0.25">
      <c r="A1093" s="259" t="s">
        <v>249</v>
      </c>
      <c r="B1093" s="259" t="s">
        <v>192</v>
      </c>
      <c r="C1093" s="260">
        <v>2006</v>
      </c>
      <c r="D1093" s="260">
        <v>75</v>
      </c>
      <c r="E1093" s="261">
        <v>0</v>
      </c>
      <c r="F1093" s="262"/>
      <c r="G1093" s="261"/>
      <c r="H1093" s="261"/>
      <c r="I1093" s="263"/>
      <c r="J1093" s="261"/>
      <c r="K1093" s="261"/>
      <c r="L1093" s="261"/>
      <c r="M1093" s="261"/>
    </row>
    <row r="1094" spans="1:13" ht="30" x14ac:dyDescent="0.25">
      <c r="A1094" s="259" t="s">
        <v>249</v>
      </c>
      <c r="B1094" s="259" t="s">
        <v>192</v>
      </c>
      <c r="C1094" s="260">
        <v>2006</v>
      </c>
      <c r="D1094" s="260">
        <v>100</v>
      </c>
      <c r="E1094" s="261">
        <v>0</v>
      </c>
      <c r="F1094" s="262"/>
      <c r="G1094" s="261"/>
      <c r="H1094" s="261"/>
      <c r="I1094" s="263"/>
      <c r="J1094" s="261"/>
      <c r="K1094" s="261"/>
      <c r="L1094" s="261"/>
      <c r="M1094" s="261"/>
    </row>
    <row r="1095" spans="1:13" ht="30" x14ac:dyDescent="0.25">
      <c r="A1095" s="259" t="s">
        <v>249</v>
      </c>
      <c r="B1095" s="259" t="s">
        <v>192</v>
      </c>
      <c r="C1095" s="260">
        <v>2006</v>
      </c>
      <c r="D1095" s="260">
        <v>175</v>
      </c>
      <c r="E1095" s="261">
        <v>0</v>
      </c>
      <c r="F1095" s="262"/>
      <c r="G1095" s="261"/>
      <c r="H1095" s="261"/>
      <c r="I1095" s="263"/>
      <c r="J1095" s="261"/>
      <c r="K1095" s="261"/>
      <c r="L1095" s="261"/>
      <c r="M1095" s="261"/>
    </row>
    <row r="1096" spans="1:13" ht="30" x14ac:dyDescent="0.25">
      <c r="A1096" s="259" t="s">
        <v>249</v>
      </c>
      <c r="B1096" s="259" t="s">
        <v>192</v>
      </c>
      <c r="C1096" s="260">
        <v>2006</v>
      </c>
      <c r="D1096" s="260">
        <v>300</v>
      </c>
      <c r="E1096" s="261">
        <v>0</v>
      </c>
      <c r="F1096" s="262"/>
      <c r="G1096" s="261"/>
      <c r="H1096" s="261"/>
      <c r="I1096" s="263"/>
      <c r="J1096" s="261"/>
      <c r="K1096" s="261"/>
      <c r="L1096" s="261"/>
      <c r="M1096" s="261"/>
    </row>
    <row r="1097" spans="1:13" ht="30" x14ac:dyDescent="0.25">
      <c r="A1097" s="259" t="s">
        <v>249</v>
      </c>
      <c r="B1097" s="259" t="s">
        <v>192</v>
      </c>
      <c r="C1097" s="260">
        <v>2006</v>
      </c>
      <c r="D1097" s="260">
        <v>600</v>
      </c>
      <c r="E1097" s="261">
        <v>0</v>
      </c>
      <c r="F1097" s="262"/>
      <c r="G1097" s="261"/>
      <c r="H1097" s="261"/>
      <c r="I1097" s="263"/>
      <c r="J1097" s="261"/>
      <c r="K1097" s="261"/>
      <c r="L1097" s="261"/>
      <c r="M1097" s="261"/>
    </row>
    <row r="1098" spans="1:13" ht="45" x14ac:dyDescent="0.25">
      <c r="A1098" s="259" t="s">
        <v>249</v>
      </c>
      <c r="B1098" s="259" t="s">
        <v>211</v>
      </c>
      <c r="C1098" s="260">
        <v>2006</v>
      </c>
      <c r="D1098" s="260">
        <v>50</v>
      </c>
      <c r="E1098" s="261">
        <v>0</v>
      </c>
      <c r="F1098" s="262"/>
      <c r="G1098" s="261"/>
      <c r="H1098" s="261"/>
      <c r="I1098" s="263"/>
      <c r="J1098" s="261"/>
      <c r="K1098" s="261"/>
      <c r="L1098" s="261"/>
      <c r="M1098" s="261"/>
    </row>
    <row r="1099" spans="1:13" ht="45" x14ac:dyDescent="0.25">
      <c r="A1099" s="259" t="s">
        <v>249</v>
      </c>
      <c r="B1099" s="259" t="s">
        <v>211</v>
      </c>
      <c r="C1099" s="260">
        <v>2006</v>
      </c>
      <c r="D1099" s="260">
        <v>75</v>
      </c>
      <c r="E1099" s="261">
        <v>0</v>
      </c>
      <c r="F1099" s="262"/>
      <c r="G1099" s="261"/>
      <c r="H1099" s="261"/>
      <c r="I1099" s="263"/>
      <c r="J1099" s="261"/>
      <c r="K1099" s="261"/>
      <c r="L1099" s="261"/>
      <c r="M1099" s="261"/>
    </row>
    <row r="1100" spans="1:13" ht="45" x14ac:dyDescent="0.25">
      <c r="A1100" s="259" t="s">
        <v>249</v>
      </c>
      <c r="B1100" s="259" t="s">
        <v>211</v>
      </c>
      <c r="C1100" s="260">
        <v>2006</v>
      </c>
      <c r="D1100" s="260">
        <v>100</v>
      </c>
      <c r="E1100" s="261">
        <v>0</v>
      </c>
      <c r="F1100" s="262"/>
      <c r="G1100" s="261"/>
      <c r="H1100" s="261"/>
      <c r="I1100" s="263"/>
      <c r="J1100" s="261"/>
      <c r="K1100" s="261"/>
      <c r="L1100" s="261"/>
      <c r="M1100" s="261"/>
    </row>
    <row r="1101" spans="1:13" ht="45" x14ac:dyDescent="0.25">
      <c r="A1101" s="259" t="s">
        <v>249</v>
      </c>
      <c r="B1101" s="259" t="s">
        <v>211</v>
      </c>
      <c r="C1101" s="260">
        <v>2006</v>
      </c>
      <c r="D1101" s="260">
        <v>175</v>
      </c>
      <c r="E1101" s="261">
        <v>0</v>
      </c>
      <c r="F1101" s="262"/>
      <c r="G1101" s="261"/>
      <c r="H1101" s="261"/>
      <c r="I1101" s="263"/>
      <c r="J1101" s="261"/>
      <c r="K1101" s="261"/>
      <c r="L1101" s="261"/>
      <c r="M1101" s="261"/>
    </row>
    <row r="1102" spans="1:13" ht="45" x14ac:dyDescent="0.25">
      <c r="A1102" s="259" t="s">
        <v>249</v>
      </c>
      <c r="B1102" s="259" t="s">
        <v>211</v>
      </c>
      <c r="C1102" s="260">
        <v>2006</v>
      </c>
      <c r="D1102" s="260">
        <v>300</v>
      </c>
      <c r="E1102" s="261">
        <v>0</v>
      </c>
      <c r="F1102" s="262"/>
      <c r="G1102" s="261"/>
      <c r="H1102" s="261"/>
      <c r="I1102" s="263"/>
      <c r="J1102" s="261"/>
      <c r="K1102" s="261"/>
      <c r="L1102" s="261"/>
      <c r="M1102" s="261"/>
    </row>
    <row r="1103" spans="1:13" ht="45" x14ac:dyDescent="0.25">
      <c r="A1103" s="259" t="s">
        <v>249</v>
      </c>
      <c r="B1103" s="259" t="s">
        <v>211</v>
      </c>
      <c r="C1103" s="260">
        <v>2006</v>
      </c>
      <c r="D1103" s="260">
        <v>600</v>
      </c>
      <c r="E1103" s="261">
        <v>0</v>
      </c>
      <c r="F1103" s="262"/>
      <c r="G1103" s="261"/>
      <c r="H1103" s="261"/>
      <c r="I1103" s="263"/>
      <c r="J1103" s="261"/>
      <c r="K1103" s="261"/>
      <c r="L1103" s="261"/>
      <c r="M1103" s="261"/>
    </row>
    <row r="1104" spans="1:13" ht="30" x14ac:dyDescent="0.25">
      <c r="A1104" s="259" t="s">
        <v>249</v>
      </c>
      <c r="B1104" s="259" t="s">
        <v>212</v>
      </c>
      <c r="C1104" s="260">
        <v>2006</v>
      </c>
      <c r="D1104" s="260">
        <v>100</v>
      </c>
      <c r="E1104" s="261">
        <v>0</v>
      </c>
      <c r="F1104" s="262"/>
      <c r="G1104" s="261"/>
      <c r="H1104" s="261"/>
      <c r="I1104" s="263"/>
      <c r="J1104" s="261"/>
      <c r="K1104" s="261"/>
      <c r="L1104" s="261"/>
      <c r="M1104" s="261"/>
    </row>
    <row r="1105" spans="1:13" ht="30" x14ac:dyDescent="0.25">
      <c r="A1105" s="259" t="s">
        <v>249</v>
      </c>
      <c r="B1105" s="259" t="s">
        <v>212</v>
      </c>
      <c r="C1105" s="260">
        <v>2006</v>
      </c>
      <c r="D1105" s="260">
        <v>300</v>
      </c>
      <c r="E1105" s="261">
        <v>0</v>
      </c>
      <c r="F1105" s="262"/>
      <c r="G1105" s="261"/>
      <c r="H1105" s="261"/>
      <c r="I1105" s="263"/>
      <c r="J1105" s="261"/>
      <c r="K1105" s="261"/>
      <c r="L1105" s="261"/>
      <c r="M1105" s="261"/>
    </row>
    <row r="1106" spans="1:13" ht="30" x14ac:dyDescent="0.25">
      <c r="A1106" s="259" t="s">
        <v>249</v>
      </c>
      <c r="B1106" s="259" t="s">
        <v>212</v>
      </c>
      <c r="C1106" s="260">
        <v>2006</v>
      </c>
      <c r="D1106" s="260">
        <v>600</v>
      </c>
      <c r="E1106" s="261">
        <v>0</v>
      </c>
      <c r="F1106" s="262"/>
      <c r="G1106" s="261"/>
      <c r="H1106" s="261"/>
      <c r="I1106" s="263"/>
      <c r="J1106" s="261"/>
      <c r="K1106" s="261"/>
      <c r="L1106" s="261"/>
      <c r="M1106" s="261"/>
    </row>
    <row r="1107" spans="1:13" ht="30" x14ac:dyDescent="0.25">
      <c r="A1107" s="259" t="s">
        <v>249</v>
      </c>
      <c r="B1107" s="259" t="s">
        <v>212</v>
      </c>
      <c r="C1107" s="260">
        <v>2006</v>
      </c>
      <c r="D1107" s="260">
        <v>750</v>
      </c>
      <c r="E1107" s="261">
        <v>0</v>
      </c>
      <c r="F1107" s="262"/>
      <c r="G1107" s="261"/>
      <c r="H1107" s="261"/>
      <c r="I1107" s="263"/>
      <c r="J1107" s="261"/>
      <c r="K1107" s="261"/>
      <c r="L1107" s="261"/>
      <c r="M1107" s="261"/>
    </row>
    <row r="1108" spans="1:13" ht="30" x14ac:dyDescent="0.25">
      <c r="A1108" s="259" t="s">
        <v>249</v>
      </c>
      <c r="B1108" s="259" t="s">
        <v>212</v>
      </c>
      <c r="C1108" s="260">
        <v>2006</v>
      </c>
      <c r="D1108" s="260">
        <v>9999</v>
      </c>
      <c r="E1108" s="261">
        <v>0</v>
      </c>
      <c r="F1108" s="262"/>
      <c r="G1108" s="261"/>
      <c r="H1108" s="261"/>
      <c r="I1108" s="263"/>
      <c r="J1108" s="261"/>
      <c r="K1108" s="261"/>
      <c r="L1108" s="261"/>
      <c r="M1108" s="261"/>
    </row>
    <row r="1109" spans="1:13" ht="30" x14ac:dyDescent="0.25">
      <c r="A1109" s="259" t="s">
        <v>249</v>
      </c>
      <c r="B1109" s="259" t="s">
        <v>206</v>
      </c>
      <c r="C1109" s="260">
        <v>2007</v>
      </c>
      <c r="D1109" s="260">
        <v>50</v>
      </c>
      <c r="E1109" s="261">
        <v>3.9024390243902599E-2</v>
      </c>
      <c r="F1109" s="262"/>
      <c r="G1109" s="261">
        <f t="shared" ref="G1109:G1130" si="14">IF(OR(D1109=50,D1109=75),50,IF(OR(D1109=100,D1109=125),125,IF(D1109&gt;=400,400,D1109)))</f>
        <v>50</v>
      </c>
      <c r="H1109" s="263">
        <f>IF(B1109="RTG Crane",IF(D1109&lt;600,800000,1200000),VLOOKUP(B1109,'$$$ Replace &amp; Retrofit'!$B$10:$C$14,2)*'CHE Model poplulation'!D1088)*E1109</f>
        <v>1951.2195121951299</v>
      </c>
      <c r="I1109" s="263">
        <f>E1109*VLOOKUP('CHE Model poplulation'!G1088,'$$$ Replace &amp; Retrofit'!$I$10:$J$15,2)</f>
        <v>686.36097560975895</v>
      </c>
      <c r="J1109" s="264">
        <f>IF(D1109=50,VLOOKUP(0,'$$$ Replace &amp; Retrofit'!$E$10:$F$13,2),IF(D1109&lt;175,VLOOKUP(50,'$$$ Replace &amp; Retrofit'!$E$10:$F$13,2),IF(D1109&lt;400,VLOOKUP(175,'$$$ Replace &amp; Retrofit'!$E$10:$F$13,2),IF(D1109&gt;=400,VLOOKUP(400,'$$$ Replace &amp; Retrofit'!$E$10:$F$13,2),NA))))*E1109</f>
        <v>312.19512195122081</v>
      </c>
      <c r="K1109" s="261"/>
      <c r="L1109" s="261"/>
      <c r="M1109" s="261"/>
    </row>
    <row r="1110" spans="1:13" ht="30" x14ac:dyDescent="0.25">
      <c r="A1110" s="259" t="s">
        <v>249</v>
      </c>
      <c r="B1110" s="259" t="s">
        <v>206</v>
      </c>
      <c r="C1110" s="260">
        <v>2007</v>
      </c>
      <c r="D1110" s="260">
        <v>75</v>
      </c>
      <c r="E1110" s="261">
        <v>9.4773519163763406E-2</v>
      </c>
      <c r="F1110" s="262"/>
      <c r="G1110" s="261">
        <f t="shared" si="14"/>
        <v>50</v>
      </c>
      <c r="H1110" s="263">
        <f>IF(B1110="RTG Crane",IF(D1110&lt;600,800000,1200000),VLOOKUP(B1110,'$$$ Replace &amp; Retrofit'!$B$10:$C$14,2)*'CHE Model poplulation'!D1089)*E1110</f>
        <v>7108.013937282255</v>
      </c>
      <c r="I1110" s="263">
        <f>E1110*VLOOKUP('CHE Model poplulation'!G1089,'$$$ Replace &amp; Retrofit'!$I$10:$J$15,2)</f>
        <v>1666.8766550522707</v>
      </c>
      <c r="J1110" s="264">
        <f>IF(D1110=50,VLOOKUP(0,'$$$ Replace &amp; Retrofit'!$E$10:$F$13,2),IF(D1110&lt;175,VLOOKUP(50,'$$$ Replace &amp; Retrofit'!$E$10:$F$13,2),IF(D1110&lt;400,VLOOKUP(175,'$$$ Replace &amp; Retrofit'!$E$10:$F$13,2),IF(D1110&gt;=400,VLOOKUP(400,'$$$ Replace &amp; Retrofit'!$E$10:$F$13,2),NA))))*E1110</f>
        <v>1137.2822299651609</v>
      </c>
      <c r="K1110" s="261"/>
      <c r="L1110" s="261"/>
      <c r="M1110" s="261"/>
    </row>
    <row r="1111" spans="1:13" ht="30" x14ac:dyDescent="0.25">
      <c r="A1111" s="259" t="s">
        <v>249</v>
      </c>
      <c r="B1111" s="259" t="s">
        <v>206</v>
      </c>
      <c r="C1111" s="260">
        <v>2007</v>
      </c>
      <c r="D1111" s="260">
        <v>100</v>
      </c>
      <c r="E1111" s="261">
        <v>9.4773519163763503E-2</v>
      </c>
      <c r="F1111" s="262"/>
      <c r="G1111" s="261">
        <f t="shared" si="14"/>
        <v>125</v>
      </c>
      <c r="H1111" s="263">
        <f>IF(B1111="RTG Crane",IF(D1111&lt;600,800000,1200000),VLOOKUP(B1111,'$$$ Replace &amp; Retrofit'!$B$10:$C$14,2)*'CHE Model poplulation'!D1090)*E1111</f>
        <v>9477.3519163763503</v>
      </c>
      <c r="I1111" s="263">
        <f>E1111*VLOOKUP('CHE Model poplulation'!G1090,'$$$ Replace &amp; Retrofit'!$I$10:$J$15,2)</f>
        <v>1870.1658536585453</v>
      </c>
      <c r="J1111" s="264">
        <f>IF(D1111=50,VLOOKUP(0,'$$$ Replace &amp; Retrofit'!$E$10:$F$13,2),IF(D1111&lt;175,VLOOKUP(50,'$$$ Replace &amp; Retrofit'!$E$10:$F$13,2),IF(D1111&lt;400,VLOOKUP(175,'$$$ Replace &amp; Retrofit'!$E$10:$F$13,2),IF(D1111&gt;=400,VLOOKUP(400,'$$$ Replace &amp; Retrofit'!$E$10:$F$13,2),NA))))*E1111</f>
        <v>1137.2822299651621</v>
      </c>
      <c r="K1111" s="261"/>
      <c r="L1111" s="261"/>
      <c r="M1111" s="261"/>
    </row>
    <row r="1112" spans="1:13" ht="30" x14ac:dyDescent="0.25">
      <c r="A1112" s="259" t="s">
        <v>249</v>
      </c>
      <c r="B1112" s="259" t="s">
        <v>206</v>
      </c>
      <c r="C1112" s="260">
        <v>2007</v>
      </c>
      <c r="D1112" s="260">
        <v>175</v>
      </c>
      <c r="E1112" s="261">
        <v>0.25644599303136001</v>
      </c>
      <c r="F1112" s="262"/>
      <c r="G1112" s="261">
        <f t="shared" si="14"/>
        <v>175</v>
      </c>
      <c r="H1112" s="263">
        <f>IF(B1112="RTG Crane",IF(D1112&lt;600,800000,1200000),VLOOKUP(B1112,'$$$ Replace &amp; Retrofit'!$B$10:$C$14,2)*'CHE Model poplulation'!D1091)*E1112</f>
        <v>44878.048780488003</v>
      </c>
      <c r="I1112" s="263">
        <f>E1112*VLOOKUP('CHE Model poplulation'!G1091,'$$$ Replace &amp; Retrofit'!$I$10:$J$15,2)</f>
        <v>6358.8348432056027</v>
      </c>
      <c r="J1112" s="264">
        <f>IF(D1112=50,VLOOKUP(0,'$$$ Replace &amp; Retrofit'!$E$10:$F$13,2),IF(D1112&lt;175,VLOOKUP(50,'$$$ Replace &amp; Retrofit'!$E$10:$F$13,2),IF(D1112&lt;400,VLOOKUP(175,'$$$ Replace &amp; Retrofit'!$E$10:$F$13,2),IF(D1112&gt;=400,VLOOKUP(400,'$$$ Replace &amp; Retrofit'!$E$10:$F$13,2),NA))))*E1112</f>
        <v>4616.02787456448</v>
      </c>
      <c r="K1112" s="261"/>
      <c r="L1112" s="261"/>
      <c r="M1112" s="261"/>
    </row>
    <row r="1113" spans="1:13" ht="30" x14ac:dyDescent="0.25">
      <c r="A1113" s="259" t="s">
        <v>249</v>
      </c>
      <c r="B1113" s="259" t="s">
        <v>206</v>
      </c>
      <c r="C1113" s="260">
        <v>2007</v>
      </c>
      <c r="D1113" s="260">
        <v>300</v>
      </c>
      <c r="E1113" s="261">
        <v>0.22857142857143001</v>
      </c>
      <c r="F1113" s="262"/>
      <c r="G1113" s="261">
        <f t="shared" si="14"/>
        <v>300</v>
      </c>
      <c r="H1113" s="263">
        <f>IF(B1113="RTG Crane",IF(D1113&lt;600,800000,1200000),VLOOKUP(B1113,'$$$ Replace &amp; Retrofit'!$B$10:$C$14,2)*'CHE Model poplulation'!D1092)*E1113</f>
        <v>68571.428571429002</v>
      </c>
      <c r="I1113" s="263">
        <f>E1113*VLOOKUP('CHE Model poplulation'!G1092,'$$$ Replace &amp; Retrofit'!$I$10:$J$15,2)</f>
        <v>6574.4000000000415</v>
      </c>
      <c r="J1113" s="264">
        <f>IF(D1113=50,VLOOKUP(0,'$$$ Replace &amp; Retrofit'!$E$10:$F$13,2),IF(D1113&lt;175,VLOOKUP(50,'$$$ Replace &amp; Retrofit'!$E$10:$F$13,2),IF(D1113&lt;400,VLOOKUP(175,'$$$ Replace &amp; Retrofit'!$E$10:$F$13,2),IF(D1113&gt;=400,VLOOKUP(400,'$$$ Replace &amp; Retrofit'!$E$10:$F$13,2),NA))))*E1113</f>
        <v>4114.2857142857401</v>
      </c>
      <c r="K1113" s="261"/>
      <c r="L1113" s="261"/>
      <c r="M1113" s="261"/>
    </row>
    <row r="1114" spans="1:13" ht="30" x14ac:dyDescent="0.25">
      <c r="A1114" s="259" t="s">
        <v>249</v>
      </c>
      <c r="B1114" s="259" t="s">
        <v>206</v>
      </c>
      <c r="C1114" s="260">
        <v>2007</v>
      </c>
      <c r="D1114" s="260">
        <v>600</v>
      </c>
      <c r="E1114" s="261">
        <v>0.39581881533101199</v>
      </c>
      <c r="F1114" s="262"/>
      <c r="G1114" s="261">
        <f t="shared" si="14"/>
        <v>400</v>
      </c>
      <c r="H1114" s="263">
        <f>IF(B1114="RTG Crane",IF(D1114&lt;600,800000,1200000),VLOOKUP(B1114,'$$$ Replace &amp; Retrofit'!$B$10:$C$14,2)*'CHE Model poplulation'!D1093)*E1114</f>
        <v>237491.28919860718</v>
      </c>
      <c r="I1114" s="263">
        <f>E1114*VLOOKUP('CHE Model poplulation'!G1093,'$$$ Replace &amp; Retrofit'!$I$10:$J$15,2)</f>
        <v>20714.386062717851</v>
      </c>
      <c r="J1114" s="264">
        <f>IF(D1114=50,VLOOKUP(0,'$$$ Replace &amp; Retrofit'!$E$10:$F$13,2),IF(D1114&lt;175,VLOOKUP(50,'$$$ Replace &amp; Retrofit'!$E$10:$F$13,2),IF(D1114&lt;400,VLOOKUP(175,'$$$ Replace &amp; Retrofit'!$E$10:$F$13,2),IF(D1114&gt;=400,VLOOKUP(400,'$$$ Replace &amp; Retrofit'!$E$10:$F$13,2),NA))))*E1114</f>
        <v>11874.56445993036</v>
      </c>
      <c r="K1114" s="261"/>
      <c r="L1114" s="261"/>
      <c r="M1114" s="261"/>
    </row>
    <row r="1115" spans="1:13" ht="45" x14ac:dyDescent="0.25">
      <c r="A1115" s="259" t="s">
        <v>249</v>
      </c>
      <c r="B1115" s="259" t="s">
        <v>208</v>
      </c>
      <c r="C1115" s="260">
        <v>2007</v>
      </c>
      <c r="D1115" s="260">
        <v>100</v>
      </c>
      <c r="E1115" s="261">
        <v>1.11498257839722E-2</v>
      </c>
      <c r="F1115" s="262"/>
      <c r="G1115" s="261">
        <f t="shared" si="14"/>
        <v>125</v>
      </c>
      <c r="H1115" s="263">
        <f>IF(B1115="RTG Crane",IF(D1115&lt;600,800000,1200000),VLOOKUP(B1115,'$$$ Replace &amp; Retrofit'!$B$10:$C$14,2)*'CHE Model poplulation'!D1206)*E1115</f>
        <v>888.64111498258433</v>
      </c>
      <c r="I1115" s="263">
        <f>E1115*VLOOKUP('CHE Model poplulation'!G1206,'$$$ Replace &amp; Retrofit'!$I$10:$J$15,2)</f>
        <v>220.01951219512341</v>
      </c>
      <c r="J1115" s="264">
        <f>IF(D1115=50,VLOOKUP(0,'$$$ Replace &amp; Retrofit'!$E$10:$F$13,2),IF(D1115&lt;175,VLOOKUP(50,'$$$ Replace &amp; Retrofit'!$E$10:$F$13,2),IF(D1115&lt;400,VLOOKUP(175,'$$$ Replace &amp; Retrofit'!$E$10:$F$13,2),IF(D1115&gt;=400,VLOOKUP(400,'$$$ Replace &amp; Retrofit'!$E$10:$F$13,2),NA))))*E1115</f>
        <v>133.7979094076664</v>
      </c>
      <c r="K1115" s="261"/>
      <c r="L1115" s="261"/>
      <c r="M1115" s="261"/>
    </row>
    <row r="1116" spans="1:13" ht="45" x14ac:dyDescent="0.25">
      <c r="A1116" s="259" t="s">
        <v>249</v>
      </c>
      <c r="B1116" s="259" t="s">
        <v>208</v>
      </c>
      <c r="C1116" s="260">
        <v>2007</v>
      </c>
      <c r="D1116" s="260">
        <v>175</v>
      </c>
      <c r="E1116" s="261">
        <v>0.31777003484320698</v>
      </c>
      <c r="F1116" s="262"/>
      <c r="G1116" s="261">
        <f t="shared" si="14"/>
        <v>175</v>
      </c>
      <c r="H1116" s="263">
        <f>IF(B1116="RTG Crane",IF(D1116&lt;600,800000,1200000),VLOOKUP(B1116,'$$$ Replace &amp; Retrofit'!$B$10:$C$14,2)*'CHE Model poplulation'!D1207)*E1116</f>
        <v>44320.975609756293</v>
      </c>
      <c r="I1116" s="263">
        <f>E1116*VLOOKUP('CHE Model poplulation'!G1207,'$$$ Replace &amp; Retrofit'!$I$10:$J$15,2)</f>
        <v>7879.4257839721604</v>
      </c>
      <c r="J1116" s="264">
        <f>IF(D1116=50,VLOOKUP(0,'$$$ Replace &amp; Retrofit'!$E$10:$F$13,2),IF(D1116&lt;175,VLOOKUP(50,'$$$ Replace &amp; Retrofit'!$E$10:$F$13,2),IF(D1116&lt;400,VLOOKUP(175,'$$$ Replace &amp; Retrofit'!$E$10:$F$13,2),IF(D1116&gt;=400,VLOOKUP(400,'$$$ Replace &amp; Retrofit'!$E$10:$F$13,2),NA))))*E1116</f>
        <v>5719.8606271777253</v>
      </c>
      <c r="K1116" s="261"/>
      <c r="L1116" s="261"/>
      <c r="M1116" s="261"/>
    </row>
    <row r="1117" spans="1:13" ht="45" x14ac:dyDescent="0.25">
      <c r="A1117" s="259" t="s">
        <v>249</v>
      </c>
      <c r="B1117" s="259" t="s">
        <v>208</v>
      </c>
      <c r="C1117" s="260">
        <v>2007</v>
      </c>
      <c r="D1117" s="260">
        <v>300</v>
      </c>
      <c r="E1117" s="261">
        <v>0.81393728222996797</v>
      </c>
      <c r="F1117" s="262"/>
      <c r="G1117" s="261">
        <f t="shared" si="14"/>
        <v>300</v>
      </c>
      <c r="H1117" s="263">
        <f>IF(B1117="RTG Crane",IF(D1117&lt;600,800000,1200000),VLOOKUP(B1117,'$$$ Replace &amp; Retrofit'!$B$10:$C$14,2)*'CHE Model poplulation'!D1208)*E1117</f>
        <v>194612.40418118535</v>
      </c>
      <c r="I1117" s="263">
        <f>E1117*VLOOKUP('CHE Model poplulation'!G1208,'$$$ Replace &amp; Retrofit'!$I$10:$J$15,2)</f>
        <v>23411.278048780568</v>
      </c>
      <c r="J1117" s="264">
        <f>IF(D1117=50,VLOOKUP(0,'$$$ Replace &amp; Retrofit'!$E$10:$F$13,2),IF(D1117&lt;175,VLOOKUP(50,'$$$ Replace &amp; Retrofit'!$E$10:$F$13,2),IF(D1117&lt;400,VLOOKUP(175,'$$$ Replace &amp; Retrofit'!$E$10:$F$13,2),IF(D1117&gt;=400,VLOOKUP(400,'$$$ Replace &amp; Retrofit'!$E$10:$F$13,2),NA))))*E1117</f>
        <v>14650.871080139423</v>
      </c>
      <c r="K1117" s="261"/>
      <c r="L1117" s="261"/>
      <c r="M1117" s="261"/>
    </row>
    <row r="1118" spans="1:13" ht="45" x14ac:dyDescent="0.25">
      <c r="A1118" s="259" t="s">
        <v>249</v>
      </c>
      <c r="B1118" s="259" t="s">
        <v>208</v>
      </c>
      <c r="C1118" s="260">
        <v>2007</v>
      </c>
      <c r="D1118" s="260">
        <v>600</v>
      </c>
      <c r="E1118" s="261">
        <v>0.88083623693380098</v>
      </c>
      <c r="F1118" s="262"/>
      <c r="G1118" s="261">
        <f t="shared" si="14"/>
        <v>400</v>
      </c>
      <c r="H1118" s="263">
        <f>IF(B1118="RTG Crane",IF(D1118&lt;600,800000,1200000),VLOOKUP(B1118,'$$$ Replace &amp; Retrofit'!$B$10:$C$14,2)*'CHE Model poplulation'!D1209)*E1118</f>
        <v>421215.88850174361</v>
      </c>
      <c r="I1118" s="263">
        <f>E1118*VLOOKUP('CHE Model poplulation'!G1209,'$$$ Replace &amp; Retrofit'!$I$10:$J$15,2)</f>
        <v>46096.802787456603</v>
      </c>
      <c r="J1118" s="264">
        <f>IF(D1118=50,VLOOKUP(0,'$$$ Replace &amp; Retrofit'!$E$10:$F$13,2),IF(D1118&lt;175,VLOOKUP(50,'$$$ Replace &amp; Retrofit'!$E$10:$F$13,2),IF(D1118&lt;400,VLOOKUP(175,'$$$ Replace &amp; Retrofit'!$E$10:$F$13,2),IF(D1118&gt;=400,VLOOKUP(400,'$$$ Replace &amp; Retrofit'!$E$10:$F$13,2),NA))))*E1118</f>
        <v>26425.087108014028</v>
      </c>
      <c r="K1118" s="261"/>
      <c r="L1118" s="261"/>
      <c r="M1118" s="261"/>
    </row>
    <row r="1119" spans="1:13" ht="30" x14ac:dyDescent="0.25">
      <c r="A1119" s="259" t="s">
        <v>249</v>
      </c>
      <c r="B1119" s="259" t="s">
        <v>192</v>
      </c>
      <c r="C1119" s="260">
        <v>2007</v>
      </c>
      <c r="D1119" s="260">
        <v>50</v>
      </c>
      <c r="E1119" s="261">
        <v>0.20069686411149901</v>
      </c>
      <c r="F1119" s="262"/>
      <c r="G1119" s="261">
        <f t="shared" si="14"/>
        <v>50</v>
      </c>
      <c r="H1119" s="263">
        <f>IF(B1119="RTG Crane",IF(D1119&lt;600,800000,1200000),VLOOKUP(B1119,'$$$ Replace &amp; Retrofit'!$B$10:$C$14,2)*'CHE Model poplulation'!D1288)*E1119</f>
        <v>8780.4878048780811</v>
      </c>
      <c r="I1119" s="263">
        <f>E1119*VLOOKUP('CHE Model poplulation'!G1288,'$$$ Replace &amp; Retrofit'!$I$10:$J$15,2)</f>
        <v>3529.8564459930444</v>
      </c>
      <c r="J1119" s="264">
        <f>IF(D1119=50,VLOOKUP(0,'$$$ Replace &amp; Retrofit'!$E$10:$F$13,2),IF(D1119&lt;175,VLOOKUP(50,'$$$ Replace &amp; Retrofit'!$E$10:$F$13,2),IF(D1119&lt;400,VLOOKUP(175,'$$$ Replace &amp; Retrofit'!$E$10:$F$13,2),IF(D1119&gt;=400,VLOOKUP(400,'$$$ Replace &amp; Retrofit'!$E$10:$F$13,2),NA))))*E1119</f>
        <v>1605.574912891992</v>
      </c>
      <c r="K1119" s="261"/>
      <c r="L1119" s="261"/>
      <c r="M1119" s="261"/>
    </row>
    <row r="1120" spans="1:13" ht="30" x14ac:dyDescent="0.25">
      <c r="A1120" s="259" t="s">
        <v>249</v>
      </c>
      <c r="B1120" s="259" t="s">
        <v>192</v>
      </c>
      <c r="C1120" s="260">
        <v>2007</v>
      </c>
      <c r="D1120" s="260">
        <v>75</v>
      </c>
      <c r="E1120" s="261">
        <v>0.37909407665505401</v>
      </c>
      <c r="F1120" s="262"/>
      <c r="G1120" s="261">
        <f t="shared" si="14"/>
        <v>50</v>
      </c>
      <c r="H1120" s="263">
        <f>IF(B1120="RTG Crane",IF(D1120&lt;600,800000,1200000),VLOOKUP(B1120,'$$$ Replace &amp; Retrofit'!$B$10:$C$14,2)*'CHE Model poplulation'!D1289)*E1120</f>
        <v>24878.048780487919</v>
      </c>
      <c r="I1120" s="263">
        <f>E1120*VLOOKUP('CHE Model poplulation'!G1289,'$$$ Replace &amp; Retrofit'!$I$10:$J$15,2)</f>
        <v>6667.5066202090902</v>
      </c>
      <c r="J1120" s="264">
        <f>IF(D1120=50,VLOOKUP(0,'$$$ Replace &amp; Retrofit'!$E$10:$F$13,2),IF(D1120&lt;175,VLOOKUP(50,'$$$ Replace &amp; Retrofit'!$E$10:$F$13,2),IF(D1120&lt;400,VLOOKUP(175,'$$$ Replace &amp; Retrofit'!$E$10:$F$13,2),IF(D1120&gt;=400,VLOOKUP(400,'$$$ Replace &amp; Retrofit'!$E$10:$F$13,2),NA))))*E1120</f>
        <v>4549.1289198606482</v>
      </c>
      <c r="K1120" s="261"/>
      <c r="L1120" s="261"/>
      <c r="M1120" s="261"/>
    </row>
    <row r="1121" spans="1:16" ht="30" x14ac:dyDescent="0.25">
      <c r="A1121" s="259" t="s">
        <v>249</v>
      </c>
      <c r="B1121" s="259" t="s">
        <v>192</v>
      </c>
      <c r="C1121" s="260">
        <v>2007</v>
      </c>
      <c r="D1121" s="260">
        <v>100</v>
      </c>
      <c r="E1121" s="261">
        <v>1.0982578397212599</v>
      </c>
      <c r="F1121" s="262"/>
      <c r="G1121" s="261">
        <f t="shared" si="14"/>
        <v>125</v>
      </c>
      <c r="H1121" s="263">
        <f>IF(B1121="RTG Crane",IF(D1121&lt;600,800000,1200000),VLOOKUP(B1121,'$$$ Replace &amp; Retrofit'!$B$10:$C$14,2)*'CHE Model poplulation'!D1290)*E1121</f>
        <v>96097.560975610235</v>
      </c>
      <c r="I1121" s="263">
        <f>E1121*VLOOKUP('CHE Model poplulation'!G1290,'$$$ Replace &amp; Retrofit'!$I$10:$J$15,2)</f>
        <v>21671.921951219621</v>
      </c>
      <c r="J1121" s="264">
        <f>IF(D1121=50,VLOOKUP(0,'$$$ Replace &amp; Retrofit'!$E$10:$F$13,2),IF(D1121&lt;175,VLOOKUP(50,'$$$ Replace &amp; Retrofit'!$E$10:$F$13,2),IF(D1121&lt;400,VLOOKUP(175,'$$$ Replace &amp; Retrofit'!$E$10:$F$13,2),IF(D1121&gt;=400,VLOOKUP(400,'$$$ Replace &amp; Retrofit'!$E$10:$F$13,2),NA))))*E1121</f>
        <v>13179.094076655119</v>
      </c>
      <c r="K1121" s="261"/>
      <c r="L1121" s="261"/>
      <c r="M1121" s="261"/>
    </row>
    <row r="1122" spans="1:16" ht="30" x14ac:dyDescent="0.25">
      <c r="A1122" s="259" t="s">
        <v>249</v>
      </c>
      <c r="B1122" s="259" t="s">
        <v>192</v>
      </c>
      <c r="C1122" s="260">
        <v>2007</v>
      </c>
      <c r="D1122" s="260">
        <v>175</v>
      </c>
      <c r="E1122" s="261">
        <v>1.75052264808364</v>
      </c>
      <c r="F1122" s="262"/>
      <c r="G1122" s="261">
        <f t="shared" si="14"/>
        <v>175</v>
      </c>
      <c r="H1122" s="263">
        <f>IF(B1122="RTG Crane",IF(D1122&lt;600,800000,1200000),VLOOKUP(B1122,'$$$ Replace &amp; Retrofit'!$B$10:$C$14,2)*'CHE Model poplulation'!D1291)*E1122</f>
        <v>268048.78048780735</v>
      </c>
      <c r="I1122" s="263">
        <f>E1122*VLOOKUP('CHE Model poplulation'!G1291,'$$$ Replace &amp; Retrofit'!$I$10:$J$15,2)</f>
        <v>43405.959581881936</v>
      </c>
      <c r="J1122" s="264">
        <f>IF(D1122=50,VLOOKUP(0,'$$$ Replace &amp; Retrofit'!$E$10:$F$13,2),IF(D1122&lt;175,VLOOKUP(50,'$$$ Replace &amp; Retrofit'!$E$10:$F$13,2),IF(D1122&lt;400,VLOOKUP(175,'$$$ Replace &amp; Retrofit'!$E$10:$F$13,2),IF(D1122&gt;=400,VLOOKUP(400,'$$$ Replace &amp; Retrofit'!$E$10:$F$13,2),NA))))*E1122</f>
        <v>31509.407665505521</v>
      </c>
      <c r="K1122" s="261"/>
      <c r="L1122" s="261"/>
      <c r="M1122" s="261"/>
    </row>
    <row r="1123" spans="1:16" ht="30" x14ac:dyDescent="0.25">
      <c r="A1123" s="259" t="s">
        <v>249</v>
      </c>
      <c r="B1123" s="259" t="s">
        <v>192</v>
      </c>
      <c r="C1123" s="260">
        <v>2007</v>
      </c>
      <c r="D1123" s="260">
        <v>300</v>
      </c>
      <c r="E1123" s="261">
        <v>0.50174216027874796</v>
      </c>
      <c r="F1123" s="262"/>
      <c r="G1123" s="261">
        <f t="shared" si="14"/>
        <v>300</v>
      </c>
      <c r="H1123" s="263">
        <f>IF(B1123="RTG Crane",IF(D1123&lt;600,800000,1200000),VLOOKUP(B1123,'$$$ Replace &amp; Retrofit'!$B$10:$C$14,2)*'CHE Model poplulation'!D1292)*E1123</f>
        <v>131707.31707317135</v>
      </c>
      <c r="I1123" s="263">
        <f>E1123*VLOOKUP('CHE Model poplulation'!G1292,'$$$ Replace &amp; Retrofit'!$I$10:$J$15,2)</f>
        <v>14431.609756097627</v>
      </c>
      <c r="J1123" s="264">
        <f>IF(D1123=50,VLOOKUP(0,'$$$ Replace &amp; Retrofit'!$E$10:$F$13,2),IF(D1123&lt;175,VLOOKUP(50,'$$$ Replace &amp; Retrofit'!$E$10:$F$13,2),IF(D1123&lt;400,VLOOKUP(175,'$$$ Replace &amp; Retrofit'!$E$10:$F$13,2),IF(D1123&gt;=400,VLOOKUP(400,'$$$ Replace &amp; Retrofit'!$E$10:$F$13,2),NA))))*E1123</f>
        <v>9031.3588850174638</v>
      </c>
      <c r="K1123" s="261"/>
      <c r="L1123" s="261"/>
      <c r="M1123" s="261"/>
    </row>
    <row r="1124" spans="1:16" ht="30" x14ac:dyDescent="0.25">
      <c r="A1124" s="259" t="s">
        <v>249</v>
      </c>
      <c r="B1124" s="259" t="s">
        <v>192</v>
      </c>
      <c r="C1124" s="260">
        <v>2007</v>
      </c>
      <c r="D1124" s="260">
        <v>600</v>
      </c>
      <c r="E1124" s="261">
        <v>6.1324041811847002E-2</v>
      </c>
      <c r="F1124" s="262"/>
      <c r="G1124" s="261">
        <f t="shared" si="14"/>
        <v>400</v>
      </c>
      <c r="H1124" s="263">
        <f>IF(B1124="RTG Crane",IF(D1124&lt;600,800000,1200000),VLOOKUP(B1124,'$$$ Replace &amp; Retrofit'!$B$10:$C$14,2)*'CHE Model poplulation'!D1293)*E1124</f>
        <v>32195.121951219677</v>
      </c>
      <c r="I1124" s="263">
        <f>E1124*VLOOKUP('CHE Model poplulation'!G1293,'$$$ Replace &amp; Retrofit'!$I$10:$J$15,2)</f>
        <v>3209.2710801393891</v>
      </c>
      <c r="J1124" s="264">
        <f>IF(D1124=50,VLOOKUP(0,'$$$ Replace &amp; Retrofit'!$E$10:$F$13,2),IF(D1124&lt;175,VLOOKUP(50,'$$$ Replace &amp; Retrofit'!$E$10:$F$13,2),IF(D1124&lt;400,VLOOKUP(175,'$$$ Replace &amp; Retrofit'!$E$10:$F$13,2),IF(D1124&gt;=400,VLOOKUP(400,'$$$ Replace &amp; Retrofit'!$E$10:$F$13,2),NA))))*E1124</f>
        <v>1839.7212543554101</v>
      </c>
      <c r="K1124" s="261"/>
      <c r="L1124" s="261"/>
      <c r="M1124" s="261"/>
    </row>
    <row r="1125" spans="1:16" ht="45" x14ac:dyDescent="0.25">
      <c r="A1125" s="259" t="s">
        <v>249</v>
      </c>
      <c r="B1125" s="259" t="s">
        <v>211</v>
      </c>
      <c r="C1125" s="260">
        <v>2007</v>
      </c>
      <c r="D1125" s="260">
        <v>50</v>
      </c>
      <c r="E1125" s="261">
        <v>0.16724738675958301</v>
      </c>
      <c r="F1125" s="262"/>
      <c r="G1125" s="261">
        <f t="shared" si="14"/>
        <v>50</v>
      </c>
      <c r="H1125" s="263">
        <f>IF(B1125="RTG Crane",IF(D1125&lt;600,800000,1200000),VLOOKUP(B1125,'$$$ Replace &amp; Retrofit'!$B$10:$C$14,2)*'CHE Model poplulation'!D1408)*E1125</f>
        <v>8362.3693379791512</v>
      </c>
      <c r="I1125" s="263">
        <f>E1125*VLOOKUP('CHE Model poplulation'!G1408,'$$$ Replace &amp; Retrofit'!$I$10:$J$15,2)</f>
        <v>2941.547038327546</v>
      </c>
      <c r="J1125" s="264">
        <f>IF(D1125=50,VLOOKUP(0,'$$$ Replace &amp; Retrofit'!$E$10:$F$13,2),IF(D1125&lt;175,VLOOKUP(50,'$$$ Replace &amp; Retrofit'!$E$10:$F$13,2),IF(D1125&lt;400,VLOOKUP(175,'$$$ Replace &amp; Retrofit'!$E$10:$F$13,2),IF(D1125&gt;=400,VLOOKUP(400,'$$$ Replace &amp; Retrofit'!$E$10:$F$13,2),NA))))*E1125</f>
        <v>1337.9790940766641</v>
      </c>
      <c r="K1125" s="261"/>
      <c r="L1125" s="261"/>
      <c r="M1125" s="261"/>
    </row>
    <row r="1126" spans="1:16" ht="45" x14ac:dyDescent="0.25">
      <c r="A1126" s="259" t="s">
        <v>249</v>
      </c>
      <c r="B1126" s="259" t="s">
        <v>211</v>
      </c>
      <c r="C1126" s="260">
        <v>2007</v>
      </c>
      <c r="D1126" s="260">
        <v>75</v>
      </c>
      <c r="E1126" s="261">
        <v>7.24738675958191E-2</v>
      </c>
      <c r="F1126" s="262"/>
      <c r="G1126" s="261">
        <f t="shared" si="14"/>
        <v>50</v>
      </c>
      <c r="H1126" s="263">
        <f>IF(B1126="RTG Crane",IF(D1126&lt;600,800000,1200000),VLOOKUP(B1126,'$$$ Replace &amp; Retrofit'!$B$10:$C$14,2)*'CHE Model poplulation'!D1409)*E1126</f>
        <v>5435.5400696864326</v>
      </c>
      <c r="I1126" s="263">
        <f>E1126*VLOOKUP('CHE Model poplulation'!G1409,'$$$ Replace &amp; Retrofit'!$I$10:$J$15,2)</f>
        <v>1274.6703832752664</v>
      </c>
      <c r="J1126" s="264">
        <f>IF(D1126=50,VLOOKUP(0,'$$$ Replace &amp; Retrofit'!$E$10:$F$13,2),IF(D1126&lt;175,VLOOKUP(50,'$$$ Replace &amp; Retrofit'!$E$10:$F$13,2),IF(D1126&lt;400,VLOOKUP(175,'$$$ Replace &amp; Retrofit'!$E$10:$F$13,2),IF(D1126&gt;=400,VLOOKUP(400,'$$$ Replace &amp; Retrofit'!$E$10:$F$13,2),NA))))*E1126</f>
        <v>869.68641114982915</v>
      </c>
      <c r="K1126" s="261"/>
      <c r="L1126" s="261"/>
      <c r="M1126" s="261"/>
    </row>
    <row r="1127" spans="1:16" ht="45" x14ac:dyDescent="0.25">
      <c r="A1127" s="259" t="s">
        <v>249</v>
      </c>
      <c r="B1127" s="259" t="s">
        <v>211</v>
      </c>
      <c r="C1127" s="260">
        <v>2007</v>
      </c>
      <c r="D1127" s="260">
        <v>100</v>
      </c>
      <c r="E1127" s="261">
        <v>8.3623693379791295E-2</v>
      </c>
      <c r="F1127" s="262"/>
      <c r="G1127" s="261">
        <f t="shared" si="14"/>
        <v>125</v>
      </c>
      <c r="H1127" s="263">
        <f>IF(B1127="RTG Crane",IF(D1127&lt;600,800000,1200000),VLOOKUP(B1127,'$$$ Replace &amp; Retrofit'!$B$10:$C$14,2)*'CHE Model poplulation'!D1410)*E1127</f>
        <v>8362.3693379791293</v>
      </c>
      <c r="I1127" s="263">
        <f>E1127*VLOOKUP('CHE Model poplulation'!G1410,'$$$ Replace &amp; Retrofit'!$I$10:$J$15,2)</f>
        <v>1650.1463414634215</v>
      </c>
      <c r="J1127" s="264">
        <f>IF(D1127=50,VLOOKUP(0,'$$$ Replace &amp; Retrofit'!$E$10:$F$13,2),IF(D1127&lt;175,VLOOKUP(50,'$$$ Replace &amp; Retrofit'!$E$10:$F$13,2),IF(D1127&lt;400,VLOOKUP(175,'$$$ Replace &amp; Retrofit'!$E$10:$F$13,2),IF(D1127&gt;=400,VLOOKUP(400,'$$$ Replace &amp; Retrofit'!$E$10:$F$13,2),NA))))*E1127</f>
        <v>1003.4843205574955</v>
      </c>
      <c r="K1127" s="261"/>
      <c r="L1127" s="261"/>
      <c r="M1127" s="261"/>
    </row>
    <row r="1128" spans="1:16" ht="45" x14ac:dyDescent="0.25">
      <c r="A1128" s="259" t="s">
        <v>249</v>
      </c>
      <c r="B1128" s="259" t="s">
        <v>211</v>
      </c>
      <c r="C1128" s="260">
        <v>2007</v>
      </c>
      <c r="D1128" s="260">
        <v>175</v>
      </c>
      <c r="E1128" s="261">
        <v>0.22857142857143001</v>
      </c>
      <c r="F1128" s="262"/>
      <c r="G1128" s="261">
        <f t="shared" si="14"/>
        <v>175</v>
      </c>
      <c r="H1128" s="263">
        <f>IF(B1128="RTG Crane",IF(D1128&lt;600,800000,1200000),VLOOKUP(B1128,'$$$ Replace &amp; Retrofit'!$B$10:$C$14,2)*'CHE Model poplulation'!D1411)*E1128</f>
        <v>40000.000000000255</v>
      </c>
      <c r="I1128" s="263">
        <f>E1128*VLOOKUP('CHE Model poplulation'!G1411,'$$$ Replace &amp; Retrofit'!$I$10:$J$15,2)</f>
        <v>5667.6571428571788</v>
      </c>
      <c r="J1128" s="264">
        <f>IF(D1128=50,VLOOKUP(0,'$$$ Replace &amp; Retrofit'!$E$10:$F$13,2),IF(D1128&lt;175,VLOOKUP(50,'$$$ Replace &amp; Retrofit'!$E$10:$F$13,2),IF(D1128&lt;400,VLOOKUP(175,'$$$ Replace &amp; Retrofit'!$E$10:$F$13,2),IF(D1128&gt;=400,VLOOKUP(400,'$$$ Replace &amp; Retrofit'!$E$10:$F$13,2),NA))))*E1128</f>
        <v>4114.2857142857401</v>
      </c>
      <c r="K1128" s="261"/>
      <c r="L1128" s="261"/>
      <c r="M1128" s="261"/>
    </row>
    <row r="1129" spans="1:16" ht="45" x14ac:dyDescent="0.25">
      <c r="A1129" s="259" t="s">
        <v>249</v>
      </c>
      <c r="B1129" s="259" t="s">
        <v>211</v>
      </c>
      <c r="C1129" s="260">
        <v>2007</v>
      </c>
      <c r="D1129" s="260">
        <v>300</v>
      </c>
      <c r="E1129" s="261">
        <v>0.14494773519163801</v>
      </c>
      <c r="F1129" s="262"/>
      <c r="G1129" s="261">
        <f t="shared" si="14"/>
        <v>300</v>
      </c>
      <c r="H1129" s="263">
        <f>IF(B1129="RTG Crane",IF(D1129&lt;600,800000,1200000),VLOOKUP(B1129,'$$$ Replace &amp; Retrofit'!$B$10:$C$14,2)*'CHE Model poplulation'!D1412)*E1129</f>
        <v>43484.320557491403</v>
      </c>
      <c r="I1129" s="263">
        <f>E1129*VLOOKUP('CHE Model poplulation'!G1412,'$$$ Replace &amp; Retrofit'!$I$10:$J$15,2)</f>
        <v>4169.131707317084</v>
      </c>
      <c r="J1129" s="264">
        <f>IF(D1129=50,VLOOKUP(0,'$$$ Replace &amp; Retrofit'!$E$10:$F$13,2),IF(D1129&lt;175,VLOOKUP(50,'$$$ Replace &amp; Retrofit'!$E$10:$F$13,2),IF(D1129&lt;400,VLOOKUP(175,'$$$ Replace &amp; Retrofit'!$E$10:$F$13,2),IF(D1129&gt;=400,VLOOKUP(400,'$$$ Replace &amp; Retrofit'!$E$10:$F$13,2),NA))))*E1129</f>
        <v>2609.0592334494841</v>
      </c>
      <c r="K1129" s="261"/>
      <c r="L1129" s="261"/>
      <c r="M1129" s="261"/>
    </row>
    <row r="1130" spans="1:16" ht="45" x14ac:dyDescent="0.25">
      <c r="A1130" s="259" t="s">
        <v>249</v>
      </c>
      <c r="B1130" s="259" t="s">
        <v>211</v>
      </c>
      <c r="C1130" s="260">
        <v>2007</v>
      </c>
      <c r="D1130" s="260">
        <v>600</v>
      </c>
      <c r="E1130" s="261">
        <v>0.17839721254355501</v>
      </c>
      <c r="F1130" s="262"/>
      <c r="G1130" s="261">
        <f t="shared" si="14"/>
        <v>400</v>
      </c>
      <c r="H1130" s="263">
        <f>IF(B1130="RTG Crane",IF(D1130&lt;600,800000,1200000),VLOOKUP(B1130,'$$$ Replace &amp; Retrofit'!$B$10:$C$14,2)*'CHE Model poplulation'!D1413)*E1130</f>
        <v>107038.327526133</v>
      </c>
      <c r="I1130" s="263">
        <f>E1130*VLOOKUP('CHE Model poplulation'!G1413,'$$$ Replace &amp; Retrofit'!$I$10:$J$15,2)</f>
        <v>9336.0613240418643</v>
      </c>
      <c r="J1130" s="264">
        <f>IF(D1130=50,VLOOKUP(0,'$$$ Replace &amp; Retrofit'!$E$10:$F$13,2),IF(D1130&lt;175,VLOOKUP(50,'$$$ Replace &amp; Retrofit'!$E$10:$F$13,2),IF(D1130&lt;400,VLOOKUP(175,'$$$ Replace &amp; Retrofit'!$E$10:$F$13,2),IF(D1130&gt;=400,VLOOKUP(400,'$$$ Replace &amp; Retrofit'!$E$10:$F$13,2),NA))))*E1130</f>
        <v>5351.9163763066499</v>
      </c>
      <c r="K1130" s="261"/>
      <c r="L1130" s="261"/>
      <c r="M1130" s="261"/>
    </row>
    <row r="1131" spans="1:16" ht="30" x14ac:dyDescent="0.25">
      <c r="A1131" s="259" t="s">
        <v>249</v>
      </c>
      <c r="B1131" s="259" t="s">
        <v>212</v>
      </c>
      <c r="C1131" s="260">
        <v>2007</v>
      </c>
      <c r="D1131" s="260">
        <v>100</v>
      </c>
      <c r="E1131" s="261">
        <v>0</v>
      </c>
      <c r="F1131" s="262"/>
      <c r="G1131" s="261"/>
      <c r="H1131" s="261"/>
      <c r="I1131" s="263"/>
      <c r="J1131" s="265"/>
      <c r="K1131" s="261"/>
      <c r="L1131" s="261"/>
      <c r="M1131" s="261"/>
    </row>
    <row r="1132" spans="1:16" ht="30" x14ac:dyDescent="0.25">
      <c r="A1132" s="259" t="s">
        <v>249</v>
      </c>
      <c r="B1132" s="259" t="s">
        <v>212</v>
      </c>
      <c r="C1132" s="260">
        <v>2007</v>
      </c>
      <c r="D1132" s="260">
        <v>300</v>
      </c>
      <c r="E1132" s="261">
        <v>0</v>
      </c>
      <c r="F1132" s="262"/>
      <c r="G1132" s="261"/>
      <c r="H1132" s="261"/>
      <c r="I1132" s="263"/>
      <c r="J1132" s="265"/>
      <c r="K1132" s="261"/>
      <c r="L1132" s="261"/>
      <c r="M1132" s="261"/>
    </row>
    <row r="1133" spans="1:16" ht="30" x14ac:dyDescent="0.25">
      <c r="A1133" s="259" t="s">
        <v>249</v>
      </c>
      <c r="B1133" s="259" t="s">
        <v>212</v>
      </c>
      <c r="C1133" s="260">
        <v>2007</v>
      </c>
      <c r="D1133" s="260">
        <v>600</v>
      </c>
      <c r="E1133" s="261">
        <v>0</v>
      </c>
      <c r="F1133" s="262"/>
      <c r="G1133" s="261"/>
      <c r="H1133" s="261"/>
      <c r="I1133" s="263"/>
      <c r="J1133" s="265"/>
      <c r="K1133" s="261"/>
      <c r="L1133" s="261"/>
      <c r="M1133" s="261"/>
    </row>
    <row r="1134" spans="1:16" ht="30" x14ac:dyDescent="0.25">
      <c r="A1134" s="259" t="s">
        <v>249</v>
      </c>
      <c r="B1134" s="259" t="s">
        <v>212</v>
      </c>
      <c r="C1134" s="260">
        <v>2007</v>
      </c>
      <c r="D1134" s="260">
        <v>750</v>
      </c>
      <c r="E1134" s="261">
        <v>0</v>
      </c>
      <c r="F1134" s="262"/>
      <c r="G1134" s="261"/>
      <c r="H1134" s="261"/>
      <c r="I1134" s="263"/>
      <c r="J1134" s="265"/>
      <c r="K1134" s="261"/>
      <c r="L1134" s="261"/>
      <c r="M1134" s="261"/>
    </row>
    <row r="1135" spans="1:16" ht="30" x14ac:dyDescent="0.25">
      <c r="A1135" s="259" t="s">
        <v>249</v>
      </c>
      <c r="B1135" s="259" t="s">
        <v>212</v>
      </c>
      <c r="C1135" s="260">
        <v>2007</v>
      </c>
      <c r="D1135" s="260">
        <v>9999</v>
      </c>
      <c r="E1135" s="261">
        <v>0</v>
      </c>
      <c r="F1135" s="262"/>
      <c r="G1135" s="261"/>
      <c r="H1135" s="261"/>
      <c r="I1135" s="263"/>
      <c r="J1135" s="265"/>
      <c r="K1135" s="266">
        <f>SUM(H1109:H1135)</f>
        <v>1804905.5052264899</v>
      </c>
      <c r="L1135" s="266">
        <f>SUM(I1109:I1135)</f>
        <v>233433.8898954716</v>
      </c>
      <c r="M1135" s="266">
        <f>SUM(J1109:J1135)</f>
        <v>147121.95121951302</v>
      </c>
      <c r="N1135" s="239">
        <f>K1135</f>
        <v>1804905.5052264899</v>
      </c>
      <c r="O1135" s="239">
        <f t="shared" ref="O1135:P1135" si="15">L1135</f>
        <v>233433.8898954716</v>
      </c>
      <c r="P1135" s="239">
        <f t="shared" si="15"/>
        <v>147121.95121951302</v>
      </c>
    </row>
    <row r="1136" spans="1:16" ht="30" x14ac:dyDescent="0.25">
      <c r="A1136" s="259" t="s">
        <v>249</v>
      </c>
      <c r="B1136" s="259" t="s">
        <v>206</v>
      </c>
      <c r="C1136" s="260">
        <v>2008</v>
      </c>
      <c r="D1136" s="260">
        <v>50</v>
      </c>
      <c r="E1136" s="261">
        <v>8.0526078113594496E-2</v>
      </c>
      <c r="F1136" s="262"/>
      <c r="G1136" s="261">
        <f t="shared" ref="G1136:G1157" si="16">IF(OR(D1136=50,D1136=75),50,IF(OR(D1136=100,D1136=125),125,IF(D1136&gt;=400,400,D1136)))</f>
        <v>50</v>
      </c>
      <c r="H1136" s="263">
        <f>IF(B1136="RTG Crane",IF(D1136&lt;600,800000,1200000),VLOOKUP(B1136,'$$$ Replace &amp; Retrofit'!$B$10:$C$14,2)*'CHE Model poplulation'!D1094)*E1136</f>
        <v>4026.3039056797247</v>
      </c>
      <c r="I1136" s="263">
        <f>E1136*VLOOKUP('CHE Model poplulation'!G1094,'$$$ Replace &amp; Retrofit'!$I$10:$J$15,2)</f>
        <v>1416.2926618618999</v>
      </c>
      <c r="J1136" s="267">
        <f>IF(D1136=50,VLOOKUP(0,'$$$ Replace &amp; Retrofit'!$E$10:$F$13,2),IF(D1136&lt;175,VLOOKUP(50,'$$$ Replace &amp; Retrofit'!$E$10:$F$13,2),IF(D1136&lt;400,VLOOKUP(175,'$$$ Replace &amp; Retrofit'!$E$10:$F$13,2),IF(D1136&gt;=400,VLOOKUP(400,'$$$ Replace &amp; Retrofit'!$E$10:$F$13,2),NA))))*E1136</f>
        <v>644.20862490875595</v>
      </c>
      <c r="K1136" s="261"/>
      <c r="L1136" s="261"/>
      <c r="M1136" s="261"/>
    </row>
    <row r="1137" spans="1:13" ht="30" x14ac:dyDescent="0.25">
      <c r="A1137" s="259" t="s">
        <v>249</v>
      </c>
      <c r="B1137" s="259" t="s">
        <v>206</v>
      </c>
      <c r="C1137" s="260">
        <v>2008</v>
      </c>
      <c r="D1137" s="260">
        <v>75</v>
      </c>
      <c r="E1137" s="261">
        <v>0.18815231687056999</v>
      </c>
      <c r="F1137" s="262"/>
      <c r="G1137" s="261">
        <f t="shared" si="16"/>
        <v>50</v>
      </c>
      <c r="H1137" s="263">
        <f>IF(B1137="RTG Crane",IF(D1137&lt;600,800000,1200000),VLOOKUP(B1137,'$$$ Replace &amp; Retrofit'!$B$10:$C$14,2)*'CHE Model poplulation'!D1095)*E1137</f>
        <v>14111.42376529275</v>
      </c>
      <c r="I1137" s="263">
        <f>E1137*VLOOKUP('CHE Model poplulation'!G1095,'$$$ Replace &amp; Retrofit'!$I$10:$J$15,2)</f>
        <v>3309.2229491195849</v>
      </c>
      <c r="J1137" s="267">
        <f>IF(D1137=50,VLOOKUP(0,'$$$ Replace &amp; Retrofit'!$E$10:$F$13,2),IF(D1137&lt;175,VLOOKUP(50,'$$$ Replace &amp; Retrofit'!$E$10:$F$13,2),IF(D1137&lt;400,VLOOKUP(175,'$$$ Replace &amp; Retrofit'!$E$10:$F$13,2),IF(D1137&gt;=400,VLOOKUP(400,'$$$ Replace &amp; Retrofit'!$E$10:$F$13,2),NA))))*E1137</f>
        <v>2257.82780244684</v>
      </c>
      <c r="K1137" s="261"/>
      <c r="L1137" s="261"/>
      <c r="M1137" s="261"/>
    </row>
    <row r="1138" spans="1:13" ht="30" x14ac:dyDescent="0.25">
      <c r="A1138" s="259" t="s">
        <v>249</v>
      </c>
      <c r="B1138" s="259" t="s">
        <v>206</v>
      </c>
      <c r="C1138" s="260">
        <v>2008</v>
      </c>
      <c r="D1138" s="260">
        <v>100</v>
      </c>
      <c r="E1138" s="261">
        <v>0.191116723146977</v>
      </c>
      <c r="F1138" s="262"/>
      <c r="G1138" s="261">
        <f t="shared" si="16"/>
        <v>125</v>
      </c>
      <c r="H1138" s="263">
        <f>IF(B1138="RTG Crane",IF(D1138&lt;600,800000,1200000),VLOOKUP(B1138,'$$$ Replace &amp; Retrofit'!$B$10:$C$14,2)*'CHE Model poplulation'!D1096)*E1138</f>
        <v>19111.672314697702</v>
      </c>
      <c r="I1138" s="263">
        <f>E1138*VLOOKUP('CHE Model poplulation'!G1096,'$$$ Replace &amp; Retrofit'!$I$10:$J$15,2)</f>
        <v>3771.306297859297</v>
      </c>
      <c r="J1138" s="267">
        <f>IF(D1138=50,VLOOKUP(0,'$$$ Replace &amp; Retrofit'!$E$10:$F$13,2),IF(D1138&lt;175,VLOOKUP(50,'$$$ Replace &amp; Retrofit'!$E$10:$F$13,2),IF(D1138&lt;400,VLOOKUP(175,'$$$ Replace &amp; Retrofit'!$E$10:$F$13,2),IF(D1138&gt;=400,VLOOKUP(400,'$$$ Replace &amp; Retrofit'!$E$10:$F$13,2),NA))))*E1138</f>
        <v>2293.4006777637242</v>
      </c>
      <c r="K1138" s="261"/>
      <c r="L1138" s="261"/>
      <c r="M1138" s="261"/>
    </row>
    <row r="1139" spans="1:13" ht="30" x14ac:dyDescent="0.25">
      <c r="A1139" s="259" t="s">
        <v>249</v>
      </c>
      <c r="B1139" s="259" t="s">
        <v>206</v>
      </c>
      <c r="C1139" s="260">
        <v>2008</v>
      </c>
      <c r="D1139" s="260">
        <v>175</v>
      </c>
      <c r="E1139" s="261">
        <v>0.495080698282089</v>
      </c>
      <c r="F1139" s="262"/>
      <c r="G1139" s="261">
        <f t="shared" si="16"/>
        <v>175</v>
      </c>
      <c r="H1139" s="263">
        <f>IF(B1139="RTG Crane",IF(D1139&lt;600,800000,1200000),VLOOKUP(B1139,'$$$ Replace &amp; Retrofit'!$B$10:$C$14,2)*'CHE Model poplulation'!D1097)*E1139</f>
        <v>86639.122199365578</v>
      </c>
      <c r="I1139" s="263">
        <f>E1139*VLOOKUP('CHE Model poplulation'!G1097,'$$$ Replace &amp; Retrofit'!$I$10:$J$15,2)</f>
        <v>12276.020994602679</v>
      </c>
      <c r="J1139" s="267">
        <f>IF(D1139=50,VLOOKUP(0,'$$$ Replace &amp; Retrofit'!$E$10:$F$13,2),IF(D1139&lt;175,VLOOKUP(50,'$$$ Replace &amp; Retrofit'!$E$10:$F$13,2),IF(D1139&lt;400,VLOOKUP(175,'$$$ Replace &amp; Retrofit'!$E$10:$F$13,2),IF(D1139&gt;=400,VLOOKUP(400,'$$$ Replace &amp; Retrofit'!$E$10:$F$13,2),NA))))*E1139</f>
        <v>8911.4525690776027</v>
      </c>
      <c r="K1139" s="261"/>
      <c r="L1139" s="261"/>
      <c r="M1139" s="261"/>
    </row>
    <row r="1140" spans="1:13" ht="30" x14ac:dyDescent="0.25">
      <c r="A1140" s="259" t="s">
        <v>249</v>
      </c>
      <c r="B1140" s="259" t="s">
        <v>206</v>
      </c>
      <c r="C1140" s="260">
        <v>2008</v>
      </c>
      <c r="D1140" s="260">
        <v>300</v>
      </c>
      <c r="E1140" s="261">
        <v>0.44679215423690399</v>
      </c>
      <c r="F1140" s="262"/>
      <c r="G1140" s="261">
        <f t="shared" si="16"/>
        <v>300</v>
      </c>
      <c r="H1140" s="263">
        <f>IF(B1140="RTG Crane",IF(D1140&lt;600,800000,1200000),VLOOKUP(B1140,'$$$ Replace &amp; Retrofit'!$B$10:$C$14,2)*'CHE Model poplulation'!D1098)*E1140</f>
        <v>134037.64627107119</v>
      </c>
      <c r="I1140" s="263">
        <f>E1140*VLOOKUP('CHE Model poplulation'!G1098,'$$$ Replace &amp; Retrofit'!$I$10:$J$15,2)</f>
        <v>12851.08273231607</v>
      </c>
      <c r="J1140" s="267">
        <f>IF(D1140=50,VLOOKUP(0,'$$$ Replace &amp; Retrofit'!$E$10:$F$13,2),IF(D1140&lt;175,VLOOKUP(50,'$$$ Replace &amp; Retrofit'!$E$10:$F$13,2),IF(D1140&lt;400,VLOOKUP(175,'$$$ Replace &amp; Retrofit'!$E$10:$F$13,2),IF(D1140&gt;=400,VLOOKUP(400,'$$$ Replace &amp; Retrofit'!$E$10:$F$13,2),NA))))*E1140</f>
        <v>8042.2587762642715</v>
      </c>
      <c r="K1140" s="261"/>
      <c r="L1140" s="261"/>
      <c r="M1140" s="261"/>
    </row>
    <row r="1141" spans="1:13" ht="30" x14ac:dyDescent="0.25">
      <c r="A1141" s="259" t="s">
        <v>249</v>
      </c>
      <c r="B1141" s="259" t="s">
        <v>206</v>
      </c>
      <c r="C1141" s="260">
        <v>2008</v>
      </c>
      <c r="D1141" s="260">
        <v>600</v>
      </c>
      <c r="E1141" s="261">
        <v>0.79540730681663396</v>
      </c>
      <c r="F1141" s="262"/>
      <c r="G1141" s="261">
        <f t="shared" si="16"/>
        <v>400</v>
      </c>
      <c r="H1141" s="263">
        <f>IF(B1141="RTG Crane",IF(D1141&lt;600,800000,1200000),VLOOKUP(B1141,'$$$ Replace &amp; Retrofit'!$B$10:$C$14,2)*'CHE Model poplulation'!D1099)*E1141</f>
        <v>477244.38408998039</v>
      </c>
      <c r="I1141" s="263">
        <f>E1141*VLOOKUP('CHE Model poplulation'!G1099,'$$$ Replace &amp; Retrofit'!$I$10:$J$15,2)</f>
        <v>41626.050587634905</v>
      </c>
      <c r="J1141" s="267">
        <f>IF(D1141=50,VLOOKUP(0,'$$$ Replace &amp; Retrofit'!$E$10:$F$13,2),IF(D1141&lt;175,VLOOKUP(50,'$$$ Replace &amp; Retrofit'!$E$10:$F$13,2),IF(D1141&lt;400,VLOOKUP(175,'$$$ Replace &amp; Retrofit'!$E$10:$F$13,2),IF(D1141&gt;=400,VLOOKUP(400,'$$$ Replace &amp; Retrofit'!$E$10:$F$13,2),NA))))*E1141</f>
        <v>23862.219204499019</v>
      </c>
      <c r="K1141" s="261"/>
      <c r="L1141" s="261"/>
      <c r="M1141" s="261"/>
    </row>
    <row r="1142" spans="1:13" ht="45" x14ac:dyDescent="0.25">
      <c r="A1142" s="259" t="s">
        <v>249</v>
      </c>
      <c r="B1142" s="259" t="s">
        <v>208</v>
      </c>
      <c r="C1142" s="260">
        <v>2008</v>
      </c>
      <c r="D1142" s="260">
        <v>100</v>
      </c>
      <c r="E1142" s="261">
        <v>2.3007450889598401E-2</v>
      </c>
      <c r="F1142" s="262"/>
      <c r="G1142" s="261">
        <f t="shared" si="16"/>
        <v>125</v>
      </c>
      <c r="H1142" s="263">
        <f>IF(B1142="RTG Crane",IF(D1142&lt;600,800000,1200000),VLOOKUP(B1142,'$$$ Replace &amp; Retrofit'!$B$10:$C$14,2)*'CHE Model poplulation'!D1210)*E1142</f>
        <v>1833.6938359009926</v>
      </c>
      <c r="I1142" s="263">
        <f>E1142*VLOOKUP('CHE Model poplulation'!G1210,'$$$ Replace &amp; Retrofit'!$I$10:$J$15,2)</f>
        <v>454.00602840444526</v>
      </c>
      <c r="J1142" s="267">
        <f>IF(D1142=50,VLOOKUP(0,'$$$ Replace &amp; Retrofit'!$E$10:$F$13,2),IF(D1142&lt;175,VLOOKUP(50,'$$$ Replace &amp; Retrofit'!$E$10:$F$13,2),IF(D1142&lt;400,VLOOKUP(175,'$$$ Replace &amp; Retrofit'!$E$10:$F$13,2),IF(D1142&gt;=400,VLOOKUP(400,'$$$ Replace &amp; Retrofit'!$E$10:$F$13,2),NA))))*E1142</f>
        <v>276.08941067518083</v>
      </c>
      <c r="K1142" s="261"/>
      <c r="L1142" s="261"/>
      <c r="M1142" s="261"/>
    </row>
    <row r="1143" spans="1:13" ht="45" x14ac:dyDescent="0.25">
      <c r="A1143" s="259" t="s">
        <v>249</v>
      </c>
      <c r="B1143" s="259" t="s">
        <v>208</v>
      </c>
      <c r="C1143" s="260">
        <v>2008</v>
      </c>
      <c r="D1143" s="260">
        <v>175</v>
      </c>
      <c r="E1143" s="261">
        <v>0.65571235035355602</v>
      </c>
      <c r="F1143" s="262"/>
      <c r="G1143" s="261">
        <f t="shared" si="16"/>
        <v>175</v>
      </c>
      <c r="H1143" s="263">
        <f>IF(B1143="RTG Crane",IF(D1143&lt;600,800000,1200000),VLOOKUP(B1143,'$$$ Replace &amp; Retrofit'!$B$10:$C$14,2)*'CHE Model poplulation'!D1211)*E1143</f>
        <v>91455.480065562224</v>
      </c>
      <c r="I1143" s="263">
        <f>E1143*VLOOKUP('CHE Model poplulation'!G1211,'$$$ Replace &amp; Retrofit'!$I$10:$J$15,2)</f>
        <v>16259.043439366775</v>
      </c>
      <c r="J1143" s="267">
        <f>IF(D1143=50,VLOOKUP(0,'$$$ Replace &amp; Retrofit'!$E$10:$F$13,2),IF(D1143&lt;175,VLOOKUP(50,'$$$ Replace &amp; Retrofit'!$E$10:$F$13,2),IF(D1143&lt;400,VLOOKUP(175,'$$$ Replace &amp; Retrofit'!$E$10:$F$13,2),IF(D1143&gt;=400,VLOOKUP(400,'$$$ Replace &amp; Retrofit'!$E$10:$F$13,2),NA))))*E1143</f>
        <v>11802.822306364009</v>
      </c>
      <c r="K1143" s="261"/>
      <c r="L1143" s="261"/>
      <c r="M1143" s="261"/>
    </row>
    <row r="1144" spans="1:13" ht="45" x14ac:dyDescent="0.25">
      <c r="A1144" s="259" t="s">
        <v>249</v>
      </c>
      <c r="B1144" s="259" t="s">
        <v>208</v>
      </c>
      <c r="C1144" s="260">
        <v>2008</v>
      </c>
      <c r="D1144" s="260">
        <v>300</v>
      </c>
      <c r="E1144" s="261">
        <v>1.67361510238787</v>
      </c>
      <c r="F1144" s="262"/>
      <c r="G1144" s="261">
        <f t="shared" si="16"/>
        <v>300</v>
      </c>
      <c r="H1144" s="263">
        <f>IF(B1144="RTG Crane",IF(D1144&lt;600,800000,1200000),VLOOKUP(B1144,'$$$ Replace &amp; Retrofit'!$B$10:$C$14,2)*'CHE Model poplulation'!D1212)*E1144</f>
        <v>400161.37098093971</v>
      </c>
      <c r="I1144" s="263">
        <f>E1144*VLOOKUP('CHE Model poplulation'!G1212,'$$$ Replace &amp; Retrofit'!$I$10:$J$15,2)</f>
        <v>48138.191189982303</v>
      </c>
      <c r="J1144" s="267">
        <f>IF(D1144=50,VLOOKUP(0,'$$$ Replace &amp; Retrofit'!$E$10:$F$13,2),IF(D1144&lt;175,VLOOKUP(50,'$$$ Replace &amp; Retrofit'!$E$10:$F$13,2),IF(D1144&lt;400,VLOOKUP(175,'$$$ Replace &amp; Retrofit'!$E$10:$F$13,2),IF(D1144&gt;=400,VLOOKUP(400,'$$$ Replace &amp; Retrofit'!$E$10:$F$13,2),NA))))*E1144</f>
        <v>30125.071842981659</v>
      </c>
      <c r="K1144" s="261"/>
      <c r="L1144" s="261"/>
      <c r="M1144" s="261"/>
    </row>
    <row r="1145" spans="1:13" ht="45" x14ac:dyDescent="0.25">
      <c r="A1145" s="259" t="s">
        <v>249</v>
      </c>
      <c r="B1145" s="259" t="s">
        <v>208</v>
      </c>
      <c r="C1145" s="260">
        <v>2008</v>
      </c>
      <c r="D1145" s="260">
        <v>600</v>
      </c>
      <c r="E1145" s="261">
        <v>1.8136575597813001</v>
      </c>
      <c r="F1145" s="262"/>
      <c r="G1145" s="261">
        <f t="shared" si="16"/>
        <v>400</v>
      </c>
      <c r="H1145" s="263">
        <f>IF(B1145="RTG Crane",IF(D1145&lt;600,800000,1200000),VLOOKUP(B1145,'$$$ Replace &amp; Retrofit'!$B$10:$C$14,2)*'CHE Model poplulation'!D1213)*E1145</f>
        <v>867291.0450874177</v>
      </c>
      <c r="I1145" s="263">
        <f>E1145*VLOOKUP('CHE Model poplulation'!G1213,'$$$ Replace &amp; Retrofit'!$I$10:$J$15,2)</f>
        <v>94914.141076034779</v>
      </c>
      <c r="J1145" s="267">
        <f>IF(D1145=50,VLOOKUP(0,'$$$ Replace &amp; Retrofit'!$E$10:$F$13,2),IF(D1145&lt;175,VLOOKUP(50,'$$$ Replace &amp; Retrofit'!$E$10:$F$13,2),IF(D1145&lt;400,VLOOKUP(175,'$$$ Replace &amp; Retrofit'!$E$10:$F$13,2),IF(D1145&gt;=400,VLOOKUP(400,'$$$ Replace &amp; Retrofit'!$E$10:$F$13,2),NA))))*E1145</f>
        <v>54409.726793439004</v>
      </c>
      <c r="K1145" s="261"/>
      <c r="L1145" s="261"/>
      <c r="M1145" s="261"/>
    </row>
    <row r="1146" spans="1:13" ht="30" x14ac:dyDescent="0.25">
      <c r="A1146" s="259" t="s">
        <v>249</v>
      </c>
      <c r="B1146" s="259" t="s">
        <v>192</v>
      </c>
      <c r="C1146" s="260">
        <v>2008</v>
      </c>
      <c r="D1146" s="260">
        <v>50</v>
      </c>
      <c r="E1146" s="261">
        <v>0.38745445952511298</v>
      </c>
      <c r="F1146" s="262"/>
      <c r="G1146" s="261">
        <f t="shared" si="16"/>
        <v>50</v>
      </c>
      <c r="H1146" s="263">
        <f>IF(B1146="RTG Crane",IF(D1146&lt;600,800000,1200000),VLOOKUP(B1146,'$$$ Replace &amp; Retrofit'!$B$10:$C$14,2)*'CHE Model poplulation'!D1294)*E1146</f>
        <v>16951.132604223694</v>
      </c>
      <c r="I1146" s="263">
        <f>E1146*VLOOKUP('CHE Model poplulation'!G1294,'$$$ Replace &amp; Retrofit'!$I$10:$J$15,2)</f>
        <v>6814.5490341276873</v>
      </c>
      <c r="J1146" s="267">
        <f>IF(D1146=50,VLOOKUP(0,'$$$ Replace &amp; Retrofit'!$E$10:$F$13,2),IF(D1146&lt;175,VLOOKUP(50,'$$$ Replace &amp; Retrofit'!$E$10:$F$13,2),IF(D1146&lt;400,VLOOKUP(175,'$$$ Replace &amp; Retrofit'!$E$10:$F$13,2),IF(D1146&gt;=400,VLOOKUP(400,'$$$ Replace &amp; Retrofit'!$E$10:$F$13,2),NA))))*E1146</f>
        <v>3099.6356762009041</v>
      </c>
      <c r="K1146" s="261"/>
      <c r="L1146" s="261"/>
      <c r="M1146" s="261"/>
    </row>
    <row r="1147" spans="1:13" ht="30" x14ac:dyDescent="0.25">
      <c r="A1147" s="259" t="s">
        <v>249</v>
      </c>
      <c r="B1147" s="259" t="s">
        <v>192</v>
      </c>
      <c r="C1147" s="260">
        <v>2008</v>
      </c>
      <c r="D1147" s="260">
        <v>75</v>
      </c>
      <c r="E1147" s="261">
        <v>0.72852346648647803</v>
      </c>
      <c r="F1147" s="262"/>
      <c r="G1147" s="261">
        <f t="shared" si="16"/>
        <v>50</v>
      </c>
      <c r="H1147" s="263">
        <f>IF(B1147="RTG Crane",IF(D1147&lt;600,800000,1200000),VLOOKUP(B1147,'$$$ Replace &amp; Retrofit'!$B$10:$C$14,2)*'CHE Model poplulation'!D1295)*E1147</f>
        <v>47809.352488175122</v>
      </c>
      <c r="I1147" s="263">
        <f>E1147*VLOOKUP('CHE Model poplulation'!G1295,'$$$ Replace &amp; Retrofit'!$I$10:$J$15,2)</f>
        <v>12813.270728564175</v>
      </c>
      <c r="J1147" s="267">
        <f>IF(D1147=50,VLOOKUP(0,'$$$ Replace &amp; Retrofit'!$E$10:$F$13,2),IF(D1147&lt;175,VLOOKUP(50,'$$$ Replace &amp; Retrofit'!$E$10:$F$13,2),IF(D1147&lt;400,VLOOKUP(175,'$$$ Replace &amp; Retrofit'!$E$10:$F$13,2),IF(D1147&gt;=400,VLOOKUP(400,'$$$ Replace &amp; Retrofit'!$E$10:$F$13,2),NA))))*E1147</f>
        <v>8742.2815978377366</v>
      </c>
      <c r="K1147" s="261"/>
      <c r="L1147" s="261"/>
      <c r="M1147" s="261"/>
    </row>
    <row r="1148" spans="1:13" ht="30" x14ac:dyDescent="0.25">
      <c r="A1148" s="259" t="s">
        <v>249</v>
      </c>
      <c r="B1148" s="259" t="s">
        <v>192</v>
      </c>
      <c r="C1148" s="260">
        <v>2008</v>
      </c>
      <c r="D1148" s="260">
        <v>100</v>
      </c>
      <c r="E1148" s="261">
        <v>2.2219988111762099</v>
      </c>
      <c r="F1148" s="262"/>
      <c r="G1148" s="261">
        <f t="shared" si="16"/>
        <v>125</v>
      </c>
      <c r="H1148" s="263">
        <f>IF(B1148="RTG Crane",IF(D1148&lt;600,800000,1200000),VLOOKUP(B1148,'$$$ Replace &amp; Retrofit'!$B$10:$C$14,2)*'CHE Model poplulation'!D1296)*E1148</f>
        <v>194424.89597791838</v>
      </c>
      <c r="I1148" s="263">
        <f>E1148*VLOOKUP('CHE Model poplulation'!G1296,'$$$ Replace &amp; Retrofit'!$I$10:$J$15,2)</f>
        <v>43846.702540940147</v>
      </c>
      <c r="J1148" s="267">
        <f>IF(D1148=50,VLOOKUP(0,'$$$ Replace &amp; Retrofit'!$E$10:$F$13,2),IF(D1148&lt;175,VLOOKUP(50,'$$$ Replace &amp; Retrofit'!$E$10:$F$13,2),IF(D1148&lt;400,VLOOKUP(175,'$$$ Replace &amp; Retrofit'!$E$10:$F$13,2),IF(D1148&gt;=400,VLOOKUP(400,'$$$ Replace &amp; Retrofit'!$E$10:$F$13,2),NA))))*E1148</f>
        <v>26663.985734114518</v>
      </c>
      <c r="K1148" s="261"/>
      <c r="L1148" s="261"/>
      <c r="M1148" s="261"/>
    </row>
    <row r="1149" spans="1:13" ht="30" x14ac:dyDescent="0.25">
      <c r="A1149" s="259" t="s">
        <v>249</v>
      </c>
      <c r="B1149" s="259" t="s">
        <v>192</v>
      </c>
      <c r="C1149" s="260">
        <v>2008</v>
      </c>
      <c r="D1149" s="260">
        <v>175</v>
      </c>
      <c r="E1149" s="261">
        <v>3.4255469399931799</v>
      </c>
      <c r="F1149" s="262"/>
      <c r="G1149" s="261">
        <f t="shared" si="16"/>
        <v>175</v>
      </c>
      <c r="H1149" s="263">
        <f>IF(B1149="RTG Crane",IF(D1149&lt;600,800000,1200000),VLOOKUP(B1149,'$$$ Replace &amp; Retrofit'!$B$10:$C$14,2)*'CHE Model poplulation'!D1297)*E1149</f>
        <v>524536.87518645567</v>
      </c>
      <c r="I1149" s="263">
        <f>E1149*VLOOKUP('CHE Model poplulation'!G1297,'$$$ Replace &amp; Retrofit'!$I$10:$J$15,2)</f>
        <v>84939.861924070894</v>
      </c>
      <c r="J1149" s="267">
        <f>IF(D1149=50,VLOOKUP(0,'$$$ Replace &amp; Retrofit'!$E$10:$F$13,2),IF(D1149&lt;175,VLOOKUP(50,'$$$ Replace &amp; Retrofit'!$E$10:$F$13,2),IF(D1149&lt;400,VLOOKUP(175,'$$$ Replace &amp; Retrofit'!$E$10:$F$13,2),IF(D1149&gt;=400,VLOOKUP(400,'$$$ Replace &amp; Retrofit'!$E$10:$F$13,2),NA))))*E1149</f>
        <v>61659.844919877236</v>
      </c>
      <c r="K1149" s="261"/>
      <c r="L1149" s="261"/>
      <c r="M1149" s="261"/>
    </row>
    <row r="1150" spans="1:13" ht="30" x14ac:dyDescent="0.25">
      <c r="A1150" s="259" t="s">
        <v>249</v>
      </c>
      <c r="B1150" s="259" t="s">
        <v>192</v>
      </c>
      <c r="C1150" s="260">
        <v>2008</v>
      </c>
      <c r="D1150" s="260">
        <v>300</v>
      </c>
      <c r="E1150" s="261">
        <v>0.99597456225075398</v>
      </c>
      <c r="F1150" s="262"/>
      <c r="G1150" s="261">
        <f t="shared" si="16"/>
        <v>300</v>
      </c>
      <c r="H1150" s="263">
        <f>IF(B1150="RTG Crane",IF(D1150&lt;600,800000,1200000),VLOOKUP(B1150,'$$$ Replace &amp; Retrofit'!$B$10:$C$14,2)*'CHE Model poplulation'!D1298)*E1150</f>
        <v>261443.32259082291</v>
      </c>
      <c r="I1150" s="263">
        <f>E1150*VLOOKUP('CHE Model poplulation'!G1298,'$$$ Replace &amp; Retrofit'!$I$10:$J$15,2)</f>
        <v>28647.216334018438</v>
      </c>
      <c r="J1150" s="267">
        <f>IF(D1150=50,VLOOKUP(0,'$$$ Replace &amp; Retrofit'!$E$10:$F$13,2),IF(D1150&lt;175,VLOOKUP(50,'$$$ Replace &amp; Retrofit'!$E$10:$F$13,2),IF(D1150&lt;400,VLOOKUP(175,'$$$ Replace &amp; Retrofit'!$E$10:$F$13,2),IF(D1150&gt;=400,VLOOKUP(400,'$$$ Replace &amp; Retrofit'!$E$10:$F$13,2),NA))))*E1150</f>
        <v>17927.542120513572</v>
      </c>
      <c r="K1150" s="261"/>
      <c r="L1150" s="261"/>
      <c r="M1150" s="261"/>
    </row>
    <row r="1151" spans="1:13" ht="30" x14ac:dyDescent="0.25">
      <c r="A1151" s="259" t="s">
        <v>249</v>
      </c>
      <c r="B1151" s="259" t="s">
        <v>192</v>
      </c>
      <c r="C1151" s="260">
        <v>2008</v>
      </c>
      <c r="D1151" s="260">
        <v>600</v>
      </c>
      <c r="E1151" s="261">
        <v>0.12654097989279101</v>
      </c>
      <c r="F1151" s="262"/>
      <c r="G1151" s="261">
        <f t="shared" si="16"/>
        <v>400</v>
      </c>
      <c r="H1151" s="263">
        <f>IF(B1151="RTG Crane",IF(D1151&lt;600,800000,1200000),VLOOKUP(B1151,'$$$ Replace &amp; Retrofit'!$B$10:$C$14,2)*'CHE Model poplulation'!D1299)*E1151</f>
        <v>66434.014443715278</v>
      </c>
      <c r="I1151" s="263">
        <f>E1151*VLOOKUP('CHE Model poplulation'!G1299,'$$$ Replace &amp; Retrofit'!$I$10:$J$15,2)</f>
        <v>6622.2691007294316</v>
      </c>
      <c r="J1151" s="267">
        <f>IF(D1151=50,VLOOKUP(0,'$$$ Replace &amp; Retrofit'!$E$10:$F$13,2),IF(D1151&lt;175,VLOOKUP(50,'$$$ Replace &amp; Retrofit'!$E$10:$F$13,2),IF(D1151&lt;400,VLOOKUP(175,'$$$ Replace &amp; Retrofit'!$E$10:$F$13,2),IF(D1151&gt;=400,VLOOKUP(400,'$$$ Replace &amp; Retrofit'!$E$10:$F$13,2),NA))))*E1151</f>
        <v>3796.22939678373</v>
      </c>
      <c r="K1151" s="261"/>
      <c r="L1151" s="261"/>
      <c r="M1151" s="261"/>
    </row>
    <row r="1152" spans="1:13" ht="45" x14ac:dyDescent="0.25">
      <c r="A1152" s="259" t="s">
        <v>249</v>
      </c>
      <c r="B1152" s="259" t="s">
        <v>211</v>
      </c>
      <c r="C1152" s="260">
        <v>2008</v>
      </c>
      <c r="D1152" s="260">
        <v>50</v>
      </c>
      <c r="E1152" s="261">
        <v>0.34155447581228898</v>
      </c>
      <c r="F1152" s="262"/>
      <c r="G1152" s="261">
        <f t="shared" si="16"/>
        <v>50</v>
      </c>
      <c r="H1152" s="263">
        <f>IF(B1152="RTG Crane",IF(D1152&lt;600,800000,1200000),VLOOKUP(B1152,'$$$ Replace &amp; Retrofit'!$B$10:$C$14,2)*'CHE Model poplulation'!D1414)*E1152</f>
        <v>17077.723790614447</v>
      </c>
      <c r="I1152" s="263">
        <f>E1152*VLOOKUP('CHE Model poplulation'!G1414,'$$$ Replace &amp; Retrofit'!$I$10:$J$15,2)</f>
        <v>6007.2601205865385</v>
      </c>
      <c r="J1152" s="267">
        <f>IF(D1152=50,VLOOKUP(0,'$$$ Replace &amp; Retrofit'!$E$10:$F$13,2),IF(D1152&lt;175,VLOOKUP(50,'$$$ Replace &amp; Retrofit'!$E$10:$F$13,2),IF(D1152&lt;400,VLOOKUP(175,'$$$ Replace &amp; Retrofit'!$E$10:$F$13,2),IF(D1152&gt;=400,VLOOKUP(400,'$$$ Replace &amp; Retrofit'!$E$10:$F$13,2),NA))))*E1152</f>
        <v>2732.4358064983116</v>
      </c>
      <c r="K1152" s="261"/>
      <c r="L1152" s="261"/>
      <c r="M1152" s="261"/>
    </row>
    <row r="1153" spans="1:16" ht="45" x14ac:dyDescent="0.25">
      <c r="A1153" s="259" t="s">
        <v>249</v>
      </c>
      <c r="B1153" s="259" t="s">
        <v>211</v>
      </c>
      <c r="C1153" s="260">
        <v>2008</v>
      </c>
      <c r="D1153" s="260">
        <v>75</v>
      </c>
      <c r="E1153" s="261">
        <v>0.148066227644187</v>
      </c>
      <c r="F1153" s="262"/>
      <c r="G1153" s="261">
        <f t="shared" si="16"/>
        <v>50</v>
      </c>
      <c r="H1153" s="263">
        <f>IF(B1153="RTG Crane",IF(D1153&lt;600,800000,1200000),VLOOKUP(B1153,'$$$ Replace &amp; Retrofit'!$B$10:$C$14,2)*'CHE Model poplulation'!D1415)*E1153</f>
        <v>11104.967073314025</v>
      </c>
      <c r="I1153" s="263">
        <f>E1153*VLOOKUP('CHE Model poplulation'!G1415,'$$$ Replace &amp; Retrofit'!$I$10:$J$15,2)</f>
        <v>2604.188811805961</v>
      </c>
      <c r="J1153" s="267">
        <f>IF(D1153=50,VLOOKUP(0,'$$$ Replace &amp; Retrofit'!$E$10:$F$13,2),IF(D1153&lt;175,VLOOKUP(50,'$$$ Replace &amp; Retrofit'!$E$10:$F$13,2),IF(D1153&lt;400,VLOOKUP(175,'$$$ Replace &amp; Retrofit'!$E$10:$F$13,2),IF(D1153&gt;=400,VLOOKUP(400,'$$$ Replace &amp; Retrofit'!$E$10:$F$13,2),NA))))*E1153</f>
        <v>1776.7947317302439</v>
      </c>
      <c r="K1153" s="261"/>
      <c r="L1153" s="261"/>
      <c r="M1153" s="261"/>
    </row>
    <row r="1154" spans="1:16" ht="45" x14ac:dyDescent="0.25">
      <c r="A1154" s="259" t="s">
        <v>249</v>
      </c>
      <c r="B1154" s="259" t="s">
        <v>211</v>
      </c>
      <c r="C1154" s="260">
        <v>2008</v>
      </c>
      <c r="D1154" s="260">
        <v>100</v>
      </c>
      <c r="E1154" s="261">
        <v>0.171073678533785</v>
      </c>
      <c r="F1154" s="262"/>
      <c r="G1154" s="261">
        <f t="shared" si="16"/>
        <v>125</v>
      </c>
      <c r="H1154" s="263">
        <f>IF(B1154="RTG Crane",IF(D1154&lt;600,800000,1200000),VLOOKUP(B1154,'$$$ Replace &amp; Retrofit'!$B$10:$C$14,2)*'CHE Model poplulation'!D1416)*E1154</f>
        <v>17107.367853378499</v>
      </c>
      <c r="I1154" s="263">
        <f>E1154*VLOOKUP('CHE Model poplulation'!G1416,'$$$ Replace &amp; Retrofit'!$I$10:$J$15,2)</f>
        <v>3375.7968985071793</v>
      </c>
      <c r="J1154" s="267">
        <f>IF(D1154=50,VLOOKUP(0,'$$$ Replace &amp; Retrofit'!$E$10:$F$13,2),IF(D1154&lt;175,VLOOKUP(50,'$$$ Replace &amp; Retrofit'!$E$10:$F$13,2),IF(D1154&lt;400,VLOOKUP(175,'$$$ Replace &amp; Retrofit'!$E$10:$F$13,2),IF(D1154&gt;=400,VLOOKUP(400,'$$$ Replace &amp; Retrofit'!$E$10:$F$13,2),NA))))*E1154</f>
        <v>2052.8841424054199</v>
      </c>
      <c r="K1154" s="261"/>
      <c r="L1154" s="261"/>
      <c r="M1154" s="261"/>
    </row>
    <row r="1155" spans="1:16" ht="45" x14ac:dyDescent="0.25">
      <c r="A1155" s="259" t="s">
        <v>249</v>
      </c>
      <c r="B1155" s="259" t="s">
        <v>211</v>
      </c>
      <c r="C1155" s="260">
        <v>2008</v>
      </c>
      <c r="D1155" s="260">
        <v>175</v>
      </c>
      <c r="E1155" s="261">
        <v>0.452087661812484</v>
      </c>
      <c r="F1155" s="262"/>
      <c r="G1155" s="261">
        <f t="shared" si="16"/>
        <v>175</v>
      </c>
      <c r="H1155" s="263">
        <f>IF(B1155="RTG Crane",IF(D1155&lt;600,800000,1200000),VLOOKUP(B1155,'$$$ Replace &amp; Retrofit'!$B$10:$C$14,2)*'CHE Model poplulation'!D1417)*E1155</f>
        <v>79115.340817184697</v>
      </c>
      <c r="I1155" s="263">
        <f>E1155*VLOOKUP('CHE Model poplulation'!G1417,'$$$ Replace &amp; Retrofit'!$I$10:$J$15,2)</f>
        <v>11209.965662302353</v>
      </c>
      <c r="J1155" s="267">
        <f>IF(D1155=50,VLOOKUP(0,'$$$ Replace &amp; Retrofit'!$E$10:$F$13,2),IF(D1155&lt;175,VLOOKUP(50,'$$$ Replace &amp; Retrofit'!$E$10:$F$13,2),IF(D1155&lt;400,VLOOKUP(175,'$$$ Replace &amp; Retrofit'!$E$10:$F$13,2),IF(D1155&gt;=400,VLOOKUP(400,'$$$ Replace &amp; Retrofit'!$E$10:$F$13,2),NA))))*E1155</f>
        <v>8137.5779126247116</v>
      </c>
      <c r="K1155" s="261"/>
      <c r="L1155" s="261"/>
      <c r="M1155" s="261"/>
    </row>
    <row r="1156" spans="1:16" ht="45" x14ac:dyDescent="0.25">
      <c r="A1156" s="259" t="s">
        <v>249</v>
      </c>
      <c r="B1156" s="259" t="s">
        <v>211</v>
      </c>
      <c r="C1156" s="260">
        <v>2008</v>
      </c>
      <c r="D1156" s="260">
        <v>300</v>
      </c>
      <c r="E1156" s="261">
        <v>0.29390915058106798</v>
      </c>
      <c r="F1156" s="262"/>
      <c r="G1156" s="261">
        <f t="shared" si="16"/>
        <v>300</v>
      </c>
      <c r="H1156" s="263">
        <f>IF(B1156="RTG Crane",IF(D1156&lt;600,800000,1200000),VLOOKUP(B1156,'$$$ Replace &amp; Retrofit'!$B$10:$C$14,2)*'CHE Model poplulation'!D1418)*E1156</f>
        <v>88172.7451743204</v>
      </c>
      <c r="I1156" s="263">
        <f>E1156*VLOOKUP('CHE Model poplulation'!G1418,'$$$ Replace &amp; Retrofit'!$I$10:$J$15,2)</f>
        <v>8453.7088981632587</v>
      </c>
      <c r="J1156" s="267">
        <f>IF(D1156=50,VLOOKUP(0,'$$$ Replace &amp; Retrofit'!$E$10:$F$13,2),IF(D1156&lt;175,VLOOKUP(50,'$$$ Replace &amp; Retrofit'!$E$10:$F$13,2),IF(D1156&lt;400,VLOOKUP(175,'$$$ Replace &amp; Retrofit'!$E$10:$F$13,2),IF(D1156&gt;=400,VLOOKUP(400,'$$$ Replace &amp; Retrofit'!$E$10:$F$13,2),NA))))*E1156</f>
        <v>5290.3647104592237</v>
      </c>
      <c r="K1156" s="261"/>
      <c r="L1156" s="261"/>
      <c r="M1156" s="261"/>
    </row>
    <row r="1157" spans="1:16" ht="45" x14ac:dyDescent="0.25">
      <c r="A1157" s="259" t="s">
        <v>249</v>
      </c>
      <c r="B1157" s="259" t="s">
        <v>211</v>
      </c>
      <c r="C1157" s="260">
        <v>2008</v>
      </c>
      <c r="D1157" s="260">
        <v>600</v>
      </c>
      <c r="E1157" s="261">
        <v>0.34420184541256799</v>
      </c>
      <c r="F1157" s="262"/>
      <c r="G1157" s="261">
        <f t="shared" si="16"/>
        <v>400</v>
      </c>
      <c r="H1157" s="263">
        <f>IF(B1157="RTG Crane",IF(D1157&lt;600,800000,1200000),VLOOKUP(B1157,'$$$ Replace &amp; Retrofit'!$B$10:$C$14,2)*'CHE Model poplulation'!D1419)*E1157</f>
        <v>206521.10724754079</v>
      </c>
      <c r="I1157" s="263">
        <f>E1157*VLOOKUP('CHE Model poplulation'!G1419,'$$$ Replace &amp; Retrofit'!$I$10:$J$15,2)</f>
        <v>18013.11517597592</v>
      </c>
      <c r="J1157" s="267">
        <f>IF(D1157=50,VLOOKUP(0,'$$$ Replace &amp; Retrofit'!$E$10:$F$13,2),IF(D1157&lt;175,VLOOKUP(50,'$$$ Replace &amp; Retrofit'!$E$10:$F$13,2),IF(D1157&lt;400,VLOOKUP(175,'$$$ Replace &amp; Retrofit'!$E$10:$F$13,2),IF(D1157&gt;=400,VLOOKUP(400,'$$$ Replace &amp; Retrofit'!$E$10:$F$13,2),NA))))*E1157</f>
        <v>10326.055362377039</v>
      </c>
      <c r="K1157" s="261"/>
      <c r="L1157" s="261"/>
      <c r="M1157" s="261"/>
    </row>
    <row r="1158" spans="1:16" ht="30" x14ac:dyDescent="0.25">
      <c r="A1158" s="259" t="s">
        <v>249</v>
      </c>
      <c r="B1158" s="259" t="s">
        <v>212</v>
      </c>
      <c r="C1158" s="260">
        <v>2008</v>
      </c>
      <c r="D1158" s="260">
        <v>100</v>
      </c>
      <c r="E1158" s="261">
        <v>0</v>
      </c>
      <c r="F1158" s="262"/>
      <c r="G1158" s="261"/>
      <c r="H1158" s="261"/>
      <c r="I1158" s="263"/>
      <c r="J1158" s="268"/>
      <c r="K1158" s="261"/>
      <c r="L1158" s="261"/>
      <c r="M1158" s="261"/>
    </row>
    <row r="1159" spans="1:16" ht="30" x14ac:dyDescent="0.25">
      <c r="A1159" s="259" t="s">
        <v>249</v>
      </c>
      <c r="B1159" s="259" t="s">
        <v>212</v>
      </c>
      <c r="C1159" s="260">
        <v>2008</v>
      </c>
      <c r="D1159" s="260">
        <v>300</v>
      </c>
      <c r="E1159" s="261">
        <v>0</v>
      </c>
      <c r="F1159" s="262"/>
      <c r="G1159" s="261"/>
      <c r="H1159" s="261"/>
      <c r="I1159" s="263"/>
      <c r="J1159" s="268"/>
      <c r="K1159" s="261"/>
      <c r="L1159" s="261"/>
      <c r="M1159" s="261"/>
    </row>
    <row r="1160" spans="1:16" ht="30" x14ac:dyDescent="0.25">
      <c r="A1160" s="259" t="s">
        <v>249</v>
      </c>
      <c r="B1160" s="259" t="s">
        <v>212</v>
      </c>
      <c r="C1160" s="260">
        <v>2008</v>
      </c>
      <c r="D1160" s="260">
        <v>600</v>
      </c>
      <c r="E1160" s="261">
        <v>0</v>
      </c>
      <c r="F1160" s="262"/>
      <c r="G1160" s="261"/>
      <c r="H1160" s="261"/>
      <c r="I1160" s="263"/>
      <c r="J1160" s="268"/>
      <c r="K1160" s="261"/>
      <c r="L1160" s="261"/>
      <c r="M1160" s="261"/>
    </row>
    <row r="1161" spans="1:16" ht="30" x14ac:dyDescent="0.25">
      <c r="A1161" s="259" t="s">
        <v>249</v>
      </c>
      <c r="B1161" s="259" t="s">
        <v>212</v>
      </c>
      <c r="C1161" s="260">
        <v>2008</v>
      </c>
      <c r="D1161" s="260">
        <v>750</v>
      </c>
      <c r="E1161" s="261">
        <v>0</v>
      </c>
      <c r="F1161" s="262"/>
      <c r="G1161" s="261"/>
      <c r="H1161" s="261"/>
      <c r="I1161" s="263"/>
      <c r="J1161" s="268"/>
      <c r="K1161" s="261"/>
      <c r="L1161" s="261"/>
      <c r="M1161" s="261"/>
    </row>
    <row r="1162" spans="1:16" ht="30" x14ac:dyDescent="0.25">
      <c r="A1162" s="259" t="s">
        <v>249</v>
      </c>
      <c r="B1162" s="259" t="s">
        <v>212</v>
      </c>
      <c r="C1162" s="260">
        <v>2008</v>
      </c>
      <c r="D1162" s="260">
        <v>9999</v>
      </c>
      <c r="E1162" s="261">
        <v>0</v>
      </c>
      <c r="F1162" s="262"/>
      <c r="G1162" s="261"/>
      <c r="H1162" s="261"/>
      <c r="I1162" s="263"/>
      <c r="J1162" s="268"/>
      <c r="K1162" s="266">
        <f t="shared" ref="K1162:L1162" si="17">SUM(H1136:H1161)</f>
        <v>3626610.9877635716</v>
      </c>
      <c r="L1162" s="266">
        <f t="shared" si="17"/>
        <v>468363.26318697474</v>
      </c>
      <c r="M1162" s="266">
        <f>SUM(J1136:J1161)</f>
        <v>294830.71011984273</v>
      </c>
      <c r="N1162" s="239">
        <f>K1162-N1135</f>
        <v>1821705.4825370817</v>
      </c>
      <c r="O1162" s="239">
        <f t="shared" ref="O1162:P1162" si="18">L1162-O1135</f>
        <v>234929.37329150314</v>
      </c>
      <c r="P1162" s="239">
        <f t="shared" si="18"/>
        <v>147708.7589003297</v>
      </c>
    </row>
    <row r="1163" spans="1:16" ht="30" x14ac:dyDescent="0.25">
      <c r="A1163" s="259" t="s">
        <v>249</v>
      </c>
      <c r="B1163" s="259" t="s">
        <v>206</v>
      </c>
      <c r="C1163" s="260">
        <v>2009</v>
      </c>
      <c r="D1163" s="260">
        <v>50</v>
      </c>
      <c r="E1163" s="261">
        <v>1.3071204993391601</v>
      </c>
      <c r="F1163" s="262"/>
      <c r="G1163" s="261">
        <f t="shared" ref="G1163:G1226" si="19">IF(OR(D1163=50,D1163=75),50,IF(OR(D1163=100,D1163=125),125,IF(D1163&gt;=400,400,D1163)))</f>
        <v>50</v>
      </c>
      <c r="H1163" s="263">
        <f>IF(B1163="RTG Crane",IF(D1163&lt;600,800000,1200000),VLOOKUP(B1163,'$$$ Replace &amp; Retrofit'!$B$10:$C$14,2)*'CHE Model poplulation'!D1100)*E1163</f>
        <v>65356.024966958001</v>
      </c>
      <c r="I1163" s="263">
        <f>E1163*VLOOKUP('CHE Model poplulation'!G1100,'$$$ Replace &amp; Retrofit'!$I$10:$J$15,2)</f>
        <v>22989.635342377147</v>
      </c>
      <c r="J1163" s="269">
        <f>IF(D1163=50,VLOOKUP(0,'$$$ Replace &amp; Retrofit'!$E$10:$F$13,2),IF(D1163&lt;175,VLOOKUP(50,'$$$ Replace &amp; Retrofit'!$E$10:$F$13,2),IF(D1163&lt;400,VLOOKUP(175,'$$$ Replace &amp; Retrofit'!$E$10:$F$13,2),IF(D1163&gt;=400,VLOOKUP(400,'$$$ Replace &amp; Retrofit'!$E$10:$F$13,2),NA))))*E1163</f>
        <v>10456.96399471328</v>
      </c>
      <c r="K1163" s="261"/>
      <c r="L1163" s="261"/>
      <c r="M1163" s="261"/>
    </row>
    <row r="1164" spans="1:16" ht="30" x14ac:dyDescent="0.25">
      <c r="A1164" s="259" t="s">
        <v>249</v>
      </c>
      <c r="B1164" s="259" t="s">
        <v>206</v>
      </c>
      <c r="C1164" s="260">
        <v>2009</v>
      </c>
      <c r="D1164" s="260">
        <v>75</v>
      </c>
      <c r="E1164" s="261">
        <v>2.2572685382494</v>
      </c>
      <c r="F1164" s="262"/>
      <c r="G1164" s="261">
        <f t="shared" si="19"/>
        <v>50</v>
      </c>
      <c r="H1164" s="263">
        <f>IF(B1164="RTG Crane",IF(D1164&lt;600,800000,1200000),VLOOKUP(B1164,'$$$ Replace &amp; Retrofit'!$B$10:$C$14,2)*'CHE Model poplulation'!D1101)*E1164</f>
        <v>169295.140368705</v>
      </c>
      <c r="I1164" s="263">
        <f>E1164*VLOOKUP('CHE Model poplulation'!G1101,'$$$ Replace &amp; Retrofit'!$I$10:$J$15,2)</f>
        <v>39700.83905073045</v>
      </c>
      <c r="J1164" s="269">
        <f>IF(D1164=50,VLOOKUP(0,'$$$ Replace &amp; Retrofit'!$E$10:$F$13,2),IF(D1164&lt;175,VLOOKUP(50,'$$$ Replace &amp; Retrofit'!$E$10:$F$13,2),IF(D1164&lt;400,VLOOKUP(175,'$$$ Replace &amp; Retrofit'!$E$10:$F$13,2),IF(D1164&gt;=400,VLOOKUP(400,'$$$ Replace &amp; Retrofit'!$E$10:$F$13,2),NA))))*E1164</f>
        <v>27087.222458992801</v>
      </c>
      <c r="K1164" s="261"/>
      <c r="L1164" s="261"/>
      <c r="M1164" s="261"/>
    </row>
    <row r="1165" spans="1:16" ht="30" x14ac:dyDescent="0.25">
      <c r="A1165" s="259" t="s">
        <v>249</v>
      </c>
      <c r="B1165" s="259" t="s">
        <v>206</v>
      </c>
      <c r="C1165" s="260">
        <v>2009</v>
      </c>
      <c r="D1165" s="260">
        <v>100</v>
      </c>
      <c r="E1165" s="261">
        <v>2.2647406147081499</v>
      </c>
      <c r="F1165" s="262"/>
      <c r="G1165" s="261">
        <f t="shared" si="19"/>
        <v>125</v>
      </c>
      <c r="H1165" s="263">
        <f>IF(B1165="RTG Crane",IF(D1165&lt;600,800000,1200000),VLOOKUP(B1165,'$$$ Replace &amp; Retrofit'!$B$10:$C$14,2)*'CHE Model poplulation'!D1102)*E1165</f>
        <v>226474.06147081498</v>
      </c>
      <c r="I1165" s="263">
        <f>E1165*VLOOKUP('CHE Model poplulation'!G1102,'$$$ Replace &amp; Retrofit'!$I$10:$J$15,2)</f>
        <v>44690.126550035922</v>
      </c>
      <c r="J1165" s="269">
        <f>IF(D1165=50,VLOOKUP(0,'$$$ Replace &amp; Retrofit'!$E$10:$F$13,2),IF(D1165&lt;175,VLOOKUP(50,'$$$ Replace &amp; Retrofit'!$E$10:$F$13,2),IF(D1165&lt;400,VLOOKUP(175,'$$$ Replace &amp; Retrofit'!$E$10:$F$13,2),IF(D1165&gt;=400,VLOOKUP(400,'$$$ Replace &amp; Retrofit'!$E$10:$F$13,2),NA))))*E1165</f>
        <v>27176.887376497798</v>
      </c>
      <c r="K1165" s="261"/>
      <c r="L1165" s="261"/>
      <c r="M1165" s="261"/>
    </row>
    <row r="1166" spans="1:16" ht="30" x14ac:dyDescent="0.25">
      <c r="A1166" s="259" t="s">
        <v>249</v>
      </c>
      <c r="B1166" s="259" t="s">
        <v>206</v>
      </c>
      <c r="C1166" s="260">
        <v>2009</v>
      </c>
      <c r="D1166" s="260">
        <v>175</v>
      </c>
      <c r="E1166" s="261">
        <v>3.89897542526273</v>
      </c>
      <c r="F1166" s="262"/>
      <c r="G1166" s="261">
        <f t="shared" si="19"/>
        <v>175</v>
      </c>
      <c r="H1166" s="263">
        <f>IF(B1166="RTG Crane",IF(D1166&lt;600,800000,1200000),VLOOKUP(B1166,'$$$ Replace &amp; Retrofit'!$B$10:$C$14,2)*'CHE Model poplulation'!D1103)*E1166</f>
        <v>682320.69942097773</v>
      </c>
      <c r="I1166" s="263">
        <f>E1166*VLOOKUP('CHE Model poplulation'!G1103,'$$$ Replace &amp; Retrofit'!$I$10:$J$15,2)</f>
        <v>96678.994644814651</v>
      </c>
      <c r="J1166" s="269">
        <f>IF(D1166=50,VLOOKUP(0,'$$$ Replace &amp; Retrofit'!$E$10:$F$13,2),IF(D1166&lt;175,VLOOKUP(50,'$$$ Replace &amp; Retrofit'!$E$10:$F$13,2),IF(D1166&lt;400,VLOOKUP(175,'$$$ Replace &amp; Retrofit'!$E$10:$F$13,2),IF(D1166&gt;=400,VLOOKUP(400,'$$$ Replace &amp; Retrofit'!$E$10:$F$13,2),NA))))*E1166</f>
        <v>70181.557654729142</v>
      </c>
      <c r="K1166" s="261"/>
      <c r="L1166" s="261"/>
      <c r="M1166" s="261"/>
    </row>
    <row r="1167" spans="1:16" ht="30" x14ac:dyDescent="0.25">
      <c r="A1167" s="259" t="s">
        <v>249</v>
      </c>
      <c r="B1167" s="259" t="s">
        <v>206</v>
      </c>
      <c r="C1167" s="260">
        <v>2009</v>
      </c>
      <c r="D1167" s="260">
        <v>300</v>
      </c>
      <c r="E1167" s="261">
        <v>4.02745858136349</v>
      </c>
      <c r="F1167" s="262"/>
      <c r="G1167" s="261">
        <f t="shared" si="19"/>
        <v>300</v>
      </c>
      <c r="H1167" s="263">
        <f>IF(B1167="RTG Crane",IF(D1167&lt;600,800000,1200000),VLOOKUP(B1167,'$$$ Replace &amp; Retrofit'!$B$10:$C$14,2)*'CHE Model poplulation'!D1104)*E1167</f>
        <v>1208237.5744090469</v>
      </c>
      <c r="I1167" s="263">
        <f>E1167*VLOOKUP('CHE Model poplulation'!G1104,'$$$ Replace &amp; Retrofit'!$I$10:$J$15,2)</f>
        <v>115841.79117575806</v>
      </c>
      <c r="J1167" s="269">
        <f>IF(D1167=50,VLOOKUP(0,'$$$ Replace &amp; Retrofit'!$E$10:$F$13,2),IF(D1167&lt;175,VLOOKUP(50,'$$$ Replace &amp; Retrofit'!$E$10:$F$13,2),IF(D1167&lt;400,VLOOKUP(175,'$$$ Replace &amp; Retrofit'!$E$10:$F$13,2),IF(D1167&gt;=400,VLOOKUP(400,'$$$ Replace &amp; Retrofit'!$E$10:$F$13,2),NA))))*E1167</f>
        <v>72494.254464542813</v>
      </c>
      <c r="K1167" s="261"/>
      <c r="L1167" s="261"/>
      <c r="M1167" s="261"/>
    </row>
    <row r="1168" spans="1:16" ht="30" x14ac:dyDescent="0.25">
      <c r="A1168" s="259" t="s">
        <v>249</v>
      </c>
      <c r="B1168" s="259" t="s">
        <v>206</v>
      </c>
      <c r="C1168" s="260">
        <v>2009</v>
      </c>
      <c r="D1168" s="260">
        <v>600</v>
      </c>
      <c r="E1168" s="261">
        <v>9.6943896374086407</v>
      </c>
      <c r="F1168" s="262"/>
      <c r="G1168" s="261">
        <f t="shared" si="19"/>
        <v>400</v>
      </c>
      <c r="H1168" s="263">
        <f>IF(B1168="RTG Crane",IF(D1168&lt;600,800000,1200000),VLOOKUP(B1168,'$$$ Replace &amp; Retrofit'!$B$10:$C$14,2)*'CHE Model poplulation'!D1105)*E1168</f>
        <v>5816633.782445184</v>
      </c>
      <c r="I1168" s="263">
        <f>E1168*VLOOKUP('CHE Model poplulation'!G1105,'$$$ Replace &amp; Retrofit'!$I$10:$J$15,2)</f>
        <v>507336.49289450637</v>
      </c>
      <c r="J1168" s="269">
        <f>IF(D1168=50,VLOOKUP(0,'$$$ Replace &amp; Retrofit'!$E$10:$F$13,2),IF(D1168&lt;175,VLOOKUP(50,'$$$ Replace &amp; Retrofit'!$E$10:$F$13,2),IF(D1168&lt;400,VLOOKUP(175,'$$$ Replace &amp; Retrofit'!$E$10:$F$13,2),IF(D1168&gt;=400,VLOOKUP(400,'$$$ Replace &amp; Retrofit'!$E$10:$F$13,2),NA))))*E1168</f>
        <v>290831.68912225921</v>
      </c>
      <c r="K1168" s="261"/>
      <c r="L1168" s="261"/>
      <c r="M1168" s="261"/>
    </row>
    <row r="1169" spans="1:13" ht="45" x14ac:dyDescent="0.25">
      <c r="A1169" s="259" t="s">
        <v>249</v>
      </c>
      <c r="B1169" s="259" t="s">
        <v>208</v>
      </c>
      <c r="C1169" s="260">
        <v>2009</v>
      </c>
      <c r="D1169" s="260">
        <v>100</v>
      </c>
      <c r="E1169" s="261">
        <v>4.10381316189724E-2</v>
      </c>
      <c r="F1169" s="262"/>
      <c r="G1169" s="261">
        <f t="shared" si="19"/>
        <v>125</v>
      </c>
      <c r="H1169" s="263">
        <f>IF(B1169="RTG Crane",IF(D1169&lt;600,800000,1200000),VLOOKUP(B1169,'$$$ Replace &amp; Retrofit'!$B$10:$C$14,2)*'CHE Model poplulation'!D1214)*E1169</f>
        <v>3270.7390900321002</v>
      </c>
      <c r="I1169" s="263">
        <f>E1169*VLOOKUP('CHE Model poplulation'!G1214,'$$$ Replace &amp; Retrofit'!$I$10:$J$15,2)</f>
        <v>809.80545123718241</v>
      </c>
      <c r="J1169" s="269">
        <f>IF(D1169=50,VLOOKUP(0,'$$$ Replace &amp; Retrofit'!$E$10:$F$13,2),IF(D1169&lt;175,VLOOKUP(50,'$$$ Replace &amp; Retrofit'!$E$10:$F$13,2),IF(D1169&lt;400,VLOOKUP(175,'$$$ Replace &amp; Retrofit'!$E$10:$F$13,2),IF(D1169&gt;=400,VLOOKUP(400,'$$$ Replace &amp; Retrofit'!$E$10:$F$13,2),NA))))*E1169</f>
        <v>492.4575794276688</v>
      </c>
      <c r="K1169" s="261"/>
      <c r="L1169" s="261"/>
      <c r="M1169" s="261"/>
    </row>
    <row r="1170" spans="1:13" ht="45" x14ac:dyDescent="0.25">
      <c r="A1170" s="259" t="s">
        <v>249</v>
      </c>
      <c r="B1170" s="259" t="s">
        <v>208</v>
      </c>
      <c r="C1170" s="260">
        <v>2009</v>
      </c>
      <c r="D1170" s="260">
        <v>175</v>
      </c>
      <c r="E1170" s="261">
        <v>1.1306568722932</v>
      </c>
      <c r="F1170" s="262"/>
      <c r="G1170" s="261">
        <f t="shared" si="19"/>
        <v>175</v>
      </c>
      <c r="H1170" s="263">
        <f>IF(B1170="RTG Crane",IF(D1170&lt;600,800000,1200000),VLOOKUP(B1170,'$$$ Replace &amp; Retrofit'!$B$10:$C$14,2)*'CHE Model poplulation'!D1215)*E1170</f>
        <v>157698.36726309406</v>
      </c>
      <c r="I1170" s="263">
        <f>E1170*VLOOKUP('CHE Model poplulation'!G1215,'$$$ Replace &amp; Retrofit'!$I$10:$J$15,2)</f>
        <v>28035.767805382187</v>
      </c>
      <c r="J1170" s="269">
        <f>IF(D1170=50,VLOOKUP(0,'$$$ Replace &amp; Retrofit'!$E$10:$F$13,2),IF(D1170&lt;175,VLOOKUP(50,'$$$ Replace &amp; Retrofit'!$E$10:$F$13,2),IF(D1170&lt;400,VLOOKUP(175,'$$$ Replace &amp; Retrofit'!$E$10:$F$13,2),IF(D1170&gt;=400,VLOOKUP(400,'$$$ Replace &amp; Retrofit'!$E$10:$F$13,2),NA))))*E1170</f>
        <v>20351.823701277601</v>
      </c>
      <c r="K1170" s="261"/>
      <c r="L1170" s="261"/>
      <c r="M1170" s="261"/>
    </row>
    <row r="1171" spans="1:13" ht="45" x14ac:dyDescent="0.25">
      <c r="A1171" s="259" t="s">
        <v>249</v>
      </c>
      <c r="B1171" s="259" t="s">
        <v>208</v>
      </c>
      <c r="C1171" s="260">
        <v>2009</v>
      </c>
      <c r="D1171" s="260">
        <v>300</v>
      </c>
      <c r="E1171" s="261">
        <v>2.8839245463470999</v>
      </c>
      <c r="F1171" s="262"/>
      <c r="G1171" s="261">
        <f t="shared" si="19"/>
        <v>300</v>
      </c>
      <c r="H1171" s="263">
        <f>IF(B1171="RTG Crane",IF(D1171&lt;600,800000,1200000),VLOOKUP(B1171,'$$$ Replace &amp; Retrofit'!$B$10:$C$14,2)*'CHE Model poplulation'!D1216)*E1171</f>
        <v>689546.35903159156</v>
      </c>
      <c r="I1171" s="263">
        <f>E1171*VLOOKUP('CHE Model poplulation'!G1216,'$$$ Replace &amp; Retrofit'!$I$10:$J$15,2)</f>
        <v>82950.321726581635</v>
      </c>
      <c r="J1171" s="269">
        <f>IF(D1171=50,VLOOKUP(0,'$$$ Replace &amp; Retrofit'!$E$10:$F$13,2),IF(D1171&lt;175,VLOOKUP(50,'$$$ Replace &amp; Retrofit'!$E$10:$F$13,2),IF(D1171&lt;400,VLOOKUP(175,'$$$ Replace &amp; Retrofit'!$E$10:$F$13,2),IF(D1171&gt;=400,VLOOKUP(400,'$$$ Replace &amp; Retrofit'!$E$10:$F$13,2),NA))))*E1171</f>
        <v>51910.641834247799</v>
      </c>
      <c r="K1171" s="261"/>
      <c r="L1171" s="261"/>
      <c r="M1171" s="261"/>
    </row>
    <row r="1172" spans="1:13" ht="45" x14ac:dyDescent="0.25">
      <c r="A1172" s="259" t="s">
        <v>249</v>
      </c>
      <c r="B1172" s="259" t="s">
        <v>208</v>
      </c>
      <c r="C1172" s="260">
        <v>2009</v>
      </c>
      <c r="D1172" s="260">
        <v>600</v>
      </c>
      <c r="E1172" s="261">
        <v>3.2095654238570299</v>
      </c>
      <c r="F1172" s="262"/>
      <c r="G1172" s="261">
        <f t="shared" si="19"/>
        <v>400</v>
      </c>
      <c r="H1172" s="263">
        <f>IF(B1172="RTG Crane",IF(D1172&lt;600,800000,1200000),VLOOKUP(B1172,'$$$ Replace &amp; Retrofit'!$B$10:$C$14,2)*'CHE Model poplulation'!D1217)*E1172</f>
        <v>1534814.1856884316</v>
      </c>
      <c r="I1172" s="263">
        <f>E1172*VLOOKUP('CHE Model poplulation'!G1217,'$$$ Replace &amp; Retrofit'!$I$10:$J$15,2)</f>
        <v>167966.18732670994</v>
      </c>
      <c r="J1172" s="269">
        <f>IF(D1172=50,VLOOKUP(0,'$$$ Replace &amp; Retrofit'!$E$10:$F$13,2),IF(D1172&lt;175,VLOOKUP(50,'$$$ Replace &amp; Retrofit'!$E$10:$F$13,2),IF(D1172&lt;400,VLOOKUP(175,'$$$ Replace &amp; Retrofit'!$E$10:$F$13,2),IF(D1172&gt;=400,VLOOKUP(400,'$$$ Replace &amp; Retrofit'!$E$10:$F$13,2),NA))))*E1172</f>
        <v>96286.962715710892</v>
      </c>
      <c r="K1172" s="261"/>
      <c r="L1172" s="261"/>
      <c r="M1172" s="261"/>
    </row>
    <row r="1173" spans="1:13" ht="30" x14ac:dyDescent="0.25">
      <c r="A1173" s="259" t="s">
        <v>249</v>
      </c>
      <c r="B1173" s="259" t="s">
        <v>192</v>
      </c>
      <c r="C1173" s="260">
        <v>2009</v>
      </c>
      <c r="D1173" s="260">
        <v>50</v>
      </c>
      <c r="E1173" s="261">
        <v>7.6688224912060798</v>
      </c>
      <c r="F1173" s="262"/>
      <c r="G1173" s="261">
        <f t="shared" si="19"/>
        <v>50</v>
      </c>
      <c r="H1173" s="263">
        <f>IF(B1173="RTG Crane",IF(D1173&lt;600,800000,1200000),VLOOKUP(B1173,'$$$ Replace &amp; Retrofit'!$B$10:$C$14,2)*'CHE Model poplulation'!D1300)*E1173</f>
        <v>335510.98399026599</v>
      </c>
      <c r="I1173" s="263">
        <f>E1173*VLOOKUP('CHE Model poplulation'!G1300,'$$$ Replace &amp; Retrofit'!$I$10:$J$15,2)</f>
        <v>134879.24997533252</v>
      </c>
      <c r="J1173" s="269">
        <f>IF(D1173=50,VLOOKUP(0,'$$$ Replace &amp; Retrofit'!$E$10:$F$13,2),IF(D1173&lt;175,VLOOKUP(50,'$$$ Replace &amp; Retrofit'!$E$10:$F$13,2),IF(D1173&lt;400,VLOOKUP(175,'$$$ Replace &amp; Retrofit'!$E$10:$F$13,2),IF(D1173&gt;=400,VLOOKUP(400,'$$$ Replace &amp; Retrofit'!$E$10:$F$13,2),NA))))*E1173</f>
        <v>61350.579929648637</v>
      </c>
      <c r="K1173" s="261"/>
      <c r="L1173" s="261"/>
      <c r="M1173" s="261"/>
    </row>
    <row r="1174" spans="1:13" ht="30" x14ac:dyDescent="0.25">
      <c r="A1174" s="259" t="s">
        <v>249</v>
      </c>
      <c r="B1174" s="259" t="s">
        <v>192</v>
      </c>
      <c r="C1174" s="260">
        <v>2009</v>
      </c>
      <c r="D1174" s="260">
        <v>75</v>
      </c>
      <c r="E1174" s="261">
        <v>20.179290934339601</v>
      </c>
      <c r="F1174" s="262"/>
      <c r="G1174" s="261">
        <f t="shared" si="19"/>
        <v>50</v>
      </c>
      <c r="H1174" s="263">
        <f>IF(B1174="RTG Crane",IF(D1174&lt;600,800000,1200000),VLOOKUP(B1174,'$$$ Replace &amp; Retrofit'!$B$10:$C$14,2)*'CHE Model poplulation'!D1301)*E1174</f>
        <v>1324265.9675660364</v>
      </c>
      <c r="I1174" s="263">
        <f>E1174*VLOOKUP('CHE Model poplulation'!G1301,'$$$ Replace &amp; Retrofit'!$I$10:$J$15,2)</f>
        <v>354913.3689531649</v>
      </c>
      <c r="J1174" s="269">
        <f>IF(D1174=50,VLOOKUP(0,'$$$ Replace &amp; Retrofit'!$E$10:$F$13,2),IF(D1174&lt;175,VLOOKUP(50,'$$$ Replace &amp; Retrofit'!$E$10:$F$13,2),IF(D1174&lt;400,VLOOKUP(175,'$$$ Replace &amp; Retrofit'!$E$10:$F$13,2),IF(D1174&gt;=400,VLOOKUP(400,'$$$ Replace &amp; Retrofit'!$E$10:$F$13,2),NA))))*E1174</f>
        <v>242151.49121207523</v>
      </c>
      <c r="K1174" s="261"/>
      <c r="L1174" s="261"/>
      <c r="M1174" s="261"/>
    </row>
    <row r="1175" spans="1:13" ht="30" x14ac:dyDescent="0.25">
      <c r="A1175" s="259" t="s">
        <v>249</v>
      </c>
      <c r="B1175" s="259" t="s">
        <v>192</v>
      </c>
      <c r="C1175" s="260">
        <v>2009</v>
      </c>
      <c r="D1175" s="260">
        <v>100</v>
      </c>
      <c r="E1175" s="261">
        <v>93.188898549923593</v>
      </c>
      <c r="F1175" s="262"/>
      <c r="G1175" s="261">
        <f t="shared" si="19"/>
        <v>125</v>
      </c>
      <c r="H1175" s="263">
        <f>IF(B1175="RTG Crane",IF(D1175&lt;600,800000,1200000),VLOOKUP(B1175,'$$$ Replace &amp; Retrofit'!$B$10:$C$14,2)*'CHE Model poplulation'!D1302)*E1175</f>
        <v>8154028.623118314</v>
      </c>
      <c r="I1175" s="263">
        <f>E1175*VLOOKUP('CHE Model poplulation'!G1302,'$$$ Replace &amp; Retrofit'!$I$10:$J$15,2)</f>
        <v>1838896.5350856422</v>
      </c>
      <c r="J1175" s="269">
        <f>IF(D1175=50,VLOOKUP(0,'$$$ Replace &amp; Retrofit'!$E$10:$F$13,2),IF(D1175&lt;175,VLOOKUP(50,'$$$ Replace &amp; Retrofit'!$E$10:$F$13,2),IF(D1175&lt;400,VLOOKUP(175,'$$$ Replace &amp; Retrofit'!$E$10:$F$13,2),IF(D1175&gt;=400,VLOOKUP(400,'$$$ Replace &amp; Retrofit'!$E$10:$F$13,2),NA))))*E1175</f>
        <v>1118266.7825990831</v>
      </c>
      <c r="K1175" s="261"/>
      <c r="L1175" s="261"/>
      <c r="M1175" s="261"/>
    </row>
    <row r="1176" spans="1:13" ht="30" x14ac:dyDescent="0.25">
      <c r="A1176" s="259" t="s">
        <v>249</v>
      </c>
      <c r="B1176" s="259" t="s">
        <v>192</v>
      </c>
      <c r="C1176" s="260">
        <v>2009</v>
      </c>
      <c r="D1176" s="260">
        <v>175</v>
      </c>
      <c r="E1176" s="261">
        <v>115.661238002288</v>
      </c>
      <c r="F1176" s="262"/>
      <c r="G1176" s="261">
        <f t="shared" si="19"/>
        <v>175</v>
      </c>
      <c r="H1176" s="263">
        <f>IF(B1176="RTG Crane",IF(D1176&lt;600,800000,1200000),VLOOKUP(B1176,'$$$ Replace &amp; Retrofit'!$B$10:$C$14,2)*'CHE Model poplulation'!D1303)*E1176</f>
        <v>17710627.06910035</v>
      </c>
      <c r="I1176" s="263">
        <f>E1176*VLOOKUP('CHE Model poplulation'!G1303,'$$$ Replace &amp; Retrofit'!$I$10:$J$15,2)</f>
        <v>2867936.0575047331</v>
      </c>
      <c r="J1176" s="269">
        <f>IF(D1176=50,VLOOKUP(0,'$$$ Replace &amp; Retrofit'!$E$10:$F$13,2),IF(D1176&lt;175,VLOOKUP(50,'$$$ Replace &amp; Retrofit'!$E$10:$F$13,2),IF(D1176&lt;400,VLOOKUP(175,'$$$ Replace &amp; Retrofit'!$E$10:$F$13,2),IF(D1176&gt;=400,VLOOKUP(400,'$$$ Replace &amp; Retrofit'!$E$10:$F$13,2),NA))))*E1176</f>
        <v>2081902.284041184</v>
      </c>
      <c r="K1176" s="261"/>
      <c r="L1176" s="261"/>
      <c r="M1176" s="261"/>
    </row>
    <row r="1177" spans="1:13" ht="30" x14ac:dyDescent="0.25">
      <c r="A1177" s="259" t="s">
        <v>249</v>
      </c>
      <c r="B1177" s="259" t="s">
        <v>192</v>
      </c>
      <c r="C1177" s="260">
        <v>2009</v>
      </c>
      <c r="D1177" s="260">
        <v>300</v>
      </c>
      <c r="E1177" s="261">
        <v>36.937272561268003</v>
      </c>
      <c r="F1177" s="262"/>
      <c r="G1177" s="261">
        <f t="shared" si="19"/>
        <v>300</v>
      </c>
      <c r="H1177" s="263">
        <f>IF(B1177="RTG Crane",IF(D1177&lt;600,800000,1200000),VLOOKUP(B1177,'$$$ Replace &amp; Retrofit'!$B$10:$C$14,2)*'CHE Model poplulation'!D1304)*E1177</f>
        <v>9696034.0473328512</v>
      </c>
      <c r="I1177" s="263">
        <f>E1177*VLOOKUP('CHE Model poplulation'!G1304,'$$$ Replace &amp; Retrofit'!$I$10:$J$15,2)</f>
        <v>1062426.7706797516</v>
      </c>
      <c r="J1177" s="269">
        <f>IF(D1177=50,VLOOKUP(0,'$$$ Replace &amp; Retrofit'!$E$10:$F$13,2),IF(D1177&lt;175,VLOOKUP(50,'$$$ Replace &amp; Retrofit'!$E$10:$F$13,2),IF(D1177&lt;400,VLOOKUP(175,'$$$ Replace &amp; Retrofit'!$E$10:$F$13,2),IF(D1177&gt;=400,VLOOKUP(400,'$$$ Replace &amp; Retrofit'!$E$10:$F$13,2),NA))))*E1177</f>
        <v>664870.90610282402</v>
      </c>
      <c r="K1177" s="261"/>
      <c r="L1177" s="261"/>
      <c r="M1177" s="261"/>
    </row>
    <row r="1178" spans="1:13" ht="30" x14ac:dyDescent="0.25">
      <c r="A1178" s="259" t="s">
        <v>249</v>
      </c>
      <c r="B1178" s="259" t="s">
        <v>192</v>
      </c>
      <c r="C1178" s="260">
        <v>2009</v>
      </c>
      <c r="D1178" s="260">
        <v>600</v>
      </c>
      <c r="E1178" s="261">
        <v>8.8524454943715298</v>
      </c>
      <c r="F1178" s="262"/>
      <c r="G1178" s="261">
        <f t="shared" si="19"/>
        <v>400</v>
      </c>
      <c r="H1178" s="263">
        <f>IF(B1178="RTG Crane",IF(D1178&lt;600,800000,1200000),VLOOKUP(B1178,'$$$ Replace &amp; Retrofit'!$B$10:$C$14,2)*'CHE Model poplulation'!D1305)*E1178</f>
        <v>4647533.8845450534</v>
      </c>
      <c r="I1178" s="263">
        <f>E1178*VLOOKUP('CHE Model poplulation'!G1305,'$$$ Replace &amp; Retrofit'!$I$10:$J$15,2)</f>
        <v>463275.03005694528</v>
      </c>
      <c r="J1178" s="269">
        <f>IF(D1178=50,VLOOKUP(0,'$$$ Replace &amp; Retrofit'!$E$10:$F$13,2),IF(D1178&lt;175,VLOOKUP(50,'$$$ Replace &amp; Retrofit'!$E$10:$F$13,2),IF(D1178&lt;400,VLOOKUP(175,'$$$ Replace &amp; Retrofit'!$E$10:$F$13,2),IF(D1178&gt;=400,VLOOKUP(400,'$$$ Replace &amp; Retrofit'!$E$10:$F$13,2),NA))))*E1178</f>
        <v>265573.36483114591</v>
      </c>
      <c r="K1178" s="261"/>
      <c r="L1178" s="261"/>
      <c r="M1178" s="261"/>
    </row>
    <row r="1179" spans="1:13" ht="45" x14ac:dyDescent="0.25">
      <c r="A1179" s="259" t="s">
        <v>249</v>
      </c>
      <c r="B1179" s="259" t="s">
        <v>211</v>
      </c>
      <c r="C1179" s="260">
        <v>2009</v>
      </c>
      <c r="D1179" s="260">
        <v>50</v>
      </c>
      <c r="E1179" s="261">
        <v>3.5538127711930798</v>
      </c>
      <c r="F1179" s="262"/>
      <c r="G1179" s="261">
        <f t="shared" si="19"/>
        <v>50</v>
      </c>
      <c r="H1179" s="263">
        <f>IF(B1179="RTG Crane",IF(D1179&lt;600,800000,1200000),VLOOKUP(B1179,'$$$ Replace &amp; Retrofit'!$B$10:$C$14,2)*'CHE Model poplulation'!D1420)*E1179</f>
        <v>177690.63855965398</v>
      </c>
      <c r="I1179" s="263">
        <f>E1179*VLOOKUP('CHE Model poplulation'!G1420,'$$$ Replace &amp; Retrofit'!$I$10:$J$15,2)</f>
        <v>62504.459019743888</v>
      </c>
      <c r="J1179" s="269">
        <f>IF(D1179=50,VLOOKUP(0,'$$$ Replace &amp; Retrofit'!$E$10:$F$13,2),IF(D1179&lt;175,VLOOKUP(50,'$$$ Replace &amp; Retrofit'!$E$10:$F$13,2),IF(D1179&lt;400,VLOOKUP(175,'$$$ Replace &amp; Retrofit'!$E$10:$F$13,2),IF(D1179&gt;=400,VLOOKUP(400,'$$$ Replace &amp; Retrofit'!$E$10:$F$13,2),NA))))*E1179</f>
        <v>28430.502169544638</v>
      </c>
      <c r="K1179" s="261"/>
      <c r="L1179" s="261"/>
      <c r="M1179" s="261"/>
    </row>
    <row r="1180" spans="1:13" ht="45" x14ac:dyDescent="0.25">
      <c r="A1180" s="259" t="s">
        <v>249</v>
      </c>
      <c r="B1180" s="259" t="s">
        <v>211</v>
      </c>
      <c r="C1180" s="260">
        <v>2009</v>
      </c>
      <c r="D1180" s="260">
        <v>75</v>
      </c>
      <c r="E1180" s="261">
        <v>1.6557979712002899</v>
      </c>
      <c r="F1180" s="262"/>
      <c r="G1180" s="261">
        <f t="shared" si="19"/>
        <v>50</v>
      </c>
      <c r="H1180" s="263">
        <f>IF(B1180="RTG Crane",IF(D1180&lt;600,800000,1200000),VLOOKUP(B1180,'$$$ Replace &amp; Retrofit'!$B$10:$C$14,2)*'CHE Model poplulation'!D1421)*E1180</f>
        <v>124184.84784002174</v>
      </c>
      <c r="I1180" s="263">
        <f>E1180*VLOOKUP('CHE Model poplulation'!G1421,'$$$ Replace &amp; Retrofit'!$I$10:$J$15,2)</f>
        <v>29122.174717470698</v>
      </c>
      <c r="J1180" s="269">
        <f>IF(D1180=50,VLOOKUP(0,'$$$ Replace &amp; Retrofit'!$E$10:$F$13,2),IF(D1180&lt;175,VLOOKUP(50,'$$$ Replace &amp; Retrofit'!$E$10:$F$13,2),IF(D1180&lt;400,VLOOKUP(175,'$$$ Replace &amp; Retrofit'!$E$10:$F$13,2),IF(D1180&gt;=400,VLOOKUP(400,'$$$ Replace &amp; Retrofit'!$E$10:$F$13,2),NA))))*E1180</f>
        <v>19869.575654403478</v>
      </c>
      <c r="K1180" s="261"/>
      <c r="L1180" s="261"/>
      <c r="M1180" s="261"/>
    </row>
    <row r="1181" spans="1:13" ht="45" x14ac:dyDescent="0.25">
      <c r="A1181" s="259" t="s">
        <v>249</v>
      </c>
      <c r="B1181" s="259" t="s">
        <v>211</v>
      </c>
      <c r="C1181" s="260">
        <v>2009</v>
      </c>
      <c r="D1181" s="260">
        <v>100</v>
      </c>
      <c r="E1181" s="261">
        <v>2.1189542356643898</v>
      </c>
      <c r="F1181" s="262"/>
      <c r="G1181" s="261">
        <f t="shared" si="19"/>
        <v>125</v>
      </c>
      <c r="H1181" s="263">
        <f>IF(B1181="RTG Crane",IF(D1181&lt;600,800000,1200000),VLOOKUP(B1181,'$$$ Replace &amp; Retrofit'!$B$10:$C$14,2)*'CHE Model poplulation'!D1422)*E1181</f>
        <v>211895.42356643899</v>
      </c>
      <c r="I1181" s="263">
        <f>E1181*VLOOKUP('CHE Model poplulation'!G1422,'$$$ Replace &amp; Retrofit'!$I$10:$J$15,2)</f>
        <v>41813.323932365405</v>
      </c>
      <c r="J1181" s="269">
        <f>IF(D1181=50,VLOOKUP(0,'$$$ Replace &amp; Retrofit'!$E$10:$F$13,2),IF(D1181&lt;175,VLOOKUP(50,'$$$ Replace &amp; Retrofit'!$E$10:$F$13,2),IF(D1181&lt;400,VLOOKUP(175,'$$$ Replace &amp; Retrofit'!$E$10:$F$13,2),IF(D1181&gt;=400,VLOOKUP(400,'$$$ Replace &amp; Retrofit'!$E$10:$F$13,2),NA))))*E1181</f>
        <v>25427.450827972676</v>
      </c>
      <c r="K1181" s="261"/>
      <c r="L1181" s="261"/>
      <c r="M1181" s="261"/>
    </row>
    <row r="1182" spans="1:13" ht="45" x14ac:dyDescent="0.25">
      <c r="A1182" s="259" t="s">
        <v>249</v>
      </c>
      <c r="B1182" s="259" t="s">
        <v>211</v>
      </c>
      <c r="C1182" s="260">
        <v>2009</v>
      </c>
      <c r="D1182" s="260">
        <v>175</v>
      </c>
      <c r="E1182" s="261">
        <v>2.3491785265293701</v>
      </c>
      <c r="F1182" s="262"/>
      <c r="G1182" s="261">
        <f t="shared" si="19"/>
        <v>175</v>
      </c>
      <c r="H1182" s="263">
        <f>IF(B1182="RTG Crane",IF(D1182&lt;600,800000,1200000),VLOOKUP(B1182,'$$$ Replace &amp; Retrofit'!$B$10:$C$14,2)*'CHE Model poplulation'!D1423)*E1182</f>
        <v>411106.24214263976</v>
      </c>
      <c r="I1182" s="263">
        <f>E1182*VLOOKUP('CHE Model poplulation'!G1423,'$$$ Replace &amp; Retrofit'!$I$10:$J$15,2)</f>
        <v>58250.230743822263</v>
      </c>
      <c r="J1182" s="269">
        <f>IF(D1182=50,VLOOKUP(0,'$$$ Replace &amp; Retrofit'!$E$10:$F$13,2),IF(D1182&lt;175,VLOOKUP(50,'$$$ Replace &amp; Retrofit'!$E$10:$F$13,2),IF(D1182&lt;400,VLOOKUP(175,'$$$ Replace &amp; Retrofit'!$E$10:$F$13,2),IF(D1182&gt;=400,VLOOKUP(400,'$$$ Replace &amp; Retrofit'!$E$10:$F$13,2),NA))))*E1182</f>
        <v>42285.213477528661</v>
      </c>
      <c r="K1182" s="261"/>
      <c r="L1182" s="261"/>
      <c r="M1182" s="261"/>
    </row>
    <row r="1183" spans="1:13" ht="45" x14ac:dyDescent="0.25">
      <c r="A1183" s="259" t="s">
        <v>249</v>
      </c>
      <c r="B1183" s="259" t="s">
        <v>211</v>
      </c>
      <c r="C1183" s="260">
        <v>2009</v>
      </c>
      <c r="D1183" s="260">
        <v>300</v>
      </c>
      <c r="E1183" s="261">
        <v>2.1683230769832602</v>
      </c>
      <c r="F1183" s="262"/>
      <c r="G1183" s="261">
        <f t="shared" si="19"/>
        <v>300</v>
      </c>
      <c r="H1183" s="263">
        <f>IF(B1183="RTG Crane",IF(D1183&lt;600,800000,1200000),VLOOKUP(B1183,'$$$ Replace &amp; Retrofit'!$B$10:$C$14,2)*'CHE Model poplulation'!D1424)*E1183</f>
        <v>650496.92309497809</v>
      </c>
      <c r="I1183" s="263">
        <f>E1183*VLOOKUP('CHE Model poplulation'!G1424,'$$$ Replace &amp; Retrofit'!$I$10:$J$15,2)</f>
        <v>62367.47666326951</v>
      </c>
      <c r="J1183" s="269">
        <f>IF(D1183=50,VLOOKUP(0,'$$$ Replace &amp; Retrofit'!$E$10:$F$13,2),IF(D1183&lt;175,VLOOKUP(50,'$$$ Replace &amp; Retrofit'!$E$10:$F$13,2),IF(D1183&lt;400,VLOOKUP(175,'$$$ Replace &amp; Retrofit'!$E$10:$F$13,2),IF(D1183&gt;=400,VLOOKUP(400,'$$$ Replace &amp; Retrofit'!$E$10:$F$13,2),NA))))*E1183</f>
        <v>39029.815385698683</v>
      </c>
      <c r="K1183" s="261"/>
      <c r="L1183" s="261"/>
      <c r="M1183" s="261"/>
    </row>
    <row r="1184" spans="1:13" ht="45" x14ac:dyDescent="0.25">
      <c r="A1184" s="259" t="s">
        <v>249</v>
      </c>
      <c r="B1184" s="259" t="s">
        <v>211</v>
      </c>
      <c r="C1184" s="260">
        <v>2009</v>
      </c>
      <c r="D1184" s="260">
        <v>600</v>
      </c>
      <c r="E1184" s="261">
        <v>0.95082711458498403</v>
      </c>
      <c r="F1184" s="262"/>
      <c r="G1184" s="261">
        <f t="shared" si="19"/>
        <v>400</v>
      </c>
      <c r="H1184" s="263">
        <f>IF(B1184="RTG Crane",IF(D1184&lt;600,800000,1200000),VLOOKUP(B1184,'$$$ Replace &amp; Retrofit'!$B$10:$C$14,2)*'CHE Model poplulation'!D1425)*E1184</f>
        <v>570496.26875099039</v>
      </c>
      <c r="I1184" s="263">
        <f>E1184*VLOOKUP('CHE Model poplulation'!G1425,'$$$ Replace &amp; Retrofit'!$I$10:$J$15,2)</f>
        <v>49759.635387575967</v>
      </c>
      <c r="J1184" s="269">
        <f>IF(D1184=50,VLOOKUP(0,'$$$ Replace &amp; Retrofit'!$E$10:$F$13,2),IF(D1184&lt;175,VLOOKUP(50,'$$$ Replace &amp; Retrofit'!$E$10:$F$13,2),IF(D1184&lt;400,VLOOKUP(175,'$$$ Replace &amp; Retrofit'!$E$10:$F$13,2),IF(D1184&gt;=400,VLOOKUP(400,'$$$ Replace &amp; Retrofit'!$E$10:$F$13,2),NA))))*E1184</f>
        <v>28524.813437549521</v>
      </c>
      <c r="K1184" s="261"/>
      <c r="L1184" s="261"/>
      <c r="M1184" s="261"/>
    </row>
    <row r="1185" spans="1:16" ht="30" x14ac:dyDescent="0.25">
      <c r="A1185" s="259" t="s">
        <v>249</v>
      </c>
      <c r="B1185" s="259" t="s">
        <v>212</v>
      </c>
      <c r="C1185" s="260">
        <v>2009</v>
      </c>
      <c r="D1185" s="260">
        <v>100</v>
      </c>
      <c r="E1185" s="261">
        <v>8.9624545821558294E-2</v>
      </c>
      <c r="F1185" s="262"/>
      <c r="G1185" s="261">
        <f t="shared" si="19"/>
        <v>125</v>
      </c>
      <c r="H1185" s="263">
        <f>IF(B1185="RTG Crane",IF(D1185&lt;600,800000,1200000),VLOOKUP(B1185,'$$$ Replace &amp; Retrofit'!$B$10:$C$14,2)*'CHE Model poplulation'!D1537)*E1185</f>
        <v>71699.636657246636</v>
      </c>
      <c r="I1185" s="263">
        <f>E1185*VLOOKUP('CHE Model poplulation'!G1537,'$$$ Replace &amp; Retrofit'!$I$10:$J$15,2)</f>
        <v>1768.5611626968098</v>
      </c>
      <c r="J1185" s="269">
        <f>IF(D1185=50,VLOOKUP(0,'$$$ Replace &amp; Retrofit'!$E$10:$F$13,2),IF(D1185&lt;175,VLOOKUP(50,'$$$ Replace &amp; Retrofit'!$E$10:$F$13,2),IF(D1185&lt;400,VLOOKUP(175,'$$$ Replace &amp; Retrofit'!$E$10:$F$13,2),IF(D1185&gt;=400,VLOOKUP(400,'$$$ Replace &amp; Retrofit'!$E$10:$F$13,2),NA))))*E1185</f>
        <v>1075.4945498586994</v>
      </c>
      <c r="K1185" s="261"/>
      <c r="L1185" s="261"/>
      <c r="M1185" s="261"/>
    </row>
    <row r="1186" spans="1:16" ht="30" x14ac:dyDescent="0.25">
      <c r="A1186" s="259" t="s">
        <v>249</v>
      </c>
      <c r="B1186" s="259" t="s">
        <v>212</v>
      </c>
      <c r="C1186" s="260">
        <v>2009</v>
      </c>
      <c r="D1186" s="260">
        <v>300</v>
      </c>
      <c r="E1186" s="261">
        <v>8.6786435203875705</v>
      </c>
      <c r="F1186" s="262"/>
      <c r="G1186" s="261">
        <f t="shared" si="19"/>
        <v>300</v>
      </c>
      <c r="H1186" s="263">
        <f>IF(B1186="RTG Crane",IF(D1186&lt;600,800000,1200000),VLOOKUP(B1186,'$$$ Replace &amp; Retrofit'!$B$10:$C$14,2)*'CHE Model poplulation'!D1538)*E1186</f>
        <v>6942914.8163100565</v>
      </c>
      <c r="I1186" s="263">
        <f>E1186*VLOOKUP('CHE Model poplulation'!G1538,'$$$ Replace &amp; Retrofit'!$I$10:$J$15,2)</f>
        <v>249623.82357690769</v>
      </c>
      <c r="J1186" s="269">
        <f>IF(D1186=50,VLOOKUP(0,'$$$ Replace &amp; Retrofit'!$E$10:$F$13,2),IF(D1186&lt;175,VLOOKUP(50,'$$$ Replace &amp; Retrofit'!$E$10:$F$13,2),IF(D1186&lt;400,VLOOKUP(175,'$$$ Replace &amp; Retrofit'!$E$10:$F$13,2),IF(D1186&gt;=400,VLOOKUP(400,'$$$ Replace &amp; Retrofit'!$E$10:$F$13,2),NA))))*E1186</f>
        <v>156215.58336697627</v>
      </c>
      <c r="K1186" s="261"/>
      <c r="L1186" s="261"/>
      <c r="M1186" s="261"/>
    </row>
    <row r="1187" spans="1:16" ht="30" x14ac:dyDescent="0.25">
      <c r="A1187" s="259" t="s">
        <v>249</v>
      </c>
      <c r="B1187" s="259" t="s">
        <v>212</v>
      </c>
      <c r="C1187" s="260">
        <v>2009</v>
      </c>
      <c r="D1187" s="260">
        <v>600</v>
      </c>
      <c r="E1187" s="261">
        <v>15.445296729915199</v>
      </c>
      <c r="F1187" s="262"/>
      <c r="G1187" s="261">
        <f t="shared" si="19"/>
        <v>400</v>
      </c>
      <c r="H1187" s="263">
        <f>IF(B1187="RTG Crane",IF(D1187&lt;600,800000,1200000),VLOOKUP(B1187,'$$$ Replace &amp; Retrofit'!$B$10:$C$14,2)*'CHE Model poplulation'!D1539)*E1187</f>
        <v>18534356.075898238</v>
      </c>
      <c r="I1187" s="263">
        <f>E1187*VLOOKUP('CHE Model poplulation'!G1539,'$$$ Replace &amp; Retrofit'!$I$10:$J$15,2)</f>
        <v>808298.71376665216</v>
      </c>
      <c r="J1187" s="269">
        <f>IF(D1187=50,VLOOKUP(0,'$$$ Replace &amp; Retrofit'!$E$10:$F$13,2),IF(D1187&lt;175,VLOOKUP(50,'$$$ Replace &amp; Retrofit'!$E$10:$F$13,2),IF(D1187&lt;400,VLOOKUP(175,'$$$ Replace &amp; Retrofit'!$E$10:$F$13,2),IF(D1187&gt;=400,VLOOKUP(400,'$$$ Replace &amp; Retrofit'!$E$10:$F$13,2),NA))))*E1187</f>
        <v>463358.90189745597</v>
      </c>
      <c r="K1187" s="261"/>
      <c r="L1187" s="261"/>
      <c r="M1187" s="261"/>
    </row>
    <row r="1188" spans="1:16" ht="30" x14ac:dyDescent="0.25">
      <c r="A1188" s="259" t="s">
        <v>249</v>
      </c>
      <c r="B1188" s="259" t="s">
        <v>212</v>
      </c>
      <c r="C1188" s="260">
        <v>2009</v>
      </c>
      <c r="D1188" s="260">
        <v>750</v>
      </c>
      <c r="E1188" s="261">
        <v>8.9624545821558304</v>
      </c>
      <c r="F1188" s="262"/>
      <c r="G1188" s="261">
        <f t="shared" si="19"/>
        <v>400</v>
      </c>
      <c r="H1188" s="263">
        <f>IF(B1188="RTG Crane",IF(D1188&lt;600,800000,1200000),VLOOKUP(B1188,'$$$ Replace &amp; Retrofit'!$B$10:$C$14,2)*'CHE Model poplulation'!D1540)*E1188</f>
        <v>10754945.498586996</v>
      </c>
      <c r="I1188" s="263">
        <f>E1188*VLOOKUP('CHE Model poplulation'!G1540,'$$$ Replace &amp; Retrofit'!$I$10:$J$15,2)</f>
        <v>469032.13564796105</v>
      </c>
      <c r="J1188" s="269">
        <f>IF(D1188=50,VLOOKUP(0,'$$$ Replace &amp; Retrofit'!$E$10:$F$13,2),IF(D1188&lt;175,VLOOKUP(50,'$$$ Replace &amp; Retrofit'!$E$10:$F$13,2),IF(D1188&lt;400,VLOOKUP(175,'$$$ Replace &amp; Retrofit'!$E$10:$F$13,2),IF(D1188&gt;=400,VLOOKUP(400,'$$$ Replace &amp; Retrofit'!$E$10:$F$13,2),NA))))*E1188</f>
        <v>268873.63746467489</v>
      </c>
      <c r="K1188" s="261"/>
      <c r="L1188" s="261"/>
      <c r="M1188" s="261"/>
    </row>
    <row r="1189" spans="1:16" ht="30" x14ac:dyDescent="0.25">
      <c r="A1189" s="259" t="s">
        <v>249</v>
      </c>
      <c r="B1189" s="259" t="s">
        <v>212</v>
      </c>
      <c r="C1189" s="260">
        <v>2009</v>
      </c>
      <c r="D1189" s="260">
        <v>9999</v>
      </c>
      <c r="E1189" s="261">
        <v>3.8239806217198198</v>
      </c>
      <c r="F1189" s="262"/>
      <c r="G1189" s="261">
        <f t="shared" si="19"/>
        <v>400</v>
      </c>
      <c r="H1189" s="263">
        <f>IF(B1189="RTG Crane",IF(D1189&lt;600,800000,1200000),VLOOKUP(B1189,'$$$ Replace &amp; Retrofit'!$B$10:$C$14,2)*'CHE Model poplulation'!D1541)*E1189</f>
        <v>4588776.7460637838</v>
      </c>
      <c r="I1189" s="263">
        <f>E1189*VLOOKUP('CHE Model poplulation'!G1541,'$$$ Replace &amp; Retrofit'!$I$10:$J$15,2)</f>
        <v>200120.37787646332</v>
      </c>
      <c r="J1189" s="269">
        <f>IF(D1189=50,VLOOKUP(0,'$$$ Replace &amp; Retrofit'!$E$10:$F$13,2),IF(D1189&lt;175,VLOOKUP(50,'$$$ Replace &amp; Retrofit'!$E$10:$F$13,2),IF(D1189&lt;400,VLOOKUP(175,'$$$ Replace &amp; Retrofit'!$E$10:$F$13,2),IF(D1189&gt;=400,VLOOKUP(400,'$$$ Replace &amp; Retrofit'!$E$10:$F$13,2),NA))))*E1189</f>
        <v>114719.41865159459</v>
      </c>
      <c r="K1189" s="266">
        <f t="shared" ref="K1189:L1189" si="20">SUM(H1163:H1189)</f>
        <v>95460210.627278745</v>
      </c>
      <c r="L1189" s="266">
        <f t="shared" si="20"/>
        <v>9861987.8867186308</v>
      </c>
      <c r="M1189" s="266">
        <f>SUM(J1163:J1189)</f>
        <v>6289196.2765016174</v>
      </c>
      <c r="N1189" s="239">
        <f>K1189-N1162</f>
        <v>93638505.144741669</v>
      </c>
      <c r="O1189" s="239">
        <f t="shared" ref="O1189:P1189" si="21">L1189-O1162</f>
        <v>9627058.5134271272</v>
      </c>
      <c r="P1189" s="239">
        <f t="shared" si="21"/>
        <v>6141487.5176012879</v>
      </c>
    </row>
    <row r="1190" spans="1:16" ht="30" x14ac:dyDescent="0.25">
      <c r="A1190" s="259" t="s">
        <v>249</v>
      </c>
      <c r="B1190" s="259" t="s">
        <v>206</v>
      </c>
      <c r="C1190" s="260">
        <v>2010</v>
      </c>
      <c r="D1190" s="260">
        <v>50</v>
      </c>
      <c r="E1190" s="261">
        <v>1.3639180365491801</v>
      </c>
      <c r="F1190" s="262"/>
      <c r="G1190" s="261">
        <f t="shared" si="19"/>
        <v>50</v>
      </c>
      <c r="H1190" s="263">
        <f>IF(B1190="RTG Crane",IF(D1190&lt;600,800000,1200000),VLOOKUP(B1190,'$$$ Replace &amp; Retrofit'!$B$10:$C$14,2)*'CHE Model poplulation'!D1106)*E1190</f>
        <v>68195.901827459005</v>
      </c>
      <c r="I1190" s="263">
        <f>E1190*VLOOKUP('CHE Model poplulation'!G1106,'$$$ Replace &amp; Retrofit'!$I$10:$J$15,2)</f>
        <v>23988.590426826981</v>
      </c>
      <c r="J1190" s="270">
        <f>IF(D1190=50,VLOOKUP(0,'$$$ Replace &amp; Retrofit'!$E$10:$F$13,2),IF(D1190&lt;175,VLOOKUP(50,'$$$ Replace &amp; Retrofit'!$E$10:$F$13,2),IF(D1190&lt;400,VLOOKUP(175,'$$$ Replace &amp; Retrofit'!$E$10:$F$13,2),IF(D1190&gt;=400,VLOOKUP(400,'$$$ Replace &amp; Retrofit'!$E$10:$F$13,2),NA))))*E1190</f>
        <v>10911.34429239344</v>
      </c>
      <c r="K1190" s="261"/>
      <c r="L1190" s="261"/>
      <c r="M1190" s="261"/>
    </row>
    <row r="1191" spans="1:16" ht="30" x14ac:dyDescent="0.25">
      <c r="A1191" s="259" t="s">
        <v>249</v>
      </c>
      <c r="B1191" s="259" t="s">
        <v>206</v>
      </c>
      <c r="C1191" s="260">
        <v>2010</v>
      </c>
      <c r="D1191" s="260">
        <v>75</v>
      </c>
      <c r="E1191" s="261">
        <v>2.37903728828748</v>
      </c>
      <c r="F1191" s="262"/>
      <c r="G1191" s="261">
        <f t="shared" si="19"/>
        <v>50</v>
      </c>
      <c r="H1191" s="263">
        <f>IF(B1191="RTG Crane",IF(D1191&lt;600,800000,1200000),VLOOKUP(B1191,'$$$ Replace &amp; Retrofit'!$B$10:$C$14,2)*'CHE Model poplulation'!D1107)*E1191</f>
        <v>178427.79662156099</v>
      </c>
      <c r="I1191" s="263">
        <f>E1191*VLOOKUP('CHE Model poplulation'!G1107,'$$$ Replace &amp; Retrofit'!$I$10:$J$15,2)</f>
        <v>41842.5078264002</v>
      </c>
      <c r="J1191" s="270">
        <f>IF(D1191=50,VLOOKUP(0,'$$$ Replace &amp; Retrofit'!$E$10:$F$13,2),IF(D1191&lt;175,VLOOKUP(50,'$$$ Replace &amp; Retrofit'!$E$10:$F$13,2),IF(D1191&lt;400,VLOOKUP(175,'$$$ Replace &amp; Retrofit'!$E$10:$F$13,2),IF(D1191&gt;=400,VLOOKUP(400,'$$$ Replace &amp; Retrofit'!$E$10:$F$13,2),NA))))*E1191</f>
        <v>28548.447459449759</v>
      </c>
      <c r="K1191" s="261"/>
      <c r="L1191" s="261"/>
      <c r="M1191" s="261"/>
    </row>
    <row r="1192" spans="1:16" ht="30" x14ac:dyDescent="0.25">
      <c r="A1192" s="259" t="s">
        <v>249</v>
      </c>
      <c r="B1192" s="259" t="s">
        <v>206</v>
      </c>
      <c r="C1192" s="260">
        <v>2010</v>
      </c>
      <c r="D1192" s="260">
        <v>100</v>
      </c>
      <c r="E1192" s="261">
        <v>2.39280872557624</v>
      </c>
      <c r="F1192" s="262"/>
      <c r="G1192" s="261">
        <f t="shared" si="19"/>
        <v>125</v>
      </c>
      <c r="H1192" s="263">
        <f>IF(B1192="RTG Crane",IF(D1192&lt;600,800000,1200000),VLOOKUP(B1192,'$$$ Replace &amp; Retrofit'!$B$10:$C$14,2)*'CHE Model poplulation'!D1108)*E1192</f>
        <v>239280.87255762401</v>
      </c>
      <c r="I1192" s="263">
        <f>E1192*VLOOKUP('CHE Model poplulation'!G1108,'$$$ Replace &amp; Retrofit'!$I$10:$J$15,2)</f>
        <v>47217.294581795948</v>
      </c>
      <c r="J1192" s="270">
        <f>IF(D1192=50,VLOOKUP(0,'$$$ Replace &amp; Retrofit'!$E$10:$F$13,2),IF(D1192&lt;175,VLOOKUP(50,'$$$ Replace &amp; Retrofit'!$E$10:$F$13,2),IF(D1192&lt;400,VLOOKUP(175,'$$$ Replace &amp; Retrofit'!$E$10:$F$13,2),IF(D1192&gt;=400,VLOOKUP(400,'$$$ Replace &amp; Retrofit'!$E$10:$F$13,2),NA))))*E1192</f>
        <v>28713.704706914879</v>
      </c>
      <c r="K1192" s="261"/>
      <c r="L1192" s="261"/>
      <c r="M1192" s="261"/>
    </row>
    <row r="1193" spans="1:16" ht="30" x14ac:dyDescent="0.25">
      <c r="A1193" s="259" t="s">
        <v>249</v>
      </c>
      <c r="B1193" s="259" t="s">
        <v>206</v>
      </c>
      <c r="C1193" s="260">
        <v>2010</v>
      </c>
      <c r="D1193" s="260">
        <v>175</v>
      </c>
      <c r="E1193" s="261">
        <v>4.1594334033009899</v>
      </c>
      <c r="F1193" s="262"/>
      <c r="G1193" s="261">
        <f t="shared" si="19"/>
        <v>175</v>
      </c>
      <c r="H1193" s="263">
        <f>IF(B1193="RTG Crane",IF(D1193&lt;600,800000,1200000),VLOOKUP(B1193,'$$$ Replace &amp; Retrofit'!$B$10:$C$14,2)*'CHE Model poplulation'!D1109)*E1193</f>
        <v>727900.84557767317</v>
      </c>
      <c r="I1193" s="263">
        <f>E1193*VLOOKUP('CHE Model poplulation'!G1109,'$$$ Replace &amp; Retrofit'!$I$10:$J$15,2)</f>
        <v>103137.31066825135</v>
      </c>
      <c r="J1193" s="270">
        <f>IF(D1193=50,VLOOKUP(0,'$$$ Replace &amp; Retrofit'!$E$10:$F$13,2),IF(D1193&lt;175,VLOOKUP(50,'$$$ Replace &amp; Retrofit'!$E$10:$F$13,2),IF(D1193&lt;400,VLOOKUP(175,'$$$ Replace &amp; Retrofit'!$E$10:$F$13,2),IF(D1193&gt;=400,VLOOKUP(400,'$$$ Replace &amp; Retrofit'!$E$10:$F$13,2),NA))))*E1193</f>
        <v>74869.801259417814</v>
      </c>
      <c r="K1193" s="261"/>
      <c r="L1193" s="261"/>
      <c r="M1193" s="261"/>
    </row>
    <row r="1194" spans="1:16" ht="30" x14ac:dyDescent="0.25">
      <c r="A1194" s="259" t="s">
        <v>249</v>
      </c>
      <c r="B1194" s="259" t="s">
        <v>206</v>
      </c>
      <c r="C1194" s="260">
        <v>2010</v>
      </c>
      <c r="D1194" s="260">
        <v>300</v>
      </c>
      <c r="E1194" s="261">
        <v>4.2596346780936596</v>
      </c>
      <c r="F1194" s="262"/>
      <c r="G1194" s="261">
        <f t="shared" si="19"/>
        <v>300</v>
      </c>
      <c r="H1194" s="263">
        <f>IF(B1194="RTG Crane",IF(D1194&lt;600,800000,1200000),VLOOKUP(B1194,'$$$ Replace &amp; Retrofit'!$B$10:$C$14,2)*'CHE Model poplulation'!D1110)*E1194</f>
        <v>1277890.403428098</v>
      </c>
      <c r="I1194" s="263">
        <f>E1194*VLOOKUP('CHE Model poplulation'!G1110,'$$$ Replace &amp; Retrofit'!$I$10:$J$15,2)</f>
        <v>122519.87224600793</v>
      </c>
      <c r="J1194" s="270">
        <f>IF(D1194=50,VLOOKUP(0,'$$$ Replace &amp; Retrofit'!$E$10:$F$13,2),IF(D1194&lt;175,VLOOKUP(50,'$$$ Replace &amp; Retrofit'!$E$10:$F$13,2),IF(D1194&lt;400,VLOOKUP(175,'$$$ Replace &amp; Retrofit'!$E$10:$F$13,2),IF(D1194&gt;=400,VLOOKUP(400,'$$$ Replace &amp; Retrofit'!$E$10:$F$13,2),NA))))*E1194</f>
        <v>76673.424205685878</v>
      </c>
      <c r="K1194" s="261"/>
      <c r="L1194" s="261"/>
      <c r="M1194" s="261"/>
    </row>
    <row r="1195" spans="1:16" ht="30" x14ac:dyDescent="0.25">
      <c r="A1195" s="259" t="s">
        <v>249</v>
      </c>
      <c r="B1195" s="259" t="s">
        <v>206</v>
      </c>
      <c r="C1195" s="260">
        <v>2010</v>
      </c>
      <c r="D1195" s="260">
        <v>600</v>
      </c>
      <c r="E1195" s="261">
        <v>10.191499487969701</v>
      </c>
      <c r="F1195" s="262"/>
      <c r="G1195" s="261">
        <f t="shared" si="19"/>
        <v>400</v>
      </c>
      <c r="H1195" s="263">
        <f>IF(B1195="RTG Crane",IF(D1195&lt;600,800000,1200000),VLOOKUP(B1195,'$$$ Replace &amp; Retrofit'!$B$10:$C$14,2)*'CHE Model poplulation'!D1111)*E1195</f>
        <v>6114899.69278182</v>
      </c>
      <c r="I1195" s="263">
        <f>E1195*VLOOKUP('CHE Model poplulation'!G1111,'$$$ Replace &amp; Retrofit'!$I$10:$J$15,2)</f>
        <v>533351.74270391837</v>
      </c>
      <c r="J1195" s="270">
        <f>IF(D1195=50,VLOOKUP(0,'$$$ Replace &amp; Retrofit'!$E$10:$F$13,2),IF(D1195&lt;175,VLOOKUP(50,'$$$ Replace &amp; Retrofit'!$E$10:$F$13,2),IF(D1195&lt;400,VLOOKUP(175,'$$$ Replace &amp; Retrofit'!$E$10:$F$13,2),IF(D1195&gt;=400,VLOOKUP(400,'$$$ Replace &amp; Retrofit'!$E$10:$F$13,2),NA))))*E1195</f>
        <v>305744.98463909101</v>
      </c>
      <c r="K1195" s="261"/>
      <c r="L1195" s="261"/>
      <c r="M1195" s="261"/>
    </row>
    <row r="1196" spans="1:16" ht="45" x14ac:dyDescent="0.25">
      <c r="A1196" s="259" t="s">
        <v>249</v>
      </c>
      <c r="B1196" s="259" t="s">
        <v>208</v>
      </c>
      <c r="C1196" s="260">
        <v>2010</v>
      </c>
      <c r="D1196" s="260">
        <v>100</v>
      </c>
      <c r="E1196" s="261">
        <v>6.3937799284760594E-2</v>
      </c>
      <c r="F1196" s="262"/>
      <c r="G1196" s="261">
        <f t="shared" si="19"/>
        <v>125</v>
      </c>
      <c r="H1196" s="263">
        <f>IF(B1196="RTG Crane",IF(D1196&lt;600,800000,1200000),VLOOKUP(B1196,'$$$ Replace &amp; Retrofit'!$B$10:$C$14,2)*'CHE Model poplulation'!D1218)*E1196</f>
        <v>5095.8426029954189</v>
      </c>
      <c r="I1196" s="263">
        <f>E1196*VLOOKUP('CHE Model poplulation'!G1218,'$$$ Replace &amp; Retrofit'!$I$10:$J$15,2)</f>
        <v>1261.6845932861809</v>
      </c>
      <c r="J1196" s="270">
        <f>IF(D1196=50,VLOOKUP(0,'$$$ Replace &amp; Retrofit'!$E$10:$F$13,2),IF(D1196&lt;175,VLOOKUP(50,'$$$ Replace &amp; Retrofit'!$E$10:$F$13,2),IF(D1196&lt;400,VLOOKUP(175,'$$$ Replace &amp; Retrofit'!$E$10:$F$13,2),IF(D1196&gt;=400,VLOOKUP(400,'$$$ Replace &amp; Retrofit'!$E$10:$F$13,2),NA))))*E1196</f>
        <v>767.25359141712715</v>
      </c>
      <c r="K1196" s="261"/>
      <c r="L1196" s="261"/>
      <c r="M1196" s="261"/>
    </row>
    <row r="1197" spans="1:16" ht="45" x14ac:dyDescent="0.25">
      <c r="A1197" s="259" t="s">
        <v>249</v>
      </c>
      <c r="B1197" s="259" t="s">
        <v>208</v>
      </c>
      <c r="C1197" s="260">
        <v>2010</v>
      </c>
      <c r="D1197" s="260">
        <v>175</v>
      </c>
      <c r="E1197" s="261">
        <v>1.73645717145178</v>
      </c>
      <c r="F1197" s="262"/>
      <c r="G1197" s="261">
        <f t="shared" si="19"/>
        <v>175</v>
      </c>
      <c r="H1197" s="263">
        <f>IF(B1197="RTG Crane",IF(D1197&lt;600,800000,1200000),VLOOKUP(B1197,'$$$ Replace &amp; Retrofit'!$B$10:$C$14,2)*'CHE Model poplulation'!D1219)*E1197</f>
        <v>242192.36398823702</v>
      </c>
      <c r="I1197" s="263">
        <f>E1197*VLOOKUP('CHE Model poplulation'!G1219,'$$$ Replace &amp; Retrofit'!$I$10:$J$15,2)</f>
        <v>43057.192023318341</v>
      </c>
      <c r="J1197" s="270">
        <f>IF(D1197=50,VLOOKUP(0,'$$$ Replace &amp; Retrofit'!$E$10:$F$13,2),IF(D1197&lt;175,VLOOKUP(50,'$$$ Replace &amp; Retrofit'!$E$10:$F$13,2),IF(D1197&lt;400,VLOOKUP(175,'$$$ Replace &amp; Retrofit'!$E$10:$F$13,2),IF(D1197&gt;=400,VLOOKUP(400,'$$$ Replace &amp; Retrofit'!$E$10:$F$13,2),NA))))*E1197</f>
        <v>31256.22908613204</v>
      </c>
      <c r="K1197" s="261"/>
      <c r="L1197" s="261"/>
      <c r="M1197" s="261"/>
    </row>
    <row r="1198" spans="1:16" ht="45" x14ac:dyDescent="0.25">
      <c r="A1198" s="259" t="s">
        <v>249</v>
      </c>
      <c r="B1198" s="259" t="s">
        <v>208</v>
      </c>
      <c r="C1198" s="260">
        <v>2010</v>
      </c>
      <c r="D1198" s="260">
        <v>300</v>
      </c>
      <c r="E1198" s="261">
        <v>4.5517836746720004</v>
      </c>
      <c r="F1198" s="262"/>
      <c r="G1198" s="261">
        <f t="shared" si="19"/>
        <v>300</v>
      </c>
      <c r="H1198" s="263">
        <f>IF(B1198="RTG Crane",IF(D1198&lt;600,800000,1200000),VLOOKUP(B1198,'$$$ Replace &amp; Retrofit'!$B$10:$C$14,2)*'CHE Model poplulation'!D1220)*E1198</f>
        <v>1088331.4766140752</v>
      </c>
      <c r="I1198" s="263">
        <f>E1198*VLOOKUP('CHE Model poplulation'!G1220,'$$$ Replace &amp; Retrofit'!$I$10:$J$15,2)</f>
        <v>130922.95383459075</v>
      </c>
      <c r="J1198" s="270">
        <f>IF(D1198=50,VLOOKUP(0,'$$$ Replace &amp; Retrofit'!$E$10:$F$13,2),IF(D1198&lt;175,VLOOKUP(50,'$$$ Replace &amp; Retrofit'!$E$10:$F$13,2),IF(D1198&lt;400,VLOOKUP(175,'$$$ Replace &amp; Retrofit'!$E$10:$F$13,2),IF(D1198&gt;=400,VLOOKUP(400,'$$$ Replace &amp; Retrofit'!$E$10:$F$13,2),NA))))*E1198</f>
        <v>81932.106144096004</v>
      </c>
      <c r="K1198" s="261"/>
      <c r="L1198" s="261"/>
      <c r="M1198" s="261"/>
    </row>
    <row r="1199" spans="1:16" ht="45" x14ac:dyDescent="0.25">
      <c r="A1199" s="259" t="s">
        <v>249</v>
      </c>
      <c r="B1199" s="259" t="s">
        <v>208</v>
      </c>
      <c r="C1199" s="260">
        <v>2010</v>
      </c>
      <c r="D1199" s="260">
        <v>600</v>
      </c>
      <c r="E1199" s="261">
        <v>5.3443786450190798</v>
      </c>
      <c r="F1199" s="262"/>
      <c r="G1199" s="261">
        <f t="shared" si="19"/>
        <v>400</v>
      </c>
      <c r="H1199" s="263">
        <f>IF(B1199="RTG Crane",IF(D1199&lt;600,800000,1200000),VLOOKUP(B1199,'$$$ Replace &amp; Retrofit'!$B$10:$C$14,2)*'CHE Model poplulation'!D1221)*E1199</f>
        <v>2555681.868048124</v>
      </c>
      <c r="I1199" s="263">
        <f>E1199*VLOOKUP('CHE Model poplulation'!G1221,'$$$ Replace &amp; Retrofit'!$I$10:$J$15,2)</f>
        <v>279687.36762978352</v>
      </c>
      <c r="J1199" s="270">
        <f>IF(D1199=50,VLOOKUP(0,'$$$ Replace &amp; Retrofit'!$E$10:$F$13,2),IF(D1199&lt;175,VLOOKUP(50,'$$$ Replace &amp; Retrofit'!$E$10:$F$13,2),IF(D1199&lt;400,VLOOKUP(175,'$$$ Replace &amp; Retrofit'!$E$10:$F$13,2),IF(D1199&gt;=400,VLOOKUP(400,'$$$ Replace &amp; Retrofit'!$E$10:$F$13,2),NA))))*E1199</f>
        <v>160331.3593505724</v>
      </c>
      <c r="K1199" s="261"/>
      <c r="L1199" s="261"/>
      <c r="M1199" s="261"/>
    </row>
    <row r="1200" spans="1:16" ht="30" x14ac:dyDescent="0.25">
      <c r="A1200" s="259" t="s">
        <v>249</v>
      </c>
      <c r="B1200" s="259" t="s">
        <v>192</v>
      </c>
      <c r="C1200" s="260">
        <v>2010</v>
      </c>
      <c r="D1200" s="260">
        <v>50</v>
      </c>
      <c r="E1200" s="261">
        <v>7.7386305129491797</v>
      </c>
      <c r="F1200" s="262"/>
      <c r="G1200" s="261">
        <f t="shared" si="19"/>
        <v>50</v>
      </c>
      <c r="H1200" s="263">
        <f>IF(B1200="RTG Crane",IF(D1200&lt;600,800000,1200000),VLOOKUP(B1200,'$$$ Replace &amp; Retrofit'!$B$10:$C$14,2)*'CHE Model poplulation'!D1306)*E1200</f>
        <v>338565.08494152658</v>
      </c>
      <c r="I1200" s="263">
        <f>E1200*VLOOKUP('CHE Model poplulation'!G1306,'$$$ Replace &amp; Retrofit'!$I$10:$J$15,2)</f>
        <v>136107.03346175016</v>
      </c>
      <c r="J1200" s="270">
        <f>IF(D1200=50,VLOOKUP(0,'$$$ Replace &amp; Retrofit'!$E$10:$F$13,2),IF(D1200&lt;175,VLOOKUP(50,'$$$ Replace &amp; Retrofit'!$E$10:$F$13,2),IF(D1200&lt;400,VLOOKUP(175,'$$$ Replace &amp; Retrofit'!$E$10:$F$13,2),IF(D1200&gt;=400,VLOOKUP(400,'$$$ Replace &amp; Retrofit'!$E$10:$F$13,2),NA))))*E1200</f>
        <v>61909.044103593435</v>
      </c>
      <c r="K1200" s="261"/>
      <c r="L1200" s="261"/>
      <c r="M1200" s="261"/>
    </row>
    <row r="1201" spans="1:16" ht="30" x14ac:dyDescent="0.25">
      <c r="A1201" s="259" t="s">
        <v>249</v>
      </c>
      <c r="B1201" s="259" t="s">
        <v>192</v>
      </c>
      <c r="C1201" s="260">
        <v>2010</v>
      </c>
      <c r="D1201" s="260">
        <v>75</v>
      </c>
      <c r="E1201" s="261">
        <v>20.2930223465655</v>
      </c>
      <c r="F1201" s="262"/>
      <c r="G1201" s="261">
        <f t="shared" si="19"/>
        <v>50</v>
      </c>
      <c r="H1201" s="263">
        <f>IF(B1201="RTG Crane",IF(D1201&lt;600,800000,1200000),VLOOKUP(B1201,'$$$ Replace &amp; Retrofit'!$B$10:$C$14,2)*'CHE Model poplulation'!D1307)*E1201</f>
        <v>1331729.5914933609</v>
      </c>
      <c r="I1201" s="263">
        <f>E1201*VLOOKUP('CHE Model poplulation'!G1307,'$$$ Replace &amp; Retrofit'!$I$10:$J$15,2)</f>
        <v>356913.67703139404</v>
      </c>
      <c r="J1201" s="270">
        <f>IF(D1201=50,VLOOKUP(0,'$$$ Replace &amp; Retrofit'!$E$10:$F$13,2),IF(D1201&lt;175,VLOOKUP(50,'$$$ Replace &amp; Retrofit'!$E$10:$F$13,2),IF(D1201&lt;400,VLOOKUP(175,'$$$ Replace &amp; Retrofit'!$E$10:$F$13,2),IF(D1201&gt;=400,VLOOKUP(400,'$$$ Replace &amp; Retrofit'!$E$10:$F$13,2),NA))))*E1201</f>
        <v>243516.268158786</v>
      </c>
      <c r="K1201" s="261"/>
      <c r="L1201" s="261"/>
      <c r="M1201" s="261"/>
    </row>
    <row r="1202" spans="1:16" ht="30" x14ac:dyDescent="0.25">
      <c r="A1202" s="259" t="s">
        <v>249</v>
      </c>
      <c r="B1202" s="259" t="s">
        <v>192</v>
      </c>
      <c r="C1202" s="260">
        <v>2010</v>
      </c>
      <c r="D1202" s="260">
        <v>100</v>
      </c>
      <c r="E1202" s="261">
        <v>93.554224555800999</v>
      </c>
      <c r="F1202" s="262"/>
      <c r="G1202" s="261">
        <f t="shared" si="19"/>
        <v>125</v>
      </c>
      <c r="H1202" s="263">
        <f>IF(B1202="RTG Crane",IF(D1202&lt;600,800000,1200000),VLOOKUP(B1202,'$$$ Replace &amp; Retrofit'!$B$10:$C$14,2)*'CHE Model poplulation'!D1308)*E1202</f>
        <v>8185994.6486325879</v>
      </c>
      <c r="I1202" s="263">
        <f>E1202*VLOOKUP('CHE Model poplulation'!G1308,'$$$ Replace &amp; Retrofit'!$I$10:$J$15,2)</f>
        <v>1846105.513159621</v>
      </c>
      <c r="J1202" s="270">
        <f>IF(D1202=50,VLOOKUP(0,'$$$ Replace &amp; Retrofit'!$E$10:$F$13,2),IF(D1202&lt;175,VLOOKUP(50,'$$$ Replace &amp; Retrofit'!$E$10:$F$13,2),IF(D1202&lt;400,VLOOKUP(175,'$$$ Replace &amp; Retrofit'!$E$10:$F$13,2),IF(D1202&gt;=400,VLOOKUP(400,'$$$ Replace &amp; Retrofit'!$E$10:$F$13,2),NA))))*E1202</f>
        <v>1122650.694669612</v>
      </c>
      <c r="K1202" s="261"/>
      <c r="L1202" s="261"/>
      <c r="M1202" s="261"/>
    </row>
    <row r="1203" spans="1:16" ht="30" x14ac:dyDescent="0.25">
      <c r="A1203" s="259" t="s">
        <v>249</v>
      </c>
      <c r="B1203" s="259" t="s">
        <v>192</v>
      </c>
      <c r="C1203" s="260">
        <v>2010</v>
      </c>
      <c r="D1203" s="260">
        <v>175</v>
      </c>
      <c r="E1203" s="261">
        <v>116.196203067845</v>
      </c>
      <c r="F1203" s="262"/>
      <c r="G1203" s="261">
        <f t="shared" si="19"/>
        <v>175</v>
      </c>
      <c r="H1203" s="263">
        <f>IF(B1203="RTG Crane",IF(D1203&lt;600,800000,1200000),VLOOKUP(B1203,'$$$ Replace &amp; Retrofit'!$B$10:$C$14,2)*'CHE Model poplulation'!D1309)*E1203</f>
        <v>17792543.594763767</v>
      </c>
      <c r="I1203" s="263">
        <f>E1203*VLOOKUP('CHE Model poplulation'!G1309,'$$$ Replace &amp; Retrofit'!$I$10:$J$15,2)</f>
        <v>2881201.0512702847</v>
      </c>
      <c r="J1203" s="270">
        <f>IF(D1203=50,VLOOKUP(0,'$$$ Replace &amp; Retrofit'!$E$10:$F$13,2),IF(D1203&lt;175,VLOOKUP(50,'$$$ Replace &amp; Retrofit'!$E$10:$F$13,2),IF(D1203&lt;400,VLOOKUP(175,'$$$ Replace &amp; Retrofit'!$E$10:$F$13,2),IF(D1203&gt;=400,VLOOKUP(400,'$$$ Replace &amp; Retrofit'!$E$10:$F$13,2),NA))))*E1203</f>
        <v>2091531.6552212101</v>
      </c>
      <c r="K1203" s="261"/>
      <c r="L1203" s="261"/>
      <c r="M1203" s="261"/>
    </row>
    <row r="1204" spans="1:16" ht="30" x14ac:dyDescent="0.25">
      <c r="A1204" s="259" t="s">
        <v>249</v>
      </c>
      <c r="B1204" s="259" t="s">
        <v>192</v>
      </c>
      <c r="C1204" s="260">
        <v>2010</v>
      </c>
      <c r="D1204" s="260">
        <v>300</v>
      </c>
      <c r="E1204" s="261">
        <v>37.096322862308099</v>
      </c>
      <c r="F1204" s="262"/>
      <c r="G1204" s="261">
        <f t="shared" si="19"/>
        <v>300</v>
      </c>
      <c r="H1204" s="263">
        <f>IF(B1204="RTG Crane",IF(D1204&lt;600,800000,1200000),VLOOKUP(B1204,'$$$ Replace &amp; Retrofit'!$B$10:$C$14,2)*'CHE Model poplulation'!D1310)*E1204</f>
        <v>9737784.7513558753</v>
      </c>
      <c r="I1204" s="263">
        <f>E1204*VLOOKUP('CHE Model poplulation'!G1310,'$$$ Replace &amp; Retrofit'!$I$10:$J$15,2)</f>
        <v>1067001.5344885678</v>
      </c>
      <c r="J1204" s="270">
        <f>IF(D1204=50,VLOOKUP(0,'$$$ Replace &amp; Retrofit'!$E$10:$F$13,2),IF(D1204&lt;175,VLOOKUP(50,'$$$ Replace &amp; Retrofit'!$E$10:$F$13,2),IF(D1204&lt;400,VLOOKUP(175,'$$$ Replace &amp; Retrofit'!$E$10:$F$13,2),IF(D1204&gt;=400,VLOOKUP(400,'$$$ Replace &amp; Retrofit'!$E$10:$F$13,2),NA))))*E1204</f>
        <v>667733.81152154575</v>
      </c>
      <c r="K1204" s="261"/>
      <c r="L1204" s="261"/>
      <c r="M1204" s="261"/>
    </row>
    <row r="1205" spans="1:16" ht="30" x14ac:dyDescent="0.25">
      <c r="A1205" s="259" t="s">
        <v>249</v>
      </c>
      <c r="B1205" s="259" t="s">
        <v>192</v>
      </c>
      <c r="C1205" s="260">
        <v>2010</v>
      </c>
      <c r="D1205" s="260">
        <v>600</v>
      </c>
      <c r="E1205" s="261">
        <v>8.8671692430341995</v>
      </c>
      <c r="F1205" s="262"/>
      <c r="G1205" s="261">
        <f t="shared" si="19"/>
        <v>400</v>
      </c>
      <c r="H1205" s="263">
        <f>IF(B1205="RTG Crane",IF(D1205&lt;600,800000,1200000),VLOOKUP(B1205,'$$$ Replace &amp; Retrofit'!$B$10:$C$14,2)*'CHE Model poplulation'!D1311)*E1205</f>
        <v>4655263.8525929544</v>
      </c>
      <c r="I1205" s="263">
        <f>E1205*VLOOKUP('CHE Model poplulation'!G1311,'$$$ Replace &amp; Retrofit'!$I$10:$J$15,2)</f>
        <v>464045.56799570879</v>
      </c>
      <c r="J1205" s="270">
        <f>IF(D1205=50,VLOOKUP(0,'$$$ Replace &amp; Retrofit'!$E$10:$F$13,2),IF(D1205&lt;175,VLOOKUP(50,'$$$ Replace &amp; Retrofit'!$E$10:$F$13,2),IF(D1205&lt;400,VLOOKUP(175,'$$$ Replace &amp; Retrofit'!$E$10:$F$13,2),IF(D1205&gt;=400,VLOOKUP(400,'$$$ Replace &amp; Retrofit'!$E$10:$F$13,2),NA))))*E1205</f>
        <v>266015.07729102601</v>
      </c>
      <c r="K1205" s="261"/>
      <c r="L1205" s="261"/>
      <c r="M1205" s="261"/>
    </row>
    <row r="1206" spans="1:16" ht="45" x14ac:dyDescent="0.25">
      <c r="A1206" s="259" t="s">
        <v>249</v>
      </c>
      <c r="B1206" s="259" t="s">
        <v>211</v>
      </c>
      <c r="C1206" s="260">
        <v>2010</v>
      </c>
      <c r="D1206" s="260">
        <v>50</v>
      </c>
      <c r="E1206" s="261">
        <v>3.7789454151099902</v>
      </c>
      <c r="F1206" s="262"/>
      <c r="G1206" s="261">
        <f t="shared" si="19"/>
        <v>50</v>
      </c>
      <c r="H1206" s="263">
        <f>IF(B1206="RTG Crane",IF(D1206&lt;600,800000,1200000),VLOOKUP(B1206,'$$$ Replace &amp; Retrofit'!$B$10:$C$14,2)*'CHE Model poplulation'!D1426)*E1206</f>
        <v>188947.27075549951</v>
      </c>
      <c r="I1206" s="263">
        <f>E1206*VLOOKUP('CHE Model poplulation'!G1426,'$$$ Replace &amp; Retrofit'!$I$10:$J$15,2)</f>
        <v>66464.091960954509</v>
      </c>
      <c r="J1206" s="270">
        <f>IF(D1206=50,VLOOKUP(0,'$$$ Replace &amp; Retrofit'!$E$10:$F$13,2),IF(D1206&lt;175,VLOOKUP(50,'$$$ Replace &amp; Retrofit'!$E$10:$F$13,2),IF(D1206&lt;400,VLOOKUP(175,'$$$ Replace &amp; Retrofit'!$E$10:$F$13,2),IF(D1206&gt;=400,VLOOKUP(400,'$$$ Replace &amp; Retrofit'!$E$10:$F$13,2),NA))))*E1206</f>
        <v>30231.563320879923</v>
      </c>
      <c r="K1206" s="261"/>
      <c r="L1206" s="261"/>
      <c r="M1206" s="261"/>
    </row>
    <row r="1207" spans="1:16" ht="45" x14ac:dyDescent="0.25">
      <c r="A1207" s="259" t="s">
        <v>249</v>
      </c>
      <c r="B1207" s="259" t="s">
        <v>211</v>
      </c>
      <c r="C1207" s="260">
        <v>2010</v>
      </c>
      <c r="D1207" s="260">
        <v>75</v>
      </c>
      <c r="E1207" s="261">
        <v>1.75706400654733</v>
      </c>
      <c r="F1207" s="262"/>
      <c r="G1207" s="261">
        <f t="shared" si="19"/>
        <v>50</v>
      </c>
      <c r="H1207" s="263">
        <f>IF(B1207="RTG Crane",IF(D1207&lt;600,800000,1200000),VLOOKUP(B1207,'$$$ Replace &amp; Retrofit'!$B$10:$C$14,2)*'CHE Model poplulation'!D1427)*E1207</f>
        <v>131779.80049104974</v>
      </c>
      <c r="I1207" s="263">
        <f>E1207*VLOOKUP('CHE Model poplulation'!G1427,'$$$ Replace &amp; Retrofit'!$I$10:$J$15,2)</f>
        <v>30903.24174715444</v>
      </c>
      <c r="J1207" s="270">
        <f>IF(D1207=50,VLOOKUP(0,'$$$ Replace &amp; Retrofit'!$E$10:$F$13,2),IF(D1207&lt;175,VLOOKUP(50,'$$$ Replace &amp; Retrofit'!$E$10:$F$13,2),IF(D1207&lt;400,VLOOKUP(175,'$$$ Replace &amp; Retrofit'!$E$10:$F$13,2),IF(D1207&gt;=400,VLOOKUP(400,'$$$ Replace &amp; Retrofit'!$E$10:$F$13,2),NA))))*E1207</f>
        <v>21084.768078567959</v>
      </c>
      <c r="K1207" s="261"/>
      <c r="L1207" s="261"/>
      <c r="M1207" s="261"/>
    </row>
    <row r="1208" spans="1:16" ht="45" x14ac:dyDescent="0.25">
      <c r="A1208" s="259" t="s">
        <v>249</v>
      </c>
      <c r="B1208" s="259" t="s">
        <v>211</v>
      </c>
      <c r="C1208" s="260">
        <v>2010</v>
      </c>
      <c r="D1208" s="260">
        <v>100</v>
      </c>
      <c r="E1208" s="261">
        <v>2.237604698567</v>
      </c>
      <c r="F1208" s="262"/>
      <c r="G1208" s="261">
        <f t="shared" si="19"/>
        <v>125</v>
      </c>
      <c r="H1208" s="263">
        <f>IF(B1208="RTG Crane",IF(D1208&lt;600,800000,1200000),VLOOKUP(B1208,'$$$ Replace &amp; Retrofit'!$B$10:$C$14,2)*'CHE Model poplulation'!D1428)*E1208</f>
        <v>223760.46985669999</v>
      </c>
      <c r="I1208" s="263">
        <f>E1208*VLOOKUP('CHE Model poplulation'!G1428,'$$$ Replace &amp; Retrofit'!$I$10:$J$15,2)</f>
        <v>44154.653516822611</v>
      </c>
      <c r="J1208" s="270">
        <f>IF(D1208=50,VLOOKUP(0,'$$$ Replace &amp; Retrofit'!$E$10:$F$13,2),IF(D1208&lt;175,VLOOKUP(50,'$$$ Replace &amp; Retrofit'!$E$10:$F$13,2),IF(D1208&lt;400,VLOOKUP(175,'$$$ Replace &amp; Retrofit'!$E$10:$F$13,2),IF(D1208&gt;=400,VLOOKUP(400,'$$$ Replace &amp; Retrofit'!$E$10:$F$13,2),NA))))*E1208</f>
        <v>26851.256382804</v>
      </c>
      <c r="K1208" s="261"/>
      <c r="L1208" s="261"/>
      <c r="M1208" s="261"/>
    </row>
    <row r="1209" spans="1:16" ht="45" x14ac:dyDescent="0.25">
      <c r="A1209" s="259" t="s">
        <v>249</v>
      </c>
      <c r="B1209" s="259" t="s">
        <v>211</v>
      </c>
      <c r="C1209" s="260">
        <v>2010</v>
      </c>
      <c r="D1209" s="260">
        <v>175</v>
      </c>
      <c r="E1209" s="261">
        <v>2.5864836022145101</v>
      </c>
      <c r="F1209" s="262"/>
      <c r="G1209" s="261">
        <f t="shared" si="19"/>
        <v>175</v>
      </c>
      <c r="H1209" s="263">
        <f>IF(B1209="RTG Crane",IF(D1209&lt;600,800000,1200000),VLOOKUP(B1209,'$$$ Replace &amp; Retrofit'!$B$10:$C$14,2)*'CHE Model poplulation'!D1429)*E1209</f>
        <v>452634.63038753928</v>
      </c>
      <c r="I1209" s="263">
        <f>E1209*VLOOKUP('CHE Model poplulation'!G1429,'$$$ Replace &amp; Retrofit'!$I$10:$J$15,2)</f>
        <v>64134.447400510995</v>
      </c>
      <c r="J1209" s="270">
        <f>IF(D1209=50,VLOOKUP(0,'$$$ Replace &amp; Retrofit'!$E$10:$F$13,2),IF(D1209&lt;175,VLOOKUP(50,'$$$ Replace &amp; Retrofit'!$E$10:$F$13,2),IF(D1209&lt;400,VLOOKUP(175,'$$$ Replace &amp; Retrofit'!$E$10:$F$13,2),IF(D1209&gt;=400,VLOOKUP(400,'$$$ Replace &amp; Retrofit'!$E$10:$F$13,2),NA))))*E1209</f>
        <v>46556.704839861181</v>
      </c>
      <c r="K1209" s="261"/>
      <c r="L1209" s="261"/>
      <c r="M1209" s="261"/>
    </row>
    <row r="1210" spans="1:16" ht="45" x14ac:dyDescent="0.25">
      <c r="A1210" s="259" t="s">
        <v>249</v>
      </c>
      <c r="B1210" s="259" t="s">
        <v>211</v>
      </c>
      <c r="C1210" s="260">
        <v>2010</v>
      </c>
      <c r="D1210" s="260">
        <v>300</v>
      </c>
      <c r="E1210" s="261">
        <v>2.3471700990933901</v>
      </c>
      <c r="F1210" s="262"/>
      <c r="G1210" s="261">
        <f t="shared" si="19"/>
        <v>300</v>
      </c>
      <c r="H1210" s="263">
        <f>IF(B1210="RTG Crane",IF(D1210&lt;600,800000,1200000),VLOOKUP(B1210,'$$$ Replace &amp; Retrofit'!$B$10:$C$14,2)*'CHE Model poplulation'!D1430)*E1210</f>
        <v>704151.02972801705</v>
      </c>
      <c r="I1210" s="263">
        <f>E1210*VLOOKUP('CHE Model poplulation'!G1430,'$$$ Replace &amp; Retrofit'!$I$10:$J$15,2)</f>
        <v>67511.653560223174</v>
      </c>
      <c r="J1210" s="270">
        <f>IF(D1210=50,VLOOKUP(0,'$$$ Replace &amp; Retrofit'!$E$10:$F$13,2),IF(D1210&lt;175,VLOOKUP(50,'$$$ Replace &amp; Retrofit'!$E$10:$F$13,2),IF(D1210&lt;400,VLOOKUP(175,'$$$ Replace &amp; Retrofit'!$E$10:$F$13,2),IF(D1210&gt;=400,VLOOKUP(400,'$$$ Replace &amp; Retrofit'!$E$10:$F$13,2),NA))))*E1210</f>
        <v>42249.06178368102</v>
      </c>
      <c r="K1210" s="261"/>
      <c r="L1210" s="261"/>
      <c r="M1210" s="261"/>
    </row>
    <row r="1211" spans="1:16" ht="45" x14ac:dyDescent="0.25">
      <c r="A1211" s="259" t="s">
        <v>249</v>
      </c>
      <c r="B1211" s="259" t="s">
        <v>211</v>
      </c>
      <c r="C1211" s="260">
        <v>2010</v>
      </c>
      <c r="D1211" s="260">
        <v>600</v>
      </c>
      <c r="E1211" s="261">
        <v>1.10427067976073</v>
      </c>
      <c r="F1211" s="262"/>
      <c r="G1211" s="261">
        <f t="shared" si="19"/>
        <v>400</v>
      </c>
      <c r="H1211" s="263">
        <f>IF(B1211="RTG Crane",IF(D1211&lt;600,800000,1200000),VLOOKUP(B1211,'$$$ Replace &amp; Retrofit'!$B$10:$C$14,2)*'CHE Model poplulation'!D1431)*E1211</f>
        <v>662562.40785643796</v>
      </c>
      <c r="I1211" s="263">
        <f>E1211*VLOOKUP('CHE Model poplulation'!G1431,'$$$ Replace &amp; Retrofit'!$I$10:$J$15,2)</f>
        <v>57789.797483918286</v>
      </c>
      <c r="J1211" s="270">
        <f>IF(D1211=50,VLOOKUP(0,'$$$ Replace &amp; Retrofit'!$E$10:$F$13,2),IF(D1211&lt;175,VLOOKUP(50,'$$$ Replace &amp; Retrofit'!$E$10:$F$13,2),IF(D1211&lt;400,VLOOKUP(175,'$$$ Replace &amp; Retrofit'!$E$10:$F$13,2),IF(D1211&gt;=400,VLOOKUP(400,'$$$ Replace &amp; Retrofit'!$E$10:$F$13,2),NA))))*E1211</f>
        <v>33128.120392821904</v>
      </c>
      <c r="K1211" s="261"/>
      <c r="L1211" s="261"/>
      <c r="M1211" s="261"/>
    </row>
    <row r="1212" spans="1:16" ht="30" x14ac:dyDescent="0.25">
      <c r="A1212" s="259" t="s">
        <v>249</v>
      </c>
      <c r="B1212" s="259" t="s">
        <v>212</v>
      </c>
      <c r="C1212" s="260">
        <v>2010</v>
      </c>
      <c r="D1212" s="260">
        <v>100</v>
      </c>
      <c r="E1212" s="261">
        <v>8.9624545821558294E-2</v>
      </c>
      <c r="F1212" s="262"/>
      <c r="G1212" s="261">
        <f t="shared" si="19"/>
        <v>125</v>
      </c>
      <c r="H1212" s="263">
        <f>IF(B1212="RTG Crane",IF(D1212&lt;600,800000,1200000),VLOOKUP(B1212,'$$$ Replace &amp; Retrofit'!$B$10:$C$14,2)*'CHE Model poplulation'!D1542)*E1212</f>
        <v>71699.636657246636</v>
      </c>
      <c r="I1212" s="263">
        <f>E1212*VLOOKUP('CHE Model poplulation'!G1542,'$$$ Replace &amp; Retrofit'!$I$10:$J$15,2)</f>
        <v>1768.5611626968098</v>
      </c>
      <c r="J1212" s="270">
        <f>IF(D1212=50,VLOOKUP(0,'$$$ Replace &amp; Retrofit'!$E$10:$F$13,2),IF(D1212&lt;175,VLOOKUP(50,'$$$ Replace &amp; Retrofit'!$E$10:$F$13,2),IF(D1212&lt;400,VLOOKUP(175,'$$$ Replace &amp; Retrofit'!$E$10:$F$13,2),IF(D1212&gt;=400,VLOOKUP(400,'$$$ Replace &amp; Retrofit'!$E$10:$F$13,2),NA))))*E1212</f>
        <v>1075.4945498586994</v>
      </c>
      <c r="K1212" s="261"/>
      <c r="L1212" s="261"/>
      <c r="M1212" s="261"/>
    </row>
    <row r="1213" spans="1:16" ht="30" x14ac:dyDescent="0.25">
      <c r="A1213" s="259" t="s">
        <v>249</v>
      </c>
      <c r="B1213" s="259" t="s">
        <v>212</v>
      </c>
      <c r="C1213" s="260">
        <v>2010</v>
      </c>
      <c r="D1213" s="260">
        <v>300</v>
      </c>
      <c r="E1213" s="261">
        <v>8.6786435203875705</v>
      </c>
      <c r="F1213" s="262"/>
      <c r="G1213" s="261">
        <f t="shared" si="19"/>
        <v>300</v>
      </c>
      <c r="H1213" s="263">
        <f>IF(B1213="RTG Crane",IF(D1213&lt;600,800000,1200000),VLOOKUP(B1213,'$$$ Replace &amp; Retrofit'!$B$10:$C$14,2)*'CHE Model poplulation'!D1543)*E1213</f>
        <v>6942914.8163100565</v>
      </c>
      <c r="I1213" s="263">
        <f>E1213*VLOOKUP('CHE Model poplulation'!G1543,'$$$ Replace &amp; Retrofit'!$I$10:$J$15,2)</f>
        <v>249623.82357690769</v>
      </c>
      <c r="J1213" s="270">
        <f>IF(D1213=50,VLOOKUP(0,'$$$ Replace &amp; Retrofit'!$E$10:$F$13,2),IF(D1213&lt;175,VLOOKUP(50,'$$$ Replace &amp; Retrofit'!$E$10:$F$13,2),IF(D1213&lt;400,VLOOKUP(175,'$$$ Replace &amp; Retrofit'!$E$10:$F$13,2),IF(D1213&gt;=400,VLOOKUP(400,'$$$ Replace &amp; Retrofit'!$E$10:$F$13,2),NA))))*E1213</f>
        <v>156215.58336697627</v>
      </c>
      <c r="K1213" s="261"/>
      <c r="L1213" s="261"/>
      <c r="M1213" s="261"/>
    </row>
    <row r="1214" spans="1:16" ht="30" x14ac:dyDescent="0.25">
      <c r="A1214" s="259" t="s">
        <v>249</v>
      </c>
      <c r="B1214" s="259" t="s">
        <v>212</v>
      </c>
      <c r="C1214" s="260">
        <v>2010</v>
      </c>
      <c r="D1214" s="260">
        <v>600</v>
      </c>
      <c r="E1214" s="261">
        <v>15.445296729915199</v>
      </c>
      <c r="F1214" s="262"/>
      <c r="G1214" s="261">
        <f t="shared" si="19"/>
        <v>400</v>
      </c>
      <c r="H1214" s="263">
        <f>IF(B1214="RTG Crane",IF(D1214&lt;600,800000,1200000),VLOOKUP(B1214,'$$$ Replace &amp; Retrofit'!$B$10:$C$14,2)*'CHE Model poplulation'!D1544)*E1214</f>
        <v>18534356.075898238</v>
      </c>
      <c r="I1214" s="263">
        <f>E1214*VLOOKUP('CHE Model poplulation'!G1544,'$$$ Replace &amp; Retrofit'!$I$10:$J$15,2)</f>
        <v>808298.71376665216</v>
      </c>
      <c r="J1214" s="270">
        <f>IF(D1214=50,VLOOKUP(0,'$$$ Replace &amp; Retrofit'!$E$10:$F$13,2),IF(D1214&lt;175,VLOOKUP(50,'$$$ Replace &amp; Retrofit'!$E$10:$F$13,2),IF(D1214&lt;400,VLOOKUP(175,'$$$ Replace &amp; Retrofit'!$E$10:$F$13,2),IF(D1214&gt;=400,VLOOKUP(400,'$$$ Replace &amp; Retrofit'!$E$10:$F$13,2),NA))))*E1214</f>
        <v>463358.90189745597</v>
      </c>
      <c r="K1214" s="261"/>
      <c r="L1214" s="261"/>
      <c r="M1214" s="261"/>
    </row>
    <row r="1215" spans="1:16" ht="30" x14ac:dyDescent="0.25">
      <c r="A1215" s="259" t="s">
        <v>249</v>
      </c>
      <c r="B1215" s="259" t="s">
        <v>212</v>
      </c>
      <c r="C1215" s="260">
        <v>2010</v>
      </c>
      <c r="D1215" s="260">
        <v>750</v>
      </c>
      <c r="E1215" s="261">
        <v>8.9624545821558304</v>
      </c>
      <c r="F1215" s="262"/>
      <c r="G1215" s="261">
        <f t="shared" si="19"/>
        <v>400</v>
      </c>
      <c r="H1215" s="263">
        <f>IF(B1215="RTG Crane",IF(D1215&lt;600,800000,1200000),VLOOKUP(B1215,'$$$ Replace &amp; Retrofit'!$B$10:$C$14,2)*'CHE Model poplulation'!D1545)*E1215</f>
        <v>10754945.498586996</v>
      </c>
      <c r="I1215" s="263">
        <f>E1215*VLOOKUP('CHE Model poplulation'!G1545,'$$$ Replace &amp; Retrofit'!$I$10:$J$15,2)</f>
        <v>469032.13564796105</v>
      </c>
      <c r="J1215" s="270">
        <f>IF(D1215=50,VLOOKUP(0,'$$$ Replace &amp; Retrofit'!$E$10:$F$13,2),IF(D1215&lt;175,VLOOKUP(50,'$$$ Replace &amp; Retrofit'!$E$10:$F$13,2),IF(D1215&lt;400,VLOOKUP(175,'$$$ Replace &amp; Retrofit'!$E$10:$F$13,2),IF(D1215&gt;=400,VLOOKUP(400,'$$$ Replace &amp; Retrofit'!$E$10:$F$13,2),NA))))*E1215</f>
        <v>268873.63746467489</v>
      </c>
      <c r="K1215" s="261"/>
      <c r="L1215" s="261"/>
      <c r="M1215" s="261"/>
    </row>
    <row r="1216" spans="1:16" ht="30" x14ac:dyDescent="0.25">
      <c r="A1216" s="259" t="s">
        <v>249</v>
      </c>
      <c r="B1216" s="259" t="s">
        <v>212</v>
      </c>
      <c r="C1216" s="260">
        <v>2010</v>
      </c>
      <c r="D1216" s="260">
        <v>9999</v>
      </c>
      <c r="E1216" s="261">
        <v>3.8239806217198198</v>
      </c>
      <c r="F1216" s="262"/>
      <c r="G1216" s="261">
        <f t="shared" si="19"/>
        <v>400</v>
      </c>
      <c r="H1216" s="263">
        <f>IF(B1216="RTG Crane",IF(D1216&lt;600,800000,1200000),VLOOKUP(B1216,'$$$ Replace &amp; Retrofit'!$B$10:$C$14,2)*'CHE Model poplulation'!D1546)*E1216</f>
        <v>4588776.7460637838</v>
      </c>
      <c r="I1216" s="263">
        <f>E1216*VLOOKUP('CHE Model poplulation'!G1546,'$$$ Replace &amp; Retrofit'!$I$10:$J$15,2)</f>
        <v>200120.37787646332</v>
      </c>
      <c r="J1216" s="270">
        <f>IF(D1216=50,VLOOKUP(0,'$$$ Replace &amp; Retrofit'!$E$10:$F$13,2),IF(D1216&lt;175,VLOOKUP(50,'$$$ Replace &amp; Retrofit'!$E$10:$F$13,2),IF(D1216&lt;400,VLOOKUP(175,'$$$ Replace &amp; Retrofit'!$E$10:$F$13,2),IF(D1216&gt;=400,VLOOKUP(400,'$$$ Replace &amp; Retrofit'!$E$10:$F$13,2),NA))))*E1216</f>
        <v>114719.41865159459</v>
      </c>
      <c r="K1216" s="266">
        <f t="shared" ref="K1216:L1216" si="22">SUM(H1190:H1216)</f>
        <v>97796306.970419288</v>
      </c>
      <c r="L1216" s="266">
        <f t="shared" si="22"/>
        <v>10138162.391641773</v>
      </c>
      <c r="M1216" s="266">
        <f>SUM(J1190:J1216)</f>
        <v>6457449.7164301192</v>
      </c>
      <c r="N1216" s="239">
        <f>K1216-N1189</f>
        <v>4157801.8256776184</v>
      </c>
      <c r="O1216" s="239">
        <f t="shared" ref="O1216:P1216" si="23">L1216-O1189</f>
        <v>511103.87821464613</v>
      </c>
      <c r="P1216" s="239">
        <f t="shared" si="23"/>
        <v>315962.19882883132</v>
      </c>
    </row>
    <row r="1217" spans="1:13" ht="30" x14ac:dyDescent="0.25">
      <c r="A1217" s="259" t="s">
        <v>249</v>
      </c>
      <c r="B1217" s="259" t="s">
        <v>206</v>
      </c>
      <c r="C1217" s="260">
        <v>2011</v>
      </c>
      <c r="D1217" s="260">
        <v>50</v>
      </c>
      <c r="E1217" s="261">
        <v>1.42069526538524</v>
      </c>
      <c r="F1217" s="262"/>
      <c r="G1217" s="261">
        <f t="shared" si="19"/>
        <v>50</v>
      </c>
      <c r="H1217" s="263">
        <f>IF(B1217="RTG Crane",IF(D1217&lt;600,800000,1200000),VLOOKUP(B1217,'$$$ Replace &amp; Retrofit'!$B$10:$C$14,2)*'CHE Model poplulation'!D1112)*E1217</f>
        <v>71034.763269261995</v>
      </c>
      <c r="I1217" s="263">
        <f>E1217*VLOOKUP('CHE Model poplulation'!G1112,'$$$ Replace &amp; Retrofit'!$I$10:$J$15,2)</f>
        <v>24987.188327595602</v>
      </c>
      <c r="J1217" s="271">
        <f>IF(D1217=50,VLOOKUP(0,'$$$ Replace &amp; Retrofit'!$E$10:$F$13,2),IF(D1217&lt;175,VLOOKUP(50,'$$$ Replace &amp; Retrofit'!$E$10:$F$13,2),IF(D1217&lt;400,VLOOKUP(175,'$$$ Replace &amp; Retrofit'!$E$10:$F$13,2),IF(D1217&gt;=400,VLOOKUP(400,'$$$ Replace &amp; Retrofit'!$E$10:$F$13,2),NA))))*E1217</f>
        <v>11365.56212308192</v>
      </c>
      <c r="K1217" s="261"/>
      <c r="L1217" s="261"/>
      <c r="M1217" s="261"/>
    </row>
    <row r="1218" spans="1:13" ht="30" x14ac:dyDescent="0.25">
      <c r="A1218" s="259" t="s">
        <v>249</v>
      </c>
      <c r="B1218" s="259" t="s">
        <v>206</v>
      </c>
      <c r="C1218" s="260">
        <v>2011</v>
      </c>
      <c r="D1218" s="260">
        <v>75</v>
      </c>
      <c r="E1218" s="261">
        <v>2.48784949157809</v>
      </c>
      <c r="F1218" s="262"/>
      <c r="G1218" s="261">
        <f t="shared" si="19"/>
        <v>50</v>
      </c>
      <c r="H1218" s="263">
        <f>IF(B1218="RTG Crane",IF(D1218&lt;600,800000,1200000),VLOOKUP(B1218,'$$$ Replace &amp; Retrofit'!$B$10:$C$14,2)*'CHE Model poplulation'!D1113)*E1218</f>
        <v>186588.71186835674</v>
      </c>
      <c r="I1218" s="263">
        <f>E1218*VLOOKUP('CHE Model poplulation'!G1113,'$$$ Replace &amp; Retrofit'!$I$10:$J$15,2)</f>
        <v>43756.296857875444</v>
      </c>
      <c r="J1218" s="271">
        <f>IF(D1218=50,VLOOKUP(0,'$$$ Replace &amp; Retrofit'!$E$10:$F$13,2),IF(D1218&lt;175,VLOOKUP(50,'$$$ Replace &amp; Retrofit'!$E$10:$F$13,2),IF(D1218&lt;400,VLOOKUP(175,'$$$ Replace &amp; Retrofit'!$E$10:$F$13,2),IF(D1218&gt;=400,VLOOKUP(400,'$$$ Replace &amp; Retrofit'!$E$10:$F$13,2),NA))))*E1218</f>
        <v>29854.193898937079</v>
      </c>
      <c r="K1218" s="261"/>
      <c r="L1218" s="261"/>
      <c r="M1218" s="261"/>
    </row>
    <row r="1219" spans="1:13" ht="30" x14ac:dyDescent="0.25">
      <c r="A1219" s="259" t="s">
        <v>249</v>
      </c>
      <c r="B1219" s="259" t="s">
        <v>206</v>
      </c>
      <c r="C1219" s="260">
        <v>2011</v>
      </c>
      <c r="D1219" s="260">
        <v>100</v>
      </c>
      <c r="E1219" s="261">
        <v>2.5115143004350702</v>
      </c>
      <c r="F1219" s="262"/>
      <c r="G1219" s="261">
        <f t="shared" si="19"/>
        <v>125</v>
      </c>
      <c r="H1219" s="263">
        <f>IF(B1219="RTG Crane",IF(D1219&lt;600,800000,1200000),VLOOKUP(B1219,'$$$ Replace &amp; Retrofit'!$B$10:$C$14,2)*'CHE Model poplulation'!D1114)*E1219</f>
        <v>251151.43004350702</v>
      </c>
      <c r="I1219" s="263">
        <f>E1219*VLOOKUP('CHE Model poplulation'!G1114,'$$$ Replace &amp; Retrofit'!$I$10:$J$15,2)</f>
        <v>49559.711690485237</v>
      </c>
      <c r="J1219" s="271">
        <f>IF(D1219=50,VLOOKUP(0,'$$$ Replace &amp; Retrofit'!$E$10:$F$13,2),IF(D1219&lt;175,VLOOKUP(50,'$$$ Replace &amp; Retrofit'!$E$10:$F$13,2),IF(D1219&lt;400,VLOOKUP(175,'$$$ Replace &amp; Retrofit'!$E$10:$F$13,2),IF(D1219&gt;=400,VLOOKUP(400,'$$$ Replace &amp; Retrofit'!$E$10:$F$13,2),NA))))*E1219</f>
        <v>30138.171605220843</v>
      </c>
      <c r="K1219" s="261"/>
      <c r="L1219" s="261"/>
      <c r="M1219" s="261"/>
    </row>
    <row r="1220" spans="1:13" ht="30" x14ac:dyDescent="0.25">
      <c r="A1220" s="259" t="s">
        <v>249</v>
      </c>
      <c r="B1220" s="259" t="s">
        <v>206</v>
      </c>
      <c r="C1220" s="260">
        <v>2011</v>
      </c>
      <c r="D1220" s="260">
        <v>175</v>
      </c>
      <c r="E1220" s="261">
        <v>4.3422379851237496</v>
      </c>
      <c r="F1220" s="262"/>
      <c r="G1220" s="261">
        <f t="shared" si="19"/>
        <v>175</v>
      </c>
      <c r="H1220" s="263">
        <f>IF(B1220="RTG Crane",IF(D1220&lt;600,800000,1200000),VLOOKUP(B1220,'$$$ Replace &amp; Retrofit'!$B$10:$C$14,2)*'CHE Model poplulation'!D1115)*E1220</f>
        <v>759891.64739665622</v>
      </c>
      <c r="I1220" s="263">
        <f>E1220*VLOOKUP('CHE Model poplulation'!G1115,'$$$ Replace &amp; Retrofit'!$I$10:$J$15,2)</f>
        <v>107670.1330791285</v>
      </c>
      <c r="J1220" s="271">
        <f>IF(D1220=50,VLOOKUP(0,'$$$ Replace &amp; Retrofit'!$E$10:$F$13,2),IF(D1220&lt;175,VLOOKUP(50,'$$$ Replace &amp; Retrofit'!$E$10:$F$13,2),IF(D1220&lt;400,VLOOKUP(175,'$$$ Replace &amp; Retrofit'!$E$10:$F$13,2),IF(D1220&gt;=400,VLOOKUP(400,'$$$ Replace &amp; Retrofit'!$E$10:$F$13,2),NA))))*E1220</f>
        <v>78160.283732227486</v>
      </c>
      <c r="K1220" s="261"/>
      <c r="L1220" s="261"/>
      <c r="M1220" s="261"/>
    </row>
    <row r="1221" spans="1:13" ht="30" x14ac:dyDescent="0.25">
      <c r="A1221" s="259" t="s">
        <v>249</v>
      </c>
      <c r="B1221" s="259" t="s">
        <v>206</v>
      </c>
      <c r="C1221" s="260">
        <v>2011</v>
      </c>
      <c r="D1221" s="260">
        <v>300</v>
      </c>
      <c r="E1221" s="261">
        <v>4.4183294440108103</v>
      </c>
      <c r="F1221" s="262"/>
      <c r="G1221" s="261">
        <f t="shared" si="19"/>
        <v>300</v>
      </c>
      <c r="H1221" s="263">
        <f>IF(B1221="RTG Crane",IF(D1221&lt;600,800000,1200000),VLOOKUP(B1221,'$$$ Replace &amp; Retrofit'!$B$10:$C$14,2)*'CHE Model poplulation'!D1116)*E1221</f>
        <v>1325498.8332032431</v>
      </c>
      <c r="I1221" s="263">
        <f>E1221*VLOOKUP('CHE Model poplulation'!G1116,'$$$ Replace &amp; Retrofit'!$I$10:$J$15,2)</f>
        <v>127084.40979808294</v>
      </c>
      <c r="J1221" s="271">
        <f>IF(D1221=50,VLOOKUP(0,'$$$ Replace &amp; Retrofit'!$E$10:$F$13,2),IF(D1221&lt;175,VLOOKUP(50,'$$$ Replace &amp; Retrofit'!$E$10:$F$13,2),IF(D1221&lt;400,VLOOKUP(175,'$$$ Replace &amp; Retrofit'!$E$10:$F$13,2),IF(D1221&gt;=400,VLOOKUP(400,'$$$ Replace &amp; Retrofit'!$E$10:$F$13,2),NA))))*E1221</f>
        <v>79529.929992194579</v>
      </c>
      <c r="K1221" s="261"/>
      <c r="L1221" s="261"/>
      <c r="M1221" s="261"/>
    </row>
    <row r="1222" spans="1:13" ht="30" x14ac:dyDescent="0.25">
      <c r="A1222" s="259" t="s">
        <v>249</v>
      </c>
      <c r="B1222" s="259" t="s">
        <v>206</v>
      </c>
      <c r="C1222" s="260">
        <v>2011</v>
      </c>
      <c r="D1222" s="260">
        <v>600</v>
      </c>
      <c r="E1222" s="261">
        <v>10.6120924715195</v>
      </c>
      <c r="F1222" s="262"/>
      <c r="G1222" s="261">
        <f t="shared" si="19"/>
        <v>400</v>
      </c>
      <c r="H1222" s="263">
        <f>IF(B1222="RTG Crane",IF(D1222&lt;600,800000,1200000),VLOOKUP(B1222,'$$$ Replace &amp; Retrofit'!$B$10:$C$14,2)*'CHE Model poplulation'!D1117)*E1222</f>
        <v>6367255.4829116995</v>
      </c>
      <c r="I1222" s="263">
        <f>E1222*VLOOKUP('CHE Model poplulation'!G1117,'$$$ Replace &amp; Retrofit'!$I$10:$J$15,2)</f>
        <v>555362.63531202998</v>
      </c>
      <c r="J1222" s="271">
        <f>IF(D1222=50,VLOOKUP(0,'$$$ Replace &amp; Retrofit'!$E$10:$F$13,2),IF(D1222&lt;175,VLOOKUP(50,'$$$ Replace &amp; Retrofit'!$E$10:$F$13,2),IF(D1222&lt;400,VLOOKUP(175,'$$$ Replace &amp; Retrofit'!$E$10:$F$13,2),IF(D1222&gt;=400,VLOOKUP(400,'$$$ Replace &amp; Retrofit'!$E$10:$F$13,2),NA))))*E1222</f>
        <v>318362.77414558496</v>
      </c>
      <c r="K1222" s="261"/>
      <c r="L1222" s="261"/>
      <c r="M1222" s="261"/>
    </row>
    <row r="1223" spans="1:13" ht="45" x14ac:dyDescent="0.25">
      <c r="A1223" s="259" t="s">
        <v>249</v>
      </c>
      <c r="B1223" s="259" t="s">
        <v>208</v>
      </c>
      <c r="C1223" s="260">
        <v>2011</v>
      </c>
      <c r="D1223" s="260">
        <v>100</v>
      </c>
      <c r="E1223" s="261">
        <v>7.4995799851736406E-2</v>
      </c>
      <c r="F1223" s="262"/>
      <c r="G1223" s="261">
        <f t="shared" si="19"/>
        <v>125</v>
      </c>
      <c r="H1223" s="263">
        <f>IF(B1223="RTG Crane",IF(D1223&lt;600,800000,1200000),VLOOKUP(B1223,'$$$ Replace &amp; Retrofit'!$B$10:$C$14,2)*'CHE Model poplulation'!D1222)*E1223</f>
        <v>5977.1652481833917</v>
      </c>
      <c r="I1223" s="263">
        <f>E1223*VLOOKUP('CHE Model poplulation'!G1222,'$$$ Replace &amp; Retrofit'!$I$10:$J$15,2)</f>
        <v>1479.8921184743144</v>
      </c>
      <c r="J1223" s="271">
        <f>IF(D1223=50,VLOOKUP(0,'$$$ Replace &amp; Retrofit'!$E$10:$F$13,2),IF(D1223&lt;175,VLOOKUP(50,'$$$ Replace &amp; Retrofit'!$E$10:$F$13,2),IF(D1223&lt;400,VLOOKUP(175,'$$$ Replace &amp; Retrofit'!$E$10:$F$13,2),IF(D1223&gt;=400,VLOOKUP(400,'$$$ Replace &amp; Retrofit'!$E$10:$F$13,2),NA))))*E1223</f>
        <v>899.94959822083683</v>
      </c>
      <c r="K1223" s="261"/>
      <c r="L1223" s="261"/>
      <c r="M1223" s="261"/>
    </row>
    <row r="1224" spans="1:13" ht="45" x14ac:dyDescent="0.25">
      <c r="A1224" s="259" t="s">
        <v>249</v>
      </c>
      <c r="B1224" s="259" t="s">
        <v>208</v>
      </c>
      <c r="C1224" s="260">
        <v>2011</v>
      </c>
      <c r="D1224" s="260">
        <v>175</v>
      </c>
      <c r="E1224" s="261">
        <v>2.0487823079243999</v>
      </c>
      <c r="F1224" s="262"/>
      <c r="G1224" s="261">
        <f t="shared" si="19"/>
        <v>175</v>
      </c>
      <c r="H1224" s="263">
        <f>IF(B1224="RTG Crane",IF(D1224&lt;600,800000,1200000),VLOOKUP(B1224,'$$$ Replace &amp; Retrofit'!$B$10:$C$14,2)*'CHE Model poplulation'!D1223)*E1224</f>
        <v>285753.91239775566</v>
      </c>
      <c r="I1224" s="263">
        <f>E1224*VLOOKUP('CHE Model poplulation'!G1223,'$$$ Replace &amp; Retrofit'!$I$10:$J$15,2)</f>
        <v>50801.606107293417</v>
      </c>
      <c r="J1224" s="271">
        <f>IF(D1224=50,VLOOKUP(0,'$$$ Replace &amp; Retrofit'!$E$10:$F$13,2),IF(D1224&lt;175,VLOOKUP(50,'$$$ Replace &amp; Retrofit'!$E$10:$F$13,2),IF(D1224&lt;400,VLOOKUP(175,'$$$ Replace &amp; Retrofit'!$E$10:$F$13,2),IF(D1224&gt;=400,VLOOKUP(400,'$$$ Replace &amp; Retrofit'!$E$10:$F$13,2),NA))))*E1224</f>
        <v>36878.0815426392</v>
      </c>
      <c r="K1224" s="261"/>
      <c r="L1224" s="261"/>
      <c r="M1224" s="261"/>
    </row>
    <row r="1225" spans="1:13" ht="45" x14ac:dyDescent="0.25">
      <c r="A1225" s="259" t="s">
        <v>249</v>
      </c>
      <c r="B1225" s="259" t="s">
        <v>208</v>
      </c>
      <c r="C1225" s="260">
        <v>2011</v>
      </c>
      <c r="D1225" s="260">
        <v>300</v>
      </c>
      <c r="E1225" s="261">
        <v>5.4697004549097601</v>
      </c>
      <c r="F1225" s="262"/>
      <c r="G1225" s="261">
        <f t="shared" si="19"/>
        <v>300</v>
      </c>
      <c r="H1225" s="263">
        <f>IF(B1225="RTG Crane",IF(D1225&lt;600,800000,1200000),VLOOKUP(B1225,'$$$ Replace &amp; Retrofit'!$B$10:$C$14,2)*'CHE Model poplulation'!D1224)*E1225</f>
        <v>1307805.3787689237</v>
      </c>
      <c r="I1225" s="263">
        <f>E1225*VLOOKUP('CHE Model poplulation'!G1224,'$$$ Replace &amp; Retrofit'!$I$10:$J$15,2)</f>
        <v>157324.99418456943</v>
      </c>
      <c r="J1225" s="271">
        <f>IF(D1225=50,VLOOKUP(0,'$$$ Replace &amp; Retrofit'!$E$10:$F$13,2),IF(D1225&lt;175,VLOOKUP(50,'$$$ Replace &amp; Retrofit'!$E$10:$F$13,2),IF(D1225&lt;400,VLOOKUP(175,'$$$ Replace &amp; Retrofit'!$E$10:$F$13,2),IF(D1225&gt;=400,VLOOKUP(400,'$$$ Replace &amp; Retrofit'!$E$10:$F$13,2),NA))))*E1225</f>
        <v>98454.608188375685</v>
      </c>
      <c r="K1225" s="261"/>
      <c r="L1225" s="261"/>
      <c r="M1225" s="261"/>
    </row>
    <row r="1226" spans="1:13" ht="45" x14ac:dyDescent="0.25">
      <c r="A1226" s="259" t="s">
        <v>249</v>
      </c>
      <c r="B1226" s="259" t="s">
        <v>208</v>
      </c>
      <c r="C1226" s="260">
        <v>2011</v>
      </c>
      <c r="D1226" s="260">
        <v>600</v>
      </c>
      <c r="E1226" s="261">
        <v>7.2245029518597601</v>
      </c>
      <c r="F1226" s="262"/>
      <c r="G1226" s="261">
        <f t="shared" si="19"/>
        <v>400</v>
      </c>
      <c r="H1226" s="263">
        <f>IF(B1226="RTG Crane",IF(D1226&lt;600,800000,1200000),VLOOKUP(B1226,'$$$ Replace &amp; Retrofit'!$B$10:$C$14,2)*'CHE Model poplulation'!D1225)*E1226</f>
        <v>3454757.3115793373</v>
      </c>
      <c r="I1226" s="263">
        <f>E1226*VLOOKUP('CHE Model poplulation'!G1225,'$$$ Replace &amp; Retrofit'!$I$10:$J$15,2)</f>
        <v>378079.91297967685</v>
      </c>
      <c r="J1226" s="271">
        <f>IF(D1226=50,VLOOKUP(0,'$$$ Replace &amp; Retrofit'!$E$10:$F$13,2),IF(D1226&lt;175,VLOOKUP(50,'$$$ Replace &amp; Retrofit'!$E$10:$F$13,2),IF(D1226&lt;400,VLOOKUP(175,'$$$ Replace &amp; Retrofit'!$E$10:$F$13,2),IF(D1226&gt;=400,VLOOKUP(400,'$$$ Replace &amp; Retrofit'!$E$10:$F$13,2),NA))))*E1226</f>
        <v>216735.08855579281</v>
      </c>
      <c r="K1226" s="261"/>
      <c r="L1226" s="261"/>
      <c r="M1226" s="261"/>
    </row>
    <row r="1227" spans="1:13" ht="30" x14ac:dyDescent="0.25">
      <c r="A1227" s="259" t="s">
        <v>249</v>
      </c>
      <c r="B1227" s="259" t="s">
        <v>192</v>
      </c>
      <c r="C1227" s="260">
        <v>2011</v>
      </c>
      <c r="D1227" s="260">
        <v>50</v>
      </c>
      <c r="E1227" s="261">
        <v>7.5506528176332601</v>
      </c>
      <c r="F1227" s="262"/>
      <c r="G1227" s="261">
        <f t="shared" ref="G1227:G1265" si="24">IF(OR(D1227=50,D1227=75),50,IF(OR(D1227=100,D1227=125),125,IF(D1227&gt;=400,400,D1227)))</f>
        <v>50</v>
      </c>
      <c r="H1227" s="263">
        <f>IF(B1227="RTG Crane",IF(D1227&lt;600,800000,1200000),VLOOKUP(B1227,'$$$ Replace &amp; Retrofit'!$B$10:$C$14,2)*'CHE Model poplulation'!D1312)*E1227</f>
        <v>330341.06077145512</v>
      </c>
      <c r="I1227" s="263">
        <f>E1227*VLOOKUP('CHE Model poplulation'!G1312,'$$$ Replace &amp; Retrofit'!$I$10:$J$15,2)</f>
        <v>132800.88175653378</v>
      </c>
      <c r="J1227" s="271">
        <f>IF(D1227=50,VLOOKUP(0,'$$$ Replace &amp; Retrofit'!$E$10:$F$13,2),IF(D1227&lt;175,VLOOKUP(50,'$$$ Replace &amp; Retrofit'!$E$10:$F$13,2),IF(D1227&lt;400,VLOOKUP(175,'$$$ Replace &amp; Retrofit'!$E$10:$F$13,2),IF(D1227&gt;=400,VLOOKUP(400,'$$$ Replace &amp; Retrofit'!$E$10:$F$13,2),NA))))*E1227</f>
        <v>60405.222541066083</v>
      </c>
      <c r="K1227" s="261"/>
      <c r="L1227" s="261"/>
      <c r="M1227" s="261"/>
    </row>
    <row r="1228" spans="1:13" ht="30" x14ac:dyDescent="0.25">
      <c r="A1228" s="259" t="s">
        <v>249</v>
      </c>
      <c r="B1228" s="259" t="s">
        <v>192</v>
      </c>
      <c r="C1228" s="260">
        <v>2011</v>
      </c>
      <c r="D1228" s="260">
        <v>75</v>
      </c>
      <c r="E1228" s="261">
        <v>19.8551811470305</v>
      </c>
      <c r="F1228" s="262"/>
      <c r="G1228" s="261">
        <f t="shared" si="24"/>
        <v>50</v>
      </c>
      <c r="H1228" s="263">
        <f>IF(B1228="RTG Crane",IF(D1228&lt;600,800000,1200000),VLOOKUP(B1228,'$$$ Replace &amp; Retrofit'!$B$10:$C$14,2)*'CHE Model poplulation'!D1313)*E1228</f>
        <v>1302996.2627738765</v>
      </c>
      <c r="I1228" s="263">
        <f>E1228*VLOOKUP('CHE Model poplulation'!G1313,'$$$ Replace &amp; Retrofit'!$I$10:$J$15,2)</f>
        <v>349212.92601397244</v>
      </c>
      <c r="J1228" s="271">
        <f>IF(D1228=50,VLOOKUP(0,'$$$ Replace &amp; Retrofit'!$E$10:$F$13,2),IF(D1228&lt;175,VLOOKUP(50,'$$$ Replace &amp; Retrofit'!$E$10:$F$13,2),IF(D1228&lt;400,VLOOKUP(175,'$$$ Replace &amp; Retrofit'!$E$10:$F$13,2),IF(D1228&gt;=400,VLOOKUP(400,'$$$ Replace &amp; Retrofit'!$E$10:$F$13,2),NA))))*E1228</f>
        <v>238262.17376436599</v>
      </c>
      <c r="K1228" s="261"/>
      <c r="L1228" s="261"/>
      <c r="M1228" s="261"/>
    </row>
    <row r="1229" spans="1:13" ht="30" x14ac:dyDescent="0.25">
      <c r="A1229" s="259" t="s">
        <v>249</v>
      </c>
      <c r="B1229" s="259" t="s">
        <v>192</v>
      </c>
      <c r="C1229" s="260">
        <v>2011</v>
      </c>
      <c r="D1229" s="260">
        <v>100</v>
      </c>
      <c r="E1229" s="261">
        <v>91.423212078264498</v>
      </c>
      <c r="F1229" s="262"/>
      <c r="G1229" s="261">
        <f t="shared" si="24"/>
        <v>125</v>
      </c>
      <c r="H1229" s="263">
        <f>IF(B1229="RTG Crane",IF(D1229&lt;600,800000,1200000),VLOOKUP(B1229,'$$$ Replace &amp; Retrofit'!$B$10:$C$14,2)*'CHE Model poplulation'!D1314)*E1229</f>
        <v>7999531.0568481432</v>
      </c>
      <c r="I1229" s="263">
        <f>E1229*VLOOKUP('CHE Model poplulation'!G1314,'$$$ Replace &amp; Retrofit'!$I$10:$J$15,2)</f>
        <v>1804054.2439403934</v>
      </c>
      <c r="J1229" s="271">
        <f>IF(D1229=50,VLOOKUP(0,'$$$ Replace &amp; Retrofit'!$E$10:$F$13,2),IF(D1229&lt;175,VLOOKUP(50,'$$$ Replace &amp; Retrofit'!$E$10:$F$13,2),IF(D1229&lt;400,VLOOKUP(175,'$$$ Replace &amp; Retrofit'!$E$10:$F$13,2),IF(D1229&gt;=400,VLOOKUP(400,'$$$ Replace &amp; Retrofit'!$E$10:$F$13,2),NA))))*E1229</f>
        <v>1097078.5449391741</v>
      </c>
      <c r="K1229" s="261"/>
      <c r="L1229" s="261"/>
      <c r="M1229" s="261"/>
    </row>
    <row r="1230" spans="1:13" ht="30" x14ac:dyDescent="0.25">
      <c r="A1230" s="259" t="s">
        <v>249</v>
      </c>
      <c r="B1230" s="259" t="s">
        <v>192</v>
      </c>
      <c r="C1230" s="260">
        <v>2011</v>
      </c>
      <c r="D1230" s="260">
        <v>175</v>
      </c>
      <c r="E1230" s="261">
        <v>113.50210705140999</v>
      </c>
      <c r="F1230" s="262"/>
      <c r="G1230" s="261">
        <f t="shared" si="24"/>
        <v>175</v>
      </c>
      <c r="H1230" s="263">
        <f>IF(B1230="RTG Crane",IF(D1230&lt;600,800000,1200000),VLOOKUP(B1230,'$$$ Replace &amp; Retrofit'!$B$10:$C$14,2)*'CHE Model poplulation'!D1315)*E1230</f>
        <v>17380010.142247155</v>
      </c>
      <c r="I1230" s="263">
        <f>E1230*VLOOKUP('CHE Model poplulation'!G1315,'$$$ Replace &amp; Retrofit'!$I$10:$J$15,2)</f>
        <v>2814398.2464467622</v>
      </c>
      <c r="J1230" s="271">
        <f>IF(D1230=50,VLOOKUP(0,'$$$ Replace &amp; Retrofit'!$E$10:$F$13,2),IF(D1230&lt;175,VLOOKUP(50,'$$$ Replace &amp; Retrofit'!$E$10:$F$13,2),IF(D1230&lt;400,VLOOKUP(175,'$$$ Replace &amp; Retrofit'!$E$10:$F$13,2),IF(D1230&gt;=400,VLOOKUP(400,'$$$ Replace &amp; Retrofit'!$E$10:$F$13,2),NA))))*E1230</f>
        <v>2043037.9269253798</v>
      </c>
      <c r="K1230" s="261"/>
      <c r="L1230" s="261"/>
      <c r="M1230" s="261"/>
    </row>
    <row r="1231" spans="1:13" ht="30" x14ac:dyDescent="0.25">
      <c r="A1231" s="259" t="s">
        <v>249</v>
      </c>
      <c r="B1231" s="259" t="s">
        <v>192</v>
      </c>
      <c r="C1231" s="260">
        <v>2011</v>
      </c>
      <c r="D1231" s="260">
        <v>300</v>
      </c>
      <c r="E1231" s="261">
        <v>36.604449382096</v>
      </c>
      <c r="F1231" s="262"/>
      <c r="G1231" s="261">
        <f t="shared" si="24"/>
        <v>300</v>
      </c>
      <c r="H1231" s="263">
        <f>IF(B1231="RTG Crane",IF(D1231&lt;600,800000,1200000),VLOOKUP(B1231,'$$$ Replace &amp; Retrofit'!$B$10:$C$14,2)*'CHE Model poplulation'!D1316)*E1231</f>
        <v>9608667.9628001992</v>
      </c>
      <c r="I1231" s="263">
        <f>E1231*VLOOKUP('CHE Model poplulation'!G1316,'$$$ Replace &amp; Retrofit'!$I$10:$J$15,2)</f>
        <v>1052853.7775772272</v>
      </c>
      <c r="J1231" s="271">
        <f>IF(D1231=50,VLOOKUP(0,'$$$ Replace &amp; Retrofit'!$E$10:$F$13,2),IF(D1231&lt;175,VLOOKUP(50,'$$$ Replace &amp; Retrofit'!$E$10:$F$13,2),IF(D1231&lt;400,VLOOKUP(175,'$$$ Replace &amp; Retrofit'!$E$10:$F$13,2),IF(D1231&gt;=400,VLOOKUP(400,'$$$ Replace &amp; Retrofit'!$E$10:$F$13,2),NA))))*E1231</f>
        <v>658880.08887772798</v>
      </c>
      <c r="K1231" s="261"/>
      <c r="L1231" s="261"/>
      <c r="M1231" s="261"/>
    </row>
    <row r="1232" spans="1:13" ht="30" x14ac:dyDescent="0.25">
      <c r="A1232" s="259" t="s">
        <v>249</v>
      </c>
      <c r="B1232" s="259" t="s">
        <v>192</v>
      </c>
      <c r="C1232" s="260">
        <v>2011</v>
      </c>
      <c r="D1232" s="260">
        <v>600</v>
      </c>
      <c r="E1232" s="261">
        <v>8.8067956042575801</v>
      </c>
      <c r="F1232" s="262"/>
      <c r="G1232" s="261">
        <f t="shared" si="24"/>
        <v>400</v>
      </c>
      <c r="H1232" s="263">
        <f>IF(B1232="RTG Crane",IF(D1232&lt;600,800000,1200000),VLOOKUP(B1232,'$$$ Replace &amp; Retrofit'!$B$10:$C$14,2)*'CHE Model poplulation'!D1317)*E1232</f>
        <v>4623567.6922352295</v>
      </c>
      <c r="I1232" s="263">
        <f>E1232*VLOOKUP('CHE Model poplulation'!G1317,'$$$ Replace &amp; Retrofit'!$I$10:$J$15,2)</f>
        <v>460886.03435761196</v>
      </c>
      <c r="J1232" s="271">
        <f>IF(D1232=50,VLOOKUP(0,'$$$ Replace &amp; Retrofit'!$E$10:$F$13,2),IF(D1232&lt;175,VLOOKUP(50,'$$$ Replace &amp; Retrofit'!$E$10:$F$13,2),IF(D1232&lt;400,VLOOKUP(175,'$$$ Replace &amp; Retrofit'!$E$10:$F$13,2),IF(D1232&gt;=400,VLOOKUP(400,'$$$ Replace &amp; Retrofit'!$E$10:$F$13,2),NA))))*E1232</f>
        <v>264203.86812772742</v>
      </c>
      <c r="K1232" s="261"/>
      <c r="L1232" s="261"/>
      <c r="M1232" s="261"/>
    </row>
    <row r="1233" spans="1:16" ht="45" x14ac:dyDescent="0.25">
      <c r="A1233" s="259" t="s">
        <v>249</v>
      </c>
      <c r="B1233" s="259" t="s">
        <v>211</v>
      </c>
      <c r="C1233" s="260">
        <v>2011</v>
      </c>
      <c r="D1233" s="260">
        <v>50</v>
      </c>
      <c r="E1233" s="261">
        <v>3.9591603706610599</v>
      </c>
      <c r="F1233" s="262"/>
      <c r="G1233" s="261">
        <f t="shared" si="24"/>
        <v>50</v>
      </c>
      <c r="H1233" s="263">
        <f>IF(B1233="RTG Crane",IF(D1233&lt;600,800000,1200000),VLOOKUP(B1233,'$$$ Replace &amp; Retrofit'!$B$10:$C$14,2)*'CHE Model poplulation'!D1432)*E1233</f>
        <v>197958.01853305299</v>
      </c>
      <c r="I1233" s="263">
        <f>E1233*VLOOKUP('CHE Model poplulation'!G1432,'$$$ Replace &amp; Retrofit'!$I$10:$J$15,2)</f>
        <v>69633.712599186721</v>
      </c>
      <c r="J1233" s="271">
        <f>IF(D1233=50,VLOOKUP(0,'$$$ Replace &amp; Retrofit'!$E$10:$F$13,2),IF(D1233&lt;175,VLOOKUP(50,'$$$ Replace &amp; Retrofit'!$E$10:$F$13,2),IF(D1233&lt;400,VLOOKUP(175,'$$$ Replace &amp; Retrofit'!$E$10:$F$13,2),IF(D1233&gt;=400,VLOOKUP(400,'$$$ Replace &amp; Retrofit'!$E$10:$F$13,2),NA))))*E1233</f>
        <v>31673.282965288479</v>
      </c>
      <c r="K1233" s="261"/>
      <c r="L1233" s="261"/>
      <c r="M1233" s="261"/>
    </row>
    <row r="1234" spans="1:16" ht="45" x14ac:dyDescent="0.25">
      <c r="A1234" s="259" t="s">
        <v>249</v>
      </c>
      <c r="B1234" s="259" t="s">
        <v>211</v>
      </c>
      <c r="C1234" s="260">
        <v>2011</v>
      </c>
      <c r="D1234" s="260">
        <v>75</v>
      </c>
      <c r="E1234" s="261">
        <v>1.8379586363100799</v>
      </c>
      <c r="F1234" s="262"/>
      <c r="G1234" s="261">
        <f t="shared" si="24"/>
        <v>50</v>
      </c>
      <c r="H1234" s="263">
        <f>IF(B1234="RTG Crane",IF(D1234&lt;600,800000,1200000),VLOOKUP(B1234,'$$$ Replace &amp; Retrofit'!$B$10:$C$14,2)*'CHE Model poplulation'!D1433)*E1234</f>
        <v>137846.897723256</v>
      </c>
      <c r="I1234" s="263">
        <f>E1234*VLOOKUP('CHE Model poplulation'!G1433,'$$$ Replace &amp; Retrofit'!$I$10:$J$15,2)</f>
        <v>32326.016495421685</v>
      </c>
      <c r="J1234" s="271">
        <f>IF(D1234=50,VLOOKUP(0,'$$$ Replace &amp; Retrofit'!$E$10:$F$13,2),IF(D1234&lt;175,VLOOKUP(50,'$$$ Replace &amp; Retrofit'!$E$10:$F$13,2),IF(D1234&lt;400,VLOOKUP(175,'$$$ Replace &amp; Retrofit'!$E$10:$F$13,2),IF(D1234&gt;=400,VLOOKUP(400,'$$$ Replace &amp; Retrofit'!$E$10:$F$13,2),NA))))*E1234</f>
        <v>22055.503635720961</v>
      </c>
      <c r="K1234" s="261"/>
      <c r="L1234" s="261"/>
      <c r="M1234" s="261"/>
    </row>
    <row r="1235" spans="1:16" ht="45" x14ac:dyDescent="0.25">
      <c r="A1235" s="259" t="s">
        <v>249</v>
      </c>
      <c r="B1235" s="259" t="s">
        <v>211</v>
      </c>
      <c r="C1235" s="260">
        <v>2011</v>
      </c>
      <c r="D1235" s="260">
        <v>100</v>
      </c>
      <c r="E1235" s="261">
        <v>2.3358920511952799</v>
      </c>
      <c r="F1235" s="262"/>
      <c r="G1235" s="261">
        <f t="shared" si="24"/>
        <v>125</v>
      </c>
      <c r="H1235" s="263">
        <f>IF(B1235="RTG Crane",IF(D1235&lt;600,800000,1200000),VLOOKUP(B1235,'$$$ Replace &amp; Retrofit'!$B$10:$C$14,2)*'CHE Model poplulation'!D1434)*E1235</f>
        <v>233589.20511952799</v>
      </c>
      <c r="I1235" s="263">
        <f>E1235*VLOOKUP('CHE Model poplulation'!G1434,'$$$ Replace &amp; Retrofit'!$I$10:$J$15,2)</f>
        <v>46094.157846236456</v>
      </c>
      <c r="J1235" s="271">
        <f>IF(D1235=50,VLOOKUP(0,'$$$ Replace &amp; Retrofit'!$E$10:$F$13,2),IF(D1235&lt;175,VLOOKUP(50,'$$$ Replace &amp; Retrofit'!$E$10:$F$13,2),IF(D1235&lt;400,VLOOKUP(175,'$$$ Replace &amp; Retrofit'!$E$10:$F$13,2),IF(D1235&gt;=400,VLOOKUP(400,'$$$ Replace &amp; Retrofit'!$E$10:$F$13,2),NA))))*E1235</f>
        <v>28030.704614343358</v>
      </c>
      <c r="K1235" s="261"/>
      <c r="L1235" s="261"/>
      <c r="M1235" s="261"/>
    </row>
    <row r="1236" spans="1:16" ht="45" x14ac:dyDescent="0.25">
      <c r="A1236" s="259" t="s">
        <v>249</v>
      </c>
      <c r="B1236" s="259" t="s">
        <v>211</v>
      </c>
      <c r="C1236" s="260">
        <v>2011</v>
      </c>
      <c r="D1236" s="260">
        <v>175</v>
      </c>
      <c r="E1236" s="261">
        <v>2.6119901309429499</v>
      </c>
      <c r="F1236" s="262"/>
      <c r="G1236" s="261">
        <f t="shared" si="24"/>
        <v>175</v>
      </c>
      <c r="H1236" s="263">
        <f>IF(B1236="RTG Crane",IF(D1236&lt;600,800000,1200000),VLOOKUP(B1236,'$$$ Replace &amp; Retrofit'!$B$10:$C$14,2)*'CHE Model poplulation'!D1435)*E1236</f>
        <v>457098.27291501622</v>
      </c>
      <c r="I1236" s="263">
        <f>E1236*VLOOKUP('CHE Model poplulation'!G1435,'$$$ Replace &amp; Retrofit'!$I$10:$J$15,2)</f>
        <v>64766.907286861388</v>
      </c>
      <c r="J1236" s="271">
        <f>IF(D1236=50,VLOOKUP(0,'$$$ Replace &amp; Retrofit'!$E$10:$F$13,2),IF(D1236&lt;175,VLOOKUP(50,'$$$ Replace &amp; Retrofit'!$E$10:$F$13,2),IF(D1236&lt;400,VLOOKUP(175,'$$$ Replace &amp; Retrofit'!$E$10:$F$13,2),IF(D1236&gt;=400,VLOOKUP(400,'$$$ Replace &amp; Retrofit'!$E$10:$F$13,2),NA))))*E1236</f>
        <v>47015.822356973098</v>
      </c>
      <c r="K1236" s="261"/>
      <c r="L1236" s="261"/>
      <c r="M1236" s="261"/>
    </row>
    <row r="1237" spans="1:16" ht="45" x14ac:dyDescent="0.25">
      <c r="A1237" s="259" t="s">
        <v>249</v>
      </c>
      <c r="B1237" s="259" t="s">
        <v>211</v>
      </c>
      <c r="C1237" s="260">
        <v>2011</v>
      </c>
      <c r="D1237" s="260">
        <v>300</v>
      </c>
      <c r="E1237" s="261">
        <v>2.4803618255209701</v>
      </c>
      <c r="F1237" s="262"/>
      <c r="G1237" s="261">
        <f t="shared" si="24"/>
        <v>300</v>
      </c>
      <c r="H1237" s="263">
        <f>IF(B1237="RTG Crane",IF(D1237&lt;600,800000,1200000),VLOOKUP(B1237,'$$$ Replace &amp; Retrofit'!$B$10:$C$14,2)*'CHE Model poplulation'!D1436)*E1237</f>
        <v>744108.54765629105</v>
      </c>
      <c r="I1237" s="263">
        <f>E1237*VLOOKUP('CHE Model poplulation'!G1436,'$$$ Replace &amp; Retrofit'!$I$10:$J$15,2)</f>
        <v>71342.647187459661</v>
      </c>
      <c r="J1237" s="271">
        <f>IF(D1237=50,VLOOKUP(0,'$$$ Replace &amp; Retrofit'!$E$10:$F$13,2),IF(D1237&lt;175,VLOOKUP(50,'$$$ Replace &amp; Retrofit'!$E$10:$F$13,2),IF(D1237&lt;400,VLOOKUP(175,'$$$ Replace &amp; Retrofit'!$E$10:$F$13,2),IF(D1237&gt;=400,VLOOKUP(400,'$$$ Replace &amp; Retrofit'!$E$10:$F$13,2),NA))))*E1237</f>
        <v>44646.512859377464</v>
      </c>
      <c r="K1237" s="261"/>
      <c r="L1237" s="261"/>
      <c r="M1237" s="261"/>
    </row>
    <row r="1238" spans="1:16" ht="45" x14ac:dyDescent="0.25">
      <c r="A1238" s="259" t="s">
        <v>249</v>
      </c>
      <c r="B1238" s="259" t="s">
        <v>211</v>
      </c>
      <c r="C1238" s="260">
        <v>2011</v>
      </c>
      <c r="D1238" s="260">
        <v>600</v>
      </c>
      <c r="E1238" s="261">
        <v>1.1123764954095099</v>
      </c>
      <c r="F1238" s="262"/>
      <c r="G1238" s="261">
        <f t="shared" si="24"/>
        <v>400</v>
      </c>
      <c r="H1238" s="263">
        <f>IF(B1238="RTG Crane",IF(D1238&lt;600,800000,1200000),VLOOKUP(B1238,'$$$ Replace &amp; Retrofit'!$B$10:$C$14,2)*'CHE Model poplulation'!D1437)*E1238</f>
        <v>667425.89724570594</v>
      </c>
      <c r="I1238" s="263">
        <f>E1238*VLOOKUP('CHE Model poplulation'!G1437,'$$$ Replace &amp; Retrofit'!$I$10:$J$15,2)</f>
        <v>58213.999134265883</v>
      </c>
      <c r="J1238" s="271">
        <f>IF(D1238=50,VLOOKUP(0,'$$$ Replace &amp; Retrofit'!$E$10:$F$13,2),IF(D1238&lt;175,VLOOKUP(50,'$$$ Replace &amp; Retrofit'!$E$10:$F$13,2),IF(D1238&lt;400,VLOOKUP(175,'$$$ Replace &amp; Retrofit'!$E$10:$F$13,2),IF(D1238&gt;=400,VLOOKUP(400,'$$$ Replace &amp; Retrofit'!$E$10:$F$13,2),NA))))*E1238</f>
        <v>33371.2948622853</v>
      </c>
      <c r="K1238" s="261"/>
      <c r="L1238" s="261"/>
      <c r="M1238" s="261"/>
    </row>
    <row r="1239" spans="1:16" ht="30" x14ac:dyDescent="0.25">
      <c r="A1239" s="259" t="s">
        <v>249</v>
      </c>
      <c r="B1239" s="259" t="s">
        <v>212</v>
      </c>
      <c r="C1239" s="260">
        <v>2011</v>
      </c>
      <c r="D1239" s="260">
        <v>100</v>
      </c>
      <c r="E1239" s="261">
        <v>8.9624545821558294E-2</v>
      </c>
      <c r="F1239" s="262"/>
      <c r="G1239" s="261">
        <f t="shared" si="24"/>
        <v>125</v>
      </c>
      <c r="H1239" s="263">
        <f>IF(B1239="RTG Crane",IF(D1239&lt;600,800000,1200000),VLOOKUP(B1239,'$$$ Replace &amp; Retrofit'!$B$10:$C$14,2)*'CHE Model poplulation'!D1547)*E1239</f>
        <v>71699.636657246636</v>
      </c>
      <c r="I1239" s="263">
        <f>E1239*VLOOKUP('CHE Model poplulation'!G1547,'$$$ Replace &amp; Retrofit'!$I$10:$J$15,2)</f>
        <v>1768.5611626968098</v>
      </c>
      <c r="J1239" s="271">
        <f>IF(D1239=50,VLOOKUP(0,'$$$ Replace &amp; Retrofit'!$E$10:$F$13,2),IF(D1239&lt;175,VLOOKUP(50,'$$$ Replace &amp; Retrofit'!$E$10:$F$13,2),IF(D1239&lt;400,VLOOKUP(175,'$$$ Replace &amp; Retrofit'!$E$10:$F$13,2),IF(D1239&gt;=400,VLOOKUP(400,'$$$ Replace &amp; Retrofit'!$E$10:$F$13,2),NA))))*E1239</f>
        <v>1075.4945498586994</v>
      </c>
      <c r="K1239" s="261"/>
      <c r="L1239" s="261"/>
      <c r="M1239" s="261"/>
    </row>
    <row r="1240" spans="1:16" ht="30" x14ac:dyDescent="0.25">
      <c r="A1240" s="259" t="s">
        <v>249</v>
      </c>
      <c r="B1240" s="259" t="s">
        <v>212</v>
      </c>
      <c r="C1240" s="260">
        <v>2011</v>
      </c>
      <c r="D1240" s="260">
        <v>300</v>
      </c>
      <c r="E1240" s="261">
        <v>8.2063178274629198</v>
      </c>
      <c r="F1240" s="262"/>
      <c r="G1240" s="261">
        <f t="shared" si="24"/>
        <v>300</v>
      </c>
      <c r="H1240" s="263">
        <f>IF(B1240="RTG Crane",IF(D1240&lt;600,800000,1200000),VLOOKUP(B1240,'$$$ Replace &amp; Retrofit'!$B$10:$C$14,2)*'CHE Model poplulation'!D1548)*E1240</f>
        <v>6565054.2619703356</v>
      </c>
      <c r="I1240" s="263">
        <f>E1240*VLOOKUP('CHE Model poplulation'!G1548,'$$$ Replace &amp; Retrofit'!$I$10:$J$15,2)</f>
        <v>236038.31967131596</v>
      </c>
      <c r="J1240" s="271">
        <f>IF(D1240=50,VLOOKUP(0,'$$$ Replace &amp; Retrofit'!$E$10:$F$13,2),IF(D1240&lt;175,VLOOKUP(50,'$$$ Replace &amp; Retrofit'!$E$10:$F$13,2),IF(D1240&lt;400,VLOOKUP(175,'$$$ Replace &amp; Retrofit'!$E$10:$F$13,2),IF(D1240&gt;=400,VLOOKUP(400,'$$$ Replace &amp; Retrofit'!$E$10:$F$13,2),NA))))*E1240</f>
        <v>147713.72089433257</v>
      </c>
      <c r="K1240" s="261"/>
      <c r="L1240" s="261"/>
      <c r="M1240" s="261"/>
    </row>
    <row r="1241" spans="1:16" ht="30" x14ac:dyDescent="0.25">
      <c r="A1241" s="259" t="s">
        <v>249</v>
      </c>
      <c r="B1241" s="259" t="s">
        <v>212</v>
      </c>
      <c r="C1241" s="260">
        <v>2011</v>
      </c>
      <c r="D1241" s="260">
        <v>600</v>
      </c>
      <c r="E1241" s="261">
        <v>14.0415597811197</v>
      </c>
      <c r="F1241" s="262"/>
      <c r="G1241" s="261">
        <f t="shared" si="24"/>
        <v>400</v>
      </c>
      <c r="H1241" s="263">
        <f>IF(B1241="RTG Crane",IF(D1241&lt;600,800000,1200000),VLOOKUP(B1241,'$$$ Replace &amp; Retrofit'!$B$10:$C$14,2)*'CHE Model poplulation'!D1549)*E1241</f>
        <v>16849871.737343639</v>
      </c>
      <c r="I1241" s="263">
        <f>E1241*VLOOKUP('CHE Model poplulation'!G1549,'$$$ Replace &amp; Retrofit'!$I$10:$J$15,2)</f>
        <v>734836.9480253373</v>
      </c>
      <c r="J1241" s="271">
        <f>IF(D1241=50,VLOOKUP(0,'$$$ Replace &amp; Retrofit'!$E$10:$F$13,2),IF(D1241&lt;175,VLOOKUP(50,'$$$ Replace &amp; Retrofit'!$E$10:$F$13,2),IF(D1241&lt;400,VLOOKUP(175,'$$$ Replace &amp; Retrofit'!$E$10:$F$13,2),IF(D1241&gt;=400,VLOOKUP(400,'$$$ Replace &amp; Retrofit'!$E$10:$F$13,2),NA))))*E1241</f>
        <v>421246.79343359102</v>
      </c>
      <c r="K1241" s="261"/>
      <c r="L1241" s="261"/>
      <c r="M1241" s="261"/>
    </row>
    <row r="1242" spans="1:16" ht="30" x14ac:dyDescent="0.25">
      <c r="A1242" s="259" t="s">
        <v>249</v>
      </c>
      <c r="B1242" s="259" t="s">
        <v>212</v>
      </c>
      <c r="C1242" s="260">
        <v>2011</v>
      </c>
      <c r="D1242" s="260">
        <v>750</v>
      </c>
      <c r="E1242" s="261">
        <v>8.3654164743390105</v>
      </c>
      <c r="F1242" s="262"/>
      <c r="G1242" s="261">
        <f t="shared" si="24"/>
        <v>400</v>
      </c>
      <c r="H1242" s="263">
        <f>IF(B1242="RTG Crane",IF(D1242&lt;600,800000,1200000),VLOOKUP(B1242,'$$$ Replace &amp; Retrofit'!$B$10:$C$14,2)*'CHE Model poplulation'!D1550)*E1242</f>
        <v>10038499.769206813</v>
      </c>
      <c r="I1242" s="263">
        <f>E1242*VLOOKUP('CHE Model poplulation'!G1550,'$$$ Replace &amp; Retrofit'!$I$10:$J$15,2)</f>
        <v>437787.34035158344</v>
      </c>
      <c r="J1242" s="271">
        <f>IF(D1242=50,VLOOKUP(0,'$$$ Replace &amp; Retrofit'!$E$10:$F$13,2),IF(D1242&lt;175,VLOOKUP(50,'$$$ Replace &amp; Retrofit'!$E$10:$F$13,2),IF(D1242&lt;400,VLOOKUP(175,'$$$ Replace &amp; Retrofit'!$E$10:$F$13,2),IF(D1242&gt;=400,VLOOKUP(400,'$$$ Replace &amp; Retrofit'!$E$10:$F$13,2),NA))))*E1242</f>
        <v>250962.49423017033</v>
      </c>
      <c r="K1242" s="261"/>
      <c r="L1242" s="261"/>
      <c r="M1242" s="261"/>
    </row>
    <row r="1243" spans="1:16" ht="30" x14ac:dyDescent="0.25">
      <c r="A1243" s="259" t="s">
        <v>249</v>
      </c>
      <c r="B1243" s="259" t="s">
        <v>212</v>
      </c>
      <c r="C1243" s="260">
        <v>2011</v>
      </c>
      <c r="D1243" s="260">
        <v>9999</v>
      </c>
      <c r="E1243" s="261">
        <v>3.7163424834051502</v>
      </c>
      <c r="F1243" s="262"/>
      <c r="G1243" s="261">
        <f t="shared" si="24"/>
        <v>400</v>
      </c>
      <c r="H1243" s="263">
        <f>IF(B1243="RTG Crane",IF(D1243&lt;600,800000,1200000),VLOOKUP(B1243,'$$$ Replace &amp; Retrofit'!$B$10:$C$14,2)*'CHE Model poplulation'!D1551)*E1243</f>
        <v>4459610.9800861804</v>
      </c>
      <c r="I1243" s="263">
        <f>E1243*VLOOKUP('CHE Model poplulation'!G1551,'$$$ Replace &amp; Retrofit'!$I$10:$J$15,2)</f>
        <v>194487.35118404173</v>
      </c>
      <c r="J1243" s="271">
        <f>IF(D1243=50,VLOOKUP(0,'$$$ Replace &amp; Retrofit'!$E$10:$F$13,2),IF(D1243&lt;175,VLOOKUP(50,'$$$ Replace &amp; Retrofit'!$E$10:$F$13,2),IF(D1243&lt;400,VLOOKUP(175,'$$$ Replace &amp; Retrofit'!$E$10:$F$13,2),IF(D1243&gt;=400,VLOOKUP(400,'$$$ Replace &amp; Retrofit'!$E$10:$F$13,2),NA))))*E1243</f>
        <v>111490.2745021545</v>
      </c>
      <c r="K1243" s="266">
        <f t="shared" ref="K1243:L1243" si="25">SUM(H1217:H1243)</f>
        <v>95683592.038820028</v>
      </c>
      <c r="L1243" s="266">
        <f t="shared" si="25"/>
        <v>10057608.85149212</v>
      </c>
      <c r="M1243" s="266">
        <f>SUM(J1217:J1243)</f>
        <v>6401528.3674618127</v>
      </c>
      <c r="N1243" s="239">
        <f>K1243-N1216</f>
        <v>91525790.21314241</v>
      </c>
      <c r="O1243" s="239">
        <f t="shared" ref="O1243:P1243" si="26">L1243-O1216</f>
        <v>9546504.9732774738</v>
      </c>
      <c r="P1243" s="239">
        <f t="shared" si="26"/>
        <v>6085566.1686329814</v>
      </c>
    </row>
    <row r="1244" spans="1:16" ht="30" x14ac:dyDescent="0.25">
      <c r="A1244" s="259" t="s">
        <v>249</v>
      </c>
      <c r="B1244" s="259" t="s">
        <v>206</v>
      </c>
      <c r="C1244" s="260">
        <v>2012</v>
      </c>
      <c r="D1244" s="260">
        <v>50</v>
      </c>
      <c r="E1244" s="261">
        <v>1.4705922128881199</v>
      </c>
      <c r="F1244" s="262"/>
      <c r="G1244" s="261">
        <f t="shared" si="24"/>
        <v>50</v>
      </c>
      <c r="H1244" s="263">
        <f>IF(B1244="RTG Crane",IF(D1244&lt;600,800000,1200000),VLOOKUP(B1244,'$$$ Replace &amp; Retrofit'!$B$10:$C$14,2)*'CHE Model poplulation'!D1118)*E1244</f>
        <v>73529.610644405999</v>
      </c>
      <c r="I1244" s="263">
        <f>E1244*VLOOKUP('CHE Model poplulation'!G1118,'$$$ Replace &amp; Retrofit'!$I$10:$J$15,2)</f>
        <v>25864.775840276252</v>
      </c>
      <c r="J1244" s="272">
        <f>IF(D1244=50,VLOOKUP(0,'$$$ Replace &amp; Retrofit'!$E$10:$F$13,2),IF(D1244&lt;175,VLOOKUP(50,'$$$ Replace &amp; Retrofit'!$E$10:$F$13,2),IF(D1244&lt;400,VLOOKUP(175,'$$$ Replace &amp; Retrofit'!$E$10:$F$13,2),IF(D1244&gt;=400,VLOOKUP(400,'$$$ Replace &amp; Retrofit'!$E$10:$F$13,2),NA))))*E1244</f>
        <v>11764.73770310496</v>
      </c>
      <c r="K1244" s="261"/>
      <c r="L1244" s="261"/>
      <c r="M1244" s="261"/>
    </row>
    <row r="1245" spans="1:16" ht="30" x14ac:dyDescent="0.25">
      <c r="A1245" s="259" t="s">
        <v>249</v>
      </c>
      <c r="B1245" s="259" t="s">
        <v>206</v>
      </c>
      <c r="C1245" s="260">
        <v>2012</v>
      </c>
      <c r="D1245" s="260">
        <v>75</v>
      </c>
      <c r="E1245" s="261">
        <v>2.55752906544092</v>
      </c>
      <c r="F1245" s="262"/>
      <c r="G1245" s="261">
        <f t="shared" si="24"/>
        <v>50</v>
      </c>
      <c r="H1245" s="263">
        <f>IF(B1245="RTG Crane",IF(D1245&lt;600,800000,1200000),VLOOKUP(B1245,'$$$ Replace &amp; Retrofit'!$B$10:$C$14,2)*'CHE Model poplulation'!D1119)*E1245</f>
        <v>191814.679908069</v>
      </c>
      <c r="I1245" s="263">
        <f>E1245*VLOOKUP('CHE Model poplulation'!G1119,'$$$ Replace &amp; Retrofit'!$I$10:$J$15,2)</f>
        <v>44981.821202974897</v>
      </c>
      <c r="J1245" s="272">
        <f>IF(D1245=50,VLOOKUP(0,'$$$ Replace &amp; Retrofit'!$E$10:$F$13,2),IF(D1245&lt;175,VLOOKUP(50,'$$$ Replace &amp; Retrofit'!$E$10:$F$13,2),IF(D1245&lt;400,VLOOKUP(175,'$$$ Replace &amp; Retrofit'!$E$10:$F$13,2),IF(D1245&gt;=400,VLOOKUP(400,'$$$ Replace &amp; Retrofit'!$E$10:$F$13,2),NA))))*E1245</f>
        <v>30690.34878529104</v>
      </c>
      <c r="K1245" s="261"/>
      <c r="L1245" s="261"/>
      <c r="M1245" s="261"/>
    </row>
    <row r="1246" spans="1:16" ht="30" x14ac:dyDescent="0.25">
      <c r="A1246" s="259" t="s">
        <v>249</v>
      </c>
      <c r="B1246" s="259" t="s">
        <v>206</v>
      </c>
      <c r="C1246" s="260">
        <v>2012</v>
      </c>
      <c r="D1246" s="260">
        <v>100</v>
      </c>
      <c r="E1246" s="261">
        <v>2.5735114017265501</v>
      </c>
      <c r="F1246" s="262"/>
      <c r="G1246" s="261">
        <f t="shared" si="24"/>
        <v>125</v>
      </c>
      <c r="H1246" s="263">
        <f>IF(B1246="RTG Crane",IF(D1246&lt;600,800000,1200000),VLOOKUP(B1246,'$$$ Replace &amp; Retrofit'!$B$10:$C$14,2)*'CHE Model poplulation'!D1120)*E1246</f>
        <v>257351.14017265502</v>
      </c>
      <c r="I1246" s="263">
        <f>E1246*VLOOKUP('CHE Model poplulation'!G1120,'$$$ Replace &amp; Retrofit'!$I$10:$J$15,2)</f>
        <v>50783.100490270015</v>
      </c>
      <c r="J1246" s="272">
        <f>IF(D1246=50,VLOOKUP(0,'$$$ Replace &amp; Retrofit'!$E$10:$F$13,2),IF(D1246&lt;175,VLOOKUP(50,'$$$ Replace &amp; Retrofit'!$E$10:$F$13,2),IF(D1246&lt;400,VLOOKUP(175,'$$$ Replace &amp; Retrofit'!$E$10:$F$13,2),IF(D1246&gt;=400,VLOOKUP(400,'$$$ Replace &amp; Retrofit'!$E$10:$F$13,2),NA))))*E1246</f>
        <v>30882.136820718602</v>
      </c>
      <c r="K1246" s="261"/>
      <c r="L1246" s="261"/>
      <c r="M1246" s="261"/>
    </row>
    <row r="1247" spans="1:16" ht="30" x14ac:dyDescent="0.25">
      <c r="A1247" s="259" t="s">
        <v>249</v>
      </c>
      <c r="B1247" s="259" t="s">
        <v>206</v>
      </c>
      <c r="C1247" s="260">
        <v>2012</v>
      </c>
      <c r="D1247" s="260">
        <v>175</v>
      </c>
      <c r="E1247" s="261">
        <v>4.3466826053932097</v>
      </c>
      <c r="F1247" s="262"/>
      <c r="G1247" s="261">
        <f t="shared" si="24"/>
        <v>175</v>
      </c>
      <c r="H1247" s="263">
        <f>IF(B1247="RTG Crane",IF(D1247&lt;600,800000,1200000),VLOOKUP(B1247,'$$$ Replace &amp; Retrofit'!$B$10:$C$14,2)*'CHE Model poplulation'!D1121)*E1247</f>
        <v>760669.45594381168</v>
      </c>
      <c r="I1247" s="263">
        <f>E1247*VLOOKUP('CHE Model poplulation'!G1121,'$$$ Replace &amp; Retrofit'!$I$10:$J$15,2)</f>
        <v>107780.34188333002</v>
      </c>
      <c r="J1247" s="272">
        <f>IF(D1247=50,VLOOKUP(0,'$$$ Replace &amp; Retrofit'!$E$10:$F$13,2),IF(D1247&lt;175,VLOOKUP(50,'$$$ Replace &amp; Retrofit'!$E$10:$F$13,2),IF(D1247&lt;400,VLOOKUP(175,'$$$ Replace &amp; Retrofit'!$E$10:$F$13,2),IF(D1247&gt;=400,VLOOKUP(400,'$$$ Replace &amp; Retrofit'!$E$10:$F$13,2),NA))))*E1247</f>
        <v>78240.286897077778</v>
      </c>
      <c r="K1247" s="261"/>
      <c r="L1247" s="261"/>
      <c r="M1247" s="261"/>
    </row>
    <row r="1248" spans="1:16" ht="30" x14ac:dyDescent="0.25">
      <c r="A1248" s="259" t="s">
        <v>249</v>
      </c>
      <c r="B1248" s="259" t="s">
        <v>206</v>
      </c>
      <c r="C1248" s="260">
        <v>2012</v>
      </c>
      <c r="D1248" s="260">
        <v>300</v>
      </c>
      <c r="E1248" s="261">
        <v>4.3478736544794501</v>
      </c>
      <c r="F1248" s="262"/>
      <c r="G1248" s="261">
        <f t="shared" si="24"/>
        <v>300</v>
      </c>
      <c r="H1248" s="263">
        <f>IF(B1248="RTG Crane",IF(D1248&lt;600,800000,1200000),VLOOKUP(B1248,'$$$ Replace &amp; Retrofit'!$B$10:$C$14,2)*'CHE Model poplulation'!D1122)*E1248</f>
        <v>1304362.0963438351</v>
      </c>
      <c r="I1248" s="263">
        <f>E1248*VLOOKUP('CHE Model poplulation'!G1122,'$$$ Replace &amp; Retrofit'!$I$10:$J$15,2)</f>
        <v>125057.88992379242</v>
      </c>
      <c r="J1248" s="272">
        <f>IF(D1248=50,VLOOKUP(0,'$$$ Replace &amp; Retrofit'!$E$10:$F$13,2),IF(D1248&lt;175,VLOOKUP(50,'$$$ Replace &amp; Retrofit'!$E$10:$F$13,2),IF(D1248&lt;400,VLOOKUP(175,'$$$ Replace &amp; Retrofit'!$E$10:$F$13,2),IF(D1248&gt;=400,VLOOKUP(400,'$$$ Replace &amp; Retrofit'!$E$10:$F$13,2),NA))))*E1248</f>
        <v>78261.725780630106</v>
      </c>
      <c r="K1248" s="261"/>
      <c r="L1248" s="261"/>
      <c r="M1248" s="261"/>
    </row>
    <row r="1249" spans="1:13" ht="30" x14ac:dyDescent="0.25">
      <c r="A1249" s="259" t="s">
        <v>249</v>
      </c>
      <c r="B1249" s="259" t="s">
        <v>206</v>
      </c>
      <c r="C1249" s="260">
        <v>2012</v>
      </c>
      <c r="D1249" s="260">
        <v>600</v>
      </c>
      <c r="E1249" s="261">
        <v>10.677345807350299</v>
      </c>
      <c r="F1249" s="262"/>
      <c r="G1249" s="261">
        <f t="shared" si="24"/>
        <v>400</v>
      </c>
      <c r="H1249" s="263">
        <f>IF(B1249="RTG Crane",IF(D1249&lt;600,800000,1200000),VLOOKUP(B1249,'$$$ Replace &amp; Retrofit'!$B$10:$C$14,2)*'CHE Model poplulation'!D1123)*E1249</f>
        <v>6406407.4844101798</v>
      </c>
      <c r="I1249" s="263">
        <f>E1249*VLOOKUP('CHE Model poplulation'!G1123,'$$$ Replace &amp; Retrofit'!$I$10:$J$15,2)</f>
        <v>558777.53813606326</v>
      </c>
      <c r="J1249" s="272">
        <f>IF(D1249=50,VLOOKUP(0,'$$$ Replace &amp; Retrofit'!$E$10:$F$13,2),IF(D1249&lt;175,VLOOKUP(50,'$$$ Replace &amp; Retrofit'!$E$10:$F$13,2),IF(D1249&lt;400,VLOOKUP(175,'$$$ Replace &amp; Retrofit'!$E$10:$F$13,2),IF(D1249&gt;=400,VLOOKUP(400,'$$$ Replace &amp; Retrofit'!$E$10:$F$13,2),NA))))*E1249</f>
        <v>320320.37422050897</v>
      </c>
      <c r="K1249" s="261"/>
      <c r="L1249" s="261"/>
      <c r="M1249" s="261"/>
    </row>
    <row r="1250" spans="1:13" ht="45" x14ac:dyDescent="0.25">
      <c r="A1250" s="259" t="s">
        <v>249</v>
      </c>
      <c r="B1250" s="259" t="s">
        <v>208</v>
      </c>
      <c r="C1250" s="260">
        <v>2012</v>
      </c>
      <c r="D1250" s="260">
        <v>100</v>
      </c>
      <c r="E1250" s="261">
        <v>9.1846994560496401E-2</v>
      </c>
      <c r="F1250" s="262"/>
      <c r="G1250" s="261">
        <f t="shared" si="24"/>
        <v>125</v>
      </c>
      <c r="H1250" s="263">
        <f>IF(B1250="RTG Crane",IF(D1250&lt;600,800000,1200000),VLOOKUP(B1250,'$$$ Replace &amp; Retrofit'!$B$10:$C$14,2)*'CHE Model poplulation'!D1226)*E1250</f>
        <v>7320.2054664715633</v>
      </c>
      <c r="I1250" s="263">
        <f>E1250*VLOOKUP('CHE Model poplulation'!G1226,'$$$ Replace &amp; Retrofit'!$I$10:$J$15,2)</f>
        <v>1812.4167436622754</v>
      </c>
      <c r="J1250" s="272">
        <f>IF(D1250=50,VLOOKUP(0,'$$$ Replace &amp; Retrofit'!$E$10:$F$13,2),IF(D1250&lt;175,VLOOKUP(50,'$$$ Replace &amp; Retrofit'!$E$10:$F$13,2),IF(D1250&lt;400,VLOOKUP(175,'$$$ Replace &amp; Retrofit'!$E$10:$F$13,2),IF(D1250&gt;=400,VLOOKUP(400,'$$$ Replace &amp; Retrofit'!$E$10:$F$13,2),NA))))*E1250</f>
        <v>1102.1639347259568</v>
      </c>
      <c r="K1250" s="261"/>
      <c r="L1250" s="261"/>
      <c r="M1250" s="261"/>
    </row>
    <row r="1251" spans="1:13" ht="45" x14ac:dyDescent="0.25">
      <c r="A1251" s="259" t="s">
        <v>249</v>
      </c>
      <c r="B1251" s="259" t="s">
        <v>208</v>
      </c>
      <c r="C1251" s="260">
        <v>2012</v>
      </c>
      <c r="D1251" s="260">
        <v>175</v>
      </c>
      <c r="E1251" s="261">
        <v>2.3653366557515598</v>
      </c>
      <c r="F1251" s="262"/>
      <c r="G1251" s="261">
        <f t="shared" si="24"/>
        <v>175</v>
      </c>
      <c r="H1251" s="263">
        <f>IF(B1251="RTG Crane",IF(D1251&lt;600,800000,1200000),VLOOKUP(B1251,'$$$ Replace &amp; Retrofit'!$B$10:$C$14,2)*'CHE Model poplulation'!D1227)*E1251</f>
        <v>329905.33006094879</v>
      </c>
      <c r="I1251" s="263">
        <f>E1251*VLOOKUP('CHE Model poplulation'!G1227,'$$$ Replace &amp; Retrofit'!$I$10:$J$15,2)</f>
        <v>58650.887716015677</v>
      </c>
      <c r="J1251" s="272">
        <f>IF(D1251=50,VLOOKUP(0,'$$$ Replace &amp; Retrofit'!$E$10:$F$13,2),IF(D1251&lt;175,VLOOKUP(50,'$$$ Replace &amp; Retrofit'!$E$10:$F$13,2),IF(D1251&lt;400,VLOOKUP(175,'$$$ Replace &amp; Retrofit'!$E$10:$F$13,2),IF(D1251&gt;=400,VLOOKUP(400,'$$$ Replace &amp; Retrofit'!$E$10:$F$13,2),NA))))*E1251</f>
        <v>42576.059803528078</v>
      </c>
      <c r="K1251" s="261"/>
      <c r="L1251" s="261"/>
      <c r="M1251" s="261"/>
    </row>
    <row r="1252" spans="1:13" ht="45" x14ac:dyDescent="0.25">
      <c r="A1252" s="259" t="s">
        <v>249</v>
      </c>
      <c r="B1252" s="259" t="s">
        <v>208</v>
      </c>
      <c r="C1252" s="260">
        <v>2012</v>
      </c>
      <c r="D1252" s="260">
        <v>300</v>
      </c>
      <c r="E1252" s="261">
        <v>6.6901090922264803</v>
      </c>
      <c r="F1252" s="262"/>
      <c r="G1252" s="261">
        <f t="shared" si="24"/>
        <v>300</v>
      </c>
      <c r="H1252" s="263">
        <f>IF(B1252="RTG Crane",IF(D1252&lt;600,800000,1200000),VLOOKUP(B1252,'$$$ Replace &amp; Retrofit'!$B$10:$C$14,2)*'CHE Model poplulation'!D1228)*E1252</f>
        <v>1599605.0839513515</v>
      </c>
      <c r="I1252" s="263">
        <f>E1252*VLOOKUP('CHE Model poplulation'!G1228,'$$$ Replace &amp; Retrofit'!$I$10:$J$15,2)</f>
        <v>192427.60781971025</v>
      </c>
      <c r="J1252" s="272">
        <f>IF(D1252=50,VLOOKUP(0,'$$$ Replace &amp; Retrofit'!$E$10:$F$13,2),IF(D1252&lt;175,VLOOKUP(50,'$$$ Replace &amp; Retrofit'!$E$10:$F$13,2),IF(D1252&lt;400,VLOOKUP(175,'$$$ Replace &amp; Retrofit'!$E$10:$F$13,2),IF(D1252&gt;=400,VLOOKUP(400,'$$$ Replace &amp; Retrofit'!$E$10:$F$13,2),NA))))*E1252</f>
        <v>120421.96366007664</v>
      </c>
      <c r="K1252" s="261"/>
      <c r="L1252" s="261"/>
      <c r="M1252" s="261"/>
    </row>
    <row r="1253" spans="1:13" ht="45" x14ac:dyDescent="0.25">
      <c r="A1253" s="259" t="s">
        <v>249</v>
      </c>
      <c r="B1253" s="259" t="s">
        <v>208</v>
      </c>
      <c r="C1253" s="260">
        <v>2012</v>
      </c>
      <c r="D1253" s="260">
        <v>600</v>
      </c>
      <c r="E1253" s="261">
        <v>9.5562138496452</v>
      </c>
      <c r="F1253" s="262"/>
      <c r="G1253" s="261">
        <f t="shared" si="24"/>
        <v>400</v>
      </c>
      <c r="H1253" s="263">
        <f>IF(B1253="RTG Crane",IF(D1253&lt;600,800000,1200000),VLOOKUP(B1253,'$$$ Replace &amp; Retrofit'!$B$10:$C$14,2)*'CHE Model poplulation'!D1229)*E1253</f>
        <v>4569781.462900335</v>
      </c>
      <c r="I1253" s="263">
        <f>E1253*VLOOKUP('CHE Model poplulation'!G1229,'$$$ Replace &amp; Retrofit'!$I$10:$J$15,2)</f>
        <v>500105.33939348225</v>
      </c>
      <c r="J1253" s="272">
        <f>IF(D1253=50,VLOOKUP(0,'$$$ Replace &amp; Retrofit'!$E$10:$F$13,2),IF(D1253&lt;175,VLOOKUP(50,'$$$ Replace &amp; Retrofit'!$E$10:$F$13,2),IF(D1253&lt;400,VLOOKUP(175,'$$$ Replace &amp; Retrofit'!$E$10:$F$13,2),IF(D1253&gt;=400,VLOOKUP(400,'$$$ Replace &amp; Retrofit'!$E$10:$F$13,2),NA))))*E1253</f>
        <v>286686.41548935598</v>
      </c>
      <c r="K1253" s="261"/>
      <c r="L1253" s="261"/>
      <c r="M1253" s="261"/>
    </row>
    <row r="1254" spans="1:13" ht="30" x14ac:dyDescent="0.25">
      <c r="A1254" s="259" t="s">
        <v>249</v>
      </c>
      <c r="B1254" s="259" t="s">
        <v>192</v>
      </c>
      <c r="C1254" s="260">
        <v>2012</v>
      </c>
      <c r="D1254" s="260">
        <v>50</v>
      </c>
      <c r="E1254" s="261">
        <v>7.44975109901445</v>
      </c>
      <c r="F1254" s="262"/>
      <c r="G1254" s="261">
        <f t="shared" si="24"/>
        <v>50</v>
      </c>
      <c r="H1254" s="263">
        <f>IF(B1254="RTG Crane",IF(D1254&lt;600,800000,1200000),VLOOKUP(B1254,'$$$ Replace &amp; Retrofit'!$B$10:$C$14,2)*'CHE Model poplulation'!D1318)*E1254</f>
        <v>325926.61058188218</v>
      </c>
      <c r="I1254" s="263">
        <f>E1254*VLOOKUP('CHE Model poplulation'!G1318,'$$$ Replace &amp; Retrofit'!$I$10:$J$15,2)</f>
        <v>131026.22232946615</v>
      </c>
      <c r="J1254" s="272">
        <f>IF(D1254=50,VLOOKUP(0,'$$$ Replace &amp; Retrofit'!$E$10:$F$13,2),IF(D1254&lt;175,VLOOKUP(50,'$$$ Replace &amp; Retrofit'!$E$10:$F$13,2),IF(D1254&lt;400,VLOOKUP(175,'$$$ Replace &amp; Retrofit'!$E$10:$F$13,2),IF(D1254&gt;=400,VLOOKUP(400,'$$$ Replace &amp; Retrofit'!$E$10:$F$13,2),NA))))*E1254</f>
        <v>59598.008792115601</v>
      </c>
      <c r="K1254" s="261"/>
      <c r="L1254" s="261"/>
      <c r="M1254" s="261"/>
    </row>
    <row r="1255" spans="1:13" ht="30" x14ac:dyDescent="0.25">
      <c r="A1255" s="259" t="s">
        <v>249</v>
      </c>
      <c r="B1255" s="259" t="s">
        <v>192</v>
      </c>
      <c r="C1255" s="260">
        <v>2012</v>
      </c>
      <c r="D1255" s="260">
        <v>75</v>
      </c>
      <c r="E1255" s="261">
        <v>19.6218098572215</v>
      </c>
      <c r="F1255" s="262"/>
      <c r="G1255" s="261">
        <f t="shared" si="24"/>
        <v>50</v>
      </c>
      <c r="H1255" s="263">
        <f>IF(B1255="RTG Crane",IF(D1255&lt;600,800000,1200000),VLOOKUP(B1255,'$$$ Replace &amp; Retrofit'!$B$10:$C$14,2)*'CHE Model poplulation'!D1319)*E1255</f>
        <v>1287681.271880161</v>
      </c>
      <c r="I1255" s="263">
        <f>E1255*VLOOKUP('CHE Model poplulation'!G1319,'$$$ Replace &amp; Retrofit'!$I$10:$J$15,2)</f>
        <v>345108.39176881174</v>
      </c>
      <c r="J1255" s="272">
        <f>IF(D1255=50,VLOOKUP(0,'$$$ Replace &amp; Retrofit'!$E$10:$F$13,2),IF(D1255&lt;175,VLOOKUP(50,'$$$ Replace &amp; Retrofit'!$E$10:$F$13,2),IF(D1255&lt;400,VLOOKUP(175,'$$$ Replace &amp; Retrofit'!$E$10:$F$13,2),IF(D1255&gt;=400,VLOOKUP(400,'$$$ Replace &amp; Retrofit'!$E$10:$F$13,2),NA))))*E1255</f>
        <v>235461.718286658</v>
      </c>
      <c r="K1255" s="261"/>
      <c r="L1255" s="261"/>
      <c r="M1255" s="261"/>
    </row>
    <row r="1256" spans="1:13" ht="30" x14ac:dyDescent="0.25">
      <c r="A1256" s="259" t="s">
        <v>249</v>
      </c>
      <c r="B1256" s="259" t="s">
        <v>192</v>
      </c>
      <c r="C1256" s="260">
        <v>2012</v>
      </c>
      <c r="D1256" s="260">
        <v>100</v>
      </c>
      <c r="E1256" s="261">
        <v>90.231188992556397</v>
      </c>
      <c r="F1256" s="262"/>
      <c r="G1256" s="261">
        <f t="shared" si="24"/>
        <v>125</v>
      </c>
      <c r="H1256" s="263">
        <f>IF(B1256="RTG Crane",IF(D1256&lt;600,800000,1200000),VLOOKUP(B1256,'$$$ Replace &amp; Retrofit'!$B$10:$C$14,2)*'CHE Model poplulation'!D1320)*E1256</f>
        <v>7895229.0368486848</v>
      </c>
      <c r="I1256" s="263">
        <f>E1256*VLOOKUP('CHE Model poplulation'!G1320,'$$$ Replace &amp; Retrofit'!$I$10:$J$15,2)</f>
        <v>1780532.0523901153</v>
      </c>
      <c r="J1256" s="272">
        <f>IF(D1256=50,VLOOKUP(0,'$$$ Replace &amp; Retrofit'!$E$10:$F$13,2),IF(D1256&lt;175,VLOOKUP(50,'$$$ Replace &amp; Retrofit'!$E$10:$F$13,2),IF(D1256&lt;400,VLOOKUP(175,'$$$ Replace &amp; Retrofit'!$E$10:$F$13,2),IF(D1256&gt;=400,VLOOKUP(400,'$$$ Replace &amp; Retrofit'!$E$10:$F$13,2),NA))))*E1256</f>
        <v>1082774.2679106768</v>
      </c>
      <c r="K1256" s="261"/>
      <c r="L1256" s="261"/>
      <c r="M1256" s="261"/>
    </row>
    <row r="1257" spans="1:13" ht="30" x14ac:dyDescent="0.25">
      <c r="A1257" s="259" t="s">
        <v>249</v>
      </c>
      <c r="B1257" s="259" t="s">
        <v>192</v>
      </c>
      <c r="C1257" s="260">
        <v>2012</v>
      </c>
      <c r="D1257" s="260">
        <v>175</v>
      </c>
      <c r="E1257" s="261">
        <v>112.26596382387901</v>
      </c>
      <c r="F1257" s="262"/>
      <c r="G1257" s="261">
        <f t="shared" si="24"/>
        <v>175</v>
      </c>
      <c r="H1257" s="263">
        <f>IF(B1257="RTG Crane",IF(D1257&lt;600,800000,1200000),VLOOKUP(B1257,'$$$ Replace &amp; Retrofit'!$B$10:$C$14,2)*'CHE Model poplulation'!D1321)*E1257</f>
        <v>17190725.710531473</v>
      </c>
      <c r="I1257" s="263">
        <f>E1257*VLOOKUP('CHE Model poplulation'!G1321,'$$$ Replace &amp; Retrofit'!$I$10:$J$15,2)</f>
        <v>2783746.8389769038</v>
      </c>
      <c r="J1257" s="272">
        <f>IF(D1257=50,VLOOKUP(0,'$$$ Replace &amp; Retrofit'!$E$10:$F$13,2),IF(D1257&lt;175,VLOOKUP(50,'$$$ Replace &amp; Retrofit'!$E$10:$F$13,2),IF(D1257&lt;400,VLOOKUP(175,'$$$ Replace &amp; Retrofit'!$E$10:$F$13,2),IF(D1257&gt;=400,VLOOKUP(400,'$$$ Replace &amp; Retrofit'!$E$10:$F$13,2),NA))))*E1257</f>
        <v>2020787.3488298221</v>
      </c>
      <c r="K1257" s="261"/>
      <c r="L1257" s="261"/>
      <c r="M1257" s="261"/>
    </row>
    <row r="1258" spans="1:13" ht="30" x14ac:dyDescent="0.25">
      <c r="A1258" s="259" t="s">
        <v>249</v>
      </c>
      <c r="B1258" s="259" t="s">
        <v>192</v>
      </c>
      <c r="C1258" s="260">
        <v>2012</v>
      </c>
      <c r="D1258" s="260">
        <v>300</v>
      </c>
      <c r="E1258" s="261">
        <v>36.253321988428503</v>
      </c>
      <c r="F1258" s="262"/>
      <c r="G1258" s="261">
        <f t="shared" si="24"/>
        <v>300</v>
      </c>
      <c r="H1258" s="263">
        <f>IF(B1258="RTG Crane",IF(D1258&lt;600,800000,1200000),VLOOKUP(B1258,'$$$ Replace &amp; Retrofit'!$B$10:$C$14,2)*'CHE Model poplulation'!D1322)*E1258</f>
        <v>9516497.0219624825</v>
      </c>
      <c r="I1258" s="263">
        <f>E1258*VLOOKUP('CHE Model poplulation'!G1322,'$$$ Replace &amp; Retrofit'!$I$10:$J$15,2)</f>
        <v>1042754.3003531691</v>
      </c>
      <c r="J1258" s="272">
        <f>IF(D1258=50,VLOOKUP(0,'$$$ Replace &amp; Retrofit'!$E$10:$F$13,2),IF(D1258&lt;175,VLOOKUP(50,'$$$ Replace &amp; Retrofit'!$E$10:$F$13,2),IF(D1258&lt;400,VLOOKUP(175,'$$$ Replace &amp; Retrofit'!$E$10:$F$13,2),IF(D1258&gt;=400,VLOOKUP(400,'$$$ Replace &amp; Retrofit'!$E$10:$F$13,2),NA))))*E1258</f>
        <v>652559.79579171306</v>
      </c>
      <c r="K1258" s="261"/>
      <c r="L1258" s="261"/>
      <c r="M1258" s="261"/>
    </row>
    <row r="1259" spans="1:13" ht="30" x14ac:dyDescent="0.25">
      <c r="A1259" s="259" t="s">
        <v>249</v>
      </c>
      <c r="B1259" s="259" t="s">
        <v>192</v>
      </c>
      <c r="C1259" s="260">
        <v>2012</v>
      </c>
      <c r="D1259" s="260">
        <v>600</v>
      </c>
      <c r="E1259" s="261">
        <v>8.7687450737368504</v>
      </c>
      <c r="F1259" s="262"/>
      <c r="G1259" s="261">
        <f t="shared" si="24"/>
        <v>400</v>
      </c>
      <c r="H1259" s="263">
        <f>IF(B1259="RTG Crane",IF(D1259&lt;600,800000,1200000),VLOOKUP(B1259,'$$$ Replace &amp; Retrofit'!$B$10:$C$14,2)*'CHE Model poplulation'!D1323)*E1259</f>
        <v>4603591.1637118468</v>
      </c>
      <c r="I1259" s="263">
        <f>E1259*VLOOKUP('CHE Model poplulation'!G1323,'$$$ Replace &amp; Retrofit'!$I$10:$J$15,2)</f>
        <v>458894.73594387062</v>
      </c>
      <c r="J1259" s="272">
        <f>IF(D1259=50,VLOOKUP(0,'$$$ Replace &amp; Retrofit'!$E$10:$F$13,2),IF(D1259&lt;175,VLOOKUP(50,'$$$ Replace &amp; Retrofit'!$E$10:$F$13,2),IF(D1259&lt;400,VLOOKUP(175,'$$$ Replace &amp; Retrofit'!$E$10:$F$13,2),IF(D1259&gt;=400,VLOOKUP(400,'$$$ Replace &amp; Retrofit'!$E$10:$F$13,2),NA))))*E1259</f>
        <v>263062.35221210553</v>
      </c>
      <c r="K1259" s="261"/>
      <c r="L1259" s="261"/>
      <c r="M1259" s="261"/>
    </row>
    <row r="1260" spans="1:13" ht="45" x14ac:dyDescent="0.25">
      <c r="A1260" s="259" t="s">
        <v>249</v>
      </c>
      <c r="B1260" s="259" t="s">
        <v>211</v>
      </c>
      <c r="C1260" s="260">
        <v>2012</v>
      </c>
      <c r="D1260" s="260">
        <v>50</v>
      </c>
      <c r="E1260" s="261">
        <v>4.1206063120377001</v>
      </c>
      <c r="F1260" s="262"/>
      <c r="G1260" s="261">
        <f t="shared" si="24"/>
        <v>50</v>
      </c>
      <c r="H1260" s="263">
        <f>IF(B1260="RTG Crane",IF(D1260&lt;600,800000,1200000),VLOOKUP(B1260,'$$$ Replace &amp; Retrofit'!$B$10:$C$14,2)*'CHE Model poplulation'!D1438)*E1260</f>
        <v>206030.315601885</v>
      </c>
      <c r="I1260" s="263">
        <f>E1260*VLOOKUP('CHE Model poplulation'!G1438,'$$$ Replace &amp; Retrofit'!$I$10:$J$15,2)</f>
        <v>72473.223816119076</v>
      </c>
      <c r="J1260" s="272">
        <f>IF(D1260=50,VLOOKUP(0,'$$$ Replace &amp; Retrofit'!$E$10:$F$13,2),IF(D1260&lt;175,VLOOKUP(50,'$$$ Replace &amp; Retrofit'!$E$10:$F$13,2),IF(D1260&lt;400,VLOOKUP(175,'$$$ Replace &amp; Retrofit'!$E$10:$F$13,2),IF(D1260&gt;=400,VLOOKUP(400,'$$$ Replace &amp; Retrofit'!$E$10:$F$13,2),NA))))*E1260</f>
        <v>32964.850496301602</v>
      </c>
      <c r="K1260" s="261"/>
      <c r="L1260" s="261"/>
      <c r="M1260" s="261"/>
    </row>
    <row r="1261" spans="1:13" ht="45" x14ac:dyDescent="0.25">
      <c r="A1261" s="259" t="s">
        <v>249</v>
      </c>
      <c r="B1261" s="259" t="s">
        <v>211</v>
      </c>
      <c r="C1261" s="260">
        <v>2012</v>
      </c>
      <c r="D1261" s="260">
        <v>75</v>
      </c>
      <c r="E1261" s="261">
        <v>1.9265168288685399</v>
      </c>
      <c r="F1261" s="262"/>
      <c r="G1261" s="261">
        <f t="shared" si="24"/>
        <v>50</v>
      </c>
      <c r="H1261" s="263">
        <f>IF(B1261="RTG Crane",IF(D1261&lt;600,800000,1200000),VLOOKUP(B1261,'$$$ Replace &amp; Retrofit'!$B$10:$C$14,2)*'CHE Model poplulation'!D1439)*E1261</f>
        <v>144488.76216514051</v>
      </c>
      <c r="I1261" s="263">
        <f>E1261*VLOOKUP('CHE Model poplulation'!G1439,'$$$ Replace &amp; Retrofit'!$I$10:$J$15,2)</f>
        <v>33883.577986139877</v>
      </c>
      <c r="J1261" s="272">
        <f>IF(D1261=50,VLOOKUP(0,'$$$ Replace &amp; Retrofit'!$E$10:$F$13,2),IF(D1261&lt;175,VLOOKUP(50,'$$$ Replace &amp; Retrofit'!$E$10:$F$13,2),IF(D1261&lt;400,VLOOKUP(175,'$$$ Replace &amp; Retrofit'!$E$10:$F$13,2),IF(D1261&gt;=400,VLOOKUP(400,'$$$ Replace &amp; Retrofit'!$E$10:$F$13,2),NA))))*E1261</f>
        <v>23118.20194642248</v>
      </c>
      <c r="K1261" s="261"/>
      <c r="L1261" s="261"/>
      <c r="M1261" s="261"/>
    </row>
    <row r="1262" spans="1:13" ht="45" x14ac:dyDescent="0.25">
      <c r="A1262" s="259" t="s">
        <v>249</v>
      </c>
      <c r="B1262" s="259" t="s">
        <v>211</v>
      </c>
      <c r="C1262" s="260">
        <v>2012</v>
      </c>
      <c r="D1262" s="260">
        <v>100</v>
      </c>
      <c r="E1262" s="261">
        <v>2.4333067013500802</v>
      </c>
      <c r="F1262" s="262"/>
      <c r="G1262" s="261">
        <f t="shared" si="24"/>
        <v>125</v>
      </c>
      <c r="H1262" s="263">
        <f>IF(B1262="RTG Crane",IF(D1262&lt;600,800000,1200000),VLOOKUP(B1262,'$$$ Replace &amp; Retrofit'!$B$10:$C$14,2)*'CHE Model poplulation'!D1440)*E1262</f>
        <v>243330.67013500803</v>
      </c>
      <c r="I1262" s="263">
        <f>E1262*VLOOKUP('CHE Model poplulation'!G1440,'$$$ Replace &amp; Retrofit'!$I$10:$J$15,2)</f>
        <v>48016.441137741131</v>
      </c>
      <c r="J1262" s="272">
        <f>IF(D1262=50,VLOOKUP(0,'$$$ Replace &amp; Retrofit'!$E$10:$F$13,2),IF(D1262&lt;175,VLOOKUP(50,'$$$ Replace &amp; Retrofit'!$E$10:$F$13,2),IF(D1262&lt;400,VLOOKUP(175,'$$$ Replace &amp; Retrofit'!$E$10:$F$13,2),IF(D1262&gt;=400,VLOOKUP(400,'$$$ Replace &amp; Retrofit'!$E$10:$F$13,2),NA))))*E1262</f>
        <v>29199.680416200961</v>
      </c>
      <c r="K1262" s="261"/>
      <c r="L1262" s="261"/>
      <c r="M1262" s="261"/>
    </row>
    <row r="1263" spans="1:13" ht="45" x14ac:dyDescent="0.25">
      <c r="A1263" s="259" t="s">
        <v>249</v>
      </c>
      <c r="B1263" s="259" t="s">
        <v>211</v>
      </c>
      <c r="C1263" s="260">
        <v>2012</v>
      </c>
      <c r="D1263" s="260">
        <v>175</v>
      </c>
      <c r="E1263" s="261">
        <v>2.6851229665841001</v>
      </c>
      <c r="F1263" s="262"/>
      <c r="G1263" s="261">
        <f t="shared" si="24"/>
        <v>175</v>
      </c>
      <c r="H1263" s="263">
        <f>IF(B1263="RTG Crane",IF(D1263&lt;600,800000,1200000),VLOOKUP(B1263,'$$$ Replace &amp; Retrofit'!$B$10:$C$14,2)*'CHE Model poplulation'!D1441)*E1263</f>
        <v>469896.51915221754</v>
      </c>
      <c r="I1263" s="263">
        <f>E1263*VLOOKUP('CHE Model poplulation'!G1441,'$$$ Replace &amp; Retrofit'!$I$10:$J$15,2)</f>
        <v>66580.309079419341</v>
      </c>
      <c r="J1263" s="272">
        <f>IF(D1263=50,VLOOKUP(0,'$$$ Replace &amp; Retrofit'!$E$10:$F$13,2),IF(D1263&lt;175,VLOOKUP(50,'$$$ Replace &amp; Retrofit'!$E$10:$F$13,2),IF(D1263&lt;400,VLOOKUP(175,'$$$ Replace &amp; Retrofit'!$E$10:$F$13,2),IF(D1263&gt;=400,VLOOKUP(400,'$$$ Replace &amp; Retrofit'!$E$10:$F$13,2),NA))))*E1263</f>
        <v>48332.213398513799</v>
      </c>
      <c r="K1263" s="261"/>
      <c r="L1263" s="261"/>
      <c r="M1263" s="261"/>
    </row>
    <row r="1264" spans="1:13" ht="45" x14ac:dyDescent="0.25">
      <c r="A1264" s="259" t="s">
        <v>249</v>
      </c>
      <c r="B1264" s="259" t="s">
        <v>211</v>
      </c>
      <c r="C1264" s="260">
        <v>2012</v>
      </c>
      <c r="D1264" s="260">
        <v>300</v>
      </c>
      <c r="E1264" s="261">
        <v>2.56097442518245</v>
      </c>
      <c r="F1264" s="262"/>
      <c r="G1264" s="261">
        <f t="shared" si="24"/>
        <v>300</v>
      </c>
      <c r="H1264" s="263">
        <f>IF(B1264="RTG Crane",IF(D1264&lt;600,800000,1200000),VLOOKUP(B1264,'$$$ Replace &amp; Retrofit'!$B$10:$C$14,2)*'CHE Model poplulation'!D1442)*E1264</f>
        <v>768292.32755473501</v>
      </c>
      <c r="I1264" s="263">
        <f>E1264*VLOOKUP('CHE Model poplulation'!G1442,'$$$ Replace &amp; Retrofit'!$I$10:$J$15,2)</f>
        <v>73661.307391522816</v>
      </c>
      <c r="J1264" s="272">
        <f>IF(D1264=50,VLOOKUP(0,'$$$ Replace &amp; Retrofit'!$E$10:$F$13,2),IF(D1264&lt;175,VLOOKUP(50,'$$$ Replace &amp; Retrofit'!$E$10:$F$13,2),IF(D1264&lt;400,VLOOKUP(175,'$$$ Replace &amp; Retrofit'!$E$10:$F$13,2),IF(D1264&gt;=400,VLOOKUP(400,'$$$ Replace &amp; Retrofit'!$E$10:$F$13,2),NA))))*E1264</f>
        <v>46097.539653284097</v>
      </c>
      <c r="K1264" s="261"/>
      <c r="L1264" s="261"/>
      <c r="M1264" s="261"/>
    </row>
    <row r="1265" spans="1:16" ht="45" x14ac:dyDescent="0.25">
      <c r="A1265" s="259" t="s">
        <v>249</v>
      </c>
      <c r="B1265" s="259" t="s">
        <v>211</v>
      </c>
      <c r="C1265" s="260">
        <v>2012</v>
      </c>
      <c r="D1265" s="260">
        <v>600</v>
      </c>
      <c r="E1265" s="261">
        <v>1.09495348329376</v>
      </c>
      <c r="F1265" s="262"/>
      <c r="G1265" s="261">
        <f t="shared" si="24"/>
        <v>400</v>
      </c>
      <c r="H1265" s="263">
        <f>IF(B1265="RTG Crane",IF(D1265&lt;600,800000,1200000),VLOOKUP(B1265,'$$$ Replace &amp; Retrofit'!$B$10:$C$14,2)*'CHE Model poplulation'!D1443)*E1265</f>
        <v>656972.08997625601</v>
      </c>
      <c r="I1265" s="263">
        <f>E1265*VLOOKUP('CHE Model poplulation'!G1443,'$$$ Replace &amp; Retrofit'!$I$10:$J$15,2)</f>
        <v>57302.200641212337</v>
      </c>
      <c r="J1265" s="272">
        <f>IF(D1265=50,VLOOKUP(0,'$$$ Replace &amp; Retrofit'!$E$10:$F$13,2),IF(D1265&lt;175,VLOOKUP(50,'$$$ Replace &amp; Retrofit'!$E$10:$F$13,2),IF(D1265&lt;400,VLOOKUP(175,'$$$ Replace &amp; Retrofit'!$E$10:$F$13,2),IF(D1265&gt;=400,VLOOKUP(400,'$$$ Replace &amp; Retrofit'!$E$10:$F$13,2),NA))))*E1265</f>
        <v>32848.604498812798</v>
      </c>
      <c r="K1265" s="261"/>
      <c r="L1265" s="261"/>
      <c r="M1265" s="261"/>
    </row>
    <row r="1266" spans="1:16" ht="30" x14ac:dyDescent="0.25">
      <c r="A1266" s="259" t="s">
        <v>249</v>
      </c>
      <c r="B1266" s="259" t="s">
        <v>212</v>
      </c>
      <c r="C1266" s="260">
        <v>2012</v>
      </c>
      <c r="D1266" s="260">
        <v>100</v>
      </c>
      <c r="E1266" s="261">
        <v>0</v>
      </c>
      <c r="F1266" s="262"/>
      <c r="G1266" s="261"/>
      <c r="H1266" s="261"/>
      <c r="I1266" s="263"/>
      <c r="J1266" s="273"/>
      <c r="K1266" s="261"/>
      <c r="L1266" s="261"/>
      <c r="M1266" s="261"/>
    </row>
    <row r="1267" spans="1:16" ht="30" x14ac:dyDescent="0.25">
      <c r="A1267" s="259" t="s">
        <v>249</v>
      </c>
      <c r="B1267" s="259" t="s">
        <v>212</v>
      </c>
      <c r="C1267" s="260">
        <v>2012</v>
      </c>
      <c r="D1267" s="260">
        <v>300</v>
      </c>
      <c r="E1267" s="261">
        <v>0</v>
      </c>
      <c r="F1267" s="262"/>
      <c r="G1267" s="261"/>
      <c r="H1267" s="261"/>
      <c r="I1267" s="261"/>
      <c r="J1267" s="273"/>
      <c r="K1267" s="261"/>
      <c r="L1267" s="261"/>
      <c r="M1267" s="261"/>
    </row>
    <row r="1268" spans="1:16" ht="30" x14ac:dyDescent="0.25">
      <c r="A1268" s="259" t="s">
        <v>249</v>
      </c>
      <c r="B1268" s="259" t="s">
        <v>212</v>
      </c>
      <c r="C1268" s="260">
        <v>2012</v>
      </c>
      <c r="D1268" s="260">
        <v>600</v>
      </c>
      <c r="E1268" s="261">
        <v>0</v>
      </c>
      <c r="F1268" s="262"/>
      <c r="G1268" s="261"/>
      <c r="H1268" s="261"/>
      <c r="I1268" s="261"/>
      <c r="J1268" s="273"/>
      <c r="K1268" s="261"/>
      <c r="L1268" s="261"/>
      <c r="M1268" s="261"/>
    </row>
    <row r="1269" spans="1:16" ht="30" x14ac:dyDescent="0.25">
      <c r="A1269" s="259" t="s">
        <v>249</v>
      </c>
      <c r="B1269" s="259" t="s">
        <v>212</v>
      </c>
      <c r="C1269" s="260">
        <v>2012</v>
      </c>
      <c r="D1269" s="260">
        <v>750</v>
      </c>
      <c r="E1269" s="261">
        <v>0</v>
      </c>
      <c r="F1269" s="262"/>
      <c r="G1269" s="261"/>
      <c r="H1269" s="261"/>
      <c r="I1269" s="261"/>
      <c r="J1269" s="273"/>
      <c r="K1269" s="261"/>
      <c r="L1269" s="261"/>
      <c r="M1269" s="261"/>
    </row>
    <row r="1270" spans="1:16" ht="30" x14ac:dyDescent="0.25">
      <c r="A1270" s="259" t="s">
        <v>249</v>
      </c>
      <c r="B1270" s="259" t="s">
        <v>212</v>
      </c>
      <c r="C1270" s="260">
        <v>2012</v>
      </c>
      <c r="D1270" s="260">
        <v>9999</v>
      </c>
      <c r="E1270" s="261">
        <v>0</v>
      </c>
      <c r="F1270" s="262"/>
      <c r="G1270" s="261"/>
      <c r="H1270" s="261"/>
      <c r="I1270" s="261"/>
      <c r="J1270" s="273"/>
      <c r="K1270" s="266">
        <f t="shared" ref="K1270:L1270" si="27">SUM(H1244:H1270)</f>
        <v>58809408.04990384</v>
      </c>
      <c r="L1270" s="266">
        <f t="shared" si="27"/>
        <v>8560221.32096407</v>
      </c>
      <c r="M1270" s="266">
        <f>SUM(J1244:J1270)</f>
        <v>5527750.7953276457</v>
      </c>
      <c r="N1270" s="239">
        <f>K1270-N1243</f>
        <v>-32716382.16323857</v>
      </c>
      <c r="O1270" s="239">
        <f t="shared" ref="O1270:P1270" si="28">L1270-O1243</f>
        <v>-986283.65231340379</v>
      </c>
      <c r="P1270" s="239">
        <f t="shared" si="28"/>
        <v>-557815.37330533564</v>
      </c>
    </row>
    <row r="1271" spans="1:16" ht="30" x14ac:dyDescent="0.25">
      <c r="A1271" s="259" t="s">
        <v>249</v>
      </c>
      <c r="B1271" s="259" t="s">
        <v>206</v>
      </c>
      <c r="C1271" s="260">
        <v>2013</v>
      </c>
      <c r="D1271" s="260">
        <v>50</v>
      </c>
      <c r="E1271" s="261">
        <v>1.4439278383933301</v>
      </c>
      <c r="F1271" s="262"/>
      <c r="G1271" s="261">
        <f t="shared" ref="G1271:G1292" si="29">IF(OR(D1271=50,D1271=75),50,IF(OR(D1271=100,D1271=125),125,IF(D1271&gt;=400,400,D1271)))</f>
        <v>50</v>
      </c>
      <c r="H1271" s="263">
        <f>IF(B1271="RTG Crane",IF(D1271&lt;600,800000,1200000),VLOOKUP(B1271,'$$$ Replace &amp; Retrofit'!$B$10:$C$14,2)*'CHE Model poplulation'!D1124)*E1271</f>
        <v>72196.391919666508</v>
      </c>
      <c r="I1271" s="263">
        <f>E1271*VLOOKUP('CHE Model poplulation'!G1124,'$$$ Replace &amp; Retrofit'!$I$10:$J$15,2)</f>
        <v>25395.802821661888</v>
      </c>
      <c r="J1271" s="269">
        <f>IF(D1271=50,VLOOKUP(0,'$$$ Replace &amp; Retrofit'!$E$10:$F$13,2),IF(D1271&lt;175,VLOOKUP(50,'$$$ Replace &amp; Retrofit'!$E$10:$F$13,2),IF(D1271&lt;400,VLOOKUP(175,'$$$ Replace &amp; Retrofit'!$E$10:$F$13,2),IF(D1271&gt;=400,VLOOKUP(400,'$$$ Replace &amp; Retrofit'!$E$10:$F$13,2),NA))))*E1271</f>
        <v>11551.422707146641</v>
      </c>
      <c r="K1271" s="261"/>
      <c r="L1271" s="261"/>
      <c r="M1271" s="261"/>
    </row>
    <row r="1272" spans="1:16" ht="30" x14ac:dyDescent="0.25">
      <c r="A1272" s="259" t="s">
        <v>249</v>
      </c>
      <c r="B1272" s="259" t="s">
        <v>206</v>
      </c>
      <c r="C1272" s="260">
        <v>2013</v>
      </c>
      <c r="D1272" s="260">
        <v>75</v>
      </c>
      <c r="E1272" s="261">
        <v>2.4824475971390298</v>
      </c>
      <c r="F1272" s="262"/>
      <c r="G1272" s="261">
        <f t="shared" si="29"/>
        <v>50</v>
      </c>
      <c r="H1272" s="263">
        <f>IF(B1272="RTG Crane",IF(D1272&lt;600,800000,1200000),VLOOKUP(B1272,'$$$ Replace &amp; Retrofit'!$B$10:$C$14,2)*'CHE Model poplulation'!D1125)*E1272</f>
        <v>186183.56978542724</v>
      </c>
      <c r="I1272" s="263">
        <f>E1272*VLOOKUP('CHE Model poplulation'!G1125,'$$$ Replace &amp; Retrofit'!$I$10:$J$15,2)</f>
        <v>43661.288338481259</v>
      </c>
      <c r="J1272" s="269">
        <f>IF(D1272=50,VLOOKUP(0,'$$$ Replace &amp; Retrofit'!$E$10:$F$13,2),IF(D1272&lt;175,VLOOKUP(50,'$$$ Replace &amp; Retrofit'!$E$10:$F$13,2),IF(D1272&lt;400,VLOOKUP(175,'$$$ Replace &amp; Retrofit'!$E$10:$F$13,2),IF(D1272&gt;=400,VLOOKUP(400,'$$$ Replace &amp; Retrofit'!$E$10:$F$13,2),NA))))*E1272</f>
        <v>29789.371165668359</v>
      </c>
      <c r="K1272" s="261"/>
      <c r="L1272" s="261"/>
      <c r="M1272" s="261"/>
    </row>
    <row r="1273" spans="1:16" ht="30" x14ac:dyDescent="0.25">
      <c r="A1273" s="259" t="s">
        <v>249</v>
      </c>
      <c r="B1273" s="259" t="s">
        <v>206</v>
      </c>
      <c r="C1273" s="260">
        <v>2013</v>
      </c>
      <c r="D1273" s="260">
        <v>100</v>
      </c>
      <c r="E1273" s="261">
        <v>2.4371513985230902</v>
      </c>
      <c r="F1273" s="262"/>
      <c r="G1273" s="261">
        <f t="shared" si="29"/>
        <v>125</v>
      </c>
      <c r="H1273" s="263">
        <f>IF(B1273="RTG Crane",IF(D1273&lt;600,800000,1200000),VLOOKUP(B1273,'$$$ Replace &amp; Retrofit'!$B$10:$C$14,2)*'CHE Model poplulation'!D1126)*E1273</f>
        <v>243715.13985230902</v>
      </c>
      <c r="I1273" s="263">
        <f>E1273*VLOOKUP('CHE Model poplulation'!G1126,'$$$ Replace &amp; Retrofit'!$I$10:$J$15,2)</f>
        <v>48092.308547056135</v>
      </c>
      <c r="J1273" s="269">
        <f>IF(D1273=50,VLOOKUP(0,'$$$ Replace &amp; Retrofit'!$E$10:$F$13,2),IF(D1273&lt;175,VLOOKUP(50,'$$$ Replace &amp; Retrofit'!$E$10:$F$13,2),IF(D1273&lt;400,VLOOKUP(175,'$$$ Replace &amp; Retrofit'!$E$10:$F$13,2),IF(D1273&gt;=400,VLOOKUP(400,'$$$ Replace &amp; Retrofit'!$E$10:$F$13,2),NA))))*E1273</f>
        <v>29245.816782277081</v>
      </c>
      <c r="K1273" s="261"/>
      <c r="L1273" s="261"/>
      <c r="M1273" s="261"/>
    </row>
    <row r="1274" spans="1:16" ht="30" x14ac:dyDescent="0.25">
      <c r="A1274" s="259" t="s">
        <v>249</v>
      </c>
      <c r="B1274" s="259" t="s">
        <v>206</v>
      </c>
      <c r="C1274" s="260">
        <v>2013</v>
      </c>
      <c r="D1274" s="260">
        <v>175</v>
      </c>
      <c r="E1274" s="261">
        <v>4.0629324097128396</v>
      </c>
      <c r="F1274" s="262"/>
      <c r="G1274" s="261">
        <f t="shared" si="29"/>
        <v>175</v>
      </c>
      <c r="H1274" s="263">
        <f>IF(B1274="RTG Crane",IF(D1274&lt;600,800000,1200000),VLOOKUP(B1274,'$$$ Replace &amp; Retrofit'!$B$10:$C$14,2)*'CHE Model poplulation'!D1127)*E1274</f>
        <v>711013.17169974698</v>
      </c>
      <c r="I1274" s="263">
        <f>E1274*VLOOKUP('CHE Model poplulation'!G1127,'$$$ Replace &amp; Retrofit'!$I$10:$J$15,2)</f>
        <v>100744.47203123957</v>
      </c>
      <c r="J1274" s="269">
        <f>IF(D1274=50,VLOOKUP(0,'$$$ Replace &amp; Retrofit'!$E$10:$F$13,2),IF(D1274&lt;175,VLOOKUP(50,'$$$ Replace &amp; Retrofit'!$E$10:$F$13,2),IF(D1274&lt;400,VLOOKUP(175,'$$$ Replace &amp; Retrofit'!$E$10:$F$13,2),IF(D1274&gt;=400,VLOOKUP(400,'$$$ Replace &amp; Retrofit'!$E$10:$F$13,2),NA))))*E1274</f>
        <v>73132.78337483111</v>
      </c>
      <c r="K1274" s="261"/>
      <c r="L1274" s="261"/>
      <c r="M1274" s="261"/>
    </row>
    <row r="1275" spans="1:16" ht="30" x14ac:dyDescent="0.25">
      <c r="A1275" s="259" t="s">
        <v>249</v>
      </c>
      <c r="B1275" s="259" t="s">
        <v>206</v>
      </c>
      <c r="C1275" s="260">
        <v>2013</v>
      </c>
      <c r="D1275" s="260">
        <v>300</v>
      </c>
      <c r="E1275" s="261">
        <v>4.0993701455135101</v>
      </c>
      <c r="F1275" s="262"/>
      <c r="G1275" s="261">
        <f t="shared" si="29"/>
        <v>300</v>
      </c>
      <c r="H1275" s="263">
        <f>IF(B1275="RTG Crane",IF(D1275&lt;600,800000,1200000),VLOOKUP(B1275,'$$$ Replace &amp; Retrofit'!$B$10:$C$14,2)*'CHE Model poplulation'!D1128)*E1275</f>
        <v>1229811.043654053</v>
      </c>
      <c r="I1275" s="263">
        <f>E1275*VLOOKUP('CHE Model poplulation'!G1128,'$$$ Replace &amp; Retrofit'!$I$10:$J$15,2)</f>
        <v>117910.18349540509</v>
      </c>
      <c r="J1275" s="269">
        <f>IF(D1275=50,VLOOKUP(0,'$$$ Replace &amp; Retrofit'!$E$10:$F$13,2),IF(D1275&lt;175,VLOOKUP(50,'$$$ Replace &amp; Retrofit'!$E$10:$F$13,2),IF(D1275&lt;400,VLOOKUP(175,'$$$ Replace &amp; Retrofit'!$E$10:$F$13,2),IF(D1275&gt;=400,VLOOKUP(400,'$$$ Replace &amp; Retrofit'!$E$10:$F$13,2),NA))))*E1275</f>
        <v>73788.662619243187</v>
      </c>
      <c r="K1275" s="261"/>
      <c r="L1275" s="261"/>
      <c r="M1275" s="261"/>
    </row>
    <row r="1276" spans="1:16" ht="30" x14ac:dyDescent="0.25">
      <c r="A1276" s="259" t="s">
        <v>249</v>
      </c>
      <c r="B1276" s="259" t="s">
        <v>206</v>
      </c>
      <c r="C1276" s="260">
        <v>2013</v>
      </c>
      <c r="D1276" s="260">
        <v>600</v>
      </c>
      <c r="E1276" s="261">
        <v>10.1246243414651</v>
      </c>
      <c r="F1276" s="262"/>
      <c r="G1276" s="261">
        <f t="shared" si="29"/>
        <v>400</v>
      </c>
      <c r="H1276" s="263">
        <f>IF(B1276="RTG Crane",IF(D1276&lt;600,800000,1200000),VLOOKUP(B1276,'$$$ Replace &amp; Retrofit'!$B$10:$C$14,2)*'CHE Model poplulation'!D1129)*E1276</f>
        <v>6074774.6048790598</v>
      </c>
      <c r="I1276" s="263">
        <f>E1276*VLOOKUP('CHE Model poplulation'!G1129,'$$$ Replace &amp; Retrofit'!$I$10:$J$15,2)</f>
        <v>529851.96566189313</v>
      </c>
      <c r="J1276" s="269">
        <f>IF(D1276=50,VLOOKUP(0,'$$$ Replace &amp; Retrofit'!$E$10:$F$13,2),IF(D1276&lt;175,VLOOKUP(50,'$$$ Replace &amp; Retrofit'!$E$10:$F$13,2),IF(D1276&lt;400,VLOOKUP(175,'$$$ Replace &amp; Retrofit'!$E$10:$F$13,2),IF(D1276&gt;=400,VLOOKUP(400,'$$$ Replace &amp; Retrofit'!$E$10:$F$13,2),NA))))*E1276</f>
        <v>303738.730243953</v>
      </c>
      <c r="K1276" s="261"/>
      <c r="L1276" s="261"/>
      <c r="M1276" s="261"/>
    </row>
    <row r="1277" spans="1:16" ht="45" x14ac:dyDescent="0.25">
      <c r="A1277" s="259" t="s">
        <v>249</v>
      </c>
      <c r="B1277" s="259" t="s">
        <v>208</v>
      </c>
      <c r="C1277" s="260">
        <v>2013</v>
      </c>
      <c r="D1277" s="260">
        <v>100</v>
      </c>
      <c r="E1277" s="261">
        <v>7.6495199278532003E-2</v>
      </c>
      <c r="F1277" s="262"/>
      <c r="G1277" s="261">
        <f t="shared" si="29"/>
        <v>125</v>
      </c>
      <c r="H1277" s="263">
        <f>IF(B1277="RTG Crane",IF(D1277&lt;600,800000,1200000),VLOOKUP(B1277,'$$$ Replace &amp; Retrofit'!$B$10:$C$14,2)*'CHE Model poplulation'!D1230)*E1277</f>
        <v>6096.6673824990003</v>
      </c>
      <c r="I1277" s="263">
        <f>E1277*VLOOKUP('CHE Model poplulation'!G1230,'$$$ Replace &amp; Retrofit'!$I$10:$J$15,2)</f>
        <v>1509.479767363272</v>
      </c>
      <c r="J1277" s="269">
        <f>IF(D1277=50,VLOOKUP(0,'$$$ Replace &amp; Retrofit'!$E$10:$F$13,2),IF(D1277&lt;175,VLOOKUP(50,'$$$ Replace &amp; Retrofit'!$E$10:$F$13,2),IF(D1277&lt;400,VLOOKUP(175,'$$$ Replace &amp; Retrofit'!$E$10:$F$13,2),IF(D1277&gt;=400,VLOOKUP(400,'$$$ Replace &amp; Retrofit'!$E$10:$F$13,2),NA))))*E1277</f>
        <v>917.94239134238398</v>
      </c>
      <c r="K1277" s="261"/>
      <c r="L1277" s="261"/>
      <c r="M1277" s="261"/>
    </row>
    <row r="1278" spans="1:16" ht="45" x14ac:dyDescent="0.25">
      <c r="A1278" s="259" t="s">
        <v>249</v>
      </c>
      <c r="B1278" s="259" t="s">
        <v>208</v>
      </c>
      <c r="C1278" s="260">
        <v>2013</v>
      </c>
      <c r="D1278" s="260">
        <v>175</v>
      </c>
      <c r="E1278" s="261">
        <v>1.9656017099051699</v>
      </c>
      <c r="F1278" s="262"/>
      <c r="G1278" s="261">
        <f t="shared" si="29"/>
        <v>175</v>
      </c>
      <c r="H1278" s="263">
        <f>IF(B1278="RTG Crane",IF(D1278&lt;600,800000,1200000),VLOOKUP(B1278,'$$$ Replace &amp; Retrofit'!$B$10:$C$14,2)*'CHE Model poplulation'!D1231)*E1278</f>
        <v>274152.29848902358</v>
      </c>
      <c r="I1278" s="263">
        <f>E1278*VLOOKUP('CHE Model poplulation'!G1231,'$$$ Replace &amp; Retrofit'!$I$10:$J$15,2)</f>
        <v>48739.059998808596</v>
      </c>
      <c r="J1278" s="269">
        <f>IF(D1278=50,VLOOKUP(0,'$$$ Replace &amp; Retrofit'!$E$10:$F$13,2),IF(D1278&lt;175,VLOOKUP(50,'$$$ Replace &amp; Retrofit'!$E$10:$F$13,2),IF(D1278&lt;400,VLOOKUP(175,'$$$ Replace &amp; Retrofit'!$E$10:$F$13,2),IF(D1278&gt;=400,VLOOKUP(400,'$$$ Replace &amp; Retrofit'!$E$10:$F$13,2),NA))))*E1278</f>
        <v>35380.830778293057</v>
      </c>
      <c r="K1278" s="261"/>
      <c r="L1278" s="261"/>
      <c r="M1278" s="261"/>
    </row>
    <row r="1279" spans="1:16" ht="45" x14ac:dyDescent="0.25">
      <c r="A1279" s="259" t="s">
        <v>249</v>
      </c>
      <c r="B1279" s="259" t="s">
        <v>208</v>
      </c>
      <c r="C1279" s="260">
        <v>2013</v>
      </c>
      <c r="D1279" s="260">
        <v>300</v>
      </c>
      <c r="E1279" s="261">
        <v>5.4320629440291599</v>
      </c>
      <c r="F1279" s="262"/>
      <c r="G1279" s="261">
        <f t="shared" si="29"/>
        <v>300</v>
      </c>
      <c r="H1279" s="263">
        <f>IF(B1279="RTG Crane",IF(D1279&lt;600,800000,1200000),VLOOKUP(B1279,'$$$ Replace &amp; Retrofit'!$B$10:$C$14,2)*'CHE Model poplulation'!D1232)*E1279</f>
        <v>1298806.2499173721</v>
      </c>
      <c r="I1279" s="263">
        <f>E1279*VLOOKUP('CHE Model poplulation'!G1232,'$$$ Replace &amp; Retrofit'!$I$10:$J$15,2)</f>
        <v>156242.42645911072</v>
      </c>
      <c r="J1279" s="269">
        <f>IF(D1279=50,VLOOKUP(0,'$$$ Replace &amp; Retrofit'!$E$10:$F$13,2),IF(D1279&lt;175,VLOOKUP(50,'$$$ Replace &amp; Retrofit'!$E$10:$F$13,2),IF(D1279&lt;400,VLOOKUP(175,'$$$ Replace &amp; Retrofit'!$E$10:$F$13,2),IF(D1279&gt;=400,VLOOKUP(400,'$$$ Replace &amp; Retrofit'!$E$10:$F$13,2),NA))))*E1279</f>
        <v>97777.132992524872</v>
      </c>
      <c r="K1279" s="261"/>
      <c r="L1279" s="261"/>
      <c r="M1279" s="261"/>
    </row>
    <row r="1280" spans="1:16" ht="45" x14ac:dyDescent="0.25">
      <c r="A1280" s="259" t="s">
        <v>249</v>
      </c>
      <c r="B1280" s="259" t="s">
        <v>208</v>
      </c>
      <c r="C1280" s="260">
        <v>2013</v>
      </c>
      <c r="D1280" s="260">
        <v>600</v>
      </c>
      <c r="E1280" s="261">
        <v>7.9222819369536701</v>
      </c>
      <c r="F1280" s="262"/>
      <c r="G1280" s="261">
        <f t="shared" si="29"/>
        <v>400</v>
      </c>
      <c r="H1280" s="263">
        <f>IF(B1280="RTG Crane",IF(D1280&lt;600,800000,1200000),VLOOKUP(B1280,'$$$ Replace &amp; Retrofit'!$B$10:$C$14,2)*'CHE Model poplulation'!D1233)*E1280</f>
        <v>3788435.2222512448</v>
      </c>
      <c r="I1280" s="263">
        <f>E1280*VLOOKUP('CHE Model poplulation'!G1233,'$$$ Replace &amp; Retrofit'!$I$10:$J$15,2)</f>
        <v>414596.78060659644</v>
      </c>
      <c r="J1280" s="269">
        <f>IF(D1280=50,VLOOKUP(0,'$$$ Replace &amp; Retrofit'!$E$10:$F$13,2),IF(D1280&lt;175,VLOOKUP(50,'$$$ Replace &amp; Retrofit'!$E$10:$F$13,2),IF(D1280&lt;400,VLOOKUP(175,'$$$ Replace &amp; Retrofit'!$E$10:$F$13,2),IF(D1280&gt;=400,VLOOKUP(400,'$$$ Replace &amp; Retrofit'!$E$10:$F$13,2),NA))))*E1280</f>
        <v>237668.4581086101</v>
      </c>
      <c r="K1280" s="261"/>
      <c r="L1280" s="261"/>
      <c r="M1280" s="261"/>
    </row>
    <row r="1281" spans="1:13" ht="30" x14ac:dyDescent="0.25">
      <c r="A1281" s="259" t="s">
        <v>249</v>
      </c>
      <c r="B1281" s="259" t="s">
        <v>192</v>
      </c>
      <c r="C1281" s="260">
        <v>2013</v>
      </c>
      <c r="D1281" s="260">
        <v>50</v>
      </c>
      <c r="E1281" s="261">
        <v>6.9411537998766901</v>
      </c>
      <c r="F1281" s="262"/>
      <c r="G1281" s="261">
        <f t="shared" si="29"/>
        <v>50</v>
      </c>
      <c r="H1281" s="263">
        <f>IF(B1281="RTG Crane",IF(D1281&lt;600,800000,1200000),VLOOKUP(B1281,'$$$ Replace &amp; Retrofit'!$B$10:$C$14,2)*'CHE Model poplulation'!D1324)*E1281</f>
        <v>303675.47874460521</v>
      </c>
      <c r="I1281" s="263">
        <f>E1281*VLOOKUP('CHE Model poplulation'!G1324,'$$$ Replace &amp; Retrofit'!$I$10:$J$15,2)</f>
        <v>122081.01303223123</v>
      </c>
      <c r="J1281" s="269">
        <f>IF(D1281=50,VLOOKUP(0,'$$$ Replace &amp; Retrofit'!$E$10:$F$13,2),IF(D1281&lt;175,VLOOKUP(50,'$$$ Replace &amp; Retrofit'!$E$10:$F$13,2),IF(D1281&lt;400,VLOOKUP(175,'$$$ Replace &amp; Retrofit'!$E$10:$F$13,2),IF(D1281&gt;=400,VLOOKUP(400,'$$$ Replace &amp; Retrofit'!$E$10:$F$13,2),NA))))*E1281</f>
        <v>55529.230399013519</v>
      </c>
      <c r="K1281" s="261"/>
      <c r="L1281" s="261"/>
      <c r="M1281" s="261"/>
    </row>
    <row r="1282" spans="1:13" ht="30" x14ac:dyDescent="0.25">
      <c r="A1282" s="259" t="s">
        <v>249</v>
      </c>
      <c r="B1282" s="259" t="s">
        <v>192</v>
      </c>
      <c r="C1282" s="260">
        <v>2013</v>
      </c>
      <c r="D1282" s="260">
        <v>75</v>
      </c>
      <c r="E1282" s="261">
        <v>18.864919697702</v>
      </c>
      <c r="F1282" s="262"/>
      <c r="G1282" s="261">
        <f t="shared" si="29"/>
        <v>50</v>
      </c>
      <c r="H1282" s="263">
        <f>IF(B1282="RTG Crane",IF(D1282&lt;600,800000,1200000),VLOOKUP(B1282,'$$$ Replace &amp; Retrofit'!$B$10:$C$14,2)*'CHE Model poplulation'!D1325)*E1282</f>
        <v>1238010.3551616936</v>
      </c>
      <c r="I1282" s="263">
        <f>E1282*VLOOKUP('CHE Model poplulation'!G1325,'$$$ Replace &amp; Retrofit'!$I$10:$J$15,2)</f>
        <v>331796.20764318277</v>
      </c>
      <c r="J1282" s="269">
        <f>IF(D1282=50,VLOOKUP(0,'$$$ Replace &amp; Retrofit'!$E$10:$F$13,2),IF(D1282&lt;175,VLOOKUP(50,'$$$ Replace &amp; Retrofit'!$E$10:$F$13,2),IF(D1282&lt;400,VLOOKUP(175,'$$$ Replace &amp; Retrofit'!$E$10:$F$13,2),IF(D1282&gt;=400,VLOOKUP(400,'$$$ Replace &amp; Retrofit'!$E$10:$F$13,2),NA))))*E1282</f>
        <v>226379.03637242399</v>
      </c>
      <c r="K1282" s="261"/>
      <c r="L1282" s="261"/>
      <c r="M1282" s="261"/>
    </row>
    <row r="1283" spans="1:13" ht="30" x14ac:dyDescent="0.25">
      <c r="A1283" s="259" t="s">
        <v>249</v>
      </c>
      <c r="B1283" s="259" t="s">
        <v>192</v>
      </c>
      <c r="C1283" s="260">
        <v>2013</v>
      </c>
      <c r="D1283" s="260">
        <v>100</v>
      </c>
      <c r="E1283" s="261">
        <v>86.9935333469234</v>
      </c>
      <c r="F1283" s="262"/>
      <c r="G1283" s="261">
        <f t="shared" si="29"/>
        <v>125</v>
      </c>
      <c r="H1283" s="263">
        <f>IF(B1283="RTG Crane",IF(D1283&lt;600,800000,1200000),VLOOKUP(B1283,'$$$ Replace &amp; Retrofit'!$B$10:$C$14,2)*'CHE Model poplulation'!D1326)*E1283</f>
        <v>7611934.1678557973</v>
      </c>
      <c r="I1283" s="263">
        <f>E1283*VLOOKUP('CHE Model poplulation'!G1326,'$$$ Replace &amp; Retrofit'!$I$10:$J$15,2)</f>
        <v>1716643.3935348394</v>
      </c>
      <c r="J1283" s="269">
        <f>IF(D1283=50,VLOOKUP(0,'$$$ Replace &amp; Retrofit'!$E$10:$F$13,2),IF(D1283&lt;175,VLOOKUP(50,'$$$ Replace &amp; Retrofit'!$E$10:$F$13,2),IF(D1283&lt;400,VLOOKUP(175,'$$$ Replace &amp; Retrofit'!$E$10:$F$13,2),IF(D1283&gt;=400,VLOOKUP(400,'$$$ Replace &amp; Retrofit'!$E$10:$F$13,2),NA))))*E1283</f>
        <v>1043922.4001630808</v>
      </c>
      <c r="K1283" s="261"/>
      <c r="L1283" s="261"/>
      <c r="M1283" s="261"/>
    </row>
    <row r="1284" spans="1:13" ht="30" x14ac:dyDescent="0.25">
      <c r="A1284" s="259" t="s">
        <v>249</v>
      </c>
      <c r="B1284" s="259" t="s">
        <v>192</v>
      </c>
      <c r="C1284" s="260">
        <v>2013</v>
      </c>
      <c r="D1284" s="260">
        <v>175</v>
      </c>
      <c r="E1284" s="261">
        <v>108.59095633621899</v>
      </c>
      <c r="F1284" s="262"/>
      <c r="G1284" s="261">
        <f t="shared" si="29"/>
        <v>175</v>
      </c>
      <c r="H1284" s="263">
        <f>IF(B1284="RTG Crane",IF(D1284&lt;600,800000,1200000),VLOOKUP(B1284,'$$$ Replace &amp; Retrofit'!$B$10:$C$14,2)*'CHE Model poplulation'!D1327)*E1284</f>
        <v>16627990.188983534</v>
      </c>
      <c r="I1284" s="263">
        <f>E1284*VLOOKUP('CHE Model poplulation'!G1327,'$$$ Replace &amp; Retrofit'!$I$10:$J$15,2)</f>
        <v>2692621.3533128863</v>
      </c>
      <c r="J1284" s="269">
        <f>IF(D1284=50,VLOOKUP(0,'$$$ Replace &amp; Retrofit'!$E$10:$F$13,2),IF(D1284&lt;175,VLOOKUP(50,'$$$ Replace &amp; Retrofit'!$E$10:$F$13,2),IF(D1284&lt;400,VLOOKUP(175,'$$$ Replace &amp; Retrofit'!$E$10:$F$13,2),IF(D1284&gt;=400,VLOOKUP(400,'$$$ Replace &amp; Retrofit'!$E$10:$F$13,2),NA))))*E1284</f>
        <v>1954637.2140519419</v>
      </c>
      <c r="K1284" s="261"/>
      <c r="L1284" s="261"/>
      <c r="M1284" s="261"/>
    </row>
    <row r="1285" spans="1:13" ht="30" x14ac:dyDescent="0.25">
      <c r="A1285" s="259" t="s">
        <v>249</v>
      </c>
      <c r="B1285" s="259" t="s">
        <v>192</v>
      </c>
      <c r="C1285" s="260">
        <v>2013</v>
      </c>
      <c r="D1285" s="260">
        <v>300</v>
      </c>
      <c r="E1285" s="261">
        <v>35.453031403088602</v>
      </c>
      <c r="F1285" s="262"/>
      <c r="G1285" s="261">
        <f t="shared" si="29"/>
        <v>300</v>
      </c>
      <c r="H1285" s="263">
        <f>IF(B1285="RTG Crane",IF(D1285&lt;600,800000,1200000),VLOOKUP(B1285,'$$$ Replace &amp; Retrofit'!$B$10:$C$14,2)*'CHE Model poplulation'!D1328)*E1285</f>
        <v>9306420.7433107588</v>
      </c>
      <c r="I1285" s="263">
        <f>E1285*VLOOKUP('CHE Model poplulation'!G1328,'$$$ Replace &amp; Retrofit'!$I$10:$J$15,2)</f>
        <v>1019735.5422470374</v>
      </c>
      <c r="J1285" s="269">
        <f>IF(D1285=50,VLOOKUP(0,'$$$ Replace &amp; Retrofit'!$E$10:$F$13,2),IF(D1285&lt;175,VLOOKUP(50,'$$$ Replace &amp; Retrofit'!$E$10:$F$13,2),IF(D1285&lt;400,VLOOKUP(175,'$$$ Replace &amp; Retrofit'!$E$10:$F$13,2),IF(D1285&gt;=400,VLOOKUP(400,'$$$ Replace &amp; Retrofit'!$E$10:$F$13,2),NA))))*E1285</f>
        <v>638154.56525559479</v>
      </c>
      <c r="K1285" s="261"/>
      <c r="L1285" s="261"/>
      <c r="M1285" s="261"/>
    </row>
    <row r="1286" spans="1:13" ht="30" x14ac:dyDescent="0.25">
      <c r="A1286" s="259" t="s">
        <v>249</v>
      </c>
      <c r="B1286" s="259" t="s">
        <v>192</v>
      </c>
      <c r="C1286" s="260">
        <v>2013</v>
      </c>
      <c r="D1286" s="260">
        <v>600</v>
      </c>
      <c r="E1286" s="261">
        <v>8.6247033590059807</v>
      </c>
      <c r="F1286" s="262"/>
      <c r="G1286" s="261">
        <f t="shared" si="29"/>
        <v>400</v>
      </c>
      <c r="H1286" s="263">
        <f>IF(B1286="RTG Crane",IF(D1286&lt;600,800000,1200000),VLOOKUP(B1286,'$$$ Replace &amp; Retrofit'!$B$10:$C$14,2)*'CHE Model poplulation'!D1329)*E1286</f>
        <v>4527969.2634781403</v>
      </c>
      <c r="I1286" s="263">
        <f>E1286*VLOOKUP('CHE Model poplulation'!G1329,'$$$ Replace &amp; Retrofit'!$I$10:$J$15,2)</f>
        <v>451356.60088685999</v>
      </c>
      <c r="J1286" s="269">
        <f>IF(D1286=50,VLOOKUP(0,'$$$ Replace &amp; Retrofit'!$E$10:$F$13,2),IF(D1286&lt;175,VLOOKUP(50,'$$$ Replace &amp; Retrofit'!$E$10:$F$13,2),IF(D1286&lt;400,VLOOKUP(175,'$$$ Replace &amp; Retrofit'!$E$10:$F$13,2),IF(D1286&gt;=400,VLOOKUP(400,'$$$ Replace &amp; Retrofit'!$E$10:$F$13,2),NA))))*E1286</f>
        <v>258741.10077017942</v>
      </c>
      <c r="K1286" s="261"/>
      <c r="L1286" s="261"/>
      <c r="M1286" s="261"/>
    </row>
    <row r="1287" spans="1:13" ht="45" x14ac:dyDescent="0.25">
      <c r="A1287" s="259" t="s">
        <v>249</v>
      </c>
      <c r="B1287" s="259" t="s">
        <v>211</v>
      </c>
      <c r="C1287" s="260">
        <v>2013</v>
      </c>
      <c r="D1287" s="260">
        <v>50</v>
      </c>
      <c r="E1287" s="261">
        <v>3.9926984960728098</v>
      </c>
      <c r="F1287" s="262"/>
      <c r="G1287" s="261">
        <f t="shared" si="29"/>
        <v>50</v>
      </c>
      <c r="H1287" s="263">
        <f>IF(B1287="RTG Crane",IF(D1287&lt;600,800000,1200000),VLOOKUP(B1287,'$$$ Replace &amp; Retrofit'!$B$10:$C$14,2)*'CHE Model poplulation'!D1444)*E1287</f>
        <v>199634.92480364049</v>
      </c>
      <c r="I1287" s="263">
        <f>E1287*VLOOKUP('CHE Model poplulation'!G1444,'$$$ Replace &amp; Retrofit'!$I$10:$J$15,2)</f>
        <v>70223.581148928584</v>
      </c>
      <c r="J1287" s="269">
        <f>IF(D1287=50,VLOOKUP(0,'$$$ Replace &amp; Retrofit'!$E$10:$F$13,2),IF(D1287&lt;175,VLOOKUP(50,'$$$ Replace &amp; Retrofit'!$E$10:$F$13,2),IF(D1287&lt;400,VLOOKUP(175,'$$$ Replace &amp; Retrofit'!$E$10:$F$13,2),IF(D1287&gt;=400,VLOOKUP(400,'$$$ Replace &amp; Retrofit'!$E$10:$F$13,2),NA))))*E1287</f>
        <v>31941.587968582477</v>
      </c>
      <c r="K1287" s="261"/>
      <c r="L1287" s="261"/>
      <c r="M1287" s="261"/>
    </row>
    <row r="1288" spans="1:13" ht="45" x14ac:dyDescent="0.25">
      <c r="A1288" s="259" t="s">
        <v>249</v>
      </c>
      <c r="B1288" s="259" t="s">
        <v>211</v>
      </c>
      <c r="C1288" s="260">
        <v>2013</v>
      </c>
      <c r="D1288" s="260">
        <v>75</v>
      </c>
      <c r="E1288" s="261">
        <v>1.8722537016177101</v>
      </c>
      <c r="F1288" s="262"/>
      <c r="G1288" s="261">
        <f t="shared" si="29"/>
        <v>50</v>
      </c>
      <c r="H1288" s="263">
        <f>IF(B1288="RTG Crane",IF(D1288&lt;600,800000,1200000),VLOOKUP(B1288,'$$$ Replace &amp; Retrofit'!$B$10:$C$14,2)*'CHE Model poplulation'!D1445)*E1288</f>
        <v>140419.02762132825</v>
      </c>
      <c r="I1288" s="263">
        <f>E1288*VLOOKUP('CHE Model poplulation'!G1445,'$$$ Replace &amp; Retrofit'!$I$10:$J$15,2)</f>
        <v>32929.198104052288</v>
      </c>
      <c r="J1288" s="269">
        <f>IF(D1288=50,VLOOKUP(0,'$$$ Replace &amp; Retrofit'!$E$10:$F$13,2),IF(D1288&lt;175,VLOOKUP(50,'$$$ Replace &amp; Retrofit'!$E$10:$F$13,2),IF(D1288&lt;400,VLOOKUP(175,'$$$ Replace &amp; Retrofit'!$E$10:$F$13,2),IF(D1288&gt;=400,VLOOKUP(400,'$$$ Replace &amp; Retrofit'!$E$10:$F$13,2),NA))))*E1288</f>
        <v>22467.044419412523</v>
      </c>
      <c r="K1288" s="261"/>
      <c r="L1288" s="261"/>
      <c r="M1288" s="261"/>
    </row>
    <row r="1289" spans="1:13" ht="45" x14ac:dyDescent="0.25">
      <c r="A1289" s="259" t="s">
        <v>249</v>
      </c>
      <c r="B1289" s="259" t="s">
        <v>211</v>
      </c>
      <c r="C1289" s="260">
        <v>2013</v>
      </c>
      <c r="D1289" s="260">
        <v>100</v>
      </c>
      <c r="E1289" s="261">
        <v>2.37320738316174</v>
      </c>
      <c r="F1289" s="262"/>
      <c r="G1289" s="261">
        <f t="shared" si="29"/>
        <v>125</v>
      </c>
      <c r="H1289" s="263">
        <f>IF(B1289="RTG Crane",IF(D1289&lt;600,800000,1200000),VLOOKUP(B1289,'$$$ Replace &amp; Retrofit'!$B$10:$C$14,2)*'CHE Model poplulation'!D1446)*E1289</f>
        <v>237320.73831617399</v>
      </c>
      <c r="I1289" s="263">
        <f>E1289*VLOOKUP('CHE Model poplulation'!G1446,'$$$ Replace &amp; Retrofit'!$I$10:$J$15,2)</f>
        <v>46830.501291930617</v>
      </c>
      <c r="J1289" s="269">
        <f>IF(D1289=50,VLOOKUP(0,'$$$ Replace &amp; Retrofit'!$E$10:$F$13,2),IF(D1289&lt;175,VLOOKUP(50,'$$$ Replace &amp; Retrofit'!$E$10:$F$13,2),IF(D1289&lt;400,VLOOKUP(175,'$$$ Replace &amp; Retrofit'!$E$10:$F$13,2),IF(D1289&gt;=400,VLOOKUP(400,'$$$ Replace &amp; Retrofit'!$E$10:$F$13,2),NA))))*E1289</f>
        <v>28478.488597940879</v>
      </c>
      <c r="K1289" s="261"/>
      <c r="L1289" s="261"/>
      <c r="M1289" s="261"/>
    </row>
    <row r="1290" spans="1:13" ht="45" x14ac:dyDescent="0.25">
      <c r="A1290" s="259" t="s">
        <v>249</v>
      </c>
      <c r="B1290" s="259" t="s">
        <v>211</v>
      </c>
      <c r="C1290" s="260">
        <v>2013</v>
      </c>
      <c r="D1290" s="260">
        <v>175</v>
      </c>
      <c r="E1290" s="261">
        <v>2.4861462975448601</v>
      </c>
      <c r="F1290" s="262"/>
      <c r="G1290" s="261">
        <f t="shared" si="29"/>
        <v>175</v>
      </c>
      <c r="H1290" s="263">
        <f>IF(B1290="RTG Crane",IF(D1290&lt;600,800000,1200000),VLOOKUP(B1290,'$$$ Replace &amp; Retrofit'!$B$10:$C$14,2)*'CHE Model poplulation'!D1447)*E1290</f>
        <v>435075.60207035049</v>
      </c>
      <c r="I1290" s="263">
        <f>E1290*VLOOKUP('CHE Model poplulation'!G1447,'$$$ Replace &amp; Retrofit'!$I$10:$J$15,2)</f>
        <v>61646.483593922349</v>
      </c>
      <c r="J1290" s="269">
        <f>IF(D1290=50,VLOOKUP(0,'$$$ Replace &amp; Retrofit'!$E$10:$F$13,2),IF(D1290&lt;175,VLOOKUP(50,'$$$ Replace &amp; Retrofit'!$E$10:$F$13,2),IF(D1290&lt;400,VLOOKUP(175,'$$$ Replace &amp; Retrofit'!$E$10:$F$13,2),IF(D1290&gt;=400,VLOOKUP(400,'$$$ Replace &amp; Retrofit'!$E$10:$F$13,2),NA))))*E1290</f>
        <v>44750.633355807484</v>
      </c>
      <c r="K1290" s="261"/>
      <c r="L1290" s="261"/>
      <c r="M1290" s="261"/>
    </row>
    <row r="1291" spans="1:13" ht="45" x14ac:dyDescent="0.25">
      <c r="A1291" s="259" t="s">
        <v>249</v>
      </c>
      <c r="B1291" s="259" t="s">
        <v>211</v>
      </c>
      <c r="C1291" s="260">
        <v>2013</v>
      </c>
      <c r="D1291" s="260">
        <v>300</v>
      </c>
      <c r="E1291" s="261">
        <v>2.4391519790745102</v>
      </c>
      <c r="F1291" s="262"/>
      <c r="G1291" s="261">
        <f t="shared" si="29"/>
        <v>300</v>
      </c>
      <c r="H1291" s="263">
        <f>IF(B1291="RTG Crane",IF(D1291&lt;600,800000,1200000),VLOOKUP(B1291,'$$$ Replace &amp; Retrofit'!$B$10:$C$14,2)*'CHE Model poplulation'!D1448)*E1291</f>
        <v>731745.59372235311</v>
      </c>
      <c r="I1291" s="263">
        <f>E1291*VLOOKUP('CHE Model poplulation'!G1448,'$$$ Replace &amp; Retrofit'!$I$10:$J$15,2)</f>
        <v>70157.32837412013</v>
      </c>
      <c r="J1291" s="269">
        <f>IF(D1291=50,VLOOKUP(0,'$$$ Replace &amp; Retrofit'!$E$10:$F$13,2),IF(D1291&lt;175,VLOOKUP(50,'$$$ Replace &amp; Retrofit'!$E$10:$F$13,2),IF(D1291&lt;400,VLOOKUP(175,'$$$ Replace &amp; Retrofit'!$E$10:$F$13,2),IF(D1291&gt;=400,VLOOKUP(400,'$$$ Replace &amp; Retrofit'!$E$10:$F$13,2),NA))))*E1291</f>
        <v>43904.735623341185</v>
      </c>
      <c r="K1291" s="261"/>
      <c r="L1291" s="261"/>
      <c r="M1291" s="261"/>
    </row>
    <row r="1292" spans="1:13" ht="45" x14ac:dyDescent="0.25">
      <c r="A1292" s="259" t="s">
        <v>249</v>
      </c>
      <c r="B1292" s="259" t="s">
        <v>211</v>
      </c>
      <c r="C1292" s="260">
        <v>2013</v>
      </c>
      <c r="D1292" s="260">
        <v>600</v>
      </c>
      <c r="E1292" s="261">
        <v>0.92501557757308694</v>
      </c>
      <c r="F1292" s="262"/>
      <c r="G1292" s="261">
        <f t="shared" si="29"/>
        <v>400</v>
      </c>
      <c r="H1292" s="263">
        <f>IF(B1292="RTG Crane",IF(D1292&lt;600,800000,1200000),VLOOKUP(B1292,'$$$ Replace &amp; Retrofit'!$B$10:$C$14,2)*'CHE Model poplulation'!D1449)*E1292</f>
        <v>555009.34654385212</v>
      </c>
      <c r="I1292" s="263">
        <f>E1292*VLOOKUP('CHE Model poplulation'!G1449,'$$$ Replace &amp; Retrofit'!$I$10:$J$15,2)</f>
        <v>48408.840221132356</v>
      </c>
      <c r="J1292" s="269">
        <f>IF(D1292=50,VLOOKUP(0,'$$$ Replace &amp; Retrofit'!$E$10:$F$13,2),IF(D1292&lt;175,VLOOKUP(50,'$$$ Replace &amp; Retrofit'!$E$10:$F$13,2),IF(D1292&lt;400,VLOOKUP(175,'$$$ Replace &amp; Retrofit'!$E$10:$F$13,2),IF(D1292&gt;=400,VLOOKUP(400,'$$$ Replace &amp; Retrofit'!$E$10:$F$13,2),NA))))*E1292</f>
        <v>27750.467327192608</v>
      </c>
      <c r="K1292" s="261"/>
      <c r="L1292" s="261"/>
      <c r="M1292" s="261"/>
    </row>
    <row r="1293" spans="1:13" ht="30" x14ac:dyDescent="0.25">
      <c r="A1293" s="259" t="s">
        <v>249</v>
      </c>
      <c r="B1293" s="259" t="s">
        <v>212</v>
      </c>
      <c r="C1293" s="260">
        <v>2013</v>
      </c>
      <c r="D1293" s="260">
        <v>100</v>
      </c>
      <c r="E1293" s="261">
        <v>0</v>
      </c>
      <c r="F1293" s="262"/>
      <c r="G1293" s="261"/>
      <c r="H1293" s="261"/>
      <c r="I1293" s="261"/>
      <c r="J1293" s="274"/>
      <c r="K1293" s="261"/>
      <c r="L1293" s="261"/>
      <c r="M1293" s="261"/>
    </row>
    <row r="1294" spans="1:13" ht="30" x14ac:dyDescent="0.25">
      <c r="A1294" s="259" t="s">
        <v>249</v>
      </c>
      <c r="B1294" s="259" t="s">
        <v>212</v>
      </c>
      <c r="C1294" s="260">
        <v>2013</v>
      </c>
      <c r="D1294" s="260">
        <v>300</v>
      </c>
      <c r="E1294" s="261">
        <v>0</v>
      </c>
      <c r="F1294" s="262"/>
      <c r="G1294" s="261"/>
      <c r="H1294" s="261"/>
      <c r="I1294" s="261"/>
      <c r="J1294" s="274"/>
      <c r="K1294" s="261"/>
      <c r="L1294" s="261"/>
      <c r="M1294" s="261"/>
    </row>
    <row r="1295" spans="1:13" ht="30" x14ac:dyDescent="0.25">
      <c r="A1295" s="259" t="s">
        <v>249</v>
      </c>
      <c r="B1295" s="259" t="s">
        <v>212</v>
      </c>
      <c r="C1295" s="260">
        <v>2013</v>
      </c>
      <c r="D1295" s="260">
        <v>600</v>
      </c>
      <c r="E1295" s="261">
        <v>0</v>
      </c>
      <c r="F1295" s="262"/>
      <c r="G1295" s="261"/>
      <c r="H1295" s="261"/>
      <c r="I1295" s="261"/>
      <c r="J1295" s="274"/>
      <c r="K1295" s="261"/>
      <c r="L1295" s="261"/>
      <c r="M1295" s="261"/>
    </row>
    <row r="1296" spans="1:13" ht="30" x14ac:dyDescent="0.25">
      <c r="A1296" s="259" t="s">
        <v>249</v>
      </c>
      <c r="B1296" s="259" t="s">
        <v>212</v>
      </c>
      <c r="C1296" s="260">
        <v>2013</v>
      </c>
      <c r="D1296" s="260">
        <v>750</v>
      </c>
      <c r="E1296" s="261">
        <v>0</v>
      </c>
      <c r="F1296" s="262"/>
      <c r="G1296" s="261"/>
      <c r="H1296" s="261"/>
      <c r="I1296" s="261"/>
      <c r="J1296" s="274"/>
      <c r="K1296" s="261"/>
      <c r="L1296" s="261"/>
      <c r="M1296" s="261"/>
    </row>
    <row r="1297" spans="1:16" ht="30" x14ac:dyDescent="0.25">
      <c r="A1297" s="259" t="s">
        <v>249</v>
      </c>
      <c r="B1297" s="259" t="s">
        <v>212</v>
      </c>
      <c r="C1297" s="260">
        <v>2013</v>
      </c>
      <c r="D1297" s="260">
        <v>9999</v>
      </c>
      <c r="E1297" s="261">
        <v>0</v>
      </c>
      <c r="F1297" s="262"/>
      <c r="G1297" s="261"/>
      <c r="H1297" s="261"/>
      <c r="I1297" s="261"/>
      <c r="J1297" s="274"/>
      <c r="K1297" s="266">
        <f t="shared" ref="K1297:L1297" si="30">SUM(H1271:H1297)</f>
        <v>55800389.790442616</v>
      </c>
      <c r="L1297" s="266">
        <f t="shared" si="30"/>
        <v>8151173.8111187397</v>
      </c>
      <c r="M1297" s="266">
        <f>SUM(J1271:J1297)</f>
        <v>5269647.6554684006</v>
      </c>
      <c r="N1297" s="239">
        <f>K1297-N1270</f>
        <v>88516771.953681186</v>
      </c>
      <c r="O1297" s="239">
        <f t="shared" ref="O1297:P1297" si="31">L1297-O1270</f>
        <v>9137457.4634321444</v>
      </c>
      <c r="P1297" s="239">
        <f t="shared" si="31"/>
        <v>5827463.0287737362</v>
      </c>
    </row>
    <row r="1298" spans="1:16" ht="30" x14ac:dyDescent="0.25">
      <c r="A1298" s="259" t="s">
        <v>249</v>
      </c>
      <c r="B1298" s="259" t="s">
        <v>206</v>
      </c>
      <c r="C1298" s="260">
        <v>2014</v>
      </c>
      <c r="D1298" s="260">
        <v>50</v>
      </c>
      <c r="E1298" s="261">
        <v>1.2204464758583899</v>
      </c>
      <c r="F1298" s="262"/>
      <c r="G1298" s="261">
        <f t="shared" ref="G1298:G1319" si="32">IF(OR(D1298=50,D1298=75),50,IF(OR(D1298=100,D1298=125),125,IF(D1298&gt;=400,400,D1298)))</f>
        <v>50</v>
      </c>
      <c r="H1298" s="263">
        <f>IF(B1298="RTG Crane",IF(D1298&lt;600,800000,1200000),VLOOKUP(B1298,'$$$ Replace &amp; Retrofit'!$B$10:$C$14,2)*'CHE Model poplulation'!D1130)*E1298</f>
        <v>61022.323792919495</v>
      </c>
      <c r="I1298" s="263">
        <f>E1298*VLOOKUP('CHE Model poplulation'!G1130,'$$$ Replace &amp; Retrofit'!$I$10:$J$15,2)</f>
        <v>21465.212617397363</v>
      </c>
      <c r="J1298" s="197">
        <f>IF(D1298=50,VLOOKUP(0,'$$$ Replace &amp; Retrofit'!$E$10:$F$13,2),IF(D1298&lt;175,VLOOKUP(50,'$$$ Replace &amp; Retrofit'!$E$10:$F$13,2),IF(D1298&lt;400,VLOOKUP(175,'$$$ Replace &amp; Retrofit'!$E$10:$F$13,2),IF(D1298&gt;=400,VLOOKUP(400,'$$$ Replace &amp; Retrofit'!$E$10:$F$13,2),NA))))*E1298</f>
        <v>9763.5718068671194</v>
      </c>
      <c r="K1298" s="261"/>
      <c r="L1298" s="261"/>
      <c r="M1298" s="261"/>
    </row>
    <row r="1299" spans="1:16" ht="30" x14ac:dyDescent="0.25">
      <c r="A1299" s="259" t="s">
        <v>249</v>
      </c>
      <c r="B1299" s="259" t="s">
        <v>206</v>
      </c>
      <c r="C1299" s="260">
        <v>2014</v>
      </c>
      <c r="D1299" s="260">
        <v>75</v>
      </c>
      <c r="E1299" s="261">
        <v>2.2626692132008599</v>
      </c>
      <c r="F1299" s="262"/>
      <c r="G1299" s="261">
        <f t="shared" si="32"/>
        <v>50</v>
      </c>
      <c r="H1299" s="263">
        <f>IF(B1299="RTG Crane",IF(D1299&lt;600,800000,1200000),VLOOKUP(B1299,'$$$ Replace &amp; Retrofit'!$B$10:$C$14,2)*'CHE Model poplulation'!D1131)*E1299</f>
        <v>169700.1909900645</v>
      </c>
      <c r="I1299" s="263">
        <f>E1299*VLOOKUP('CHE Model poplulation'!G1131,'$$$ Replace &amp; Retrofit'!$I$10:$J$15,2)</f>
        <v>39795.826121776721</v>
      </c>
      <c r="J1299" s="197">
        <f>IF(D1299=50,VLOOKUP(0,'$$$ Replace &amp; Retrofit'!$E$10:$F$13,2),IF(D1299&lt;175,VLOOKUP(50,'$$$ Replace &amp; Retrofit'!$E$10:$F$13,2),IF(D1299&lt;400,VLOOKUP(175,'$$$ Replace &amp; Retrofit'!$E$10:$F$13,2),IF(D1299&gt;=400,VLOOKUP(400,'$$$ Replace &amp; Retrofit'!$E$10:$F$13,2),NA))))*E1299</f>
        <v>27152.030558410319</v>
      </c>
      <c r="K1299" s="261"/>
      <c r="L1299" s="261"/>
      <c r="M1299" s="261"/>
    </row>
    <row r="1300" spans="1:16" ht="30" x14ac:dyDescent="0.25">
      <c r="A1300" s="259" t="s">
        <v>249</v>
      </c>
      <c r="B1300" s="259" t="s">
        <v>206</v>
      </c>
      <c r="C1300" s="260">
        <v>2014</v>
      </c>
      <c r="D1300" s="260">
        <v>100</v>
      </c>
      <c r="E1300" s="261">
        <v>2.1981625362121799</v>
      </c>
      <c r="F1300" s="262"/>
      <c r="G1300" s="261">
        <f t="shared" si="32"/>
        <v>125</v>
      </c>
      <c r="H1300" s="263">
        <f>IF(B1300="RTG Crane",IF(D1300&lt;600,800000,1200000),VLOOKUP(B1300,'$$$ Replace &amp; Retrofit'!$B$10:$C$14,2)*'CHE Model poplulation'!D1132)*E1300</f>
        <v>219816.253621218</v>
      </c>
      <c r="I1300" s="263">
        <f>E1300*VLOOKUP('CHE Model poplulation'!G1132,'$$$ Replace &amp; Retrofit'!$I$10:$J$15,2)</f>
        <v>43376.341327074944</v>
      </c>
      <c r="J1300" s="197">
        <f>IF(D1300=50,VLOOKUP(0,'$$$ Replace &amp; Retrofit'!$E$10:$F$13,2),IF(D1300&lt;175,VLOOKUP(50,'$$$ Replace &amp; Retrofit'!$E$10:$F$13,2),IF(D1300&lt;400,VLOOKUP(175,'$$$ Replace &amp; Retrofit'!$E$10:$F$13,2),IF(D1300&gt;=400,VLOOKUP(400,'$$$ Replace &amp; Retrofit'!$E$10:$F$13,2),NA))))*E1300</f>
        <v>26377.950434546161</v>
      </c>
      <c r="K1300" s="261"/>
      <c r="L1300" s="261"/>
      <c r="M1300" s="261"/>
    </row>
    <row r="1301" spans="1:16" ht="30" x14ac:dyDescent="0.25">
      <c r="A1301" s="259" t="s">
        <v>249</v>
      </c>
      <c r="B1301" s="259" t="s">
        <v>206</v>
      </c>
      <c r="C1301" s="260">
        <v>2014</v>
      </c>
      <c r="D1301" s="260">
        <v>175</v>
      </c>
      <c r="E1301" s="261">
        <v>3.5241499127928102</v>
      </c>
      <c r="F1301" s="262"/>
      <c r="G1301" s="261">
        <f t="shared" si="32"/>
        <v>175</v>
      </c>
      <c r="H1301" s="263">
        <f>IF(B1301="RTG Crane",IF(D1301&lt;600,800000,1200000),VLOOKUP(B1301,'$$$ Replace &amp; Retrofit'!$B$10:$C$14,2)*'CHE Model poplulation'!D1133)*E1301</f>
        <v>616726.23473874177</v>
      </c>
      <c r="I1301" s="263">
        <f>E1301*VLOOKUP('CHE Model poplulation'!G1133,'$$$ Replace &amp; Retrofit'!$I$10:$J$15,2)</f>
        <v>87384.821237610522</v>
      </c>
      <c r="J1301" s="197">
        <f>IF(D1301=50,VLOOKUP(0,'$$$ Replace &amp; Retrofit'!$E$10:$F$13,2),IF(D1301&lt;175,VLOOKUP(50,'$$$ Replace &amp; Retrofit'!$E$10:$F$13,2),IF(D1301&lt;400,VLOOKUP(175,'$$$ Replace &amp; Retrofit'!$E$10:$F$13,2),IF(D1301&gt;=400,VLOOKUP(400,'$$$ Replace &amp; Retrofit'!$E$10:$F$13,2),NA))))*E1301</f>
        <v>63434.698430270582</v>
      </c>
      <c r="K1301" s="261"/>
      <c r="L1301" s="261"/>
      <c r="M1301" s="261"/>
    </row>
    <row r="1302" spans="1:16" ht="30" x14ac:dyDescent="0.25">
      <c r="A1302" s="259" t="s">
        <v>249</v>
      </c>
      <c r="B1302" s="259" t="s">
        <v>206</v>
      </c>
      <c r="C1302" s="260">
        <v>2014</v>
      </c>
      <c r="D1302" s="260">
        <v>300</v>
      </c>
      <c r="E1302" s="261">
        <v>3.2575093327283899</v>
      </c>
      <c r="F1302" s="262"/>
      <c r="G1302" s="261">
        <f t="shared" si="32"/>
        <v>300</v>
      </c>
      <c r="H1302" s="263">
        <f>IF(B1302="RTG Crane",IF(D1302&lt;600,800000,1200000),VLOOKUP(B1302,'$$$ Replace &amp; Retrofit'!$B$10:$C$14,2)*'CHE Model poplulation'!D1134)*E1302</f>
        <v>977252.79981851694</v>
      </c>
      <c r="I1302" s="263">
        <f>E1302*VLOOKUP('CHE Model poplulation'!G1134,'$$$ Replace &amp; Retrofit'!$I$10:$J$15,2)</f>
        <v>93695.740937266673</v>
      </c>
      <c r="J1302" s="197">
        <f>IF(D1302=50,VLOOKUP(0,'$$$ Replace &amp; Retrofit'!$E$10:$F$13,2),IF(D1302&lt;175,VLOOKUP(50,'$$$ Replace &amp; Retrofit'!$E$10:$F$13,2),IF(D1302&lt;400,VLOOKUP(175,'$$$ Replace &amp; Retrofit'!$E$10:$F$13,2),IF(D1302&gt;=400,VLOOKUP(400,'$$$ Replace &amp; Retrofit'!$E$10:$F$13,2),NA))))*E1302</f>
        <v>58635.167989111018</v>
      </c>
      <c r="K1302" s="261"/>
      <c r="L1302" s="261"/>
      <c r="M1302" s="261"/>
    </row>
    <row r="1303" spans="1:16" ht="30" x14ac:dyDescent="0.25">
      <c r="A1303" s="259" t="s">
        <v>249</v>
      </c>
      <c r="B1303" s="259" t="s">
        <v>206</v>
      </c>
      <c r="C1303" s="260">
        <v>2014</v>
      </c>
      <c r="D1303" s="260">
        <v>600</v>
      </c>
      <c r="E1303" s="261">
        <v>8.5980015050706395</v>
      </c>
      <c r="F1303" s="262"/>
      <c r="G1303" s="261">
        <f t="shared" si="32"/>
        <v>400</v>
      </c>
      <c r="H1303" s="263">
        <f>IF(B1303="RTG Crane",IF(D1303&lt;600,800000,1200000),VLOOKUP(B1303,'$$$ Replace &amp; Retrofit'!$B$10:$C$14,2)*'CHE Model poplulation'!D1135)*E1303</f>
        <v>5158800.9030423835</v>
      </c>
      <c r="I1303" s="263">
        <f>E1303*VLOOKUP('CHE Model poplulation'!G1135,'$$$ Replace &amp; Retrofit'!$I$10:$J$15,2)</f>
        <v>449959.21276486176</v>
      </c>
      <c r="J1303" s="197">
        <f>IF(D1303=50,VLOOKUP(0,'$$$ Replace &amp; Retrofit'!$E$10:$F$13,2),IF(D1303&lt;175,VLOOKUP(50,'$$$ Replace &amp; Retrofit'!$E$10:$F$13,2),IF(D1303&lt;400,VLOOKUP(175,'$$$ Replace &amp; Retrofit'!$E$10:$F$13,2),IF(D1303&gt;=400,VLOOKUP(400,'$$$ Replace &amp; Retrofit'!$E$10:$F$13,2),NA))))*E1303</f>
        <v>257940.04515211919</v>
      </c>
      <c r="K1303" s="261"/>
      <c r="L1303" s="261"/>
      <c r="M1303" s="261"/>
    </row>
    <row r="1304" spans="1:16" ht="45" x14ac:dyDescent="0.25">
      <c r="A1304" s="259" t="s">
        <v>249</v>
      </c>
      <c r="B1304" s="259" t="s">
        <v>208</v>
      </c>
      <c r="C1304" s="260">
        <v>2014</v>
      </c>
      <c r="D1304" s="260">
        <v>100</v>
      </c>
      <c r="E1304" s="261">
        <v>6.8487216016870398E-2</v>
      </c>
      <c r="F1304" s="262"/>
      <c r="G1304" s="261">
        <f t="shared" si="32"/>
        <v>125</v>
      </c>
      <c r="H1304" s="263">
        <f>IF(B1304="RTG Crane",IF(D1304&lt;600,800000,1200000),VLOOKUP(B1304,'$$$ Replace &amp; Retrofit'!$B$10:$C$14,2)*'CHE Model poplulation'!D1234)*E1304</f>
        <v>5458.4311165445706</v>
      </c>
      <c r="I1304" s="263">
        <f>E1304*VLOOKUP('CHE Model poplulation'!G1234,'$$$ Replace &amp; Retrofit'!$I$10:$J$15,2)</f>
        <v>1351.4582336609035</v>
      </c>
      <c r="J1304" s="197">
        <f>IF(D1304=50,VLOOKUP(0,'$$$ Replace &amp; Retrofit'!$E$10:$F$13,2),IF(D1304&lt;175,VLOOKUP(50,'$$$ Replace &amp; Retrofit'!$E$10:$F$13,2),IF(D1304&lt;400,VLOOKUP(175,'$$$ Replace &amp; Retrofit'!$E$10:$F$13,2),IF(D1304&gt;=400,VLOOKUP(400,'$$$ Replace &amp; Retrofit'!$E$10:$F$13,2),NA))))*E1304</f>
        <v>821.84659220244475</v>
      </c>
      <c r="K1304" s="261"/>
      <c r="L1304" s="261"/>
      <c r="M1304" s="261"/>
    </row>
    <row r="1305" spans="1:16" ht="45" x14ac:dyDescent="0.25">
      <c r="A1305" s="259" t="s">
        <v>249</v>
      </c>
      <c r="B1305" s="259" t="s">
        <v>208</v>
      </c>
      <c r="C1305" s="260">
        <v>2014</v>
      </c>
      <c r="D1305" s="260">
        <v>175</v>
      </c>
      <c r="E1305" s="261">
        <v>1.6814636915710699</v>
      </c>
      <c r="F1305" s="262"/>
      <c r="G1305" s="261">
        <f t="shared" si="32"/>
        <v>175</v>
      </c>
      <c r="H1305" s="263">
        <f>IF(B1305="RTG Crane",IF(D1305&lt;600,800000,1200000),VLOOKUP(B1305,'$$$ Replace &amp; Retrofit'!$B$10:$C$14,2)*'CHE Model poplulation'!D1235)*E1305</f>
        <v>234522.14838187498</v>
      </c>
      <c r="I1305" s="263">
        <f>E1305*VLOOKUP('CHE Model poplulation'!G1235,'$$$ Replace &amp; Retrofit'!$I$10:$J$15,2)</f>
        <v>41693.573696196247</v>
      </c>
      <c r="J1305" s="197">
        <f>IF(D1305=50,VLOOKUP(0,'$$$ Replace &amp; Retrofit'!$E$10:$F$13,2),IF(D1305&lt;175,VLOOKUP(50,'$$$ Replace &amp; Retrofit'!$E$10:$F$13,2),IF(D1305&lt;400,VLOOKUP(175,'$$$ Replace &amp; Retrofit'!$E$10:$F$13,2),IF(D1305&gt;=400,VLOOKUP(400,'$$$ Replace &amp; Retrofit'!$E$10:$F$13,2),NA))))*E1305</f>
        <v>30266.346448279259</v>
      </c>
      <c r="K1305" s="261"/>
      <c r="L1305" s="261"/>
      <c r="M1305" s="261"/>
    </row>
    <row r="1306" spans="1:16" ht="45" x14ac:dyDescent="0.25">
      <c r="A1306" s="259" t="s">
        <v>249</v>
      </c>
      <c r="B1306" s="259" t="s">
        <v>208</v>
      </c>
      <c r="C1306" s="260">
        <v>2014</v>
      </c>
      <c r="D1306" s="260">
        <v>300</v>
      </c>
      <c r="E1306" s="261">
        <v>4.9927759598641597</v>
      </c>
      <c r="F1306" s="262"/>
      <c r="G1306" s="261">
        <f t="shared" si="32"/>
        <v>300</v>
      </c>
      <c r="H1306" s="263">
        <f>IF(B1306="RTG Crane",IF(D1306&lt;600,800000,1200000),VLOOKUP(B1306,'$$$ Replace &amp; Retrofit'!$B$10:$C$14,2)*'CHE Model poplulation'!D1236)*E1306</f>
        <v>1193772.7320035205</v>
      </c>
      <c r="I1306" s="263">
        <f>E1306*VLOOKUP('CHE Model poplulation'!G1236,'$$$ Replace &amp; Retrofit'!$I$10:$J$15,2)</f>
        <v>143607.21493357283</v>
      </c>
      <c r="J1306" s="197">
        <f>IF(D1306=50,VLOOKUP(0,'$$$ Replace &amp; Retrofit'!$E$10:$F$13,2),IF(D1306&lt;175,VLOOKUP(50,'$$$ Replace &amp; Retrofit'!$E$10:$F$13,2),IF(D1306&lt;400,VLOOKUP(175,'$$$ Replace &amp; Retrofit'!$E$10:$F$13,2),IF(D1306&gt;=400,VLOOKUP(400,'$$$ Replace &amp; Retrofit'!$E$10:$F$13,2),NA))))*E1306</f>
        <v>89869.967277554868</v>
      </c>
      <c r="K1306" s="261"/>
      <c r="L1306" s="261"/>
      <c r="M1306" s="261"/>
    </row>
    <row r="1307" spans="1:16" ht="45" x14ac:dyDescent="0.25">
      <c r="A1307" s="259" t="s">
        <v>249</v>
      </c>
      <c r="B1307" s="259" t="s">
        <v>208</v>
      </c>
      <c r="C1307" s="260">
        <v>2014</v>
      </c>
      <c r="D1307" s="260">
        <v>600</v>
      </c>
      <c r="E1307" s="261">
        <v>7.6795871196326502</v>
      </c>
      <c r="F1307" s="262"/>
      <c r="G1307" s="261">
        <f t="shared" si="32"/>
        <v>400</v>
      </c>
      <c r="H1307" s="263">
        <f>IF(B1307="RTG Crane",IF(D1307&lt;600,800000,1200000),VLOOKUP(B1307,'$$$ Replace &amp; Retrofit'!$B$10:$C$14,2)*'CHE Model poplulation'!D1237)*E1307</f>
        <v>3672378.5606083334</v>
      </c>
      <c r="I1307" s="263">
        <f>E1307*VLOOKUP('CHE Model poplulation'!G1237,'$$$ Replace &amp; Retrofit'!$I$10:$J$15,2)</f>
        <v>401895.83273173549</v>
      </c>
      <c r="J1307" s="197">
        <f>IF(D1307=50,VLOOKUP(0,'$$$ Replace &amp; Retrofit'!$E$10:$F$13,2),IF(D1307&lt;175,VLOOKUP(50,'$$$ Replace &amp; Retrofit'!$E$10:$F$13,2),IF(D1307&lt;400,VLOOKUP(175,'$$$ Replace &amp; Retrofit'!$E$10:$F$13,2),IF(D1307&gt;=400,VLOOKUP(400,'$$$ Replace &amp; Retrofit'!$E$10:$F$13,2),NA))))*E1307</f>
        <v>230387.6135889795</v>
      </c>
      <c r="K1307" s="261"/>
      <c r="L1307" s="261"/>
      <c r="M1307" s="261"/>
    </row>
    <row r="1308" spans="1:16" ht="30" x14ac:dyDescent="0.25">
      <c r="A1308" s="259" t="s">
        <v>249</v>
      </c>
      <c r="B1308" s="259" t="s">
        <v>192</v>
      </c>
      <c r="C1308" s="260">
        <v>2014</v>
      </c>
      <c r="D1308" s="260">
        <v>50</v>
      </c>
      <c r="E1308" s="261">
        <v>5.3379664040724801</v>
      </c>
      <c r="F1308" s="262"/>
      <c r="G1308" s="261">
        <f t="shared" si="32"/>
        <v>50</v>
      </c>
      <c r="H1308" s="263">
        <f>IF(B1308="RTG Crane",IF(D1308&lt;600,800000,1200000),VLOOKUP(B1308,'$$$ Replace &amp; Retrofit'!$B$10:$C$14,2)*'CHE Model poplulation'!D1330)*E1308</f>
        <v>233536.030178171</v>
      </c>
      <c r="I1308" s="263">
        <f>E1308*VLOOKUP('CHE Model poplulation'!G1330,'$$$ Replace &amp; Retrofit'!$I$10:$J$15,2)</f>
        <v>93884.153114826782</v>
      </c>
      <c r="J1308" s="197">
        <f>IF(D1308=50,VLOOKUP(0,'$$$ Replace &amp; Retrofit'!$E$10:$F$13,2),IF(D1308&lt;175,VLOOKUP(50,'$$$ Replace &amp; Retrofit'!$E$10:$F$13,2),IF(D1308&lt;400,VLOOKUP(175,'$$$ Replace &amp; Retrofit'!$E$10:$F$13,2),IF(D1308&gt;=400,VLOOKUP(400,'$$$ Replace &amp; Retrofit'!$E$10:$F$13,2),NA))))*E1308</f>
        <v>42703.731232579841</v>
      </c>
      <c r="K1308" s="261"/>
      <c r="L1308" s="261"/>
      <c r="M1308" s="261"/>
    </row>
    <row r="1309" spans="1:16" ht="30" x14ac:dyDescent="0.25">
      <c r="A1309" s="259" t="s">
        <v>249</v>
      </c>
      <c r="B1309" s="259" t="s">
        <v>192</v>
      </c>
      <c r="C1309" s="260">
        <v>2014</v>
      </c>
      <c r="D1309" s="260">
        <v>75</v>
      </c>
      <c r="E1309" s="261">
        <v>16.217925074880899</v>
      </c>
      <c r="F1309" s="262"/>
      <c r="G1309" s="261">
        <f t="shared" si="32"/>
        <v>50</v>
      </c>
      <c r="H1309" s="263">
        <f>IF(B1309="RTG Crane",IF(D1309&lt;600,800000,1200000),VLOOKUP(B1309,'$$$ Replace &amp; Retrofit'!$B$10:$C$14,2)*'CHE Model poplulation'!D1331)*E1309</f>
        <v>1064301.3330390591</v>
      </c>
      <c r="I1309" s="263">
        <f>E1309*VLOOKUP('CHE Model poplulation'!G1331,'$$$ Replace &amp; Retrofit'!$I$10:$J$15,2)</f>
        <v>285240.86621700524</v>
      </c>
      <c r="J1309" s="197">
        <f>IF(D1309=50,VLOOKUP(0,'$$$ Replace &amp; Retrofit'!$E$10:$F$13,2),IF(D1309&lt;175,VLOOKUP(50,'$$$ Replace &amp; Retrofit'!$E$10:$F$13,2),IF(D1309&lt;400,VLOOKUP(175,'$$$ Replace &amp; Retrofit'!$E$10:$F$13,2),IF(D1309&gt;=400,VLOOKUP(400,'$$$ Replace &amp; Retrofit'!$E$10:$F$13,2),NA))))*E1309</f>
        <v>194615.10089857079</v>
      </c>
      <c r="K1309" s="261"/>
      <c r="L1309" s="261"/>
      <c r="M1309" s="261"/>
    </row>
    <row r="1310" spans="1:16" ht="30" x14ac:dyDescent="0.25">
      <c r="A1310" s="259" t="s">
        <v>249</v>
      </c>
      <c r="B1310" s="259" t="s">
        <v>192</v>
      </c>
      <c r="C1310" s="260">
        <v>2014</v>
      </c>
      <c r="D1310" s="260">
        <v>100</v>
      </c>
      <c r="E1310" s="261">
        <v>77.993090538302098</v>
      </c>
      <c r="F1310" s="262"/>
      <c r="G1310" s="261">
        <f t="shared" si="32"/>
        <v>125</v>
      </c>
      <c r="H1310" s="263">
        <f>IF(B1310="RTG Crane",IF(D1310&lt;600,800000,1200000),VLOOKUP(B1310,'$$$ Replace &amp; Retrofit'!$B$10:$C$14,2)*'CHE Model poplulation'!D1332)*E1310</f>
        <v>6824395.4221014334</v>
      </c>
      <c r="I1310" s="263">
        <f>E1310*VLOOKUP('CHE Model poplulation'!G1332,'$$$ Replace &amp; Retrofit'!$I$10:$J$15,2)</f>
        <v>1539037.6555923154</v>
      </c>
      <c r="J1310" s="197">
        <f>IF(D1310=50,VLOOKUP(0,'$$$ Replace &amp; Retrofit'!$E$10:$F$13,2),IF(D1310&lt;175,VLOOKUP(50,'$$$ Replace &amp; Retrofit'!$E$10:$F$13,2),IF(D1310&lt;400,VLOOKUP(175,'$$$ Replace &amp; Retrofit'!$E$10:$F$13,2),IF(D1310&gt;=400,VLOOKUP(400,'$$$ Replace &amp; Retrofit'!$E$10:$F$13,2),NA))))*E1310</f>
        <v>935917.08645962516</v>
      </c>
      <c r="K1310" s="261"/>
      <c r="L1310" s="261"/>
      <c r="M1310" s="261"/>
    </row>
    <row r="1311" spans="1:16" ht="30" x14ac:dyDescent="0.25">
      <c r="A1311" s="259" t="s">
        <v>249</v>
      </c>
      <c r="B1311" s="259" t="s">
        <v>192</v>
      </c>
      <c r="C1311" s="260">
        <v>2014</v>
      </c>
      <c r="D1311" s="260">
        <v>175</v>
      </c>
      <c r="E1311" s="261">
        <v>94.944220241554405</v>
      </c>
      <c r="F1311" s="262"/>
      <c r="G1311" s="261">
        <f t="shared" si="32"/>
        <v>175</v>
      </c>
      <c r="H1311" s="263">
        <f>IF(B1311="RTG Crane",IF(D1311&lt;600,800000,1200000),VLOOKUP(B1311,'$$$ Replace &amp; Retrofit'!$B$10:$C$14,2)*'CHE Model poplulation'!D1333)*E1311</f>
        <v>14538333.724488018</v>
      </c>
      <c r="I1311" s="263">
        <f>E1311*VLOOKUP('CHE Model poplulation'!G1333,'$$$ Replace &amp; Retrofit'!$I$10:$J$15,2)</f>
        <v>2354236.8851095829</v>
      </c>
      <c r="J1311" s="197">
        <f>IF(D1311=50,VLOOKUP(0,'$$$ Replace &amp; Retrofit'!$E$10:$F$13,2),IF(D1311&lt;175,VLOOKUP(50,'$$$ Replace &amp; Retrofit'!$E$10:$F$13,2),IF(D1311&lt;400,VLOOKUP(175,'$$$ Replace &amp; Retrofit'!$E$10:$F$13,2),IF(D1311&gt;=400,VLOOKUP(400,'$$$ Replace &amp; Retrofit'!$E$10:$F$13,2),NA))))*E1311</f>
        <v>1708995.9643479793</v>
      </c>
      <c r="K1311" s="261"/>
      <c r="L1311" s="261"/>
      <c r="M1311" s="261"/>
    </row>
    <row r="1312" spans="1:16" ht="30" x14ac:dyDescent="0.25">
      <c r="A1312" s="259" t="s">
        <v>249</v>
      </c>
      <c r="B1312" s="259" t="s">
        <v>192</v>
      </c>
      <c r="C1312" s="260">
        <v>2014</v>
      </c>
      <c r="D1312" s="260">
        <v>300</v>
      </c>
      <c r="E1312" s="261">
        <v>31.267038924585499</v>
      </c>
      <c r="F1312" s="262"/>
      <c r="G1312" s="261">
        <f t="shared" si="32"/>
        <v>300</v>
      </c>
      <c r="H1312" s="263">
        <f>IF(B1312="RTG Crane",IF(D1312&lt;600,800000,1200000),VLOOKUP(B1312,'$$$ Replace &amp; Retrofit'!$B$10:$C$14,2)*'CHE Model poplulation'!D1334)*E1312</f>
        <v>8207597.7177036935</v>
      </c>
      <c r="I1312" s="263">
        <f>E1312*VLOOKUP('CHE Model poplulation'!G1334,'$$$ Replace &amp; Retrofit'!$I$10:$J$15,2)</f>
        <v>899333.84058785276</v>
      </c>
      <c r="J1312" s="197">
        <f>IF(D1312=50,VLOOKUP(0,'$$$ Replace &amp; Retrofit'!$E$10:$F$13,2),IF(D1312&lt;175,VLOOKUP(50,'$$$ Replace &amp; Retrofit'!$E$10:$F$13,2),IF(D1312&lt;400,VLOOKUP(175,'$$$ Replace &amp; Retrofit'!$E$10:$F$13,2),IF(D1312&gt;=400,VLOOKUP(400,'$$$ Replace &amp; Retrofit'!$E$10:$F$13,2),NA))))*E1312</f>
        <v>562806.70064253896</v>
      </c>
      <c r="K1312" s="261"/>
      <c r="L1312" s="261"/>
      <c r="M1312" s="261"/>
    </row>
    <row r="1313" spans="1:13" ht="30" x14ac:dyDescent="0.25">
      <c r="A1313" s="259" t="s">
        <v>249</v>
      </c>
      <c r="B1313" s="259" t="s">
        <v>192</v>
      </c>
      <c r="C1313" s="260">
        <v>2014</v>
      </c>
      <c r="D1313" s="260">
        <v>600</v>
      </c>
      <c r="E1313" s="261">
        <v>8.4353221229905309</v>
      </c>
      <c r="F1313" s="262"/>
      <c r="G1313" s="261">
        <f t="shared" si="32"/>
        <v>400</v>
      </c>
      <c r="H1313" s="263">
        <f>IF(B1313="RTG Crane",IF(D1313&lt;600,800000,1200000),VLOOKUP(B1313,'$$$ Replace &amp; Retrofit'!$B$10:$C$14,2)*'CHE Model poplulation'!D1335)*E1313</f>
        <v>4428544.1145700291</v>
      </c>
      <c r="I1313" s="263">
        <f>E1313*VLOOKUP('CHE Model poplulation'!G1335,'$$$ Replace &amp; Retrofit'!$I$10:$J$15,2)</f>
        <v>441445.71266246343</v>
      </c>
      <c r="J1313" s="197">
        <f>IF(D1313=50,VLOOKUP(0,'$$$ Replace &amp; Retrofit'!$E$10:$F$13,2),IF(D1313&lt;175,VLOOKUP(50,'$$$ Replace &amp; Retrofit'!$E$10:$F$13,2),IF(D1313&lt;400,VLOOKUP(175,'$$$ Replace &amp; Retrofit'!$E$10:$F$13,2),IF(D1313&gt;=400,VLOOKUP(400,'$$$ Replace &amp; Retrofit'!$E$10:$F$13,2),NA))))*E1313</f>
        <v>253059.66368971593</v>
      </c>
      <c r="K1313" s="261"/>
      <c r="L1313" s="261"/>
      <c r="M1313" s="261"/>
    </row>
    <row r="1314" spans="1:13" ht="45" x14ac:dyDescent="0.25">
      <c r="A1314" s="259" t="s">
        <v>249</v>
      </c>
      <c r="B1314" s="259" t="s">
        <v>211</v>
      </c>
      <c r="C1314" s="260">
        <v>2014</v>
      </c>
      <c r="D1314" s="260">
        <v>50</v>
      </c>
      <c r="E1314" s="261">
        <v>3.3051300099440701</v>
      </c>
      <c r="F1314" s="262"/>
      <c r="G1314" s="261">
        <f t="shared" si="32"/>
        <v>50</v>
      </c>
      <c r="H1314" s="263">
        <f>IF(B1314="RTG Crane",IF(D1314&lt;600,800000,1200000),VLOOKUP(B1314,'$$$ Replace &amp; Retrofit'!$B$10:$C$14,2)*'CHE Model poplulation'!D1450)*E1314</f>
        <v>165256.50049720349</v>
      </c>
      <c r="I1314" s="263">
        <f>E1314*VLOOKUP('CHE Model poplulation'!G1450,'$$$ Replace &amp; Retrofit'!$I$10:$J$15,2)</f>
        <v>58130.626614896304</v>
      </c>
      <c r="J1314" s="197">
        <f>IF(D1314=50,VLOOKUP(0,'$$$ Replace &amp; Retrofit'!$E$10:$F$13,2),IF(D1314&lt;175,VLOOKUP(50,'$$$ Replace &amp; Retrofit'!$E$10:$F$13,2),IF(D1314&lt;400,VLOOKUP(175,'$$$ Replace &amp; Retrofit'!$E$10:$F$13,2),IF(D1314&gt;=400,VLOOKUP(400,'$$$ Replace &amp; Retrofit'!$E$10:$F$13,2),NA))))*E1314</f>
        <v>26441.04007955256</v>
      </c>
      <c r="K1314" s="261"/>
      <c r="L1314" s="261"/>
      <c r="M1314" s="261"/>
    </row>
    <row r="1315" spans="1:13" ht="45" x14ac:dyDescent="0.25">
      <c r="A1315" s="259" t="s">
        <v>249</v>
      </c>
      <c r="B1315" s="259" t="s">
        <v>211</v>
      </c>
      <c r="C1315" s="260">
        <v>2014</v>
      </c>
      <c r="D1315" s="260">
        <v>75</v>
      </c>
      <c r="E1315" s="261">
        <v>1.5839432867335701</v>
      </c>
      <c r="F1315" s="262"/>
      <c r="G1315" s="261">
        <f t="shared" si="32"/>
        <v>50</v>
      </c>
      <c r="H1315" s="263">
        <f>IF(B1315="RTG Crane",IF(D1315&lt;600,800000,1200000),VLOOKUP(B1315,'$$$ Replace &amp; Retrofit'!$B$10:$C$14,2)*'CHE Model poplulation'!D1451)*E1315</f>
        <v>118795.74650501776</v>
      </c>
      <c r="I1315" s="263">
        <f>E1315*VLOOKUP('CHE Model poplulation'!G1451,'$$$ Replace &amp; Retrofit'!$I$10:$J$15,2)</f>
        <v>27858.394527070031</v>
      </c>
      <c r="J1315" s="197">
        <f>IF(D1315=50,VLOOKUP(0,'$$$ Replace &amp; Retrofit'!$E$10:$F$13,2),IF(D1315&lt;175,VLOOKUP(50,'$$$ Replace &amp; Retrofit'!$E$10:$F$13,2),IF(D1315&lt;400,VLOOKUP(175,'$$$ Replace &amp; Retrofit'!$E$10:$F$13,2),IF(D1315&gt;=400,VLOOKUP(400,'$$$ Replace &amp; Retrofit'!$E$10:$F$13,2),NA))))*E1315</f>
        <v>19007.319440802839</v>
      </c>
      <c r="K1315" s="261"/>
      <c r="L1315" s="261"/>
      <c r="M1315" s="261"/>
    </row>
    <row r="1316" spans="1:13" ht="45" x14ac:dyDescent="0.25">
      <c r="A1316" s="259" t="s">
        <v>249</v>
      </c>
      <c r="B1316" s="259" t="s">
        <v>211</v>
      </c>
      <c r="C1316" s="260">
        <v>2014</v>
      </c>
      <c r="D1316" s="260">
        <v>100</v>
      </c>
      <c r="E1316" s="261">
        <v>1.98910456297796</v>
      </c>
      <c r="F1316" s="262"/>
      <c r="G1316" s="261">
        <f t="shared" si="32"/>
        <v>125</v>
      </c>
      <c r="H1316" s="263">
        <f>IF(B1316="RTG Crane",IF(D1316&lt;600,800000,1200000),VLOOKUP(B1316,'$$$ Replace &amp; Retrofit'!$B$10:$C$14,2)*'CHE Model poplulation'!D1452)*E1316</f>
        <v>198910.45629779599</v>
      </c>
      <c r="I1316" s="263">
        <f>E1316*VLOOKUP('CHE Model poplulation'!G1452,'$$$ Replace &amp; Retrofit'!$I$10:$J$15,2)</f>
        <v>39251.000341244086</v>
      </c>
      <c r="J1316" s="197">
        <f>IF(D1316=50,VLOOKUP(0,'$$$ Replace &amp; Retrofit'!$E$10:$F$13,2),IF(D1316&lt;175,VLOOKUP(50,'$$$ Replace &amp; Retrofit'!$E$10:$F$13,2),IF(D1316&lt;400,VLOOKUP(175,'$$$ Replace &amp; Retrofit'!$E$10:$F$13,2),IF(D1316&gt;=400,VLOOKUP(400,'$$$ Replace &amp; Retrofit'!$E$10:$F$13,2),NA))))*E1316</f>
        <v>23869.254755735521</v>
      </c>
      <c r="K1316" s="261"/>
      <c r="L1316" s="261"/>
      <c r="M1316" s="261"/>
    </row>
    <row r="1317" spans="1:13" ht="45" x14ac:dyDescent="0.25">
      <c r="A1317" s="259" t="s">
        <v>249</v>
      </c>
      <c r="B1317" s="259" t="s">
        <v>211</v>
      </c>
      <c r="C1317" s="260">
        <v>2014</v>
      </c>
      <c r="D1317" s="260">
        <v>175</v>
      </c>
      <c r="E1317" s="261">
        <v>2.0334258054065502</v>
      </c>
      <c r="F1317" s="262"/>
      <c r="G1317" s="261">
        <f t="shared" si="32"/>
        <v>175</v>
      </c>
      <c r="H1317" s="263">
        <f>IF(B1317="RTG Crane",IF(D1317&lt;600,800000,1200000),VLOOKUP(B1317,'$$$ Replace &amp; Retrofit'!$B$10:$C$14,2)*'CHE Model poplulation'!D1453)*E1317</f>
        <v>355849.51594614628</v>
      </c>
      <c r="I1317" s="263">
        <f>E1317*VLOOKUP('CHE Model poplulation'!G1453,'$$$ Replace &amp; Retrofit'!$I$10:$J$15,2)</f>
        <v>50420.826270860816</v>
      </c>
      <c r="J1317" s="197">
        <f>IF(D1317=50,VLOOKUP(0,'$$$ Replace &amp; Retrofit'!$E$10:$F$13,2),IF(D1317&lt;175,VLOOKUP(50,'$$$ Replace &amp; Retrofit'!$E$10:$F$13,2),IF(D1317&lt;400,VLOOKUP(175,'$$$ Replace &amp; Retrofit'!$E$10:$F$13,2),IF(D1317&gt;=400,VLOOKUP(400,'$$$ Replace &amp; Retrofit'!$E$10:$F$13,2),NA))))*E1317</f>
        <v>36601.664497317906</v>
      </c>
      <c r="K1317" s="261"/>
      <c r="L1317" s="261"/>
      <c r="M1317" s="261"/>
    </row>
    <row r="1318" spans="1:13" ht="45" x14ac:dyDescent="0.25">
      <c r="A1318" s="259" t="s">
        <v>249</v>
      </c>
      <c r="B1318" s="259" t="s">
        <v>211</v>
      </c>
      <c r="C1318" s="260">
        <v>2014</v>
      </c>
      <c r="D1318" s="260">
        <v>300</v>
      </c>
      <c r="E1318" s="261">
        <v>2.04605601589342</v>
      </c>
      <c r="F1318" s="262"/>
      <c r="G1318" s="261">
        <f t="shared" si="32"/>
        <v>300</v>
      </c>
      <c r="H1318" s="263">
        <f>IF(B1318="RTG Crane",IF(D1318&lt;600,800000,1200000),VLOOKUP(B1318,'$$$ Replace &amp; Retrofit'!$B$10:$C$14,2)*'CHE Model poplulation'!D1454)*E1318</f>
        <v>613816.80476802599</v>
      </c>
      <c r="I1318" s="263">
        <f>E1318*VLOOKUP('CHE Model poplulation'!G1454,'$$$ Replace &amp; Retrofit'!$I$10:$J$15,2)</f>
        <v>58850.709185142441</v>
      </c>
      <c r="J1318" s="197">
        <f>IF(D1318=50,VLOOKUP(0,'$$$ Replace &amp; Retrofit'!$E$10:$F$13,2),IF(D1318&lt;175,VLOOKUP(50,'$$$ Replace &amp; Retrofit'!$E$10:$F$13,2),IF(D1318&lt;400,VLOOKUP(175,'$$$ Replace &amp; Retrofit'!$E$10:$F$13,2),IF(D1318&gt;=400,VLOOKUP(400,'$$$ Replace &amp; Retrofit'!$E$10:$F$13,2),NA))))*E1318</f>
        <v>36829.00828608156</v>
      </c>
      <c r="K1318" s="261"/>
      <c r="L1318" s="261"/>
      <c r="M1318" s="261"/>
    </row>
    <row r="1319" spans="1:13" ht="45" x14ac:dyDescent="0.25">
      <c r="A1319" s="259" t="s">
        <v>249</v>
      </c>
      <c r="B1319" s="259" t="s">
        <v>211</v>
      </c>
      <c r="C1319" s="260">
        <v>2014</v>
      </c>
      <c r="D1319" s="260">
        <v>600</v>
      </c>
      <c r="E1319" s="261">
        <v>0.67378560962738199</v>
      </c>
      <c r="F1319" s="262"/>
      <c r="G1319" s="261">
        <f t="shared" si="32"/>
        <v>400</v>
      </c>
      <c r="H1319" s="263">
        <f>IF(B1319="RTG Crane",IF(D1319&lt;600,800000,1200000),VLOOKUP(B1319,'$$$ Replace &amp; Retrofit'!$B$10:$C$14,2)*'CHE Model poplulation'!D1455)*E1319</f>
        <v>404271.36577642919</v>
      </c>
      <c r="I1319" s="263">
        <f>E1319*VLOOKUP('CHE Model poplulation'!G1455,'$$$ Replace &amp; Retrofit'!$I$10:$J$15,2)</f>
        <v>35261.222308629782</v>
      </c>
      <c r="J1319" s="197">
        <f>IF(D1319=50,VLOOKUP(0,'$$$ Replace &amp; Retrofit'!$E$10:$F$13,2),IF(D1319&lt;175,VLOOKUP(50,'$$$ Replace &amp; Retrofit'!$E$10:$F$13,2),IF(D1319&lt;400,VLOOKUP(175,'$$$ Replace &amp; Retrofit'!$E$10:$F$13,2),IF(D1319&gt;=400,VLOOKUP(400,'$$$ Replace &amp; Retrofit'!$E$10:$F$13,2),NA))))*E1319</f>
        <v>20213.568288821458</v>
      </c>
      <c r="K1319" s="261"/>
      <c r="L1319" s="261"/>
      <c r="M1319" s="261"/>
    </row>
    <row r="1320" spans="1:13" ht="30" x14ac:dyDescent="0.25">
      <c r="A1320" s="259" t="s">
        <v>249</v>
      </c>
      <c r="B1320" s="259" t="s">
        <v>212</v>
      </c>
      <c r="C1320" s="260">
        <v>2014</v>
      </c>
      <c r="D1320" s="260">
        <v>100</v>
      </c>
      <c r="E1320" s="261">
        <v>0</v>
      </c>
      <c r="F1320" s="262"/>
      <c r="G1320" s="261"/>
      <c r="H1320" s="261"/>
      <c r="I1320" s="261"/>
      <c r="J1320" s="26"/>
      <c r="K1320" s="261"/>
      <c r="L1320" s="261"/>
      <c r="M1320" s="261"/>
    </row>
    <row r="1321" spans="1:13" ht="30" x14ac:dyDescent="0.25">
      <c r="A1321" s="259" t="s">
        <v>249</v>
      </c>
      <c r="B1321" s="259" t="s">
        <v>212</v>
      </c>
      <c r="C1321" s="260">
        <v>2014</v>
      </c>
      <c r="D1321" s="260">
        <v>300</v>
      </c>
      <c r="E1321" s="261">
        <v>0</v>
      </c>
      <c r="F1321" s="262"/>
      <c r="G1321" s="261"/>
      <c r="H1321" s="261"/>
      <c r="I1321" s="261"/>
      <c r="J1321" s="26"/>
      <c r="K1321" s="261"/>
      <c r="L1321" s="261"/>
      <c r="M1321" s="261"/>
    </row>
    <row r="1322" spans="1:13" ht="30" x14ac:dyDescent="0.25">
      <c r="A1322" s="259" t="s">
        <v>249</v>
      </c>
      <c r="B1322" s="259" t="s">
        <v>212</v>
      </c>
      <c r="C1322" s="260">
        <v>2014</v>
      </c>
      <c r="D1322" s="260">
        <v>600</v>
      </c>
      <c r="E1322" s="261">
        <v>0</v>
      </c>
      <c r="F1322" s="262"/>
      <c r="G1322" s="261"/>
      <c r="H1322" s="261"/>
      <c r="I1322" s="261"/>
      <c r="J1322" s="26"/>
      <c r="K1322" s="261"/>
      <c r="L1322" s="261"/>
      <c r="M1322" s="261"/>
    </row>
    <row r="1323" spans="1:13" ht="30" x14ac:dyDescent="0.25">
      <c r="A1323" s="259" t="s">
        <v>249</v>
      </c>
      <c r="B1323" s="259" t="s">
        <v>212</v>
      </c>
      <c r="C1323" s="260">
        <v>2014</v>
      </c>
      <c r="D1323" s="260">
        <v>750</v>
      </c>
      <c r="E1323" s="261">
        <v>0</v>
      </c>
      <c r="F1323" s="262"/>
      <c r="G1323" s="261"/>
      <c r="H1323" s="261"/>
      <c r="I1323" s="261"/>
      <c r="J1323" s="26"/>
      <c r="K1323" s="261"/>
      <c r="L1323" s="261"/>
      <c r="M1323" s="261"/>
    </row>
    <row r="1324" spans="1:13" ht="30" x14ac:dyDescent="0.25">
      <c r="A1324" s="259" t="s">
        <v>249</v>
      </c>
      <c r="B1324" s="259" t="s">
        <v>212</v>
      </c>
      <c r="C1324" s="260">
        <v>2014</v>
      </c>
      <c r="D1324" s="260">
        <v>9999</v>
      </c>
      <c r="E1324" s="261">
        <v>0</v>
      </c>
      <c r="F1324" s="262"/>
      <c r="G1324" s="261"/>
      <c r="H1324" s="261"/>
      <c r="I1324" s="261"/>
      <c r="J1324" s="26"/>
      <c r="K1324" s="266">
        <f t="shared" ref="K1324:L1324" si="33">SUM(H1298:H1324)</f>
        <v>49463059.309985138</v>
      </c>
      <c r="L1324" s="266">
        <f t="shared" si="33"/>
        <v>7207177.1271330435</v>
      </c>
      <c r="M1324" s="266">
        <f>SUM(J1298:J1324)</f>
        <v>4655709.3408976616</v>
      </c>
    </row>
    <row r="1325" spans="1:13" ht="30" x14ac:dyDescent="0.25">
      <c r="A1325" s="259" t="s">
        <v>249</v>
      </c>
      <c r="B1325" s="259" t="s">
        <v>206</v>
      </c>
      <c r="C1325" s="260">
        <v>2015</v>
      </c>
      <c r="D1325" s="260">
        <v>50</v>
      </c>
      <c r="E1325" s="261">
        <v>0.86646579332384899</v>
      </c>
      <c r="F1325" s="262"/>
      <c r="G1325" s="261">
        <f t="shared" ref="G1325:G1346" si="34">IF(OR(D1325=50,D1325=75),50,IF(OR(D1325=100,D1325=125),125,IF(D1325&gt;=400,400,D1325)))</f>
        <v>50</v>
      </c>
      <c r="H1325" s="263">
        <f>IF(B1325="RTG Crane",IF(D1325&lt;600,800000,1200000),VLOOKUP(B1325,'$$$ Replace &amp; Retrofit'!$B$10:$C$14,2)*'CHE Model poplulation'!D1136)*E1325</f>
        <v>43323.289666192446</v>
      </c>
      <c r="I1325" s="263">
        <f>E1325*VLOOKUP('CHE Model poplulation'!G1136,'$$$ Replace &amp; Retrofit'!$I$10:$J$15,2)</f>
        <v>15239.400372979855</v>
      </c>
      <c r="J1325" s="275">
        <f>IF(D1325=50,VLOOKUP(0,'$$$ Replace &amp; Retrofit'!$E$10:$F$13,2),IF(D1325&lt;175,VLOOKUP(50,'$$$ Replace &amp; Retrofit'!$E$10:$F$13,2),IF(D1325&lt;400,VLOOKUP(175,'$$$ Replace &amp; Retrofit'!$E$10:$F$13,2),IF(D1325&gt;=400,VLOOKUP(400,'$$$ Replace &amp; Retrofit'!$E$10:$F$13,2),NA))))*E1325</f>
        <v>6931.7263465907918</v>
      </c>
      <c r="K1325" s="261"/>
      <c r="L1325" s="261"/>
      <c r="M1325" s="261"/>
    </row>
    <row r="1326" spans="1:13" ht="30" x14ac:dyDescent="0.25">
      <c r="A1326" s="259" t="s">
        <v>249</v>
      </c>
      <c r="B1326" s="259" t="s">
        <v>206</v>
      </c>
      <c r="C1326" s="260">
        <v>2015</v>
      </c>
      <c r="D1326" s="260">
        <v>75</v>
      </c>
      <c r="E1326" s="261">
        <v>1.70681267300793</v>
      </c>
      <c r="F1326" s="262"/>
      <c r="G1326" s="261">
        <f t="shared" si="34"/>
        <v>50</v>
      </c>
      <c r="H1326" s="263">
        <f>IF(B1326="RTG Crane",IF(D1326&lt;600,800000,1200000),VLOOKUP(B1326,'$$$ Replace &amp; Retrofit'!$B$10:$C$14,2)*'CHE Model poplulation'!D1137)*E1326</f>
        <v>128010.95047559476</v>
      </c>
      <c r="I1326" s="263">
        <f>E1326*VLOOKUP('CHE Model poplulation'!G1137,'$$$ Replace &amp; Retrofit'!$I$10:$J$15,2)</f>
        <v>30019.421292863473</v>
      </c>
      <c r="J1326" s="275">
        <f>IF(D1326=50,VLOOKUP(0,'$$$ Replace &amp; Retrofit'!$E$10:$F$13,2),IF(D1326&lt;175,VLOOKUP(50,'$$$ Replace &amp; Retrofit'!$E$10:$F$13,2),IF(D1326&lt;400,VLOOKUP(175,'$$$ Replace &amp; Retrofit'!$E$10:$F$13,2),IF(D1326&gt;=400,VLOOKUP(400,'$$$ Replace &amp; Retrofit'!$E$10:$F$13,2),NA))))*E1326</f>
        <v>20481.752076095159</v>
      </c>
      <c r="K1326" s="261"/>
      <c r="L1326" s="261"/>
      <c r="M1326" s="261"/>
    </row>
    <row r="1327" spans="1:13" ht="30" x14ac:dyDescent="0.25">
      <c r="A1327" s="259" t="s">
        <v>249</v>
      </c>
      <c r="B1327" s="259" t="s">
        <v>206</v>
      </c>
      <c r="C1327" s="260">
        <v>2015</v>
      </c>
      <c r="D1327" s="260">
        <v>100</v>
      </c>
      <c r="E1327" s="261">
        <v>1.67784490757908</v>
      </c>
      <c r="F1327" s="262"/>
      <c r="G1327" s="261">
        <f t="shared" si="34"/>
        <v>125</v>
      </c>
      <c r="H1327" s="263">
        <f>IF(B1327="RTG Crane",IF(D1327&lt;600,800000,1200000),VLOOKUP(B1327,'$$$ Replace &amp; Retrofit'!$B$10:$C$14,2)*'CHE Model poplulation'!D1138)*E1327</f>
        <v>167784.490757908</v>
      </c>
      <c r="I1327" s="263">
        <f>E1327*VLOOKUP('CHE Model poplulation'!G1138,'$$$ Replace &amp; Retrofit'!$I$10:$J$15,2)</f>
        <v>33108.913561257985</v>
      </c>
      <c r="J1327" s="275">
        <f>IF(D1327=50,VLOOKUP(0,'$$$ Replace &amp; Retrofit'!$E$10:$F$13,2),IF(D1327&lt;175,VLOOKUP(50,'$$$ Replace &amp; Retrofit'!$E$10:$F$13,2),IF(D1327&lt;400,VLOOKUP(175,'$$$ Replace &amp; Retrofit'!$E$10:$F$13,2),IF(D1327&gt;=400,VLOOKUP(400,'$$$ Replace &amp; Retrofit'!$E$10:$F$13,2),NA))))*E1327</f>
        <v>20134.138890948961</v>
      </c>
      <c r="K1327" s="261"/>
      <c r="L1327" s="261"/>
      <c r="M1327" s="261"/>
    </row>
    <row r="1328" spans="1:13" ht="30" x14ac:dyDescent="0.25">
      <c r="A1328" s="259" t="s">
        <v>249</v>
      </c>
      <c r="B1328" s="259" t="s">
        <v>206</v>
      </c>
      <c r="C1328" s="260">
        <v>2015</v>
      </c>
      <c r="D1328" s="260">
        <v>175</v>
      </c>
      <c r="E1328" s="261">
        <v>2.5592222737607502</v>
      </c>
      <c r="F1328" s="262"/>
      <c r="G1328" s="261">
        <f t="shared" si="34"/>
        <v>175</v>
      </c>
      <c r="H1328" s="263">
        <f>IF(B1328="RTG Crane",IF(D1328&lt;600,800000,1200000),VLOOKUP(B1328,'$$$ Replace &amp; Retrofit'!$B$10:$C$14,2)*'CHE Model poplulation'!D1139)*E1328</f>
        <v>447863.8979081313</v>
      </c>
      <c r="I1328" s="263">
        <f>E1328*VLOOKUP('CHE Model poplulation'!G1139,'$$$ Replace &amp; Retrofit'!$I$10:$J$15,2)</f>
        <v>63458.47550017156</v>
      </c>
      <c r="J1328" s="275">
        <f>IF(D1328=50,VLOOKUP(0,'$$$ Replace &amp; Retrofit'!$E$10:$F$13,2),IF(D1328&lt;175,VLOOKUP(50,'$$$ Replace &amp; Retrofit'!$E$10:$F$13,2),IF(D1328&lt;400,VLOOKUP(175,'$$$ Replace &amp; Retrofit'!$E$10:$F$13,2),IF(D1328&gt;=400,VLOOKUP(400,'$$$ Replace &amp; Retrofit'!$E$10:$F$13,2),NA))))*E1328</f>
        <v>46066.000927693502</v>
      </c>
      <c r="K1328" s="261"/>
      <c r="L1328" s="261"/>
      <c r="M1328" s="261"/>
    </row>
    <row r="1329" spans="1:13" ht="30" x14ac:dyDescent="0.25">
      <c r="A1329" s="259" t="s">
        <v>249</v>
      </c>
      <c r="B1329" s="259" t="s">
        <v>206</v>
      </c>
      <c r="C1329" s="260">
        <v>2015</v>
      </c>
      <c r="D1329" s="260">
        <v>300</v>
      </c>
      <c r="E1329" s="261">
        <v>2.1836495945084802</v>
      </c>
      <c r="F1329" s="262"/>
      <c r="G1329" s="261">
        <f t="shared" si="34"/>
        <v>300</v>
      </c>
      <c r="H1329" s="263">
        <f>IF(B1329="RTG Crane",IF(D1329&lt;600,800000,1200000),VLOOKUP(B1329,'$$$ Replace &amp; Retrofit'!$B$10:$C$14,2)*'CHE Model poplulation'!D1140)*E1329</f>
        <v>655094.87835254404</v>
      </c>
      <c r="I1329" s="263">
        <f>E1329*VLOOKUP('CHE Model poplulation'!G1140,'$$$ Replace &amp; Retrofit'!$I$10:$J$15,2)</f>
        <v>62808.313286847413</v>
      </c>
      <c r="J1329" s="275">
        <f>IF(D1329=50,VLOOKUP(0,'$$$ Replace &amp; Retrofit'!$E$10:$F$13,2),IF(D1329&lt;175,VLOOKUP(50,'$$$ Replace &amp; Retrofit'!$E$10:$F$13,2),IF(D1329&lt;400,VLOOKUP(175,'$$$ Replace &amp; Retrofit'!$E$10:$F$13,2),IF(D1329&gt;=400,VLOOKUP(400,'$$$ Replace &amp; Retrofit'!$E$10:$F$13,2),NA))))*E1329</f>
        <v>39305.692701152642</v>
      </c>
      <c r="K1329" s="261"/>
      <c r="L1329" s="261"/>
      <c r="M1329" s="261"/>
    </row>
    <row r="1330" spans="1:13" ht="30" x14ac:dyDescent="0.25">
      <c r="A1330" s="259" t="s">
        <v>249</v>
      </c>
      <c r="B1330" s="259" t="s">
        <v>206</v>
      </c>
      <c r="C1330" s="260">
        <v>2015</v>
      </c>
      <c r="D1330" s="260">
        <v>600</v>
      </c>
      <c r="E1330" s="261">
        <v>6.1842222330761096</v>
      </c>
      <c r="F1330" s="262"/>
      <c r="G1330" s="261">
        <f t="shared" si="34"/>
        <v>400</v>
      </c>
      <c r="H1330" s="263">
        <f>IF(B1330="RTG Crane",IF(D1330&lt;600,800000,1200000),VLOOKUP(B1330,'$$$ Replace &amp; Retrofit'!$B$10:$C$14,2)*'CHE Model poplulation'!D1141)*E1330</f>
        <v>3710533.3398456657</v>
      </c>
      <c r="I1330" s="263">
        <f>E1330*VLOOKUP('CHE Model poplulation'!G1141,'$$$ Replace &amp; Retrofit'!$I$10:$J$15,2)</f>
        <v>323638.90212357207</v>
      </c>
      <c r="J1330" s="275">
        <f>IF(D1330=50,VLOOKUP(0,'$$$ Replace &amp; Retrofit'!$E$10:$F$13,2),IF(D1330&lt;175,VLOOKUP(50,'$$$ Replace &amp; Retrofit'!$E$10:$F$13,2),IF(D1330&lt;400,VLOOKUP(175,'$$$ Replace &amp; Retrofit'!$E$10:$F$13,2),IF(D1330&gt;=400,VLOOKUP(400,'$$$ Replace &amp; Retrofit'!$E$10:$F$13,2),NA))))*E1330</f>
        <v>185526.66699228328</v>
      </c>
      <c r="K1330" s="261"/>
      <c r="L1330" s="261"/>
      <c r="M1330" s="261"/>
    </row>
    <row r="1331" spans="1:13" ht="45" x14ac:dyDescent="0.25">
      <c r="A1331" s="259" t="s">
        <v>249</v>
      </c>
      <c r="B1331" s="259" t="s">
        <v>208</v>
      </c>
      <c r="C1331" s="260">
        <v>2015</v>
      </c>
      <c r="D1331" s="260">
        <v>100</v>
      </c>
      <c r="E1331" s="261">
        <v>4.9348240263376898E-2</v>
      </c>
      <c r="F1331" s="262"/>
      <c r="G1331" s="261">
        <f t="shared" si="34"/>
        <v>125</v>
      </c>
      <c r="H1331" s="263">
        <f>IF(B1331="RTG Crane",IF(D1331&lt;600,800000,1200000),VLOOKUP(B1331,'$$$ Replace &amp; Retrofit'!$B$10:$C$14,2)*'CHE Model poplulation'!D1238)*E1331</f>
        <v>3933.0547489911387</v>
      </c>
      <c r="I1331" s="263">
        <f>E1331*VLOOKUP('CHE Model poplulation'!G1238,'$$$ Replace &amp; Retrofit'!$I$10:$J$15,2)</f>
        <v>973.78882511721633</v>
      </c>
      <c r="J1331" s="275">
        <f>IF(D1331=50,VLOOKUP(0,'$$$ Replace &amp; Retrofit'!$E$10:$F$13,2),IF(D1331&lt;175,VLOOKUP(50,'$$$ Replace &amp; Retrofit'!$E$10:$F$13,2),IF(D1331&lt;400,VLOOKUP(175,'$$$ Replace &amp; Retrofit'!$E$10:$F$13,2),IF(D1331&gt;=400,VLOOKUP(400,'$$$ Replace &amp; Retrofit'!$E$10:$F$13,2),NA))))*E1331</f>
        <v>592.17888316052279</v>
      </c>
      <c r="K1331" s="261"/>
      <c r="L1331" s="261"/>
      <c r="M1331" s="261"/>
    </row>
    <row r="1332" spans="1:13" ht="45" x14ac:dyDescent="0.25">
      <c r="A1332" s="259" t="s">
        <v>249</v>
      </c>
      <c r="B1332" s="259" t="s">
        <v>208</v>
      </c>
      <c r="C1332" s="260">
        <v>2015</v>
      </c>
      <c r="D1332" s="260">
        <v>175</v>
      </c>
      <c r="E1332" s="261">
        <v>1.21602769485213</v>
      </c>
      <c r="F1332" s="262"/>
      <c r="G1332" s="261">
        <f t="shared" si="34"/>
        <v>175</v>
      </c>
      <c r="H1332" s="263">
        <f>IF(B1332="RTG Crane",IF(D1332&lt;600,800000,1200000),VLOOKUP(B1332,'$$$ Replace &amp; Retrofit'!$B$10:$C$14,2)*'CHE Model poplulation'!D1239)*E1332</f>
        <v>169605.46273950083</v>
      </c>
      <c r="I1332" s="263">
        <f>E1332*VLOOKUP('CHE Model poplulation'!G1239,'$$$ Replace &amp; Retrofit'!$I$10:$J$15,2)</f>
        <v>30152.622721553416</v>
      </c>
      <c r="J1332" s="275">
        <f>IF(D1332=50,VLOOKUP(0,'$$$ Replace &amp; Retrofit'!$E$10:$F$13,2),IF(D1332&lt;175,VLOOKUP(50,'$$$ Replace &amp; Retrofit'!$E$10:$F$13,2),IF(D1332&lt;400,VLOOKUP(175,'$$$ Replace &amp; Retrofit'!$E$10:$F$13,2),IF(D1332&gt;=400,VLOOKUP(400,'$$$ Replace &amp; Retrofit'!$E$10:$F$13,2),NA))))*E1332</f>
        <v>21888.49850733834</v>
      </c>
      <c r="K1332" s="261"/>
      <c r="L1332" s="261"/>
      <c r="M1332" s="261"/>
    </row>
    <row r="1333" spans="1:13" ht="45" x14ac:dyDescent="0.25">
      <c r="A1333" s="259" t="s">
        <v>249</v>
      </c>
      <c r="B1333" s="259" t="s">
        <v>208</v>
      </c>
      <c r="C1333" s="260">
        <v>2015</v>
      </c>
      <c r="D1333" s="260">
        <v>300</v>
      </c>
      <c r="E1333" s="261">
        <v>3.5719447910562501</v>
      </c>
      <c r="F1333" s="262"/>
      <c r="G1333" s="261">
        <f t="shared" si="34"/>
        <v>300</v>
      </c>
      <c r="H1333" s="263">
        <f>IF(B1333="RTG Crane",IF(D1333&lt;600,800000,1200000),VLOOKUP(B1333,'$$$ Replace &amp; Retrofit'!$B$10:$C$14,2)*'CHE Model poplulation'!D1240)*E1333</f>
        <v>854051.99954154936</v>
      </c>
      <c r="I1333" s="263">
        <f>E1333*VLOOKUP('CHE Model poplulation'!G1240,'$$$ Replace &amp; Retrofit'!$I$10:$J$15,2)</f>
        <v>102739.84802515092</v>
      </c>
      <c r="J1333" s="275">
        <f>IF(D1333=50,VLOOKUP(0,'$$$ Replace &amp; Retrofit'!$E$10:$F$13,2),IF(D1333&lt;175,VLOOKUP(50,'$$$ Replace &amp; Retrofit'!$E$10:$F$13,2),IF(D1333&lt;400,VLOOKUP(175,'$$$ Replace &amp; Retrofit'!$E$10:$F$13,2),IF(D1333&gt;=400,VLOOKUP(400,'$$$ Replace &amp; Retrofit'!$E$10:$F$13,2),NA))))*E1333</f>
        <v>64295.006239012502</v>
      </c>
      <c r="K1333" s="261"/>
      <c r="L1333" s="261"/>
      <c r="M1333" s="261"/>
    </row>
    <row r="1334" spans="1:13" ht="45" x14ac:dyDescent="0.25">
      <c r="A1334" s="259" t="s">
        <v>249</v>
      </c>
      <c r="B1334" s="259" t="s">
        <v>208</v>
      </c>
      <c r="C1334" s="260">
        <v>2015</v>
      </c>
      <c r="D1334" s="260">
        <v>600</v>
      </c>
      <c r="E1334" s="261">
        <v>5.4107033381722403</v>
      </c>
      <c r="F1334" s="262"/>
      <c r="G1334" s="261">
        <f t="shared" si="34"/>
        <v>400</v>
      </c>
      <c r="H1334" s="263">
        <f>IF(B1334="RTG Crane",IF(D1334&lt;600,800000,1200000),VLOOKUP(B1334,'$$$ Replace &amp; Retrofit'!$B$10:$C$14,2)*'CHE Model poplulation'!D1241)*E1334</f>
        <v>2587398.3363139653</v>
      </c>
      <c r="I1334" s="263">
        <f>E1334*VLOOKUP('CHE Model poplulation'!G1241,'$$$ Replace &amp; Retrofit'!$I$10:$J$15,2)</f>
        <v>283158.33779656782</v>
      </c>
      <c r="J1334" s="275">
        <f>IF(D1334=50,VLOOKUP(0,'$$$ Replace &amp; Retrofit'!$E$10:$F$13,2),IF(D1334&lt;175,VLOOKUP(50,'$$$ Replace &amp; Retrofit'!$E$10:$F$13,2),IF(D1334&lt;400,VLOOKUP(175,'$$$ Replace &amp; Retrofit'!$E$10:$F$13,2),IF(D1334&gt;=400,VLOOKUP(400,'$$$ Replace &amp; Retrofit'!$E$10:$F$13,2),NA))))*E1334</f>
        <v>162321.10014516721</v>
      </c>
      <c r="K1334" s="261"/>
      <c r="L1334" s="261"/>
      <c r="M1334" s="261"/>
    </row>
    <row r="1335" spans="1:13" ht="30" x14ac:dyDescent="0.25">
      <c r="A1335" s="259" t="s">
        <v>249</v>
      </c>
      <c r="B1335" s="259" t="s">
        <v>192</v>
      </c>
      <c r="C1335" s="260">
        <v>2015</v>
      </c>
      <c r="D1335" s="260">
        <v>50</v>
      </c>
      <c r="E1335" s="261">
        <v>3.57678179966025</v>
      </c>
      <c r="F1335" s="262"/>
      <c r="G1335" s="261">
        <f t="shared" si="34"/>
        <v>50</v>
      </c>
      <c r="H1335" s="263">
        <f>IF(B1335="RTG Crane",IF(D1335&lt;600,800000,1200000),VLOOKUP(B1335,'$$$ Replace &amp; Retrofit'!$B$10:$C$14,2)*'CHE Model poplulation'!D1336)*E1335</f>
        <v>156484.20373513593</v>
      </c>
      <c r="I1335" s="263">
        <f>E1335*VLOOKUP('CHE Model poplulation'!G1336,'$$$ Replace &amp; Retrofit'!$I$10:$J$15,2)</f>
        <v>62908.438292424478</v>
      </c>
      <c r="J1335" s="275">
        <f>IF(D1335=50,VLOOKUP(0,'$$$ Replace &amp; Retrofit'!$E$10:$F$13,2),IF(D1335&lt;175,VLOOKUP(50,'$$$ Replace &amp; Retrofit'!$E$10:$F$13,2),IF(D1335&lt;400,VLOOKUP(175,'$$$ Replace &amp; Retrofit'!$E$10:$F$13,2),IF(D1335&gt;=400,VLOOKUP(400,'$$$ Replace &amp; Retrofit'!$E$10:$F$13,2),NA))))*E1335</f>
        <v>28614.254397281999</v>
      </c>
      <c r="K1335" s="261"/>
      <c r="L1335" s="261"/>
      <c r="M1335" s="261"/>
    </row>
    <row r="1336" spans="1:13" ht="30" x14ac:dyDescent="0.25">
      <c r="A1336" s="259" t="s">
        <v>249</v>
      </c>
      <c r="B1336" s="259" t="s">
        <v>192</v>
      </c>
      <c r="C1336" s="260">
        <v>2015</v>
      </c>
      <c r="D1336" s="260">
        <v>75</v>
      </c>
      <c r="E1336" s="261">
        <v>11.607082836169701</v>
      </c>
      <c r="F1336" s="262"/>
      <c r="G1336" s="261">
        <f t="shared" si="34"/>
        <v>50</v>
      </c>
      <c r="H1336" s="263">
        <f>IF(B1336="RTG Crane",IF(D1336&lt;600,800000,1200000),VLOOKUP(B1336,'$$$ Replace &amp; Retrofit'!$B$10:$C$14,2)*'CHE Model poplulation'!D1337)*E1336</f>
        <v>761714.81112363655</v>
      </c>
      <c r="I1336" s="263">
        <f>E1336*VLOOKUP('CHE Model poplulation'!G1337,'$$$ Replace &amp; Retrofit'!$I$10:$J$15,2)</f>
        <v>204145.37292255269</v>
      </c>
      <c r="J1336" s="275">
        <f>IF(D1336=50,VLOOKUP(0,'$$$ Replace &amp; Retrofit'!$E$10:$F$13,2),IF(D1336&lt;175,VLOOKUP(50,'$$$ Replace &amp; Retrofit'!$E$10:$F$13,2),IF(D1336&lt;400,VLOOKUP(175,'$$$ Replace &amp; Retrofit'!$E$10:$F$13,2),IF(D1336&gt;=400,VLOOKUP(400,'$$$ Replace &amp; Retrofit'!$E$10:$F$13,2),NA))))*E1336</f>
        <v>139284.99403403641</v>
      </c>
      <c r="K1336" s="261"/>
      <c r="L1336" s="261"/>
      <c r="M1336" s="261"/>
    </row>
    <row r="1337" spans="1:13" ht="30" x14ac:dyDescent="0.25">
      <c r="A1337" s="259" t="s">
        <v>249</v>
      </c>
      <c r="B1337" s="259" t="s">
        <v>192</v>
      </c>
      <c r="C1337" s="260">
        <v>2015</v>
      </c>
      <c r="D1337" s="260">
        <v>100</v>
      </c>
      <c r="E1337" s="261">
        <v>57.687513191288097</v>
      </c>
      <c r="F1337" s="262"/>
      <c r="G1337" s="261">
        <f t="shared" si="34"/>
        <v>125</v>
      </c>
      <c r="H1337" s="263">
        <f>IF(B1337="RTG Crane",IF(D1337&lt;600,800000,1200000),VLOOKUP(B1337,'$$$ Replace &amp; Retrofit'!$B$10:$C$14,2)*'CHE Model poplulation'!D1338)*E1337</f>
        <v>5047657.4042377081</v>
      </c>
      <c r="I1337" s="263">
        <f>E1337*VLOOKUP('CHE Model poplulation'!G1338,'$$$ Replace &amp; Retrofit'!$I$10:$J$15,2)</f>
        <v>1138347.697803688</v>
      </c>
      <c r="J1337" s="275">
        <f>IF(D1337=50,VLOOKUP(0,'$$$ Replace &amp; Retrofit'!$E$10:$F$13,2),IF(D1337&lt;175,VLOOKUP(50,'$$$ Replace &amp; Retrofit'!$E$10:$F$13,2),IF(D1337&lt;400,VLOOKUP(175,'$$$ Replace &amp; Retrofit'!$E$10:$F$13,2),IF(D1337&gt;=400,VLOOKUP(400,'$$$ Replace &amp; Retrofit'!$E$10:$F$13,2),NA))))*E1337</f>
        <v>692250.15829545713</v>
      </c>
      <c r="K1337" s="261"/>
      <c r="L1337" s="261"/>
      <c r="M1337" s="261"/>
    </row>
    <row r="1338" spans="1:13" ht="30" x14ac:dyDescent="0.25">
      <c r="A1338" s="259" t="s">
        <v>249</v>
      </c>
      <c r="B1338" s="259" t="s">
        <v>192</v>
      </c>
      <c r="C1338" s="260">
        <v>2015</v>
      </c>
      <c r="D1338" s="260">
        <v>175</v>
      </c>
      <c r="E1338" s="261">
        <v>68.741333301563898</v>
      </c>
      <c r="F1338" s="262"/>
      <c r="G1338" s="261">
        <f t="shared" si="34"/>
        <v>175</v>
      </c>
      <c r="H1338" s="263">
        <f>IF(B1338="RTG Crane",IF(D1338&lt;600,800000,1200000),VLOOKUP(B1338,'$$$ Replace &amp; Retrofit'!$B$10:$C$14,2)*'CHE Model poplulation'!D1339)*E1338</f>
        <v>10526016.661801971</v>
      </c>
      <c r="I1338" s="263">
        <f>E1338*VLOOKUP('CHE Model poplulation'!G1339,'$$$ Replace &amp; Retrofit'!$I$10:$J$15,2)</f>
        <v>1704510.1005455784</v>
      </c>
      <c r="J1338" s="275">
        <f>IF(D1338=50,VLOOKUP(0,'$$$ Replace &amp; Retrofit'!$E$10:$F$13,2),IF(D1338&lt;175,VLOOKUP(50,'$$$ Replace &amp; Retrofit'!$E$10:$F$13,2),IF(D1338&lt;400,VLOOKUP(175,'$$$ Replace &amp; Retrofit'!$E$10:$F$13,2),IF(D1338&gt;=400,VLOOKUP(400,'$$$ Replace &amp; Retrofit'!$E$10:$F$13,2),NA))))*E1338</f>
        <v>1237343.9994281502</v>
      </c>
      <c r="K1338" s="261"/>
      <c r="L1338" s="261"/>
      <c r="M1338" s="261"/>
    </row>
    <row r="1339" spans="1:13" ht="30" x14ac:dyDescent="0.25">
      <c r="A1339" s="259" t="s">
        <v>249</v>
      </c>
      <c r="B1339" s="259" t="s">
        <v>192</v>
      </c>
      <c r="C1339" s="260">
        <v>2015</v>
      </c>
      <c r="D1339" s="260">
        <v>300</v>
      </c>
      <c r="E1339" s="261">
        <v>22.6692310754757</v>
      </c>
      <c r="F1339" s="262"/>
      <c r="G1339" s="261">
        <f t="shared" si="34"/>
        <v>300</v>
      </c>
      <c r="H1339" s="263">
        <f>IF(B1339="RTG Crane",IF(D1339&lt;600,800000,1200000),VLOOKUP(B1339,'$$$ Replace &amp; Retrofit'!$B$10:$C$14,2)*'CHE Model poplulation'!D1340)*E1339</f>
        <v>5950673.1573123718</v>
      </c>
      <c r="I1339" s="263">
        <f>E1339*VLOOKUP('CHE Model poplulation'!G1340,'$$$ Replace &amp; Retrofit'!$I$10:$J$15,2)</f>
        <v>652035.09342390753</v>
      </c>
      <c r="J1339" s="275">
        <f>IF(D1339=50,VLOOKUP(0,'$$$ Replace &amp; Retrofit'!$E$10:$F$13,2),IF(D1339&lt;175,VLOOKUP(50,'$$$ Replace &amp; Retrofit'!$E$10:$F$13,2),IF(D1339&lt;400,VLOOKUP(175,'$$$ Replace &amp; Retrofit'!$E$10:$F$13,2),IF(D1339&gt;=400,VLOOKUP(400,'$$$ Replace &amp; Retrofit'!$E$10:$F$13,2),NA))))*E1339</f>
        <v>408046.15935856261</v>
      </c>
      <c r="K1339" s="261"/>
      <c r="L1339" s="261"/>
      <c r="M1339" s="261"/>
    </row>
    <row r="1340" spans="1:13" ht="30" x14ac:dyDescent="0.25">
      <c r="A1340" s="259" t="s">
        <v>249</v>
      </c>
      <c r="B1340" s="259" t="s">
        <v>192</v>
      </c>
      <c r="C1340" s="260">
        <v>2015</v>
      </c>
      <c r="D1340" s="260">
        <v>600</v>
      </c>
      <c r="E1340" s="261">
        <v>6.6821566215572403</v>
      </c>
      <c r="F1340" s="262"/>
      <c r="G1340" s="261">
        <f t="shared" si="34"/>
        <v>400</v>
      </c>
      <c r="H1340" s="263">
        <f>IF(B1340="RTG Crane",IF(D1340&lt;600,800000,1200000),VLOOKUP(B1340,'$$$ Replace &amp; Retrofit'!$B$10:$C$14,2)*'CHE Model poplulation'!D1341)*E1340</f>
        <v>3508132.226317551</v>
      </c>
      <c r="I1340" s="263">
        <f>E1340*VLOOKUP('CHE Model poplulation'!G1341,'$$$ Replace &amp; Retrofit'!$I$10:$J$15,2)</f>
        <v>349697.30247595505</v>
      </c>
      <c r="J1340" s="275">
        <f>IF(D1340=50,VLOOKUP(0,'$$$ Replace &amp; Retrofit'!$E$10:$F$13,2),IF(D1340&lt;175,VLOOKUP(50,'$$$ Replace &amp; Retrofit'!$E$10:$F$13,2),IF(D1340&lt;400,VLOOKUP(175,'$$$ Replace &amp; Retrofit'!$E$10:$F$13,2),IF(D1340&gt;=400,VLOOKUP(400,'$$$ Replace &amp; Retrofit'!$E$10:$F$13,2),NA))))*E1340</f>
        <v>200464.69864671721</v>
      </c>
      <c r="K1340" s="261"/>
      <c r="L1340" s="261"/>
      <c r="M1340" s="261"/>
    </row>
    <row r="1341" spans="1:13" ht="45" x14ac:dyDescent="0.25">
      <c r="A1341" s="259" t="s">
        <v>249</v>
      </c>
      <c r="B1341" s="259" t="s">
        <v>211</v>
      </c>
      <c r="C1341" s="260">
        <v>2015</v>
      </c>
      <c r="D1341" s="260">
        <v>50</v>
      </c>
      <c r="E1341" s="261">
        <v>2.3009548223046101</v>
      </c>
      <c r="F1341" s="262"/>
      <c r="G1341" s="261">
        <f t="shared" si="34"/>
        <v>50</v>
      </c>
      <c r="H1341" s="263">
        <f>IF(B1341="RTG Crane",IF(D1341&lt;600,800000,1200000),VLOOKUP(B1341,'$$$ Replace &amp; Retrofit'!$B$10:$C$14,2)*'CHE Model poplulation'!D1456)*E1341</f>
        <v>115047.7411152305</v>
      </c>
      <c r="I1341" s="263">
        <f>E1341*VLOOKUP('CHE Model poplulation'!G1456,'$$$ Replace &amp; Retrofit'!$I$10:$J$15,2)</f>
        <v>40469.19341469348</v>
      </c>
      <c r="J1341" s="275">
        <f>IF(D1341=50,VLOOKUP(0,'$$$ Replace &amp; Retrofit'!$E$10:$F$13,2),IF(D1341&lt;175,VLOOKUP(50,'$$$ Replace &amp; Retrofit'!$E$10:$F$13,2),IF(D1341&lt;400,VLOOKUP(175,'$$$ Replace &amp; Retrofit'!$E$10:$F$13,2),IF(D1341&gt;=400,VLOOKUP(400,'$$$ Replace &amp; Retrofit'!$E$10:$F$13,2),NA))))*E1341</f>
        <v>18407.638578436879</v>
      </c>
      <c r="K1341" s="261"/>
      <c r="L1341" s="261"/>
      <c r="M1341" s="261"/>
    </row>
    <row r="1342" spans="1:13" ht="45" x14ac:dyDescent="0.25">
      <c r="A1342" s="259" t="s">
        <v>249</v>
      </c>
      <c r="B1342" s="259" t="s">
        <v>211</v>
      </c>
      <c r="C1342" s="260">
        <v>2015</v>
      </c>
      <c r="D1342" s="260">
        <v>75</v>
      </c>
      <c r="E1342" s="261">
        <v>1.1143536064302699</v>
      </c>
      <c r="F1342" s="262"/>
      <c r="G1342" s="261">
        <f t="shared" si="34"/>
        <v>50</v>
      </c>
      <c r="H1342" s="263">
        <f>IF(B1342="RTG Crane",IF(D1342&lt;600,800000,1200000),VLOOKUP(B1342,'$$$ Replace &amp; Retrofit'!$B$10:$C$14,2)*'CHE Model poplulation'!D1457)*E1342</f>
        <v>83576.520482270251</v>
      </c>
      <c r="I1342" s="263">
        <f>E1342*VLOOKUP('CHE Model poplulation'!G1457,'$$$ Replace &amp; Retrofit'!$I$10:$J$15,2)</f>
        <v>19599.251229895588</v>
      </c>
      <c r="J1342" s="275">
        <f>IF(D1342=50,VLOOKUP(0,'$$$ Replace &amp; Retrofit'!$E$10:$F$13,2),IF(D1342&lt;175,VLOOKUP(50,'$$$ Replace &amp; Retrofit'!$E$10:$F$13,2),IF(D1342&lt;400,VLOOKUP(175,'$$$ Replace &amp; Retrofit'!$E$10:$F$13,2),IF(D1342&gt;=400,VLOOKUP(400,'$$$ Replace &amp; Retrofit'!$E$10:$F$13,2),NA))))*E1342</f>
        <v>13372.243277163239</v>
      </c>
      <c r="K1342" s="261"/>
      <c r="L1342" s="261"/>
      <c r="M1342" s="261"/>
    </row>
    <row r="1343" spans="1:13" ht="45" x14ac:dyDescent="0.25">
      <c r="A1343" s="259" t="s">
        <v>249</v>
      </c>
      <c r="B1343" s="259" t="s">
        <v>211</v>
      </c>
      <c r="C1343" s="260">
        <v>2015</v>
      </c>
      <c r="D1343" s="260">
        <v>100</v>
      </c>
      <c r="E1343" s="261">
        <v>1.3868487430637799</v>
      </c>
      <c r="F1343" s="262"/>
      <c r="G1343" s="261">
        <f t="shared" si="34"/>
        <v>125</v>
      </c>
      <c r="H1343" s="263">
        <f>IF(B1343="RTG Crane",IF(D1343&lt;600,800000,1200000),VLOOKUP(B1343,'$$$ Replace &amp; Retrofit'!$B$10:$C$14,2)*'CHE Model poplulation'!D1458)*E1343</f>
        <v>138684.87430637798</v>
      </c>
      <c r="I1343" s="263">
        <f>E1343*VLOOKUP('CHE Model poplulation'!G1458,'$$$ Replace &amp; Retrofit'!$I$10:$J$15,2)</f>
        <v>27366.686246877569</v>
      </c>
      <c r="J1343" s="275">
        <f>IF(D1343=50,VLOOKUP(0,'$$$ Replace &amp; Retrofit'!$E$10:$F$13,2),IF(D1343&lt;175,VLOOKUP(50,'$$$ Replace &amp; Retrofit'!$E$10:$F$13,2),IF(D1343&lt;400,VLOOKUP(175,'$$$ Replace &amp; Retrofit'!$E$10:$F$13,2),IF(D1343&gt;=400,VLOOKUP(400,'$$$ Replace &amp; Retrofit'!$E$10:$F$13,2),NA))))*E1343</f>
        <v>16642.18491676536</v>
      </c>
      <c r="K1343" s="261"/>
      <c r="L1343" s="261"/>
      <c r="M1343" s="261"/>
    </row>
    <row r="1344" spans="1:13" ht="45" x14ac:dyDescent="0.25">
      <c r="A1344" s="259" t="s">
        <v>249</v>
      </c>
      <c r="B1344" s="259" t="s">
        <v>211</v>
      </c>
      <c r="C1344" s="260">
        <v>2015</v>
      </c>
      <c r="D1344" s="260">
        <v>175</v>
      </c>
      <c r="E1344" s="261">
        <v>1.3607400213762799</v>
      </c>
      <c r="F1344" s="262"/>
      <c r="G1344" s="261">
        <f t="shared" si="34"/>
        <v>175</v>
      </c>
      <c r="H1344" s="263">
        <f>IF(B1344="RTG Crane",IF(D1344&lt;600,800000,1200000),VLOOKUP(B1344,'$$$ Replace &amp; Retrofit'!$B$10:$C$14,2)*'CHE Model poplulation'!D1459)*E1344</f>
        <v>238129.50374084897</v>
      </c>
      <c r="I1344" s="263">
        <f>E1344*VLOOKUP('CHE Model poplulation'!G1459,'$$$ Replace &amp; Retrofit'!$I$10:$J$15,2)</f>
        <v>33740.909570046235</v>
      </c>
      <c r="J1344" s="275">
        <f>IF(D1344=50,VLOOKUP(0,'$$$ Replace &amp; Retrofit'!$E$10:$F$13,2),IF(D1344&lt;175,VLOOKUP(50,'$$$ Replace &amp; Retrofit'!$E$10:$F$13,2),IF(D1344&lt;400,VLOOKUP(175,'$$$ Replace &amp; Retrofit'!$E$10:$F$13,2),IF(D1344&gt;=400,VLOOKUP(400,'$$$ Replace &amp; Retrofit'!$E$10:$F$13,2),NA))))*E1344</f>
        <v>24493.32038477304</v>
      </c>
      <c r="K1344" s="261"/>
      <c r="L1344" s="261"/>
      <c r="M1344" s="261"/>
    </row>
    <row r="1345" spans="1:13" ht="45" x14ac:dyDescent="0.25">
      <c r="A1345" s="259" t="s">
        <v>249</v>
      </c>
      <c r="B1345" s="259" t="s">
        <v>211</v>
      </c>
      <c r="C1345" s="260">
        <v>2015</v>
      </c>
      <c r="D1345" s="260">
        <v>300</v>
      </c>
      <c r="E1345" s="261">
        <v>1.4209907893832201</v>
      </c>
      <c r="F1345" s="262"/>
      <c r="G1345" s="261">
        <f t="shared" si="34"/>
        <v>300</v>
      </c>
      <c r="H1345" s="263">
        <f>IF(B1345="RTG Crane",IF(D1345&lt;600,800000,1200000),VLOOKUP(B1345,'$$$ Replace &amp; Retrofit'!$B$10:$C$14,2)*'CHE Model poplulation'!D1460)*E1345</f>
        <v>426297.23681496602</v>
      </c>
      <c r="I1345" s="263">
        <f>E1345*VLOOKUP('CHE Model poplulation'!G1460,'$$$ Replace &amp; Retrofit'!$I$10:$J$15,2)</f>
        <v>40871.958075029557</v>
      </c>
      <c r="J1345" s="275">
        <f>IF(D1345=50,VLOOKUP(0,'$$$ Replace &amp; Retrofit'!$E$10:$F$13,2),IF(D1345&lt;175,VLOOKUP(50,'$$$ Replace &amp; Retrofit'!$E$10:$F$13,2),IF(D1345&lt;400,VLOOKUP(175,'$$$ Replace &amp; Retrofit'!$E$10:$F$13,2),IF(D1345&gt;=400,VLOOKUP(400,'$$$ Replace &amp; Retrofit'!$E$10:$F$13,2),NA))))*E1345</f>
        <v>25577.834208897963</v>
      </c>
      <c r="K1345" s="261"/>
      <c r="L1345" s="261"/>
      <c r="M1345" s="261"/>
    </row>
    <row r="1346" spans="1:13" ht="45" x14ac:dyDescent="0.25">
      <c r="A1346" s="259" t="s">
        <v>249</v>
      </c>
      <c r="B1346" s="259" t="s">
        <v>211</v>
      </c>
      <c r="C1346" s="260">
        <v>2015</v>
      </c>
      <c r="D1346" s="260">
        <v>600</v>
      </c>
      <c r="E1346" s="261">
        <v>0.426212390900712</v>
      </c>
      <c r="F1346" s="262"/>
      <c r="G1346" s="261">
        <f t="shared" si="34"/>
        <v>400</v>
      </c>
      <c r="H1346" s="263">
        <f>IF(B1346="RTG Crane",IF(D1346&lt;600,800000,1200000),VLOOKUP(B1346,'$$$ Replace &amp; Retrofit'!$B$10:$C$14,2)*'CHE Model poplulation'!D1461)*E1346</f>
        <v>255727.4345404272</v>
      </c>
      <c r="I1346" s="263">
        <f>E1346*VLOOKUP('CHE Model poplulation'!G1461,'$$$ Replace &amp; Retrofit'!$I$10:$J$15,2)</f>
        <v>22304.973053006961</v>
      </c>
      <c r="J1346" s="275">
        <f>IF(D1346=50,VLOOKUP(0,'$$$ Replace &amp; Retrofit'!$E$10:$F$13,2),IF(D1346&lt;175,VLOOKUP(50,'$$$ Replace &amp; Retrofit'!$E$10:$F$13,2),IF(D1346&lt;400,VLOOKUP(175,'$$$ Replace &amp; Retrofit'!$E$10:$F$13,2),IF(D1346&gt;=400,VLOOKUP(400,'$$$ Replace &amp; Retrofit'!$E$10:$F$13,2),NA))))*E1346</f>
        <v>12786.37172702136</v>
      </c>
      <c r="K1346" s="261"/>
      <c r="L1346" s="261"/>
      <c r="M1346" s="261"/>
    </row>
    <row r="1347" spans="1:13" ht="30" x14ac:dyDescent="0.25">
      <c r="A1347" s="259" t="s">
        <v>249</v>
      </c>
      <c r="B1347" s="259" t="s">
        <v>212</v>
      </c>
      <c r="C1347" s="260">
        <v>2015</v>
      </c>
      <c r="D1347" s="260">
        <v>100</v>
      </c>
      <c r="E1347" s="261">
        <v>0</v>
      </c>
      <c r="F1347" s="262"/>
      <c r="G1347" s="261"/>
      <c r="H1347" s="261"/>
      <c r="I1347" s="261"/>
      <c r="J1347" s="276"/>
      <c r="K1347" s="261"/>
      <c r="L1347" s="261"/>
      <c r="M1347" s="261"/>
    </row>
    <row r="1348" spans="1:13" ht="30" x14ac:dyDescent="0.25">
      <c r="A1348" s="259" t="s">
        <v>249</v>
      </c>
      <c r="B1348" s="259" t="s">
        <v>212</v>
      </c>
      <c r="C1348" s="260">
        <v>2015</v>
      </c>
      <c r="D1348" s="260">
        <v>300</v>
      </c>
      <c r="E1348" s="261">
        <v>0</v>
      </c>
      <c r="F1348" s="262"/>
      <c r="G1348" s="261"/>
      <c r="H1348" s="261"/>
      <c r="I1348" s="261"/>
      <c r="J1348" s="276"/>
      <c r="K1348" s="261"/>
      <c r="L1348" s="261"/>
      <c r="M1348" s="261"/>
    </row>
    <row r="1349" spans="1:13" ht="30" x14ac:dyDescent="0.25">
      <c r="A1349" s="259" t="s">
        <v>249</v>
      </c>
      <c r="B1349" s="259" t="s">
        <v>212</v>
      </c>
      <c r="C1349" s="260">
        <v>2015</v>
      </c>
      <c r="D1349" s="260">
        <v>600</v>
      </c>
      <c r="E1349" s="261">
        <v>0</v>
      </c>
      <c r="F1349" s="262"/>
      <c r="G1349" s="261"/>
      <c r="H1349" s="261"/>
      <c r="I1349" s="261"/>
      <c r="J1349" s="276"/>
      <c r="K1349" s="261"/>
      <c r="L1349" s="261"/>
      <c r="M1349" s="261"/>
    </row>
    <row r="1350" spans="1:13" ht="30" x14ac:dyDescent="0.25">
      <c r="A1350" s="259" t="s">
        <v>249</v>
      </c>
      <c r="B1350" s="259" t="s">
        <v>212</v>
      </c>
      <c r="C1350" s="260">
        <v>2015</v>
      </c>
      <c r="D1350" s="260">
        <v>750</v>
      </c>
      <c r="E1350" s="261">
        <v>0</v>
      </c>
      <c r="F1350" s="262"/>
      <c r="G1350" s="261"/>
      <c r="H1350" s="261"/>
      <c r="I1350" s="261"/>
      <c r="J1350" s="276"/>
      <c r="K1350" s="261"/>
      <c r="L1350" s="261"/>
      <c r="M1350" s="261"/>
    </row>
    <row r="1351" spans="1:13" ht="30" x14ac:dyDescent="0.25">
      <c r="A1351" s="259" t="s">
        <v>249</v>
      </c>
      <c r="B1351" s="259" t="s">
        <v>212</v>
      </c>
      <c r="C1351" s="260">
        <v>2015</v>
      </c>
      <c r="D1351" s="260">
        <v>9999</v>
      </c>
      <c r="E1351" s="261">
        <v>0</v>
      </c>
      <c r="F1351" s="262"/>
      <c r="G1351" s="261"/>
      <c r="H1351" s="261"/>
      <c r="I1351" s="261"/>
      <c r="J1351" s="276"/>
      <c r="K1351" s="266">
        <f t="shared" ref="K1351:L1351" si="35">SUM(H1325:H1351)</f>
        <v>35975741.475878537</v>
      </c>
      <c r="L1351" s="266">
        <f t="shared" si="35"/>
        <v>5241295.0005597388</v>
      </c>
      <c r="M1351" s="266">
        <f>SUM(J1325:J1351)</f>
        <v>3384826.6189627061</v>
      </c>
    </row>
    <row r="1352" spans="1:13" ht="30" x14ac:dyDescent="0.25">
      <c r="A1352" s="259" t="s">
        <v>249</v>
      </c>
      <c r="B1352" s="259" t="s">
        <v>206</v>
      </c>
      <c r="C1352" s="260">
        <v>2016</v>
      </c>
      <c r="D1352" s="260">
        <v>50</v>
      </c>
      <c r="E1352" s="261">
        <v>0.49299855465831099</v>
      </c>
      <c r="F1352" s="262"/>
      <c r="G1352" s="261">
        <f t="shared" ref="G1352:G1373" si="36">IF(OR(D1352=50,D1352=75),50,IF(OR(D1352=100,D1352=125),125,IF(D1352&gt;=400,400,D1352)))</f>
        <v>50</v>
      </c>
      <c r="H1352" s="263">
        <f>IF(B1352="RTG Crane",IF(D1352&lt;600,800000,1200000),VLOOKUP(B1352,'$$$ Replace &amp; Retrofit'!$B$10:$C$14,2)*'CHE Model poplulation'!D1142)*E1352</f>
        <v>24649.927732915548</v>
      </c>
      <c r="I1352" s="263">
        <f>E1352*VLOOKUP('CHE Model poplulation'!G1142,'$$$ Replace &amp; Retrofit'!$I$10:$J$15,2)</f>
        <v>8670.8585793303737</v>
      </c>
      <c r="J1352" s="264">
        <f>IF(D1352=50,VLOOKUP(0,'$$$ Replace &amp; Retrofit'!$E$10:$F$13,2),IF(D1352&lt;175,VLOOKUP(50,'$$$ Replace &amp; Retrofit'!$E$10:$F$13,2),IF(D1352&lt;400,VLOOKUP(175,'$$$ Replace &amp; Retrofit'!$E$10:$F$13,2),IF(D1352&gt;=400,VLOOKUP(400,'$$$ Replace &amp; Retrofit'!$E$10:$F$13,2),NA))))*E1352</f>
        <v>3943.9884372664878</v>
      </c>
      <c r="K1352" s="261"/>
      <c r="L1352" s="261"/>
      <c r="M1352" s="261"/>
    </row>
    <row r="1353" spans="1:13" ht="30" x14ac:dyDescent="0.25">
      <c r="A1353" s="259" t="s">
        <v>249</v>
      </c>
      <c r="B1353" s="259" t="s">
        <v>206</v>
      </c>
      <c r="C1353" s="260">
        <v>2016</v>
      </c>
      <c r="D1353" s="260">
        <v>75</v>
      </c>
      <c r="E1353" s="261">
        <v>1.068177979313</v>
      </c>
      <c r="F1353" s="262"/>
      <c r="G1353" s="261">
        <f t="shared" si="36"/>
        <v>50</v>
      </c>
      <c r="H1353" s="263">
        <f>IF(B1353="RTG Crane",IF(D1353&lt;600,800000,1200000),VLOOKUP(B1353,'$$$ Replace &amp; Retrofit'!$B$10:$C$14,2)*'CHE Model poplulation'!D1143)*E1353</f>
        <v>80113.348448474993</v>
      </c>
      <c r="I1353" s="263">
        <f>E1353*VLOOKUP('CHE Model poplulation'!G1143,'$$$ Replace &amp; Retrofit'!$I$10:$J$15,2)</f>
        <v>18787.114300157042</v>
      </c>
      <c r="J1353" s="264">
        <f>IF(D1353=50,VLOOKUP(0,'$$$ Replace &amp; Retrofit'!$E$10:$F$13,2),IF(D1353&lt;175,VLOOKUP(50,'$$$ Replace &amp; Retrofit'!$E$10:$F$13,2),IF(D1353&lt;400,VLOOKUP(175,'$$$ Replace &amp; Retrofit'!$E$10:$F$13,2),IF(D1353&gt;=400,VLOOKUP(400,'$$$ Replace &amp; Retrofit'!$E$10:$F$13,2),NA))))*E1353</f>
        <v>12818.135751755999</v>
      </c>
      <c r="K1353" s="261"/>
      <c r="L1353" s="261"/>
      <c r="M1353" s="261"/>
    </row>
    <row r="1354" spans="1:13" ht="30" x14ac:dyDescent="0.25">
      <c r="A1354" s="259" t="s">
        <v>249</v>
      </c>
      <c r="B1354" s="259" t="s">
        <v>206</v>
      </c>
      <c r="C1354" s="260">
        <v>2016</v>
      </c>
      <c r="D1354" s="260">
        <v>100</v>
      </c>
      <c r="E1354" s="261">
        <v>1.068177979313</v>
      </c>
      <c r="F1354" s="262"/>
      <c r="G1354" s="261">
        <f t="shared" si="36"/>
        <v>125</v>
      </c>
      <c r="H1354" s="263">
        <f>IF(B1354="RTG Crane",IF(D1354&lt;600,800000,1200000),VLOOKUP(B1354,'$$$ Replace &amp; Retrofit'!$B$10:$C$14,2)*'CHE Model poplulation'!D1144)*E1354</f>
        <v>106817.7979313</v>
      </c>
      <c r="I1354" s="263">
        <f>E1354*VLOOKUP('CHE Model poplulation'!G1144,'$$$ Replace &amp; Retrofit'!$I$10:$J$15,2)</f>
        <v>21078.356065783428</v>
      </c>
      <c r="J1354" s="264">
        <f>IF(D1354=50,VLOOKUP(0,'$$$ Replace &amp; Retrofit'!$E$10:$F$13,2),IF(D1354&lt;175,VLOOKUP(50,'$$$ Replace &amp; Retrofit'!$E$10:$F$13,2),IF(D1354&lt;400,VLOOKUP(175,'$$$ Replace &amp; Retrofit'!$E$10:$F$13,2),IF(D1354&gt;=400,VLOOKUP(400,'$$$ Replace &amp; Retrofit'!$E$10:$F$13,2),NA))))*E1354</f>
        <v>12818.135751755999</v>
      </c>
      <c r="K1354" s="261"/>
      <c r="L1354" s="261"/>
      <c r="M1354" s="261"/>
    </row>
    <row r="1355" spans="1:13" ht="30" x14ac:dyDescent="0.25">
      <c r="A1355" s="259" t="s">
        <v>249</v>
      </c>
      <c r="B1355" s="259" t="s">
        <v>206</v>
      </c>
      <c r="C1355" s="260">
        <v>2016</v>
      </c>
      <c r="D1355" s="260">
        <v>175</v>
      </c>
      <c r="E1355" s="261">
        <v>1.56117653397131</v>
      </c>
      <c r="F1355" s="262"/>
      <c r="G1355" s="261">
        <f t="shared" si="36"/>
        <v>175</v>
      </c>
      <c r="H1355" s="263">
        <f>IF(B1355="RTG Crane",IF(D1355&lt;600,800000,1200000),VLOOKUP(B1355,'$$$ Replace &amp; Retrofit'!$B$10:$C$14,2)*'CHE Model poplulation'!D1145)*E1355</f>
        <v>273205.89344497921</v>
      </c>
      <c r="I1355" s="263">
        <f>E1355*VLOOKUP('CHE Model poplulation'!G1145,'$$$ Replace &amp; Retrofit'!$I$10:$J$15,2)</f>
        <v>38710.933336352602</v>
      </c>
      <c r="J1355" s="264">
        <f>IF(D1355=50,VLOOKUP(0,'$$$ Replace &amp; Retrofit'!$E$10:$F$13,2),IF(D1355&lt;175,VLOOKUP(50,'$$$ Replace &amp; Retrofit'!$E$10:$F$13,2),IF(D1355&lt;400,VLOOKUP(175,'$$$ Replace &amp; Retrofit'!$E$10:$F$13,2),IF(D1355&gt;=400,VLOOKUP(400,'$$$ Replace &amp; Retrofit'!$E$10:$F$13,2),NA))))*E1355</f>
        <v>28101.177611483577</v>
      </c>
      <c r="K1355" s="261"/>
      <c r="L1355" s="261"/>
      <c r="M1355" s="261"/>
    </row>
    <row r="1356" spans="1:13" ht="30" x14ac:dyDescent="0.25">
      <c r="A1356" s="259" t="s">
        <v>249</v>
      </c>
      <c r="B1356" s="259" t="s">
        <v>206</v>
      </c>
      <c r="C1356" s="260">
        <v>2016</v>
      </c>
      <c r="D1356" s="260">
        <v>300</v>
      </c>
      <c r="E1356" s="261">
        <v>1.1503155166493999</v>
      </c>
      <c r="F1356" s="262"/>
      <c r="G1356" s="261">
        <f t="shared" si="36"/>
        <v>300</v>
      </c>
      <c r="H1356" s="263">
        <f>IF(B1356="RTG Crane",IF(D1356&lt;600,800000,1200000),VLOOKUP(B1356,'$$$ Replace &amp; Retrofit'!$B$10:$C$14,2)*'CHE Model poplulation'!D1146)*E1356</f>
        <v>345094.65499481995</v>
      </c>
      <c r="I1356" s="263">
        <f>E1356*VLOOKUP('CHE Model poplulation'!G1146,'$$$ Replace &amp; Retrofit'!$I$10:$J$15,2)</f>
        <v>33086.525205386686</v>
      </c>
      <c r="J1356" s="264">
        <f>IF(D1356=50,VLOOKUP(0,'$$$ Replace &amp; Retrofit'!$E$10:$F$13,2),IF(D1356&lt;175,VLOOKUP(50,'$$$ Replace &amp; Retrofit'!$E$10:$F$13,2),IF(D1356&lt;400,VLOOKUP(175,'$$$ Replace &amp; Retrofit'!$E$10:$F$13,2),IF(D1356&gt;=400,VLOOKUP(400,'$$$ Replace &amp; Retrofit'!$E$10:$F$13,2),NA))))*E1356</f>
        <v>20705.6792996892</v>
      </c>
      <c r="K1356" s="261"/>
      <c r="L1356" s="261"/>
      <c r="M1356" s="261"/>
    </row>
    <row r="1357" spans="1:13" ht="30" x14ac:dyDescent="0.25">
      <c r="A1357" s="259" t="s">
        <v>249</v>
      </c>
      <c r="B1357" s="259" t="s">
        <v>206</v>
      </c>
      <c r="C1357" s="260">
        <v>2016</v>
      </c>
      <c r="D1357" s="260">
        <v>600</v>
      </c>
      <c r="E1357" s="261">
        <v>3.64520799999781</v>
      </c>
      <c r="F1357" s="262"/>
      <c r="G1357" s="261">
        <f t="shared" si="36"/>
        <v>400</v>
      </c>
      <c r="H1357" s="263">
        <f>IF(B1357="RTG Crane",IF(D1357&lt;600,800000,1200000),VLOOKUP(B1357,'$$$ Replace &amp; Retrofit'!$B$10:$C$14,2)*'CHE Model poplulation'!D1147)*E1357</f>
        <v>2187124.7999986862</v>
      </c>
      <c r="I1357" s="263">
        <f>E1357*VLOOKUP('CHE Model poplulation'!G1147,'$$$ Replace &amp; Retrofit'!$I$10:$J$15,2)</f>
        <v>190764.6702638854</v>
      </c>
      <c r="J1357" s="264">
        <f>IF(D1357=50,VLOOKUP(0,'$$$ Replace &amp; Retrofit'!$E$10:$F$13,2),IF(D1357&lt;175,VLOOKUP(50,'$$$ Replace &amp; Retrofit'!$E$10:$F$13,2),IF(D1357&lt;400,VLOOKUP(175,'$$$ Replace &amp; Retrofit'!$E$10:$F$13,2),IF(D1357&gt;=400,VLOOKUP(400,'$$$ Replace &amp; Retrofit'!$E$10:$F$13,2),NA))))*E1357</f>
        <v>109356.2399999343</v>
      </c>
      <c r="K1357" s="261"/>
      <c r="L1357" s="261"/>
      <c r="M1357" s="261"/>
    </row>
    <row r="1358" spans="1:13" ht="45" x14ac:dyDescent="0.25">
      <c r="A1358" s="259" t="s">
        <v>249</v>
      </c>
      <c r="B1358" s="259" t="s">
        <v>208</v>
      </c>
      <c r="C1358" s="260">
        <v>2016</v>
      </c>
      <c r="D1358" s="260">
        <v>100</v>
      </c>
      <c r="E1358" s="261">
        <v>2.08760041205816E-2</v>
      </c>
      <c r="F1358" s="262"/>
      <c r="G1358" s="261">
        <f t="shared" si="36"/>
        <v>125</v>
      </c>
      <c r="H1358" s="263">
        <f>IF(B1358="RTG Crane",IF(D1358&lt;600,800000,1200000),VLOOKUP(B1358,'$$$ Replace &amp; Retrofit'!$B$10:$C$14,2)*'CHE Model poplulation'!D1242)*E1358</f>
        <v>1663.8175284103536</v>
      </c>
      <c r="I1358" s="263">
        <f>E1358*VLOOKUP('CHE Model poplulation'!G1242,'$$$ Replace &amp; Retrofit'!$I$10:$J$15,2)</f>
        <v>411.94618931143674</v>
      </c>
      <c r="J1358" s="264">
        <f>IF(D1358=50,VLOOKUP(0,'$$$ Replace &amp; Retrofit'!$E$10:$F$13,2),IF(D1358&lt;175,VLOOKUP(50,'$$$ Replace &amp; Retrofit'!$E$10:$F$13,2),IF(D1358&lt;400,VLOOKUP(175,'$$$ Replace &amp; Retrofit'!$E$10:$F$13,2),IF(D1358&gt;=400,VLOOKUP(400,'$$$ Replace &amp; Retrofit'!$E$10:$F$13,2),NA))))*E1358</f>
        <v>250.5120494469792</v>
      </c>
      <c r="K1358" s="261"/>
      <c r="L1358" s="261"/>
      <c r="M1358" s="261"/>
    </row>
    <row r="1359" spans="1:13" ht="45" x14ac:dyDescent="0.25">
      <c r="A1359" s="259" t="s">
        <v>249</v>
      </c>
      <c r="B1359" s="259" t="s">
        <v>208</v>
      </c>
      <c r="C1359" s="260">
        <v>2016</v>
      </c>
      <c r="D1359" s="260">
        <v>175</v>
      </c>
      <c r="E1359" s="261">
        <v>0.62084059026252802</v>
      </c>
      <c r="F1359" s="262"/>
      <c r="G1359" s="261">
        <f t="shared" si="36"/>
        <v>175</v>
      </c>
      <c r="H1359" s="263">
        <f>IF(B1359="RTG Crane",IF(D1359&lt;600,800000,1200000),VLOOKUP(B1359,'$$$ Replace &amp; Retrofit'!$B$10:$C$14,2)*'CHE Model poplulation'!D1243)*E1359</f>
        <v>86591.741326866089</v>
      </c>
      <c r="I1359" s="263">
        <f>E1359*VLOOKUP('CHE Model poplulation'!G1243,'$$$ Replace &amp; Retrofit'!$I$10:$J$15,2)</f>
        <v>15394.363276149645</v>
      </c>
      <c r="J1359" s="264">
        <f>IF(D1359=50,VLOOKUP(0,'$$$ Replace &amp; Retrofit'!$E$10:$F$13,2),IF(D1359&lt;175,VLOOKUP(50,'$$$ Replace &amp; Retrofit'!$E$10:$F$13,2),IF(D1359&lt;400,VLOOKUP(175,'$$$ Replace &amp; Retrofit'!$E$10:$F$13,2),IF(D1359&gt;=400,VLOOKUP(400,'$$$ Replace &amp; Retrofit'!$E$10:$F$13,2),NA))))*E1359</f>
        <v>11175.130624725505</v>
      </c>
      <c r="K1359" s="261"/>
      <c r="L1359" s="261"/>
      <c r="M1359" s="261"/>
    </row>
    <row r="1360" spans="1:13" ht="45" x14ac:dyDescent="0.25">
      <c r="A1360" s="259" t="s">
        <v>249</v>
      </c>
      <c r="B1360" s="259" t="s">
        <v>208</v>
      </c>
      <c r="C1360" s="260">
        <v>2016</v>
      </c>
      <c r="D1360" s="260">
        <v>300</v>
      </c>
      <c r="E1360" s="261">
        <v>2.1329233687659999</v>
      </c>
      <c r="F1360" s="262"/>
      <c r="G1360" s="261">
        <f t="shared" si="36"/>
        <v>300</v>
      </c>
      <c r="H1360" s="263">
        <f>IF(B1360="RTG Crane",IF(D1360&lt;600,800000,1200000),VLOOKUP(B1360,'$$$ Replace &amp; Retrofit'!$B$10:$C$14,2)*'CHE Model poplulation'!D1244)*E1360</f>
        <v>509981.97747195058</v>
      </c>
      <c r="I1360" s="263">
        <f>E1360*VLOOKUP('CHE Model poplulation'!G1244,'$$$ Replace &amp; Retrofit'!$I$10:$J$15,2)</f>
        <v>61349.274855816453</v>
      </c>
      <c r="J1360" s="264">
        <f>IF(D1360=50,VLOOKUP(0,'$$$ Replace &amp; Retrofit'!$E$10:$F$13,2),IF(D1360&lt;175,VLOOKUP(50,'$$$ Replace &amp; Retrofit'!$E$10:$F$13,2),IF(D1360&lt;400,VLOOKUP(175,'$$$ Replace &amp; Retrofit'!$E$10:$F$13,2),IF(D1360&gt;=400,VLOOKUP(400,'$$$ Replace &amp; Retrofit'!$E$10:$F$13,2),NA))))*E1360</f>
        <v>38392.620637788001</v>
      </c>
      <c r="K1360" s="261"/>
      <c r="L1360" s="261"/>
      <c r="M1360" s="261"/>
    </row>
    <row r="1361" spans="1:13" ht="45" x14ac:dyDescent="0.25">
      <c r="A1361" s="259" t="s">
        <v>249</v>
      </c>
      <c r="B1361" s="259" t="s">
        <v>208</v>
      </c>
      <c r="C1361" s="260">
        <v>2016</v>
      </c>
      <c r="D1361" s="260">
        <v>600</v>
      </c>
      <c r="E1361" s="261">
        <v>3.40753307975264</v>
      </c>
      <c r="F1361" s="262"/>
      <c r="G1361" s="261">
        <f t="shared" si="36"/>
        <v>400</v>
      </c>
      <c r="H1361" s="263">
        <f>IF(B1361="RTG Crane",IF(D1361&lt;600,800000,1200000),VLOOKUP(B1361,'$$$ Replace &amp; Retrofit'!$B$10:$C$14,2)*'CHE Model poplulation'!D1245)*E1361</f>
        <v>1629482.3187377125</v>
      </c>
      <c r="I1361" s="263">
        <f>E1361*VLOOKUP('CHE Model poplulation'!G1245,'$$$ Replace &amp; Retrofit'!$I$10:$J$15,2)</f>
        <v>178326.4286626949</v>
      </c>
      <c r="J1361" s="264">
        <f>IF(D1361=50,VLOOKUP(0,'$$$ Replace &amp; Retrofit'!$E$10:$F$13,2),IF(D1361&lt;175,VLOOKUP(50,'$$$ Replace &amp; Retrofit'!$E$10:$F$13,2),IF(D1361&lt;400,VLOOKUP(175,'$$$ Replace &amp; Retrofit'!$E$10:$F$13,2),IF(D1361&gt;=400,VLOOKUP(400,'$$$ Replace &amp; Retrofit'!$E$10:$F$13,2),NA))))*E1361</f>
        <v>102225.9923925792</v>
      </c>
      <c r="K1361" s="261"/>
      <c r="L1361" s="261"/>
      <c r="M1361" s="261"/>
    </row>
    <row r="1362" spans="1:13" ht="30" x14ac:dyDescent="0.25">
      <c r="A1362" s="259" t="s">
        <v>249</v>
      </c>
      <c r="B1362" s="259" t="s">
        <v>192</v>
      </c>
      <c r="C1362" s="260">
        <v>2016</v>
      </c>
      <c r="D1362" s="260">
        <v>50</v>
      </c>
      <c r="E1362" s="261">
        <v>1.9440590961441</v>
      </c>
      <c r="F1362" s="262"/>
      <c r="G1362" s="261">
        <f t="shared" si="36"/>
        <v>50</v>
      </c>
      <c r="H1362" s="263">
        <f>IF(B1362="RTG Crane",IF(D1362&lt;600,800000,1200000),VLOOKUP(B1362,'$$$ Replace &amp; Retrofit'!$B$10:$C$14,2)*'CHE Model poplulation'!D1342)*E1362</f>
        <v>85052.585456304369</v>
      </c>
      <c r="I1362" s="263">
        <f>E1362*VLOOKUP('CHE Model poplulation'!G1342,'$$$ Replace &amp; Retrofit'!$I$10:$J$15,2)</f>
        <v>34192.111382982432</v>
      </c>
      <c r="J1362" s="264">
        <f>IF(D1362=50,VLOOKUP(0,'$$$ Replace &amp; Retrofit'!$E$10:$F$13,2),IF(D1362&lt;175,VLOOKUP(50,'$$$ Replace &amp; Retrofit'!$E$10:$F$13,2),IF(D1362&lt;400,VLOOKUP(175,'$$$ Replace &amp; Retrofit'!$E$10:$F$13,2),IF(D1362&gt;=400,VLOOKUP(400,'$$$ Replace &amp; Retrofit'!$E$10:$F$13,2),NA))))*E1362</f>
        <v>15552.472769152801</v>
      </c>
      <c r="K1362" s="261"/>
      <c r="L1362" s="261"/>
      <c r="M1362" s="261"/>
    </row>
    <row r="1363" spans="1:13" ht="30" x14ac:dyDescent="0.25">
      <c r="A1363" s="259" t="s">
        <v>249</v>
      </c>
      <c r="B1363" s="259" t="s">
        <v>192</v>
      </c>
      <c r="C1363" s="260">
        <v>2016</v>
      </c>
      <c r="D1363" s="260">
        <v>75</v>
      </c>
      <c r="E1363" s="261">
        <v>6.8132078946258101</v>
      </c>
      <c r="F1363" s="262"/>
      <c r="G1363" s="261">
        <f t="shared" si="36"/>
        <v>50</v>
      </c>
      <c r="H1363" s="263">
        <f>IF(B1363="RTG Crane",IF(D1363&lt;600,800000,1200000),VLOOKUP(B1363,'$$$ Replace &amp; Retrofit'!$B$10:$C$14,2)*'CHE Model poplulation'!D1343)*E1363</f>
        <v>447116.76808481879</v>
      </c>
      <c r="I1363" s="263">
        <f>E1363*VLOOKUP('CHE Model poplulation'!G1343,'$$$ Replace &amp; Retrofit'!$I$10:$J$15,2)</f>
        <v>119830.70045067875</v>
      </c>
      <c r="J1363" s="264">
        <f>IF(D1363=50,VLOOKUP(0,'$$$ Replace &amp; Retrofit'!$E$10:$F$13,2),IF(D1363&lt;175,VLOOKUP(50,'$$$ Replace &amp; Retrofit'!$E$10:$F$13,2),IF(D1363&lt;400,VLOOKUP(175,'$$$ Replace &amp; Retrofit'!$E$10:$F$13,2),IF(D1363&gt;=400,VLOOKUP(400,'$$$ Replace &amp; Retrofit'!$E$10:$F$13,2),NA))))*E1363</f>
        <v>81758.494735509725</v>
      </c>
      <c r="K1363" s="261"/>
      <c r="L1363" s="261"/>
      <c r="M1363" s="261"/>
    </row>
    <row r="1364" spans="1:13" ht="30" x14ac:dyDescent="0.25">
      <c r="A1364" s="259" t="s">
        <v>249</v>
      </c>
      <c r="B1364" s="259" t="s">
        <v>192</v>
      </c>
      <c r="C1364" s="260">
        <v>2016</v>
      </c>
      <c r="D1364" s="260">
        <v>100</v>
      </c>
      <c r="E1364" s="261">
        <v>35.433857105997298</v>
      </c>
      <c r="F1364" s="262"/>
      <c r="G1364" s="261">
        <f t="shared" si="36"/>
        <v>125</v>
      </c>
      <c r="H1364" s="263">
        <f>IF(B1364="RTG Crane",IF(D1364&lt;600,800000,1200000),VLOOKUP(B1364,'$$$ Replace &amp; Retrofit'!$B$10:$C$14,2)*'CHE Model poplulation'!D1344)*E1364</f>
        <v>3100462.4967747633</v>
      </c>
      <c r="I1364" s="263">
        <f>E1364*VLOOKUP('CHE Model poplulation'!G1344,'$$$ Replace &amp; Retrofit'!$I$10:$J$15,2)</f>
        <v>699216.30227264471</v>
      </c>
      <c r="J1364" s="264">
        <f>IF(D1364=50,VLOOKUP(0,'$$$ Replace &amp; Retrofit'!$E$10:$F$13,2),IF(D1364&lt;175,VLOOKUP(50,'$$$ Replace &amp; Retrofit'!$E$10:$F$13,2),IF(D1364&lt;400,VLOOKUP(175,'$$$ Replace &amp; Retrofit'!$E$10:$F$13,2),IF(D1364&gt;=400,VLOOKUP(400,'$$$ Replace &amp; Retrofit'!$E$10:$F$13,2),NA))))*E1364</f>
        <v>425206.28527196759</v>
      </c>
      <c r="K1364" s="261"/>
      <c r="L1364" s="261"/>
      <c r="M1364" s="261"/>
    </row>
    <row r="1365" spans="1:13" ht="30" x14ac:dyDescent="0.25">
      <c r="A1365" s="259" t="s">
        <v>249</v>
      </c>
      <c r="B1365" s="259" t="s">
        <v>192</v>
      </c>
      <c r="C1365" s="260">
        <v>2016</v>
      </c>
      <c r="D1365" s="260">
        <v>175</v>
      </c>
      <c r="E1365" s="261">
        <v>41.013042769325601</v>
      </c>
      <c r="F1365" s="262"/>
      <c r="G1365" s="261">
        <f t="shared" si="36"/>
        <v>175</v>
      </c>
      <c r="H1365" s="263">
        <f>IF(B1365="RTG Crane",IF(D1365&lt;600,800000,1200000),VLOOKUP(B1365,'$$$ Replace &amp; Retrofit'!$B$10:$C$14,2)*'CHE Model poplulation'!D1345)*E1365</f>
        <v>6280122.1740529826</v>
      </c>
      <c r="I1365" s="263">
        <f>E1365*VLOOKUP('CHE Model poplulation'!G1345,'$$$ Replace &amp; Retrofit'!$I$10:$J$15,2)</f>
        <v>1016959.4085081976</v>
      </c>
      <c r="J1365" s="264">
        <f>IF(D1365=50,VLOOKUP(0,'$$$ Replace &amp; Retrofit'!$E$10:$F$13,2),IF(D1365&lt;175,VLOOKUP(50,'$$$ Replace &amp; Retrofit'!$E$10:$F$13,2),IF(D1365&lt;400,VLOOKUP(175,'$$$ Replace &amp; Retrofit'!$E$10:$F$13,2),IF(D1365&gt;=400,VLOOKUP(400,'$$$ Replace &amp; Retrofit'!$E$10:$F$13,2),NA))))*E1365</f>
        <v>738234.76984786079</v>
      </c>
      <c r="K1365" s="261"/>
      <c r="L1365" s="261"/>
      <c r="M1365" s="261"/>
    </row>
    <row r="1366" spans="1:13" ht="30" x14ac:dyDescent="0.25">
      <c r="A1366" s="259" t="s">
        <v>249</v>
      </c>
      <c r="B1366" s="259" t="s">
        <v>192</v>
      </c>
      <c r="C1366" s="260">
        <v>2016</v>
      </c>
      <c r="D1366" s="260">
        <v>300</v>
      </c>
      <c r="E1366" s="261">
        <v>13.5554101853416</v>
      </c>
      <c r="F1366" s="262"/>
      <c r="G1366" s="261">
        <f t="shared" si="36"/>
        <v>300</v>
      </c>
      <c r="H1366" s="263">
        <f>IF(B1366="RTG Crane",IF(D1366&lt;600,800000,1200000),VLOOKUP(B1366,'$$$ Replace &amp; Retrofit'!$B$10:$C$14,2)*'CHE Model poplulation'!D1346)*E1366</f>
        <v>3558295.1736521702</v>
      </c>
      <c r="I1366" s="263">
        <f>E1366*VLOOKUP('CHE Model poplulation'!G1346,'$$$ Replace &amp; Retrofit'!$I$10:$J$15,2)</f>
        <v>389894.26316098042</v>
      </c>
      <c r="J1366" s="264">
        <f>IF(D1366=50,VLOOKUP(0,'$$$ Replace &amp; Retrofit'!$E$10:$F$13,2),IF(D1366&lt;175,VLOOKUP(50,'$$$ Replace &amp; Retrofit'!$E$10:$F$13,2),IF(D1366&lt;400,VLOOKUP(175,'$$$ Replace &amp; Retrofit'!$E$10:$F$13,2),IF(D1366&gt;=400,VLOOKUP(400,'$$$ Replace &amp; Retrofit'!$E$10:$F$13,2),NA))))*E1366</f>
        <v>243997.38333614881</v>
      </c>
      <c r="K1366" s="261"/>
      <c r="L1366" s="261"/>
      <c r="M1366" s="261"/>
    </row>
    <row r="1367" spans="1:13" ht="30" x14ac:dyDescent="0.25">
      <c r="A1367" s="259" t="s">
        <v>249</v>
      </c>
      <c r="B1367" s="259" t="s">
        <v>192</v>
      </c>
      <c r="C1367" s="260">
        <v>2016</v>
      </c>
      <c r="D1367" s="260">
        <v>600</v>
      </c>
      <c r="E1367" s="261">
        <v>4.4547710810381602</v>
      </c>
      <c r="F1367" s="262"/>
      <c r="G1367" s="261">
        <f t="shared" si="36"/>
        <v>400</v>
      </c>
      <c r="H1367" s="263">
        <f>IF(B1367="RTG Crane",IF(D1367&lt;600,800000,1200000),VLOOKUP(B1367,'$$$ Replace &amp; Retrofit'!$B$10:$C$14,2)*'CHE Model poplulation'!D1347)*E1367</f>
        <v>2338754.817545034</v>
      </c>
      <c r="I1367" s="263">
        <f>E1367*VLOOKUP('CHE Model poplulation'!G1347,'$$$ Replace &amp; Retrofit'!$I$10:$J$15,2)</f>
        <v>233131.53498397005</v>
      </c>
      <c r="J1367" s="264">
        <f>IF(D1367=50,VLOOKUP(0,'$$$ Replace &amp; Retrofit'!$E$10:$F$13,2),IF(D1367&lt;175,VLOOKUP(50,'$$$ Replace &amp; Retrofit'!$E$10:$F$13,2),IF(D1367&lt;400,VLOOKUP(175,'$$$ Replace &amp; Retrofit'!$E$10:$F$13,2),IF(D1367&gt;=400,VLOOKUP(400,'$$$ Replace &amp; Retrofit'!$E$10:$F$13,2),NA))))*E1367</f>
        <v>133643.1324311448</v>
      </c>
      <c r="K1367" s="261"/>
      <c r="L1367" s="261"/>
      <c r="M1367" s="261"/>
    </row>
    <row r="1368" spans="1:13" ht="45" x14ac:dyDescent="0.25">
      <c r="A1368" s="259" t="s">
        <v>249</v>
      </c>
      <c r="B1368" s="259" t="s">
        <v>211</v>
      </c>
      <c r="C1368" s="260">
        <v>2016</v>
      </c>
      <c r="D1368" s="260">
        <v>50</v>
      </c>
      <c r="E1368" s="261">
        <v>1.25351331169457</v>
      </c>
      <c r="F1368" s="262"/>
      <c r="G1368" s="261">
        <f t="shared" si="36"/>
        <v>50</v>
      </c>
      <c r="H1368" s="263">
        <f>IF(B1368="RTG Crane",IF(D1368&lt;600,800000,1200000),VLOOKUP(B1368,'$$$ Replace &amp; Retrofit'!$B$10:$C$14,2)*'CHE Model poplulation'!D1462)*E1368</f>
        <v>62675.6655847285</v>
      </c>
      <c r="I1368" s="263">
        <f>E1368*VLOOKUP('CHE Model poplulation'!G1462,'$$$ Replace &amp; Retrofit'!$I$10:$J$15,2)</f>
        <v>22046.792126084099</v>
      </c>
      <c r="J1368" s="264">
        <f>IF(D1368=50,VLOOKUP(0,'$$$ Replace &amp; Retrofit'!$E$10:$F$13,2),IF(D1368&lt;175,VLOOKUP(50,'$$$ Replace &amp; Retrofit'!$E$10:$F$13,2),IF(D1368&lt;400,VLOOKUP(175,'$$$ Replace &amp; Retrofit'!$E$10:$F$13,2),IF(D1368&gt;=400,VLOOKUP(400,'$$$ Replace &amp; Retrofit'!$E$10:$F$13,2),NA))))*E1368</f>
        <v>10028.106493556561</v>
      </c>
      <c r="K1368" s="261"/>
      <c r="L1368" s="261"/>
      <c r="M1368" s="261"/>
    </row>
    <row r="1369" spans="1:13" ht="45" x14ac:dyDescent="0.25">
      <c r="A1369" s="259" t="s">
        <v>249</v>
      </c>
      <c r="B1369" s="259" t="s">
        <v>211</v>
      </c>
      <c r="C1369" s="260">
        <v>2016</v>
      </c>
      <c r="D1369" s="260">
        <v>75</v>
      </c>
      <c r="E1369" s="261">
        <v>0.62597959021716598</v>
      </c>
      <c r="F1369" s="262"/>
      <c r="G1369" s="261">
        <f t="shared" si="36"/>
        <v>50</v>
      </c>
      <c r="H1369" s="263">
        <f>IF(B1369="RTG Crane",IF(D1369&lt;600,800000,1200000),VLOOKUP(B1369,'$$$ Replace &amp; Retrofit'!$B$10:$C$14,2)*'CHE Model poplulation'!D1463)*E1369</f>
        <v>46948.469266287451</v>
      </c>
      <c r="I1369" s="263">
        <f>E1369*VLOOKUP('CHE Model poplulation'!G1463,'$$$ Replace &amp; Retrofit'!$I$10:$J$15,2)</f>
        <v>11009.729032739515</v>
      </c>
      <c r="J1369" s="264">
        <f>IF(D1369=50,VLOOKUP(0,'$$$ Replace &amp; Retrofit'!$E$10:$F$13,2),IF(D1369&lt;175,VLOOKUP(50,'$$$ Replace &amp; Retrofit'!$E$10:$F$13,2),IF(D1369&lt;400,VLOOKUP(175,'$$$ Replace &amp; Retrofit'!$E$10:$F$13,2),IF(D1369&gt;=400,VLOOKUP(400,'$$$ Replace &amp; Retrofit'!$E$10:$F$13,2),NA))))*E1369</f>
        <v>7511.7550826059914</v>
      </c>
      <c r="K1369" s="261"/>
      <c r="L1369" s="261"/>
      <c r="M1369" s="261"/>
    </row>
    <row r="1370" spans="1:13" ht="45" x14ac:dyDescent="0.25">
      <c r="A1370" s="259" t="s">
        <v>249</v>
      </c>
      <c r="B1370" s="259" t="s">
        <v>211</v>
      </c>
      <c r="C1370" s="260">
        <v>2016</v>
      </c>
      <c r="D1370" s="260">
        <v>100</v>
      </c>
      <c r="E1370" s="261">
        <v>0.76509179256964199</v>
      </c>
      <c r="F1370" s="262"/>
      <c r="G1370" s="261">
        <f t="shared" si="36"/>
        <v>125</v>
      </c>
      <c r="H1370" s="263">
        <f>IF(B1370="RTG Crane",IF(D1370&lt;600,800000,1200000),VLOOKUP(B1370,'$$$ Replace &amp; Retrofit'!$B$10:$C$14,2)*'CHE Model poplulation'!D1464)*E1370</f>
        <v>76509.179256964198</v>
      </c>
      <c r="I1370" s="263">
        <f>E1370*VLOOKUP('CHE Model poplulation'!G1464,'$$$ Replace &amp; Retrofit'!$I$10:$J$15,2)</f>
        <v>15097.556342776745</v>
      </c>
      <c r="J1370" s="264">
        <f>IF(D1370=50,VLOOKUP(0,'$$$ Replace &amp; Retrofit'!$E$10:$F$13,2),IF(D1370&lt;175,VLOOKUP(50,'$$$ Replace &amp; Retrofit'!$E$10:$F$13,2),IF(D1370&lt;400,VLOOKUP(175,'$$$ Replace &amp; Retrofit'!$E$10:$F$13,2),IF(D1370&gt;=400,VLOOKUP(400,'$$$ Replace &amp; Retrofit'!$E$10:$F$13,2),NA))))*E1370</f>
        <v>9181.1015108357042</v>
      </c>
      <c r="K1370" s="261"/>
      <c r="L1370" s="261"/>
      <c r="M1370" s="261"/>
    </row>
    <row r="1371" spans="1:13" ht="45" x14ac:dyDescent="0.25">
      <c r="A1371" s="259" t="s">
        <v>249</v>
      </c>
      <c r="B1371" s="259" t="s">
        <v>211</v>
      </c>
      <c r="C1371" s="260">
        <v>2016</v>
      </c>
      <c r="D1371" s="260">
        <v>175</v>
      </c>
      <c r="E1371" s="261">
        <v>0.700172764805153</v>
      </c>
      <c r="F1371" s="262"/>
      <c r="G1371" s="261">
        <f t="shared" si="36"/>
        <v>175</v>
      </c>
      <c r="H1371" s="263">
        <f>IF(B1371="RTG Crane",IF(D1371&lt;600,800000,1200000),VLOOKUP(B1371,'$$$ Replace &amp; Retrofit'!$B$10:$C$14,2)*'CHE Model poplulation'!D1465)*E1371</f>
        <v>122530.23384090177</v>
      </c>
      <c r="I1371" s="263">
        <f>E1371*VLOOKUP('CHE Model poplulation'!G1465,'$$$ Replace &amp; Retrofit'!$I$10:$J$15,2)</f>
        <v>17361.483876108574</v>
      </c>
      <c r="J1371" s="264">
        <f>IF(D1371=50,VLOOKUP(0,'$$$ Replace &amp; Retrofit'!$E$10:$F$13,2),IF(D1371&lt;175,VLOOKUP(50,'$$$ Replace &amp; Retrofit'!$E$10:$F$13,2),IF(D1371&lt;400,VLOOKUP(175,'$$$ Replace &amp; Retrofit'!$E$10:$F$13,2),IF(D1371&gt;=400,VLOOKUP(400,'$$$ Replace &amp; Retrofit'!$E$10:$F$13,2),NA))))*E1371</f>
        <v>12603.109766492755</v>
      </c>
      <c r="K1371" s="261"/>
      <c r="L1371" s="261"/>
      <c r="M1371" s="261"/>
    </row>
    <row r="1372" spans="1:13" ht="45" x14ac:dyDescent="0.25">
      <c r="A1372" s="259" t="s">
        <v>249</v>
      </c>
      <c r="B1372" s="259" t="s">
        <v>211</v>
      </c>
      <c r="C1372" s="260">
        <v>2016</v>
      </c>
      <c r="D1372" s="260">
        <v>300</v>
      </c>
      <c r="E1372" s="261">
        <v>0.77281180813289796</v>
      </c>
      <c r="F1372" s="262"/>
      <c r="G1372" s="261">
        <f t="shared" si="36"/>
        <v>300</v>
      </c>
      <c r="H1372" s="263">
        <f>IF(B1372="RTG Crane",IF(D1372&lt;600,800000,1200000),VLOOKUP(B1372,'$$$ Replace &amp; Retrofit'!$B$10:$C$14,2)*'CHE Model poplulation'!D1466)*E1372</f>
        <v>231843.5424398694</v>
      </c>
      <c r="I1372" s="263">
        <f>E1372*VLOOKUP('CHE Model poplulation'!G1466,'$$$ Replace &amp; Retrofit'!$I$10:$J$15,2)</f>
        <v>22228.386037326545</v>
      </c>
      <c r="J1372" s="264">
        <f>IF(D1372=50,VLOOKUP(0,'$$$ Replace &amp; Retrofit'!$E$10:$F$13,2),IF(D1372&lt;175,VLOOKUP(50,'$$$ Replace &amp; Retrofit'!$E$10:$F$13,2),IF(D1372&lt;400,VLOOKUP(175,'$$$ Replace &amp; Retrofit'!$E$10:$F$13,2),IF(D1372&gt;=400,VLOOKUP(400,'$$$ Replace &amp; Retrofit'!$E$10:$F$13,2),NA))))*E1372</f>
        <v>13910.612546392163</v>
      </c>
      <c r="K1372" s="261"/>
      <c r="L1372" s="261"/>
      <c r="M1372" s="261"/>
    </row>
    <row r="1373" spans="1:13" ht="45" x14ac:dyDescent="0.25">
      <c r="A1373" s="259" t="s">
        <v>249</v>
      </c>
      <c r="B1373" s="259" t="s">
        <v>211</v>
      </c>
      <c r="C1373" s="260">
        <v>2016</v>
      </c>
      <c r="D1373" s="260">
        <v>600</v>
      </c>
      <c r="E1373" s="261">
        <v>0.19320295203322499</v>
      </c>
      <c r="F1373" s="262"/>
      <c r="G1373" s="261">
        <f t="shared" si="36"/>
        <v>400</v>
      </c>
      <c r="H1373" s="263">
        <f>IF(B1373="RTG Crane",IF(D1373&lt;600,800000,1200000),VLOOKUP(B1373,'$$$ Replace &amp; Retrofit'!$B$10:$C$14,2)*'CHE Model poplulation'!D1467)*E1373</f>
        <v>115921.77121993499</v>
      </c>
      <c r="I1373" s="263">
        <f>E1373*VLOOKUP('CHE Model poplulation'!G1467,'$$$ Replace &amp; Retrofit'!$I$10:$J$15,2)</f>
        <v>10110.890088754762</v>
      </c>
      <c r="J1373" s="264">
        <f>IF(D1373=50,VLOOKUP(0,'$$$ Replace &amp; Retrofit'!$E$10:$F$13,2),IF(D1373&lt;175,VLOOKUP(50,'$$$ Replace &amp; Retrofit'!$E$10:$F$13,2),IF(D1373&lt;400,VLOOKUP(175,'$$$ Replace &amp; Retrofit'!$E$10:$F$13,2),IF(D1373&gt;=400,VLOOKUP(400,'$$$ Replace &amp; Retrofit'!$E$10:$F$13,2),NA))))*E1373</f>
        <v>5796.0885609967499</v>
      </c>
      <c r="K1373" s="261"/>
      <c r="L1373" s="261"/>
      <c r="M1373" s="261"/>
    </row>
    <row r="1374" spans="1:13" ht="30" x14ac:dyDescent="0.25">
      <c r="A1374" s="259" t="s">
        <v>249</v>
      </c>
      <c r="B1374" s="259" t="s">
        <v>212</v>
      </c>
      <c r="C1374" s="260">
        <v>2016</v>
      </c>
      <c r="D1374" s="260">
        <v>100</v>
      </c>
      <c r="E1374" s="261">
        <v>0</v>
      </c>
      <c r="F1374" s="262"/>
      <c r="G1374" s="261"/>
      <c r="H1374" s="261"/>
      <c r="I1374" s="261"/>
      <c r="J1374" s="265"/>
      <c r="K1374" s="261"/>
      <c r="L1374" s="261"/>
      <c r="M1374" s="261"/>
    </row>
    <row r="1375" spans="1:13" ht="30" x14ac:dyDescent="0.25">
      <c r="A1375" s="259" t="s">
        <v>249</v>
      </c>
      <c r="B1375" s="259" t="s">
        <v>212</v>
      </c>
      <c r="C1375" s="260">
        <v>2016</v>
      </c>
      <c r="D1375" s="260">
        <v>300</v>
      </c>
      <c r="E1375" s="261">
        <v>0</v>
      </c>
      <c r="F1375" s="262"/>
      <c r="G1375" s="261"/>
      <c r="H1375" s="261"/>
      <c r="I1375" s="261"/>
      <c r="J1375" s="265"/>
      <c r="K1375" s="261"/>
      <c r="L1375" s="261"/>
      <c r="M1375" s="261"/>
    </row>
    <row r="1376" spans="1:13" ht="30" x14ac:dyDescent="0.25">
      <c r="A1376" s="259" t="s">
        <v>249</v>
      </c>
      <c r="B1376" s="259" t="s">
        <v>212</v>
      </c>
      <c r="C1376" s="260">
        <v>2016</v>
      </c>
      <c r="D1376" s="260">
        <v>600</v>
      </c>
      <c r="E1376" s="261">
        <v>0</v>
      </c>
      <c r="F1376" s="262"/>
      <c r="G1376" s="261"/>
      <c r="H1376" s="261"/>
      <c r="I1376" s="261"/>
      <c r="J1376" s="265"/>
      <c r="K1376" s="261"/>
      <c r="L1376" s="261"/>
      <c r="M1376" s="261"/>
    </row>
    <row r="1377" spans="1:13" ht="30" x14ac:dyDescent="0.25">
      <c r="A1377" s="259" t="s">
        <v>249</v>
      </c>
      <c r="B1377" s="259" t="s">
        <v>212</v>
      </c>
      <c r="C1377" s="260">
        <v>2016</v>
      </c>
      <c r="D1377" s="260">
        <v>750</v>
      </c>
      <c r="E1377" s="261">
        <v>0</v>
      </c>
      <c r="F1377" s="262"/>
      <c r="G1377" s="261"/>
      <c r="H1377" s="261"/>
      <c r="I1377" s="261"/>
      <c r="J1377" s="265"/>
      <c r="K1377" s="261"/>
      <c r="L1377" s="261"/>
      <c r="M1377" s="261"/>
    </row>
    <row r="1378" spans="1:13" ht="30" x14ac:dyDescent="0.25">
      <c r="A1378" s="259" t="s">
        <v>249</v>
      </c>
      <c r="B1378" s="259" t="s">
        <v>212</v>
      </c>
      <c r="C1378" s="260">
        <v>2016</v>
      </c>
      <c r="D1378" s="260">
        <v>9999</v>
      </c>
      <c r="E1378" s="261">
        <v>0</v>
      </c>
      <c r="F1378" s="262"/>
      <c r="G1378" s="261"/>
      <c r="H1378" s="261"/>
      <c r="I1378" s="261"/>
      <c r="J1378" s="265"/>
      <c r="K1378" s="266">
        <f t="shared" ref="K1378:L1378" si="37">SUM(H1352:H1378)</f>
        <v>21710959.154790875</v>
      </c>
      <c r="L1378" s="266">
        <f t="shared" si="37"/>
        <v>3157659.6289981124</v>
      </c>
      <c r="M1378" s="266">
        <f>SUM(J1352:J1378)</f>
        <v>2037210.9249090902</v>
      </c>
    </row>
    <row r="1379" spans="1:13" ht="30" x14ac:dyDescent="0.25">
      <c r="A1379" s="259" t="s">
        <v>249</v>
      </c>
      <c r="B1379" s="259" t="s">
        <v>206</v>
      </c>
      <c r="C1379" s="260">
        <v>2017</v>
      </c>
      <c r="D1379" s="260">
        <v>50</v>
      </c>
      <c r="E1379" s="261">
        <v>0.12698710242168501</v>
      </c>
      <c r="F1379" s="262"/>
      <c r="G1379" s="261">
        <f t="shared" ref="G1379:G1400" si="38">IF(OR(D1379=50,D1379=75),50,IF(OR(D1379=100,D1379=125),125,IF(D1379&gt;=400,400,D1379)))</f>
        <v>50</v>
      </c>
      <c r="H1379" s="263">
        <f>IF(B1379="RTG Crane",IF(D1379&lt;600,800000,1200000),VLOOKUP(B1379,'$$$ Replace &amp; Retrofit'!$B$10:$C$14,2)*'CHE Model poplulation'!D1148)*E1379</f>
        <v>6349.3551210842506</v>
      </c>
      <c r="I1379" s="263">
        <f>E1379*VLOOKUP('CHE Model poplulation'!G1148,'$$$ Replace &amp; Retrofit'!$I$10:$J$15,2)</f>
        <v>2233.4491573925961</v>
      </c>
      <c r="J1379" s="277">
        <f>IF(D1379=50,VLOOKUP(0,'$$$ Replace &amp; Retrofit'!$E$10:$F$13,2),IF(D1379&lt;175,VLOOKUP(50,'$$$ Replace &amp; Retrofit'!$E$10:$F$13,2),IF(D1379&lt;400,VLOOKUP(175,'$$$ Replace &amp; Retrofit'!$E$10:$F$13,2),IF(D1379&gt;=400,VLOOKUP(400,'$$$ Replace &amp; Retrofit'!$E$10:$F$13,2),NA))))*E1379</f>
        <v>1015.8968193734801</v>
      </c>
      <c r="K1379" s="261"/>
      <c r="L1379" s="261"/>
      <c r="M1379" s="261"/>
    </row>
    <row r="1380" spans="1:13" ht="30" x14ac:dyDescent="0.25">
      <c r="A1380" s="259" t="s">
        <v>249</v>
      </c>
      <c r="B1380" s="259" t="s">
        <v>206</v>
      </c>
      <c r="C1380" s="260">
        <v>2017</v>
      </c>
      <c r="D1380" s="260">
        <v>75</v>
      </c>
      <c r="E1380" s="261">
        <v>0.444454858475899</v>
      </c>
      <c r="F1380" s="262"/>
      <c r="G1380" s="261">
        <f t="shared" si="38"/>
        <v>50</v>
      </c>
      <c r="H1380" s="263">
        <f>IF(B1380="RTG Crane",IF(D1380&lt;600,800000,1200000),VLOOKUP(B1380,'$$$ Replace &amp; Retrofit'!$B$10:$C$14,2)*'CHE Model poplulation'!D1149)*E1380</f>
        <v>33334.114385692425</v>
      </c>
      <c r="I1380" s="263">
        <f>E1380*VLOOKUP('CHE Model poplulation'!G1149,'$$$ Replace &amp; Retrofit'!$I$10:$J$15,2)</f>
        <v>7817.0720508741115</v>
      </c>
      <c r="J1380" s="277">
        <f>IF(D1380=50,VLOOKUP(0,'$$$ Replace &amp; Retrofit'!$E$10:$F$13,2),IF(D1380&lt;175,VLOOKUP(50,'$$$ Replace &amp; Retrofit'!$E$10:$F$13,2),IF(D1380&lt;400,VLOOKUP(175,'$$$ Replace &amp; Retrofit'!$E$10:$F$13,2),IF(D1380&gt;=400,VLOOKUP(400,'$$$ Replace &amp; Retrofit'!$E$10:$F$13,2),NA))))*E1380</f>
        <v>5333.458301710788</v>
      </c>
      <c r="K1380" s="261"/>
      <c r="L1380" s="261"/>
      <c r="M1380" s="261"/>
    </row>
    <row r="1381" spans="1:13" ht="30" x14ac:dyDescent="0.25">
      <c r="A1381" s="259" t="s">
        <v>249</v>
      </c>
      <c r="B1381" s="259" t="s">
        <v>206</v>
      </c>
      <c r="C1381" s="260">
        <v>2017</v>
      </c>
      <c r="D1381" s="260">
        <v>100</v>
      </c>
      <c r="E1381" s="261">
        <v>0.444454858475899</v>
      </c>
      <c r="F1381" s="262"/>
      <c r="G1381" s="261">
        <f t="shared" si="38"/>
        <v>125</v>
      </c>
      <c r="H1381" s="263">
        <f>IF(B1381="RTG Crane",IF(D1381&lt;600,800000,1200000),VLOOKUP(B1381,'$$$ Replace &amp; Retrofit'!$B$10:$C$14,2)*'CHE Model poplulation'!D1150)*E1381</f>
        <v>44445.485847589902</v>
      </c>
      <c r="I1381" s="263">
        <f>E1381*VLOOKUP('CHE Model poplulation'!G1150,'$$$ Replace &amp; Retrofit'!$I$10:$J$15,2)</f>
        <v>8770.4277223049157</v>
      </c>
      <c r="J1381" s="277">
        <f>IF(D1381=50,VLOOKUP(0,'$$$ Replace &amp; Retrofit'!$E$10:$F$13,2),IF(D1381&lt;175,VLOOKUP(50,'$$$ Replace &amp; Retrofit'!$E$10:$F$13,2),IF(D1381&lt;400,VLOOKUP(175,'$$$ Replace &amp; Retrofit'!$E$10:$F$13,2),IF(D1381&gt;=400,VLOOKUP(400,'$$$ Replace &amp; Retrofit'!$E$10:$F$13,2),NA))))*E1381</f>
        <v>5333.458301710788</v>
      </c>
      <c r="K1381" s="261"/>
      <c r="L1381" s="261"/>
      <c r="M1381" s="261"/>
    </row>
    <row r="1382" spans="1:13" ht="30" x14ac:dyDescent="0.25">
      <c r="A1382" s="259" t="s">
        <v>249</v>
      </c>
      <c r="B1382" s="259" t="s">
        <v>206</v>
      </c>
      <c r="C1382" s="260">
        <v>2017</v>
      </c>
      <c r="D1382" s="260">
        <v>175</v>
      </c>
      <c r="E1382" s="261">
        <v>0.57144196089758403</v>
      </c>
      <c r="F1382" s="262"/>
      <c r="G1382" s="261">
        <f t="shared" si="38"/>
        <v>175</v>
      </c>
      <c r="H1382" s="263">
        <f>IF(B1382="RTG Crane",IF(D1382&lt;600,800000,1200000),VLOOKUP(B1382,'$$$ Replace &amp; Retrofit'!$B$10:$C$14,2)*'CHE Model poplulation'!D1151)*E1382</f>
        <v>100002.34315707721</v>
      </c>
      <c r="I1382" s="263">
        <f>E1382*VLOOKUP('CHE Model poplulation'!G1151,'$$$ Replace &amp; Retrofit'!$I$10:$J$15,2)</f>
        <v>14169.474862416493</v>
      </c>
      <c r="J1382" s="277">
        <f>IF(D1382=50,VLOOKUP(0,'$$$ Replace &amp; Retrofit'!$E$10:$F$13,2),IF(D1382&lt;175,VLOOKUP(50,'$$$ Replace &amp; Retrofit'!$E$10:$F$13,2),IF(D1382&lt;400,VLOOKUP(175,'$$$ Replace &amp; Retrofit'!$E$10:$F$13,2),IF(D1382&gt;=400,VLOOKUP(400,'$$$ Replace &amp; Retrofit'!$E$10:$F$13,2),NA))))*E1382</f>
        <v>10285.955296156513</v>
      </c>
      <c r="K1382" s="261"/>
      <c r="L1382" s="261"/>
      <c r="M1382" s="261"/>
    </row>
    <row r="1383" spans="1:13" ht="30" x14ac:dyDescent="0.25">
      <c r="A1383" s="259" t="s">
        <v>249</v>
      </c>
      <c r="B1383" s="259" t="s">
        <v>206</v>
      </c>
      <c r="C1383" s="260">
        <v>2017</v>
      </c>
      <c r="D1383" s="260">
        <v>300</v>
      </c>
      <c r="E1383" s="261">
        <v>0.12698710242168501</v>
      </c>
      <c r="F1383" s="262"/>
      <c r="G1383" s="261">
        <f t="shared" si="38"/>
        <v>300</v>
      </c>
      <c r="H1383" s="263">
        <f>IF(B1383="RTG Crane",IF(D1383&lt;600,800000,1200000),VLOOKUP(B1383,'$$$ Replace &amp; Retrofit'!$B$10:$C$14,2)*'CHE Model poplulation'!D1152)*E1383</f>
        <v>38096.1307265055</v>
      </c>
      <c r="I1383" s="263">
        <f>E1383*VLOOKUP('CHE Model poplulation'!G1152,'$$$ Replace &amp; Retrofit'!$I$10:$J$15,2)</f>
        <v>3652.5300269549261</v>
      </c>
      <c r="J1383" s="277">
        <f>IF(D1383=50,VLOOKUP(0,'$$$ Replace &amp; Retrofit'!$E$10:$F$13,2),IF(D1383&lt;175,VLOOKUP(50,'$$$ Replace &amp; Retrofit'!$E$10:$F$13,2),IF(D1383&lt;400,VLOOKUP(175,'$$$ Replace &amp; Retrofit'!$E$10:$F$13,2),IF(D1383&gt;=400,VLOOKUP(400,'$$$ Replace &amp; Retrofit'!$E$10:$F$13,2),NA))))*E1383</f>
        <v>2285.7678435903304</v>
      </c>
      <c r="K1383" s="261"/>
      <c r="L1383" s="261"/>
      <c r="M1383" s="261"/>
    </row>
    <row r="1384" spans="1:13" ht="30" x14ac:dyDescent="0.25">
      <c r="A1384" s="259" t="s">
        <v>249</v>
      </c>
      <c r="B1384" s="259" t="s">
        <v>206</v>
      </c>
      <c r="C1384" s="260">
        <v>2017</v>
      </c>
      <c r="D1384" s="260">
        <v>600</v>
      </c>
      <c r="E1384" s="261">
        <v>1.0158968193734801</v>
      </c>
      <c r="F1384" s="262"/>
      <c r="G1384" s="261">
        <f t="shared" si="38"/>
        <v>400</v>
      </c>
      <c r="H1384" s="263">
        <f>IF(B1384="RTG Crane",IF(D1384&lt;600,800000,1200000),VLOOKUP(B1384,'$$$ Replace &amp; Retrofit'!$B$10:$C$14,2)*'CHE Model poplulation'!D1153)*E1384</f>
        <v>609538.091624088</v>
      </c>
      <c r="I1384" s="263">
        <f>E1384*VLOOKUP('CHE Model poplulation'!G1153,'$$$ Replace &amp; Retrofit'!$I$10:$J$15,2)</f>
        <v>53164.928248272336</v>
      </c>
      <c r="J1384" s="277">
        <f>IF(D1384=50,VLOOKUP(0,'$$$ Replace &amp; Retrofit'!$E$10:$F$13,2),IF(D1384&lt;175,VLOOKUP(50,'$$$ Replace &amp; Retrofit'!$E$10:$F$13,2),IF(D1384&lt;400,VLOOKUP(175,'$$$ Replace &amp; Retrofit'!$E$10:$F$13,2),IF(D1384&gt;=400,VLOOKUP(400,'$$$ Replace &amp; Retrofit'!$E$10:$F$13,2),NA))))*E1384</f>
        <v>30476.904581204402</v>
      </c>
      <c r="K1384" s="261"/>
      <c r="L1384" s="261"/>
      <c r="M1384" s="261"/>
    </row>
    <row r="1385" spans="1:13" ht="45" x14ac:dyDescent="0.25">
      <c r="A1385" s="259" t="s">
        <v>249</v>
      </c>
      <c r="B1385" s="259" t="s">
        <v>208</v>
      </c>
      <c r="C1385" s="260">
        <v>2017</v>
      </c>
      <c r="D1385" s="260">
        <v>100</v>
      </c>
      <c r="E1385" s="261">
        <v>0</v>
      </c>
      <c r="F1385" s="262"/>
      <c r="G1385" s="261">
        <f t="shared" si="38"/>
        <v>125</v>
      </c>
      <c r="H1385" s="263">
        <f>IF(B1385="RTG Crane",IF(D1385&lt;600,800000,1200000),VLOOKUP(B1385,'$$$ Replace &amp; Retrofit'!$B$10:$C$14,2)*'CHE Model poplulation'!D1246)*E1385</f>
        <v>0</v>
      </c>
      <c r="I1385" s="263">
        <f>E1385*VLOOKUP('CHE Model poplulation'!G1246,'$$$ Replace &amp; Retrofit'!$I$10:$J$15,2)</f>
        <v>0</v>
      </c>
      <c r="J1385" s="277">
        <f>IF(D1385=50,VLOOKUP(0,'$$$ Replace &amp; Retrofit'!$E$10:$F$13,2),IF(D1385&lt;175,VLOOKUP(50,'$$$ Replace &amp; Retrofit'!$E$10:$F$13,2),IF(D1385&lt;400,VLOOKUP(175,'$$$ Replace &amp; Retrofit'!$E$10:$F$13,2),IF(D1385&gt;=400,VLOOKUP(400,'$$$ Replace &amp; Retrofit'!$E$10:$F$13,2),NA))))*E1385</f>
        <v>0</v>
      </c>
      <c r="K1385" s="261"/>
      <c r="L1385" s="261"/>
      <c r="M1385" s="261"/>
    </row>
    <row r="1386" spans="1:13" ht="45" x14ac:dyDescent="0.25">
      <c r="A1386" s="259" t="s">
        <v>249</v>
      </c>
      <c r="B1386" s="259" t="s">
        <v>208</v>
      </c>
      <c r="C1386" s="260">
        <v>2017</v>
      </c>
      <c r="D1386" s="260">
        <v>175</v>
      </c>
      <c r="E1386" s="261">
        <v>8.7945514293706895E-2</v>
      </c>
      <c r="F1386" s="262"/>
      <c r="G1386" s="261">
        <f t="shared" si="38"/>
        <v>175</v>
      </c>
      <c r="H1386" s="263">
        <f>IF(B1386="RTG Crane",IF(D1386&lt;600,800000,1200000),VLOOKUP(B1386,'$$$ Replace &amp; Retrofit'!$B$10:$C$14,2)*'CHE Model poplulation'!D1247)*E1386</f>
        <v>12266.200606114769</v>
      </c>
      <c r="I1386" s="263">
        <f>E1386*VLOOKUP('CHE Model poplulation'!G1247,'$$$ Replace &amp; Retrofit'!$I$10:$J$15,2)</f>
        <v>2180.696972426756</v>
      </c>
      <c r="J1386" s="277">
        <f>IF(D1386=50,VLOOKUP(0,'$$$ Replace &amp; Retrofit'!$E$10:$F$13,2),IF(D1386&lt;175,VLOOKUP(50,'$$$ Replace &amp; Retrofit'!$E$10:$F$13,2),IF(D1386&lt;400,VLOOKUP(175,'$$$ Replace &amp; Retrofit'!$E$10:$F$13,2),IF(D1386&gt;=400,VLOOKUP(400,'$$$ Replace &amp; Retrofit'!$E$10:$F$13,2),NA))))*E1386</f>
        <v>1583.019257286724</v>
      </c>
      <c r="K1386" s="261"/>
      <c r="L1386" s="261"/>
      <c r="M1386" s="261"/>
    </row>
    <row r="1387" spans="1:13" ht="45" x14ac:dyDescent="0.25">
      <c r="A1387" s="259" t="s">
        <v>249</v>
      </c>
      <c r="B1387" s="259" t="s">
        <v>208</v>
      </c>
      <c r="C1387" s="260">
        <v>2017</v>
      </c>
      <c r="D1387" s="260">
        <v>300</v>
      </c>
      <c r="E1387" s="261">
        <v>0.78489340797519602</v>
      </c>
      <c r="F1387" s="262"/>
      <c r="G1387" s="261">
        <f t="shared" si="38"/>
        <v>300</v>
      </c>
      <c r="H1387" s="263">
        <f>IF(B1387="RTG Crane",IF(D1387&lt;600,800000,1200000),VLOOKUP(B1387,'$$$ Replace &amp; Retrofit'!$B$10:$C$14,2)*'CHE Model poplulation'!D1248)*E1387</f>
        <v>187668.01384686938</v>
      </c>
      <c r="I1387" s="263">
        <f>E1387*VLOOKUP('CHE Model poplulation'!G1248,'$$$ Replace &amp; Retrofit'!$I$10:$J$15,2)</f>
        <v>22575.889093590562</v>
      </c>
      <c r="J1387" s="277">
        <f>IF(D1387=50,VLOOKUP(0,'$$$ Replace &amp; Retrofit'!$E$10:$F$13,2),IF(D1387&lt;175,VLOOKUP(50,'$$$ Replace &amp; Retrofit'!$E$10:$F$13,2),IF(D1387&lt;400,VLOOKUP(175,'$$$ Replace &amp; Retrofit'!$E$10:$F$13,2),IF(D1387&gt;=400,VLOOKUP(400,'$$$ Replace &amp; Retrofit'!$E$10:$F$13,2),NA))))*E1387</f>
        <v>14128.081343553529</v>
      </c>
      <c r="K1387" s="261"/>
      <c r="L1387" s="261"/>
      <c r="M1387" s="261"/>
    </row>
    <row r="1388" spans="1:13" ht="45" x14ac:dyDescent="0.25">
      <c r="A1388" s="259" t="s">
        <v>249</v>
      </c>
      <c r="B1388" s="259" t="s">
        <v>208</v>
      </c>
      <c r="C1388" s="260">
        <v>2017</v>
      </c>
      <c r="D1388" s="260">
        <v>600</v>
      </c>
      <c r="E1388" s="261">
        <v>1.65800714911268</v>
      </c>
      <c r="F1388" s="262"/>
      <c r="G1388" s="261">
        <f t="shared" si="38"/>
        <v>400</v>
      </c>
      <c r="H1388" s="263">
        <f>IF(B1388="RTG Crane",IF(D1388&lt;600,800000,1200000),VLOOKUP(B1388,'$$$ Replace &amp; Retrofit'!$B$10:$C$14,2)*'CHE Model poplulation'!D1249)*E1388</f>
        <v>792859.01870568353</v>
      </c>
      <c r="I1388" s="263">
        <f>E1388*VLOOKUP('CHE Model poplulation'!G1249,'$$$ Replace &amp; Retrofit'!$I$10:$J$15,2)</f>
        <v>86768.488134513886</v>
      </c>
      <c r="J1388" s="277">
        <f>IF(D1388=50,VLOOKUP(0,'$$$ Replace &amp; Retrofit'!$E$10:$F$13,2),IF(D1388&lt;175,VLOOKUP(50,'$$$ Replace &amp; Retrofit'!$E$10:$F$13,2),IF(D1388&lt;400,VLOOKUP(175,'$$$ Replace &amp; Retrofit'!$E$10:$F$13,2),IF(D1388&gt;=400,VLOOKUP(400,'$$$ Replace &amp; Retrofit'!$E$10:$F$13,2),NA))))*E1388</f>
        <v>49740.214473380402</v>
      </c>
      <c r="K1388" s="261"/>
      <c r="L1388" s="261"/>
      <c r="M1388" s="261"/>
    </row>
    <row r="1389" spans="1:13" ht="30" x14ac:dyDescent="0.25">
      <c r="A1389" s="259" t="s">
        <v>249</v>
      </c>
      <c r="B1389" s="259" t="s">
        <v>192</v>
      </c>
      <c r="C1389" s="260">
        <v>2017</v>
      </c>
      <c r="D1389" s="260">
        <v>50</v>
      </c>
      <c r="E1389" s="261">
        <v>0.20248959459264401</v>
      </c>
      <c r="F1389" s="262"/>
      <c r="G1389" s="261">
        <f t="shared" si="38"/>
        <v>50</v>
      </c>
      <c r="H1389" s="263">
        <f>IF(B1389="RTG Crane",IF(D1389&lt;600,800000,1200000),VLOOKUP(B1389,'$$$ Replace &amp; Retrofit'!$B$10:$C$14,2)*'CHE Model poplulation'!D1348)*E1389</f>
        <v>8858.9197634281754</v>
      </c>
      <c r="I1389" s="263">
        <f>E1389*VLOOKUP('CHE Model poplulation'!G1348,'$$$ Replace &amp; Retrofit'!$I$10:$J$15,2)</f>
        <v>3561.3869896954229</v>
      </c>
      <c r="J1389" s="277">
        <f>IF(D1389=50,VLOOKUP(0,'$$$ Replace &amp; Retrofit'!$E$10:$F$13,2),IF(D1389&lt;175,VLOOKUP(50,'$$$ Replace &amp; Retrofit'!$E$10:$F$13,2),IF(D1389&lt;400,VLOOKUP(175,'$$$ Replace &amp; Retrofit'!$E$10:$F$13,2),IF(D1389&gt;=400,VLOOKUP(400,'$$$ Replace &amp; Retrofit'!$E$10:$F$13,2),NA))))*E1389</f>
        <v>1619.9167567411521</v>
      </c>
      <c r="K1389" s="261"/>
      <c r="L1389" s="261"/>
      <c r="M1389" s="261"/>
    </row>
    <row r="1390" spans="1:13" ht="30" x14ac:dyDescent="0.25">
      <c r="A1390" s="259" t="s">
        <v>249</v>
      </c>
      <c r="B1390" s="259" t="s">
        <v>192</v>
      </c>
      <c r="C1390" s="260">
        <v>2017</v>
      </c>
      <c r="D1390" s="260">
        <v>75</v>
      </c>
      <c r="E1390" s="261">
        <v>2.0248959459264402</v>
      </c>
      <c r="F1390" s="262"/>
      <c r="G1390" s="261">
        <f t="shared" si="38"/>
        <v>50</v>
      </c>
      <c r="H1390" s="263">
        <f>IF(B1390="RTG Crane",IF(D1390&lt;600,800000,1200000),VLOOKUP(B1390,'$$$ Replace &amp; Retrofit'!$B$10:$C$14,2)*'CHE Model poplulation'!D1349)*E1390</f>
        <v>132883.79645142265</v>
      </c>
      <c r="I1390" s="263">
        <f>E1390*VLOOKUP('CHE Model poplulation'!G1349,'$$$ Replace &amp; Retrofit'!$I$10:$J$15,2)</f>
        <v>35613.869896954231</v>
      </c>
      <c r="J1390" s="277">
        <f>IF(D1390=50,VLOOKUP(0,'$$$ Replace &amp; Retrofit'!$E$10:$F$13,2),IF(D1390&lt;175,VLOOKUP(50,'$$$ Replace &amp; Retrofit'!$E$10:$F$13,2),IF(D1390&lt;400,VLOOKUP(175,'$$$ Replace &amp; Retrofit'!$E$10:$F$13,2),IF(D1390&gt;=400,VLOOKUP(400,'$$$ Replace &amp; Retrofit'!$E$10:$F$13,2),NA))))*E1390</f>
        <v>24298.751351117284</v>
      </c>
      <c r="K1390" s="261"/>
      <c r="L1390" s="261"/>
      <c r="M1390" s="261"/>
    </row>
    <row r="1391" spans="1:13" ht="30" x14ac:dyDescent="0.25">
      <c r="A1391" s="259" t="s">
        <v>249</v>
      </c>
      <c r="B1391" s="259" t="s">
        <v>192</v>
      </c>
      <c r="C1391" s="260">
        <v>2017</v>
      </c>
      <c r="D1391" s="260">
        <v>100</v>
      </c>
      <c r="E1391" s="261">
        <v>13.566802837707099</v>
      </c>
      <c r="F1391" s="262"/>
      <c r="G1391" s="261">
        <f t="shared" si="38"/>
        <v>125</v>
      </c>
      <c r="H1391" s="263">
        <f>IF(B1391="RTG Crane",IF(D1391&lt;600,800000,1200000),VLOOKUP(B1391,'$$$ Replace &amp; Retrofit'!$B$10:$C$14,2)*'CHE Model poplulation'!D1350)*E1391</f>
        <v>1187095.2482993712</v>
      </c>
      <c r="I1391" s="263">
        <f>E1391*VLOOKUP('CHE Model poplulation'!G1350,'$$$ Replace &amp; Retrofit'!$I$10:$J$15,2)</f>
        <v>267713.72039647418</v>
      </c>
      <c r="J1391" s="277">
        <f>IF(D1391=50,VLOOKUP(0,'$$$ Replace &amp; Retrofit'!$E$10:$F$13,2),IF(D1391&lt;175,VLOOKUP(50,'$$$ Replace &amp; Retrofit'!$E$10:$F$13,2),IF(D1391&lt;400,VLOOKUP(175,'$$$ Replace &amp; Retrofit'!$E$10:$F$13,2),IF(D1391&gt;=400,VLOOKUP(400,'$$$ Replace &amp; Retrofit'!$E$10:$F$13,2),NA))))*E1391</f>
        <v>162801.6340524852</v>
      </c>
      <c r="K1391" s="261"/>
      <c r="L1391" s="261"/>
      <c r="M1391" s="261"/>
    </row>
    <row r="1392" spans="1:13" ht="30" x14ac:dyDescent="0.25">
      <c r="A1392" s="259" t="s">
        <v>249</v>
      </c>
      <c r="B1392" s="259" t="s">
        <v>192</v>
      </c>
      <c r="C1392" s="260">
        <v>2017</v>
      </c>
      <c r="D1392" s="260">
        <v>175</v>
      </c>
      <c r="E1392" s="261">
        <v>13.4695813730388</v>
      </c>
      <c r="F1392" s="262"/>
      <c r="G1392" s="261">
        <f t="shared" si="38"/>
        <v>175</v>
      </c>
      <c r="H1392" s="263">
        <f>IF(B1392="RTG Crane",IF(D1392&lt;600,800000,1200000),VLOOKUP(B1392,'$$$ Replace &amp; Retrofit'!$B$10:$C$14,2)*'CHE Model poplulation'!D1351)*E1392</f>
        <v>2062529.6477465662</v>
      </c>
      <c r="I1392" s="263">
        <f>E1392*VLOOKUP('CHE Model poplulation'!G1351,'$$$ Replace &amp; Retrofit'!$I$10:$J$15,2)</f>
        <v>333991.73972587008</v>
      </c>
      <c r="J1392" s="277">
        <f>IF(D1392=50,VLOOKUP(0,'$$$ Replace &amp; Retrofit'!$E$10:$F$13,2),IF(D1392&lt;175,VLOOKUP(50,'$$$ Replace &amp; Retrofit'!$E$10:$F$13,2),IF(D1392&lt;400,VLOOKUP(175,'$$$ Replace &amp; Retrofit'!$E$10:$F$13,2),IF(D1392&gt;=400,VLOOKUP(400,'$$$ Replace &amp; Retrofit'!$E$10:$F$13,2),NA))))*E1392</f>
        <v>242452.46471469841</v>
      </c>
      <c r="K1392" s="261"/>
      <c r="L1392" s="261"/>
      <c r="M1392" s="261"/>
    </row>
    <row r="1393" spans="1:13" ht="30" x14ac:dyDescent="0.25">
      <c r="A1393" s="259" t="s">
        <v>249</v>
      </c>
      <c r="B1393" s="259" t="s">
        <v>192</v>
      </c>
      <c r="C1393" s="260">
        <v>2017</v>
      </c>
      <c r="D1393" s="260">
        <v>300</v>
      </c>
      <c r="E1393" s="261">
        <v>4.4547710810381602</v>
      </c>
      <c r="F1393" s="262"/>
      <c r="G1393" s="261">
        <f t="shared" si="38"/>
        <v>300</v>
      </c>
      <c r="H1393" s="263">
        <f>IF(B1393="RTG Crane",IF(D1393&lt;600,800000,1200000),VLOOKUP(B1393,'$$$ Replace &amp; Retrofit'!$B$10:$C$14,2)*'CHE Model poplulation'!D1352)*E1393</f>
        <v>1169377.408772517</v>
      </c>
      <c r="I1393" s="263">
        <f>E1393*VLOOKUP('CHE Model poplulation'!G1352,'$$$ Replace &amp; Retrofit'!$I$10:$J$15,2)</f>
        <v>128132.5806039006</v>
      </c>
      <c r="J1393" s="277">
        <f>IF(D1393=50,VLOOKUP(0,'$$$ Replace &amp; Retrofit'!$E$10:$F$13,2),IF(D1393&lt;175,VLOOKUP(50,'$$$ Replace &amp; Retrofit'!$E$10:$F$13,2),IF(D1393&lt;400,VLOOKUP(175,'$$$ Replace &amp; Retrofit'!$E$10:$F$13,2),IF(D1393&gt;=400,VLOOKUP(400,'$$$ Replace &amp; Retrofit'!$E$10:$F$13,2),NA))))*E1393</f>
        <v>80185.87945868689</v>
      </c>
      <c r="K1393" s="261"/>
      <c r="L1393" s="261"/>
      <c r="M1393" s="261"/>
    </row>
    <row r="1394" spans="1:13" ht="30" x14ac:dyDescent="0.25">
      <c r="A1394" s="259" t="s">
        <v>249</v>
      </c>
      <c r="B1394" s="259" t="s">
        <v>192</v>
      </c>
      <c r="C1394" s="260">
        <v>2017</v>
      </c>
      <c r="D1394" s="260">
        <v>600</v>
      </c>
      <c r="E1394" s="261">
        <v>2.2273855405190801</v>
      </c>
      <c r="F1394" s="262"/>
      <c r="G1394" s="261">
        <f t="shared" si="38"/>
        <v>400</v>
      </c>
      <c r="H1394" s="263">
        <f>IF(B1394="RTG Crane",IF(D1394&lt;600,800000,1200000),VLOOKUP(B1394,'$$$ Replace &amp; Retrofit'!$B$10:$C$14,2)*'CHE Model poplulation'!D1353)*E1394</f>
        <v>1169377.408772517</v>
      </c>
      <c r="I1394" s="263">
        <f>E1394*VLOOKUP('CHE Model poplulation'!G1353,'$$$ Replace &amp; Retrofit'!$I$10:$J$15,2)</f>
        <v>116565.76749198503</v>
      </c>
      <c r="J1394" s="277">
        <f>IF(D1394=50,VLOOKUP(0,'$$$ Replace &amp; Retrofit'!$E$10:$F$13,2),IF(D1394&lt;175,VLOOKUP(50,'$$$ Replace &amp; Retrofit'!$E$10:$F$13,2),IF(D1394&lt;400,VLOOKUP(175,'$$$ Replace &amp; Retrofit'!$E$10:$F$13,2),IF(D1394&gt;=400,VLOOKUP(400,'$$$ Replace &amp; Retrofit'!$E$10:$F$13,2),NA))))*E1394</f>
        <v>66821.566215572399</v>
      </c>
      <c r="K1394" s="261"/>
      <c r="L1394" s="261"/>
      <c r="M1394" s="261"/>
    </row>
    <row r="1395" spans="1:13" ht="45" x14ac:dyDescent="0.25">
      <c r="A1395" s="259" t="s">
        <v>249</v>
      </c>
      <c r="B1395" s="259" t="s">
        <v>211</v>
      </c>
      <c r="C1395" s="260">
        <v>2017</v>
      </c>
      <c r="D1395" s="260">
        <v>50</v>
      </c>
      <c r="E1395" s="261">
        <v>0.25115370949560101</v>
      </c>
      <c r="F1395" s="262"/>
      <c r="G1395" s="261">
        <f t="shared" si="38"/>
        <v>50</v>
      </c>
      <c r="H1395" s="263">
        <f>IF(B1395="RTG Crane",IF(D1395&lt;600,800000,1200000),VLOOKUP(B1395,'$$$ Replace &amp; Retrofit'!$B$10:$C$14,2)*'CHE Model poplulation'!D1468)*E1395</f>
        <v>12557.68547478005</v>
      </c>
      <c r="I1395" s="263">
        <f>E1395*VLOOKUP('CHE Model poplulation'!G1468,'$$$ Replace &amp; Retrofit'!$I$10:$J$15,2)</f>
        <v>4417.2914426086309</v>
      </c>
      <c r="J1395" s="277">
        <f>IF(D1395=50,VLOOKUP(0,'$$$ Replace &amp; Retrofit'!$E$10:$F$13,2),IF(D1395&lt;175,VLOOKUP(50,'$$$ Replace &amp; Retrofit'!$E$10:$F$13,2),IF(D1395&lt;400,VLOOKUP(175,'$$$ Replace &amp; Retrofit'!$E$10:$F$13,2),IF(D1395&gt;=400,VLOOKUP(400,'$$$ Replace &amp; Retrofit'!$E$10:$F$13,2),NA))))*E1395</f>
        <v>2009.2296759648082</v>
      </c>
      <c r="K1395" s="261"/>
      <c r="L1395" s="261"/>
      <c r="M1395" s="261"/>
    </row>
    <row r="1396" spans="1:13" ht="45" x14ac:dyDescent="0.25">
      <c r="A1396" s="259" t="s">
        <v>249</v>
      </c>
      <c r="B1396" s="259" t="s">
        <v>211</v>
      </c>
      <c r="C1396" s="260">
        <v>2017</v>
      </c>
      <c r="D1396" s="260">
        <v>75</v>
      </c>
      <c r="E1396" s="261">
        <v>0.15069222569735999</v>
      </c>
      <c r="F1396" s="262"/>
      <c r="G1396" s="261">
        <f t="shared" si="38"/>
        <v>50</v>
      </c>
      <c r="H1396" s="263">
        <f>IF(B1396="RTG Crane",IF(D1396&lt;600,800000,1200000),VLOOKUP(B1396,'$$$ Replace &amp; Retrofit'!$B$10:$C$14,2)*'CHE Model poplulation'!D1469)*E1396</f>
        <v>11301.916927302</v>
      </c>
      <c r="I1396" s="263">
        <f>E1396*VLOOKUP('CHE Model poplulation'!G1469,'$$$ Replace &amp; Retrofit'!$I$10:$J$15,2)</f>
        <v>2650.3748655651675</v>
      </c>
      <c r="J1396" s="277">
        <f>IF(D1396=50,VLOOKUP(0,'$$$ Replace &amp; Retrofit'!$E$10:$F$13,2),IF(D1396&lt;175,VLOOKUP(50,'$$$ Replace &amp; Retrofit'!$E$10:$F$13,2),IF(D1396&lt;400,VLOOKUP(175,'$$$ Replace &amp; Retrofit'!$E$10:$F$13,2),IF(D1396&gt;=400,VLOOKUP(400,'$$$ Replace &amp; Retrofit'!$E$10:$F$13,2),NA))))*E1396</f>
        <v>1808.30670836832</v>
      </c>
      <c r="K1396" s="261"/>
      <c r="L1396" s="261"/>
      <c r="M1396" s="261"/>
    </row>
    <row r="1397" spans="1:13" ht="45" x14ac:dyDescent="0.25">
      <c r="A1397" s="259" t="s">
        <v>249</v>
      </c>
      <c r="B1397" s="259" t="s">
        <v>211</v>
      </c>
      <c r="C1397" s="260">
        <v>2017</v>
      </c>
      <c r="D1397" s="260">
        <v>100</v>
      </c>
      <c r="E1397" s="261">
        <v>0.15069222569735999</v>
      </c>
      <c r="F1397" s="262"/>
      <c r="G1397" s="261">
        <f t="shared" si="38"/>
        <v>125</v>
      </c>
      <c r="H1397" s="263">
        <f>IF(B1397="RTG Crane",IF(D1397&lt;600,800000,1200000),VLOOKUP(B1397,'$$$ Replace &amp; Retrofit'!$B$10:$C$14,2)*'CHE Model poplulation'!D1470)*E1397</f>
        <v>15069.222569735999</v>
      </c>
      <c r="I1397" s="263">
        <f>E1397*VLOOKUP('CHE Model poplulation'!G1470,'$$$ Replace &amp; Retrofit'!$I$10:$J$15,2)</f>
        <v>2973.6096896860045</v>
      </c>
      <c r="J1397" s="277">
        <f>IF(D1397=50,VLOOKUP(0,'$$$ Replace &amp; Retrofit'!$E$10:$F$13,2),IF(D1397&lt;175,VLOOKUP(50,'$$$ Replace &amp; Retrofit'!$E$10:$F$13,2),IF(D1397&lt;400,VLOOKUP(175,'$$$ Replace &amp; Retrofit'!$E$10:$F$13,2),IF(D1397&gt;=400,VLOOKUP(400,'$$$ Replace &amp; Retrofit'!$E$10:$F$13,2),NA))))*E1397</f>
        <v>1808.30670836832</v>
      </c>
      <c r="K1397" s="261"/>
      <c r="L1397" s="261"/>
      <c r="M1397" s="261"/>
    </row>
    <row r="1398" spans="1:13" ht="45" x14ac:dyDescent="0.25">
      <c r="A1398" s="259" t="s">
        <v>249</v>
      </c>
      <c r="B1398" s="259" t="s">
        <v>211</v>
      </c>
      <c r="C1398" s="260">
        <v>2017</v>
      </c>
      <c r="D1398" s="260">
        <v>175</v>
      </c>
      <c r="E1398" s="261">
        <v>0.15069222569735999</v>
      </c>
      <c r="F1398" s="262"/>
      <c r="G1398" s="261">
        <f t="shared" si="38"/>
        <v>175</v>
      </c>
      <c r="H1398" s="263">
        <f>IF(B1398="RTG Crane",IF(D1398&lt;600,800000,1200000),VLOOKUP(B1398,'$$$ Replace &amp; Retrofit'!$B$10:$C$14,2)*'CHE Model poplulation'!D1471)*E1398</f>
        <v>26371.139497037999</v>
      </c>
      <c r="I1398" s="263">
        <f>E1398*VLOOKUP('CHE Model poplulation'!G1471,'$$$ Replace &amp; Retrofit'!$I$10:$J$15,2)</f>
        <v>3736.5644283917381</v>
      </c>
      <c r="J1398" s="277">
        <f>IF(D1398=50,VLOOKUP(0,'$$$ Replace &amp; Retrofit'!$E$10:$F$13,2),IF(D1398&lt;175,VLOOKUP(50,'$$$ Replace &amp; Retrofit'!$E$10:$F$13,2),IF(D1398&lt;400,VLOOKUP(175,'$$$ Replace &amp; Retrofit'!$E$10:$F$13,2),IF(D1398&gt;=400,VLOOKUP(400,'$$$ Replace &amp; Retrofit'!$E$10:$F$13,2),NA))))*E1398</f>
        <v>2712.4600625524799</v>
      </c>
      <c r="K1398" s="261"/>
      <c r="L1398" s="261"/>
      <c r="M1398" s="261"/>
    </row>
    <row r="1399" spans="1:13" ht="45" x14ac:dyDescent="0.25">
      <c r="A1399" s="259" t="s">
        <v>249</v>
      </c>
      <c r="B1399" s="259" t="s">
        <v>211</v>
      </c>
      <c r="C1399" s="260">
        <v>2017</v>
      </c>
      <c r="D1399" s="260">
        <v>300</v>
      </c>
      <c r="E1399" s="261">
        <v>0.20092296759648101</v>
      </c>
      <c r="F1399" s="262"/>
      <c r="G1399" s="261">
        <f t="shared" si="38"/>
        <v>300</v>
      </c>
      <c r="H1399" s="263">
        <f>IF(B1399="RTG Crane",IF(D1399&lt;600,800000,1200000),VLOOKUP(B1399,'$$$ Replace &amp; Retrofit'!$B$10:$C$14,2)*'CHE Model poplulation'!D1472)*E1399</f>
        <v>60276.890278944302</v>
      </c>
      <c r="I1399" s="263">
        <f>E1399*VLOOKUP('CHE Model poplulation'!G1472,'$$$ Replace &amp; Retrofit'!$I$10:$J$15,2)</f>
        <v>5779.1473169775836</v>
      </c>
      <c r="J1399" s="277">
        <f>IF(D1399=50,VLOOKUP(0,'$$$ Replace &amp; Retrofit'!$E$10:$F$13,2),IF(D1399&lt;175,VLOOKUP(50,'$$$ Replace &amp; Retrofit'!$E$10:$F$13,2),IF(D1399&lt;400,VLOOKUP(175,'$$$ Replace &amp; Retrofit'!$E$10:$F$13,2),IF(D1399&gt;=400,VLOOKUP(400,'$$$ Replace &amp; Retrofit'!$E$10:$F$13,2),NA))))*E1399</f>
        <v>3616.6134167366581</v>
      </c>
      <c r="K1399" s="261"/>
      <c r="L1399" s="261"/>
      <c r="M1399" s="261"/>
    </row>
    <row r="1400" spans="1:13" ht="45" x14ac:dyDescent="0.25">
      <c r="A1400" s="259" t="s">
        <v>249</v>
      </c>
      <c r="B1400" s="259" t="s">
        <v>211</v>
      </c>
      <c r="C1400" s="260">
        <v>2017</v>
      </c>
      <c r="D1400" s="260">
        <v>600</v>
      </c>
      <c r="E1400" s="261">
        <v>5.0230741899120197E-2</v>
      </c>
      <c r="F1400" s="262"/>
      <c r="G1400" s="261">
        <f t="shared" si="38"/>
        <v>400</v>
      </c>
      <c r="H1400" s="263">
        <f>IF(B1400="RTG Crane",IF(D1400&lt;600,800000,1200000),VLOOKUP(B1400,'$$$ Replace &amp; Retrofit'!$B$10:$C$14,2)*'CHE Model poplulation'!D1473)*E1400</f>
        <v>30138.445139472118</v>
      </c>
      <c r="I1400" s="263">
        <f>E1400*VLOOKUP('CHE Model poplulation'!G1473,'$$$ Replace &amp; Retrofit'!$I$10:$J$15,2)</f>
        <v>2628.7254158066571</v>
      </c>
      <c r="J1400" s="277">
        <f>IF(D1400=50,VLOOKUP(0,'$$$ Replace &amp; Retrofit'!$E$10:$F$13,2),IF(D1400&lt;175,VLOOKUP(50,'$$$ Replace &amp; Retrofit'!$E$10:$F$13,2),IF(D1400&lt;400,VLOOKUP(175,'$$$ Replace &amp; Retrofit'!$E$10:$F$13,2),IF(D1400&gt;=400,VLOOKUP(400,'$$$ Replace &amp; Retrofit'!$E$10:$F$13,2),NA))))*E1400</f>
        <v>1506.922256973606</v>
      </c>
      <c r="K1400" s="261"/>
      <c r="L1400" s="261"/>
      <c r="M1400" s="261"/>
    </row>
    <row r="1401" spans="1:13" ht="30" x14ac:dyDescent="0.25">
      <c r="A1401" s="259" t="s">
        <v>249</v>
      </c>
      <c r="B1401" s="259" t="s">
        <v>212</v>
      </c>
      <c r="C1401" s="260">
        <v>2017</v>
      </c>
      <c r="D1401" s="260">
        <v>100</v>
      </c>
      <c r="E1401" s="261">
        <v>0</v>
      </c>
      <c r="F1401" s="262"/>
      <c r="G1401" s="261"/>
      <c r="H1401" s="261"/>
      <c r="I1401" s="261"/>
      <c r="J1401" s="278"/>
      <c r="K1401" s="261"/>
      <c r="L1401" s="261"/>
      <c r="M1401" s="261"/>
    </row>
    <row r="1402" spans="1:13" ht="30" x14ac:dyDescent="0.25">
      <c r="A1402" s="259" t="s">
        <v>249</v>
      </c>
      <c r="B1402" s="259" t="s">
        <v>212</v>
      </c>
      <c r="C1402" s="260">
        <v>2017</v>
      </c>
      <c r="D1402" s="260">
        <v>300</v>
      </c>
      <c r="E1402" s="261">
        <v>0</v>
      </c>
      <c r="F1402" s="262"/>
      <c r="G1402" s="261"/>
      <c r="H1402" s="261"/>
      <c r="I1402" s="261"/>
      <c r="J1402" s="278"/>
      <c r="K1402" s="261"/>
      <c r="L1402" s="261"/>
      <c r="M1402" s="261"/>
    </row>
    <row r="1403" spans="1:13" ht="30" x14ac:dyDescent="0.25">
      <c r="A1403" s="259" t="s">
        <v>249</v>
      </c>
      <c r="B1403" s="259" t="s">
        <v>212</v>
      </c>
      <c r="C1403" s="260">
        <v>2017</v>
      </c>
      <c r="D1403" s="260">
        <v>600</v>
      </c>
      <c r="E1403" s="261">
        <v>0</v>
      </c>
      <c r="F1403" s="262"/>
      <c r="G1403" s="261"/>
      <c r="H1403" s="261"/>
      <c r="I1403" s="261"/>
      <c r="J1403" s="278"/>
      <c r="K1403" s="261"/>
      <c r="L1403" s="261"/>
      <c r="M1403" s="261"/>
    </row>
    <row r="1404" spans="1:13" ht="30" x14ac:dyDescent="0.25">
      <c r="A1404" s="259" t="s">
        <v>249</v>
      </c>
      <c r="B1404" s="259" t="s">
        <v>212</v>
      </c>
      <c r="C1404" s="260">
        <v>2017</v>
      </c>
      <c r="D1404" s="260">
        <v>750</v>
      </c>
      <c r="E1404" s="261">
        <v>0</v>
      </c>
      <c r="F1404" s="262"/>
      <c r="G1404" s="261"/>
      <c r="H1404" s="261"/>
      <c r="I1404" s="261"/>
      <c r="J1404" s="278"/>
      <c r="K1404" s="261"/>
      <c r="L1404" s="261"/>
      <c r="M1404" s="261"/>
    </row>
    <row r="1405" spans="1:13" ht="30" x14ac:dyDescent="0.25">
      <c r="A1405" s="259" t="s">
        <v>249</v>
      </c>
      <c r="B1405" s="259" t="s">
        <v>212</v>
      </c>
      <c r="C1405" s="260">
        <v>2017</v>
      </c>
      <c r="D1405" s="260">
        <v>9999</v>
      </c>
      <c r="E1405" s="261">
        <v>0</v>
      </c>
      <c r="F1405" s="262"/>
      <c r="G1405" s="261"/>
      <c r="H1405" s="261"/>
      <c r="I1405" s="261"/>
      <c r="J1405" s="278"/>
      <c r="K1405" s="266">
        <f t="shared" ref="K1405:L1405" si="39">SUM(H1379:H1405)</f>
        <v>7710396.4837138001</v>
      </c>
      <c r="L1405" s="266">
        <f t="shared" si="39"/>
        <v>1109097.734532662</v>
      </c>
      <c r="M1405" s="266">
        <f>SUM(J1379:J1405)</f>
        <v>711824.80759623263</v>
      </c>
    </row>
    <row r="1406" spans="1:13" ht="30" x14ac:dyDescent="0.25">
      <c r="A1406" s="259" t="s">
        <v>249</v>
      </c>
      <c r="B1406" s="259" t="s">
        <v>206</v>
      </c>
      <c r="C1406" s="260">
        <v>2018</v>
      </c>
      <c r="D1406" s="260">
        <v>50</v>
      </c>
      <c r="E1406" s="261">
        <v>0</v>
      </c>
      <c r="F1406" s="262"/>
      <c r="G1406" s="261"/>
      <c r="H1406" s="261"/>
      <c r="I1406" s="263"/>
      <c r="J1406" s="261"/>
      <c r="K1406" s="261"/>
      <c r="L1406" s="261"/>
      <c r="M1406" s="261"/>
    </row>
    <row r="1407" spans="1:13" ht="30" x14ac:dyDescent="0.25">
      <c r="A1407" s="259" t="s">
        <v>249</v>
      </c>
      <c r="B1407" s="259" t="s">
        <v>206</v>
      </c>
      <c r="C1407" s="260">
        <v>2018</v>
      </c>
      <c r="D1407" s="260">
        <v>75</v>
      </c>
      <c r="E1407" s="261">
        <v>0</v>
      </c>
      <c r="F1407" s="262"/>
      <c r="G1407" s="261"/>
      <c r="H1407" s="261"/>
      <c r="I1407" s="263"/>
      <c r="J1407" s="261"/>
      <c r="K1407" s="279">
        <f>SUM(K1082:K1405)</f>
        <v>523841580.39422297</v>
      </c>
      <c r="L1407" s="279">
        <f>SUM(L1082:L1405)</f>
        <v>64186180.906241335</v>
      </c>
      <c r="M1407" s="279">
        <f>SUM(M1082:M1405)</f>
        <v>41177097.16489464</v>
      </c>
    </row>
    <row r="1408" spans="1:13" ht="30" x14ac:dyDescent="0.25">
      <c r="A1408" s="259" t="s">
        <v>249</v>
      </c>
      <c r="B1408" s="259" t="s">
        <v>206</v>
      </c>
      <c r="C1408" s="260">
        <v>2018</v>
      </c>
      <c r="D1408" s="260">
        <v>100</v>
      </c>
      <c r="E1408" s="261">
        <v>0</v>
      </c>
      <c r="F1408" s="262"/>
      <c r="G1408" s="261"/>
      <c r="H1408" s="261"/>
      <c r="I1408" s="263"/>
      <c r="J1408" s="261"/>
      <c r="K1408" s="399">
        <f>SUM(K1407:M1407)</f>
        <v>629204858.46535897</v>
      </c>
      <c r="L1408" s="399"/>
      <c r="M1408" s="399"/>
    </row>
    <row r="1409" spans="1:13" ht="30" x14ac:dyDescent="0.25">
      <c r="A1409" s="259" t="s">
        <v>249</v>
      </c>
      <c r="B1409" s="259" t="s">
        <v>206</v>
      </c>
      <c r="C1409" s="260">
        <v>2018</v>
      </c>
      <c r="D1409" s="260">
        <v>175</v>
      </c>
      <c r="E1409" s="261">
        <v>0</v>
      </c>
      <c r="F1409" s="262"/>
      <c r="G1409" s="261"/>
      <c r="H1409" s="261"/>
      <c r="I1409" s="263"/>
      <c r="J1409" s="261"/>
      <c r="K1409" s="261"/>
      <c r="L1409" s="261"/>
      <c r="M1409" s="261"/>
    </row>
    <row r="1410" spans="1:13" ht="30" x14ac:dyDescent="0.25">
      <c r="A1410" s="259" t="s">
        <v>249</v>
      </c>
      <c r="B1410" s="259" t="s">
        <v>206</v>
      </c>
      <c r="C1410" s="260">
        <v>2018</v>
      </c>
      <c r="D1410" s="260">
        <v>300</v>
      </c>
      <c r="E1410" s="261">
        <v>0</v>
      </c>
      <c r="F1410" s="262"/>
      <c r="G1410" s="261"/>
      <c r="H1410" s="261"/>
      <c r="I1410" s="263"/>
      <c r="J1410" s="261"/>
      <c r="K1410" s="261"/>
      <c r="L1410" s="261"/>
      <c r="M1410" s="261"/>
    </row>
    <row r="1411" spans="1:13" ht="30" x14ac:dyDescent="0.25">
      <c r="A1411" s="259" t="s">
        <v>249</v>
      </c>
      <c r="B1411" s="259" t="s">
        <v>206</v>
      </c>
      <c r="C1411" s="260">
        <v>2018</v>
      </c>
      <c r="D1411" s="260">
        <v>600</v>
      </c>
      <c r="E1411" s="261">
        <v>0</v>
      </c>
      <c r="F1411" s="262"/>
      <c r="G1411" s="261"/>
      <c r="H1411" s="261"/>
      <c r="I1411" s="263"/>
      <c r="J1411" s="261"/>
      <c r="K1411" s="261"/>
      <c r="L1411" s="261"/>
      <c r="M1411" s="261"/>
    </row>
    <row r="1412" spans="1:13" ht="45" x14ac:dyDescent="0.25">
      <c r="A1412" s="259" t="s">
        <v>249</v>
      </c>
      <c r="B1412" s="259" t="s">
        <v>208</v>
      </c>
      <c r="C1412" s="260">
        <v>2018</v>
      </c>
      <c r="D1412" s="260">
        <v>100</v>
      </c>
      <c r="E1412" s="261">
        <v>0</v>
      </c>
      <c r="F1412" s="262"/>
      <c r="G1412" s="261"/>
      <c r="H1412" s="261"/>
      <c r="I1412" s="263"/>
      <c r="J1412" s="261"/>
      <c r="K1412" s="261"/>
      <c r="L1412" s="261"/>
      <c r="M1412" s="261"/>
    </row>
    <row r="1413" spans="1:13" ht="45" x14ac:dyDescent="0.25">
      <c r="A1413" s="259" t="s">
        <v>249</v>
      </c>
      <c r="B1413" s="259" t="s">
        <v>208</v>
      </c>
      <c r="C1413" s="260">
        <v>2018</v>
      </c>
      <c r="D1413" s="260">
        <v>175</v>
      </c>
      <c r="E1413" s="261">
        <v>0</v>
      </c>
      <c r="F1413" s="262"/>
      <c r="G1413" s="261"/>
      <c r="H1413" s="261"/>
      <c r="I1413" s="263"/>
      <c r="J1413" s="261"/>
      <c r="K1413" s="261"/>
      <c r="L1413" s="261"/>
      <c r="M1413" s="261"/>
    </row>
    <row r="1414" spans="1:13" ht="45" x14ac:dyDescent="0.25">
      <c r="A1414" s="259" t="s">
        <v>249</v>
      </c>
      <c r="B1414" s="259" t="s">
        <v>208</v>
      </c>
      <c r="C1414" s="260">
        <v>2018</v>
      </c>
      <c r="D1414" s="260">
        <v>300</v>
      </c>
      <c r="E1414" s="261">
        <v>0</v>
      </c>
      <c r="F1414" s="262"/>
      <c r="G1414" s="261"/>
      <c r="H1414" s="261"/>
      <c r="I1414" s="263"/>
      <c r="J1414" s="261"/>
      <c r="K1414" s="261"/>
      <c r="L1414" s="261"/>
      <c r="M1414" s="261"/>
    </row>
    <row r="1415" spans="1:13" ht="45" x14ac:dyDescent="0.25">
      <c r="A1415" s="259" t="s">
        <v>249</v>
      </c>
      <c r="B1415" s="259" t="s">
        <v>208</v>
      </c>
      <c r="C1415" s="260">
        <v>2018</v>
      </c>
      <c r="D1415" s="260">
        <v>600</v>
      </c>
      <c r="E1415" s="261">
        <v>0</v>
      </c>
      <c r="F1415" s="262"/>
      <c r="G1415" s="261"/>
      <c r="H1415" s="261"/>
      <c r="I1415" s="263"/>
      <c r="J1415" s="261"/>
      <c r="K1415" s="261"/>
      <c r="L1415" s="261"/>
      <c r="M1415" s="261"/>
    </row>
    <row r="1416" spans="1:13" ht="30" x14ac:dyDescent="0.25">
      <c r="A1416" s="259" t="s">
        <v>249</v>
      </c>
      <c r="B1416" s="259" t="s">
        <v>192</v>
      </c>
      <c r="C1416" s="260">
        <v>2018</v>
      </c>
      <c r="D1416" s="260">
        <v>50</v>
      </c>
      <c r="E1416" s="261">
        <v>0</v>
      </c>
      <c r="F1416" s="262"/>
      <c r="G1416" s="261"/>
      <c r="H1416" s="261"/>
      <c r="I1416" s="263"/>
      <c r="J1416" s="261"/>
      <c r="K1416" s="261"/>
      <c r="L1416" s="261"/>
      <c r="M1416" s="261"/>
    </row>
    <row r="1417" spans="1:13" ht="30" x14ac:dyDescent="0.25">
      <c r="A1417" s="259" t="s">
        <v>249</v>
      </c>
      <c r="B1417" s="259" t="s">
        <v>192</v>
      </c>
      <c r="C1417" s="260">
        <v>2018</v>
      </c>
      <c r="D1417" s="260">
        <v>75</v>
      </c>
      <c r="E1417" s="261">
        <v>0</v>
      </c>
      <c r="F1417" s="262"/>
      <c r="G1417" s="261"/>
      <c r="H1417" s="261"/>
      <c r="I1417" s="263"/>
      <c r="J1417" s="261"/>
      <c r="K1417" s="261"/>
      <c r="L1417" s="261"/>
      <c r="M1417" s="261"/>
    </row>
    <row r="1418" spans="1:13" ht="30" x14ac:dyDescent="0.25">
      <c r="A1418" s="259" t="s">
        <v>249</v>
      </c>
      <c r="B1418" s="259" t="s">
        <v>192</v>
      </c>
      <c r="C1418" s="260">
        <v>2018</v>
      </c>
      <c r="D1418" s="260">
        <v>100</v>
      </c>
      <c r="E1418" s="261">
        <v>0</v>
      </c>
      <c r="F1418" s="262"/>
      <c r="G1418" s="261"/>
      <c r="H1418" s="261"/>
      <c r="I1418" s="263"/>
      <c r="J1418" s="261"/>
      <c r="K1418" s="261"/>
      <c r="L1418" s="261"/>
      <c r="M1418" s="261"/>
    </row>
    <row r="1419" spans="1:13" ht="30" x14ac:dyDescent="0.25">
      <c r="A1419" s="259" t="s">
        <v>249</v>
      </c>
      <c r="B1419" s="259" t="s">
        <v>192</v>
      </c>
      <c r="C1419" s="260">
        <v>2018</v>
      </c>
      <c r="D1419" s="260">
        <v>175</v>
      </c>
      <c r="E1419" s="261">
        <v>0</v>
      </c>
      <c r="F1419" s="262"/>
      <c r="G1419" s="261"/>
      <c r="H1419" s="261"/>
      <c r="I1419" s="263"/>
      <c r="J1419" s="261"/>
      <c r="K1419" s="261"/>
      <c r="L1419" s="261"/>
      <c r="M1419" s="261"/>
    </row>
    <row r="1420" spans="1:13" ht="30" x14ac:dyDescent="0.25">
      <c r="A1420" s="259" t="s">
        <v>249</v>
      </c>
      <c r="B1420" s="259" t="s">
        <v>192</v>
      </c>
      <c r="C1420" s="260">
        <v>2018</v>
      </c>
      <c r="D1420" s="260">
        <v>300</v>
      </c>
      <c r="E1420" s="261">
        <v>0</v>
      </c>
      <c r="F1420" s="262"/>
      <c r="G1420" s="261"/>
      <c r="H1420" s="261"/>
      <c r="I1420" s="263"/>
      <c r="J1420" s="261"/>
      <c r="K1420" s="261"/>
      <c r="L1420" s="261"/>
      <c r="M1420" s="261"/>
    </row>
    <row r="1421" spans="1:13" ht="30" x14ac:dyDescent="0.25">
      <c r="A1421" s="259" t="s">
        <v>249</v>
      </c>
      <c r="B1421" s="259" t="s">
        <v>192</v>
      </c>
      <c r="C1421" s="260">
        <v>2018</v>
      </c>
      <c r="D1421" s="260">
        <v>600</v>
      </c>
      <c r="E1421" s="261">
        <v>0</v>
      </c>
      <c r="F1421" s="262"/>
      <c r="G1421" s="261"/>
      <c r="H1421" s="261"/>
      <c r="I1421" s="263"/>
      <c r="J1421" s="261"/>
      <c r="K1421" s="261"/>
      <c r="L1421" s="261"/>
      <c r="M1421" s="261"/>
    </row>
    <row r="1422" spans="1:13" ht="45" x14ac:dyDescent="0.25">
      <c r="A1422" s="259" t="s">
        <v>249</v>
      </c>
      <c r="B1422" s="259" t="s">
        <v>211</v>
      </c>
      <c r="C1422" s="260">
        <v>2018</v>
      </c>
      <c r="D1422" s="260">
        <v>50</v>
      </c>
      <c r="E1422" s="261">
        <v>0</v>
      </c>
      <c r="F1422" s="262"/>
      <c r="G1422" s="261"/>
      <c r="H1422" s="261"/>
      <c r="I1422" s="263"/>
      <c r="J1422" s="261"/>
      <c r="K1422" s="261"/>
      <c r="L1422" s="261"/>
      <c r="M1422" s="261"/>
    </row>
    <row r="1423" spans="1:13" ht="45" x14ac:dyDescent="0.25">
      <c r="A1423" s="259" t="s">
        <v>249</v>
      </c>
      <c r="B1423" s="259" t="s">
        <v>211</v>
      </c>
      <c r="C1423" s="260">
        <v>2018</v>
      </c>
      <c r="D1423" s="260">
        <v>75</v>
      </c>
      <c r="E1423" s="261">
        <v>0</v>
      </c>
      <c r="F1423" s="262"/>
      <c r="G1423" s="261"/>
      <c r="H1423" s="261"/>
      <c r="I1423" s="263"/>
      <c r="J1423" s="261"/>
      <c r="K1423" s="261"/>
      <c r="L1423" s="261"/>
      <c r="M1423" s="261"/>
    </row>
    <row r="1424" spans="1:13" ht="45" x14ac:dyDescent="0.25">
      <c r="A1424" s="259" t="s">
        <v>249</v>
      </c>
      <c r="B1424" s="259" t="s">
        <v>211</v>
      </c>
      <c r="C1424" s="260">
        <v>2018</v>
      </c>
      <c r="D1424" s="260">
        <v>100</v>
      </c>
      <c r="E1424" s="261">
        <v>0</v>
      </c>
      <c r="F1424" s="262"/>
      <c r="G1424" s="261"/>
      <c r="H1424" s="261"/>
      <c r="I1424" s="263"/>
      <c r="J1424" s="261"/>
      <c r="K1424" s="261"/>
      <c r="L1424" s="261"/>
      <c r="M1424" s="261"/>
    </row>
    <row r="1425" spans="1:13" ht="45" x14ac:dyDescent="0.25">
      <c r="A1425" s="259" t="s">
        <v>249</v>
      </c>
      <c r="B1425" s="259" t="s">
        <v>211</v>
      </c>
      <c r="C1425" s="260">
        <v>2018</v>
      </c>
      <c r="D1425" s="260">
        <v>175</v>
      </c>
      <c r="E1425" s="261">
        <v>0</v>
      </c>
      <c r="F1425" s="262"/>
      <c r="G1425" s="261"/>
      <c r="H1425" s="261"/>
      <c r="I1425" s="263"/>
      <c r="J1425" s="261"/>
      <c r="K1425" s="261"/>
      <c r="L1425" s="261"/>
      <c r="M1425" s="261"/>
    </row>
    <row r="1426" spans="1:13" ht="45" x14ac:dyDescent="0.25">
      <c r="A1426" s="259" t="s">
        <v>249</v>
      </c>
      <c r="B1426" s="259" t="s">
        <v>211</v>
      </c>
      <c r="C1426" s="260">
        <v>2018</v>
      </c>
      <c r="D1426" s="260">
        <v>300</v>
      </c>
      <c r="E1426" s="261">
        <v>0</v>
      </c>
      <c r="F1426" s="262"/>
      <c r="G1426" s="261"/>
      <c r="H1426" s="261"/>
      <c r="I1426" s="263"/>
      <c r="J1426" s="261"/>
      <c r="K1426" s="261"/>
      <c r="L1426" s="261"/>
      <c r="M1426" s="261"/>
    </row>
    <row r="1427" spans="1:13" ht="45" x14ac:dyDescent="0.25">
      <c r="A1427" s="259" t="s">
        <v>249</v>
      </c>
      <c r="B1427" s="259" t="s">
        <v>211</v>
      </c>
      <c r="C1427" s="260">
        <v>2018</v>
      </c>
      <c r="D1427" s="260">
        <v>600</v>
      </c>
      <c r="E1427" s="261">
        <v>0</v>
      </c>
      <c r="F1427" s="262"/>
      <c r="G1427" s="261"/>
      <c r="H1427" s="261"/>
      <c r="I1427" s="263"/>
      <c r="J1427" s="261"/>
      <c r="K1427" s="261"/>
      <c r="L1427" s="261"/>
      <c r="M1427" s="261"/>
    </row>
    <row r="1428" spans="1:13" ht="30" x14ac:dyDescent="0.25">
      <c r="A1428" s="259" t="s">
        <v>249</v>
      </c>
      <c r="B1428" s="259" t="s">
        <v>212</v>
      </c>
      <c r="C1428" s="260">
        <v>2018</v>
      </c>
      <c r="D1428" s="260">
        <v>100</v>
      </c>
      <c r="E1428" s="261">
        <v>0</v>
      </c>
      <c r="F1428" s="262"/>
      <c r="G1428" s="261"/>
      <c r="H1428" s="261"/>
      <c r="I1428" s="261"/>
      <c r="J1428" s="261"/>
      <c r="K1428" s="261"/>
      <c r="L1428" s="261"/>
      <c r="M1428" s="261"/>
    </row>
    <row r="1429" spans="1:13" ht="30" x14ac:dyDescent="0.25">
      <c r="A1429" s="259" t="s">
        <v>249</v>
      </c>
      <c r="B1429" s="259" t="s">
        <v>212</v>
      </c>
      <c r="C1429" s="260">
        <v>2018</v>
      </c>
      <c r="D1429" s="260">
        <v>300</v>
      </c>
      <c r="E1429" s="261">
        <v>0</v>
      </c>
      <c r="F1429" s="262"/>
      <c r="G1429" s="261"/>
      <c r="H1429" s="261"/>
      <c r="I1429" s="261"/>
      <c r="J1429" s="261"/>
      <c r="K1429" s="261"/>
      <c r="L1429" s="261"/>
      <c r="M1429" s="261"/>
    </row>
    <row r="1430" spans="1:13" ht="30" x14ac:dyDescent="0.25">
      <c r="A1430" s="259" t="s">
        <v>249</v>
      </c>
      <c r="B1430" s="259" t="s">
        <v>212</v>
      </c>
      <c r="C1430" s="260">
        <v>2018</v>
      </c>
      <c r="D1430" s="260">
        <v>600</v>
      </c>
      <c r="E1430" s="261">
        <v>0</v>
      </c>
      <c r="F1430" s="262"/>
      <c r="G1430" s="261"/>
      <c r="H1430" s="261"/>
      <c r="I1430" s="261"/>
      <c r="J1430" s="261"/>
      <c r="K1430" s="261"/>
      <c r="L1430" s="261"/>
      <c r="M1430" s="261"/>
    </row>
    <row r="1431" spans="1:13" ht="30" x14ac:dyDescent="0.25">
      <c r="A1431" s="259" t="s">
        <v>249</v>
      </c>
      <c r="B1431" s="259" t="s">
        <v>212</v>
      </c>
      <c r="C1431" s="260">
        <v>2018</v>
      </c>
      <c r="D1431" s="260">
        <v>750</v>
      </c>
      <c r="E1431" s="261">
        <v>0</v>
      </c>
      <c r="F1431" s="262"/>
      <c r="G1431" s="261"/>
      <c r="H1431" s="261"/>
      <c r="I1431" s="261"/>
      <c r="J1431" s="261"/>
      <c r="K1431" s="261"/>
      <c r="L1431" s="261"/>
      <c r="M1431" s="261"/>
    </row>
    <row r="1432" spans="1:13" ht="30" x14ac:dyDescent="0.25">
      <c r="A1432" s="259" t="s">
        <v>249</v>
      </c>
      <c r="B1432" s="259" t="s">
        <v>212</v>
      </c>
      <c r="C1432" s="260">
        <v>2018</v>
      </c>
      <c r="D1432" s="260">
        <v>9999</v>
      </c>
      <c r="E1432" s="261">
        <v>0</v>
      </c>
      <c r="F1432" s="262"/>
      <c r="G1432" s="261"/>
      <c r="H1432" s="261"/>
      <c r="I1432" s="261"/>
      <c r="J1432" s="261"/>
      <c r="K1432" s="261"/>
      <c r="L1432" s="261"/>
      <c r="M1432" s="261"/>
    </row>
    <row r="1433" spans="1:13" ht="30" x14ac:dyDescent="0.25">
      <c r="A1433" s="259" t="s">
        <v>249</v>
      </c>
      <c r="B1433" s="259" t="s">
        <v>206</v>
      </c>
      <c r="C1433" s="260">
        <v>2019</v>
      </c>
      <c r="D1433" s="260">
        <v>50</v>
      </c>
      <c r="E1433" s="261">
        <v>0</v>
      </c>
      <c r="F1433" s="262"/>
      <c r="G1433" s="261"/>
      <c r="H1433" s="261"/>
      <c r="I1433" s="263"/>
      <c r="J1433" s="261"/>
      <c r="K1433" s="261"/>
      <c r="L1433" s="261"/>
      <c r="M1433" s="261"/>
    </row>
    <row r="1434" spans="1:13" ht="30" x14ac:dyDescent="0.25">
      <c r="A1434" s="259" t="s">
        <v>249</v>
      </c>
      <c r="B1434" s="259" t="s">
        <v>206</v>
      </c>
      <c r="C1434" s="260">
        <v>2019</v>
      </c>
      <c r="D1434" s="260">
        <v>75</v>
      </c>
      <c r="E1434" s="261">
        <v>0</v>
      </c>
      <c r="F1434" s="262"/>
      <c r="G1434" s="261"/>
      <c r="H1434" s="261"/>
      <c r="I1434" s="263"/>
      <c r="J1434" s="261"/>
      <c r="K1434" s="261"/>
      <c r="L1434" s="261"/>
      <c r="M1434" s="261"/>
    </row>
    <row r="1435" spans="1:13" ht="30" x14ac:dyDescent="0.25">
      <c r="A1435" s="259" t="s">
        <v>249</v>
      </c>
      <c r="B1435" s="259" t="s">
        <v>206</v>
      </c>
      <c r="C1435" s="260">
        <v>2019</v>
      </c>
      <c r="D1435" s="260">
        <v>100</v>
      </c>
      <c r="E1435" s="261">
        <v>0</v>
      </c>
      <c r="F1435" s="262"/>
      <c r="G1435" s="261"/>
      <c r="H1435" s="261"/>
      <c r="I1435" s="263"/>
      <c r="J1435" s="261"/>
      <c r="K1435" s="261"/>
      <c r="L1435" s="261"/>
      <c r="M1435" s="261"/>
    </row>
    <row r="1436" spans="1:13" ht="30" x14ac:dyDescent="0.25">
      <c r="A1436" s="259" t="s">
        <v>249</v>
      </c>
      <c r="B1436" s="259" t="s">
        <v>206</v>
      </c>
      <c r="C1436" s="260">
        <v>2019</v>
      </c>
      <c r="D1436" s="260">
        <v>175</v>
      </c>
      <c r="E1436" s="261">
        <v>0</v>
      </c>
      <c r="F1436" s="262"/>
      <c r="G1436" s="261"/>
      <c r="H1436" s="261"/>
      <c r="I1436" s="263"/>
      <c r="J1436" s="261"/>
      <c r="K1436" s="261"/>
      <c r="L1436" s="261"/>
      <c r="M1436" s="261"/>
    </row>
    <row r="1437" spans="1:13" ht="30" x14ac:dyDescent="0.25">
      <c r="A1437" s="259" t="s">
        <v>249</v>
      </c>
      <c r="B1437" s="259" t="s">
        <v>206</v>
      </c>
      <c r="C1437" s="260">
        <v>2019</v>
      </c>
      <c r="D1437" s="260">
        <v>300</v>
      </c>
      <c r="E1437" s="261">
        <v>0</v>
      </c>
      <c r="F1437" s="262"/>
      <c r="G1437" s="261"/>
      <c r="H1437" s="261"/>
      <c r="I1437" s="263"/>
      <c r="J1437" s="261"/>
      <c r="K1437" s="261"/>
      <c r="L1437" s="261"/>
      <c r="M1437" s="261"/>
    </row>
    <row r="1438" spans="1:13" ht="30" x14ac:dyDescent="0.25">
      <c r="A1438" s="259" t="s">
        <v>249</v>
      </c>
      <c r="B1438" s="259" t="s">
        <v>206</v>
      </c>
      <c r="C1438" s="260">
        <v>2019</v>
      </c>
      <c r="D1438" s="260">
        <v>600</v>
      </c>
      <c r="E1438" s="261">
        <v>0</v>
      </c>
      <c r="F1438" s="262"/>
      <c r="G1438" s="261"/>
      <c r="H1438" s="261"/>
      <c r="I1438" s="263"/>
      <c r="J1438" s="261"/>
      <c r="K1438" s="261"/>
      <c r="L1438" s="261"/>
      <c r="M1438" s="261"/>
    </row>
    <row r="1439" spans="1:13" ht="45" x14ac:dyDescent="0.25">
      <c r="A1439" s="259" t="s">
        <v>249</v>
      </c>
      <c r="B1439" s="259" t="s">
        <v>208</v>
      </c>
      <c r="C1439" s="260">
        <v>2019</v>
      </c>
      <c r="D1439" s="260">
        <v>100</v>
      </c>
      <c r="E1439" s="261">
        <v>0</v>
      </c>
      <c r="F1439" s="262"/>
      <c r="G1439" s="261"/>
      <c r="H1439" s="261"/>
      <c r="I1439" s="263"/>
      <c r="J1439" s="261"/>
      <c r="K1439" s="261"/>
      <c r="L1439" s="261"/>
      <c r="M1439" s="261"/>
    </row>
    <row r="1440" spans="1:13" ht="45" x14ac:dyDescent="0.25">
      <c r="A1440" s="259" t="s">
        <v>249</v>
      </c>
      <c r="B1440" s="259" t="s">
        <v>208</v>
      </c>
      <c r="C1440" s="260">
        <v>2019</v>
      </c>
      <c r="D1440" s="260">
        <v>175</v>
      </c>
      <c r="E1440" s="261">
        <v>0</v>
      </c>
      <c r="F1440" s="262"/>
      <c r="G1440" s="261"/>
      <c r="H1440" s="261"/>
      <c r="I1440" s="263"/>
      <c r="J1440" s="261"/>
      <c r="K1440" s="261"/>
      <c r="L1440" s="261"/>
      <c r="M1440" s="261"/>
    </row>
    <row r="1441" spans="1:13" ht="45" x14ac:dyDescent="0.25">
      <c r="A1441" s="259" t="s">
        <v>249</v>
      </c>
      <c r="B1441" s="259" t="s">
        <v>208</v>
      </c>
      <c r="C1441" s="260">
        <v>2019</v>
      </c>
      <c r="D1441" s="260">
        <v>300</v>
      </c>
      <c r="E1441" s="261">
        <v>0</v>
      </c>
      <c r="F1441" s="262"/>
      <c r="G1441" s="261"/>
      <c r="H1441" s="261"/>
      <c r="I1441" s="263"/>
      <c r="J1441" s="261"/>
      <c r="K1441" s="261"/>
      <c r="L1441" s="261"/>
      <c r="M1441" s="261"/>
    </row>
    <row r="1442" spans="1:13" ht="45" x14ac:dyDescent="0.25">
      <c r="A1442" s="259" t="s">
        <v>249</v>
      </c>
      <c r="B1442" s="259" t="s">
        <v>208</v>
      </c>
      <c r="C1442" s="260">
        <v>2019</v>
      </c>
      <c r="D1442" s="260">
        <v>600</v>
      </c>
      <c r="E1442" s="261">
        <v>0</v>
      </c>
      <c r="F1442" s="262"/>
      <c r="G1442" s="261"/>
      <c r="H1442" s="261"/>
      <c r="I1442" s="263"/>
      <c r="J1442" s="261"/>
      <c r="K1442" s="261"/>
      <c r="L1442" s="261"/>
      <c r="M1442" s="261"/>
    </row>
    <row r="1443" spans="1:13" ht="30" x14ac:dyDescent="0.25">
      <c r="A1443" s="259" t="s">
        <v>249</v>
      </c>
      <c r="B1443" s="259" t="s">
        <v>192</v>
      </c>
      <c r="C1443" s="260">
        <v>2019</v>
      </c>
      <c r="D1443" s="260">
        <v>50</v>
      </c>
      <c r="E1443" s="261">
        <v>0</v>
      </c>
      <c r="F1443" s="262"/>
      <c r="G1443" s="261"/>
      <c r="H1443" s="261"/>
      <c r="I1443" s="263"/>
      <c r="J1443" s="261"/>
      <c r="K1443" s="261"/>
      <c r="L1443" s="261"/>
      <c r="M1443" s="261"/>
    </row>
    <row r="1444" spans="1:13" ht="30" x14ac:dyDescent="0.25">
      <c r="A1444" s="259" t="s">
        <v>249</v>
      </c>
      <c r="B1444" s="259" t="s">
        <v>192</v>
      </c>
      <c r="C1444" s="260">
        <v>2019</v>
      </c>
      <c r="D1444" s="260">
        <v>75</v>
      </c>
      <c r="E1444" s="261">
        <v>0</v>
      </c>
      <c r="F1444" s="262"/>
      <c r="G1444" s="261"/>
      <c r="H1444" s="261"/>
      <c r="I1444" s="263"/>
      <c r="J1444" s="261"/>
      <c r="K1444" s="261"/>
      <c r="L1444" s="261"/>
      <c r="M1444" s="261"/>
    </row>
    <row r="1445" spans="1:13" ht="30" x14ac:dyDescent="0.25">
      <c r="A1445" s="259" t="s">
        <v>249</v>
      </c>
      <c r="B1445" s="259" t="s">
        <v>192</v>
      </c>
      <c r="C1445" s="260">
        <v>2019</v>
      </c>
      <c r="D1445" s="260">
        <v>100</v>
      </c>
      <c r="E1445" s="261">
        <v>0</v>
      </c>
      <c r="F1445" s="262"/>
      <c r="G1445" s="261"/>
      <c r="H1445" s="261"/>
      <c r="I1445" s="263"/>
      <c r="J1445" s="261"/>
      <c r="K1445" s="261"/>
      <c r="L1445" s="261"/>
      <c r="M1445" s="261"/>
    </row>
    <row r="1446" spans="1:13" ht="30" x14ac:dyDescent="0.25">
      <c r="A1446" s="259" t="s">
        <v>249</v>
      </c>
      <c r="B1446" s="259" t="s">
        <v>192</v>
      </c>
      <c r="C1446" s="260">
        <v>2019</v>
      </c>
      <c r="D1446" s="260">
        <v>175</v>
      </c>
      <c r="E1446" s="261">
        <v>0</v>
      </c>
      <c r="F1446" s="262"/>
      <c r="G1446" s="261"/>
      <c r="H1446" s="261"/>
      <c r="I1446" s="263"/>
      <c r="J1446" s="261"/>
      <c r="K1446" s="261"/>
      <c r="L1446" s="261"/>
      <c r="M1446" s="261"/>
    </row>
    <row r="1447" spans="1:13" ht="30" x14ac:dyDescent="0.25">
      <c r="A1447" s="259" t="s">
        <v>249</v>
      </c>
      <c r="B1447" s="259" t="s">
        <v>192</v>
      </c>
      <c r="C1447" s="260">
        <v>2019</v>
      </c>
      <c r="D1447" s="260">
        <v>300</v>
      </c>
      <c r="E1447" s="261">
        <v>0</v>
      </c>
      <c r="F1447" s="262"/>
      <c r="G1447" s="261"/>
      <c r="H1447" s="261"/>
      <c r="I1447" s="263"/>
      <c r="J1447" s="261"/>
      <c r="K1447" s="261"/>
      <c r="L1447" s="261"/>
      <c r="M1447" s="261"/>
    </row>
    <row r="1448" spans="1:13" ht="30" x14ac:dyDescent="0.25">
      <c r="A1448" s="259" t="s">
        <v>249</v>
      </c>
      <c r="B1448" s="259" t="s">
        <v>192</v>
      </c>
      <c r="C1448" s="260">
        <v>2019</v>
      </c>
      <c r="D1448" s="260">
        <v>600</v>
      </c>
      <c r="E1448" s="261">
        <v>0</v>
      </c>
      <c r="F1448" s="262"/>
      <c r="G1448" s="261"/>
      <c r="H1448" s="261"/>
      <c r="I1448" s="263"/>
      <c r="J1448" s="261"/>
      <c r="K1448" s="261"/>
      <c r="L1448" s="261"/>
      <c r="M1448" s="261"/>
    </row>
    <row r="1449" spans="1:13" ht="45" x14ac:dyDescent="0.25">
      <c r="A1449" s="259" t="s">
        <v>249</v>
      </c>
      <c r="B1449" s="259" t="s">
        <v>211</v>
      </c>
      <c r="C1449" s="260">
        <v>2019</v>
      </c>
      <c r="D1449" s="260">
        <v>50</v>
      </c>
      <c r="E1449" s="261">
        <v>0</v>
      </c>
      <c r="F1449" s="262"/>
      <c r="G1449" s="261"/>
      <c r="H1449" s="261"/>
      <c r="I1449" s="263"/>
      <c r="J1449" s="261"/>
      <c r="K1449" s="261"/>
      <c r="L1449" s="261"/>
      <c r="M1449" s="261"/>
    </row>
    <row r="1450" spans="1:13" ht="45" x14ac:dyDescent="0.25">
      <c r="A1450" s="259" t="s">
        <v>249</v>
      </c>
      <c r="B1450" s="259" t="s">
        <v>211</v>
      </c>
      <c r="C1450" s="260">
        <v>2019</v>
      </c>
      <c r="D1450" s="260">
        <v>75</v>
      </c>
      <c r="E1450" s="261">
        <v>0</v>
      </c>
      <c r="F1450" s="262"/>
      <c r="G1450" s="261"/>
      <c r="H1450" s="261"/>
      <c r="I1450" s="263"/>
      <c r="J1450" s="261"/>
      <c r="K1450" s="261"/>
      <c r="L1450" s="261"/>
      <c r="M1450" s="261"/>
    </row>
    <row r="1451" spans="1:13" ht="45" x14ac:dyDescent="0.25">
      <c r="A1451" s="259" t="s">
        <v>249</v>
      </c>
      <c r="B1451" s="259" t="s">
        <v>211</v>
      </c>
      <c r="C1451" s="260">
        <v>2019</v>
      </c>
      <c r="D1451" s="260">
        <v>100</v>
      </c>
      <c r="E1451" s="261">
        <v>0</v>
      </c>
      <c r="F1451" s="262"/>
      <c r="G1451" s="261"/>
      <c r="H1451" s="261"/>
      <c r="I1451" s="263"/>
      <c r="J1451" s="261"/>
      <c r="K1451" s="261"/>
      <c r="L1451" s="261"/>
      <c r="M1451" s="261"/>
    </row>
    <row r="1452" spans="1:13" ht="45" x14ac:dyDescent="0.25">
      <c r="A1452" s="259" t="s">
        <v>249</v>
      </c>
      <c r="B1452" s="259" t="s">
        <v>211</v>
      </c>
      <c r="C1452" s="260">
        <v>2019</v>
      </c>
      <c r="D1452" s="260">
        <v>175</v>
      </c>
      <c r="E1452" s="261">
        <v>0</v>
      </c>
      <c r="F1452" s="262"/>
      <c r="G1452" s="261"/>
      <c r="H1452" s="261"/>
      <c r="I1452" s="263"/>
      <c r="J1452" s="261"/>
      <c r="K1452" s="261"/>
      <c r="L1452" s="261"/>
      <c r="M1452" s="261"/>
    </row>
    <row r="1453" spans="1:13" ht="45" x14ac:dyDescent="0.25">
      <c r="A1453" s="259" t="s">
        <v>249</v>
      </c>
      <c r="B1453" s="259" t="s">
        <v>211</v>
      </c>
      <c r="C1453" s="260">
        <v>2019</v>
      </c>
      <c r="D1453" s="260">
        <v>300</v>
      </c>
      <c r="E1453" s="261">
        <v>0</v>
      </c>
      <c r="F1453" s="262"/>
      <c r="G1453" s="261"/>
      <c r="H1453" s="261"/>
      <c r="I1453" s="263"/>
      <c r="J1453" s="261"/>
      <c r="K1453" s="261"/>
      <c r="L1453" s="261"/>
      <c r="M1453" s="261"/>
    </row>
    <row r="1454" spans="1:13" ht="45" x14ac:dyDescent="0.25">
      <c r="A1454" s="259" t="s">
        <v>249</v>
      </c>
      <c r="B1454" s="259" t="s">
        <v>211</v>
      </c>
      <c r="C1454" s="260">
        <v>2019</v>
      </c>
      <c r="D1454" s="260">
        <v>600</v>
      </c>
      <c r="E1454" s="261">
        <v>0</v>
      </c>
      <c r="F1454" s="262"/>
      <c r="G1454" s="261"/>
      <c r="H1454" s="261"/>
      <c r="I1454" s="263"/>
      <c r="J1454" s="261"/>
      <c r="K1454" s="261"/>
      <c r="L1454" s="261"/>
      <c r="M1454" s="261"/>
    </row>
    <row r="1455" spans="1:13" ht="30" x14ac:dyDescent="0.25">
      <c r="A1455" s="259" t="s">
        <v>249</v>
      </c>
      <c r="B1455" s="259" t="s">
        <v>212</v>
      </c>
      <c r="C1455" s="260">
        <v>2019</v>
      </c>
      <c r="D1455" s="260">
        <v>100</v>
      </c>
      <c r="E1455" s="261">
        <v>0</v>
      </c>
      <c r="F1455" s="262"/>
      <c r="G1455" s="261"/>
      <c r="H1455" s="261"/>
      <c r="I1455" s="261"/>
      <c r="J1455" s="261"/>
      <c r="K1455" s="261"/>
      <c r="L1455" s="261"/>
      <c r="M1455" s="261"/>
    </row>
    <row r="1456" spans="1:13" ht="30" x14ac:dyDescent="0.25">
      <c r="A1456" s="259" t="s">
        <v>249</v>
      </c>
      <c r="B1456" s="259" t="s">
        <v>212</v>
      </c>
      <c r="C1456" s="260">
        <v>2019</v>
      </c>
      <c r="D1456" s="260">
        <v>300</v>
      </c>
      <c r="E1456" s="261">
        <v>0</v>
      </c>
      <c r="F1456" s="262"/>
      <c r="G1456" s="261"/>
      <c r="H1456" s="261"/>
      <c r="I1456" s="261"/>
      <c r="J1456" s="261"/>
      <c r="K1456" s="261"/>
      <c r="L1456" s="261"/>
      <c r="M1456" s="261"/>
    </row>
    <row r="1457" spans="1:13" ht="30" x14ac:dyDescent="0.25">
      <c r="A1457" s="259" t="s">
        <v>249</v>
      </c>
      <c r="B1457" s="259" t="s">
        <v>212</v>
      </c>
      <c r="C1457" s="260">
        <v>2019</v>
      </c>
      <c r="D1457" s="260">
        <v>600</v>
      </c>
      <c r="E1457" s="261">
        <v>0</v>
      </c>
      <c r="F1457" s="262"/>
      <c r="G1457" s="261"/>
      <c r="H1457" s="261"/>
      <c r="I1457" s="261"/>
      <c r="J1457" s="261"/>
      <c r="K1457" s="261"/>
      <c r="L1457" s="261"/>
      <c r="M1457" s="261"/>
    </row>
    <row r="1458" spans="1:13" ht="30" x14ac:dyDescent="0.25">
      <c r="A1458" s="259" t="s">
        <v>249</v>
      </c>
      <c r="B1458" s="259" t="s">
        <v>212</v>
      </c>
      <c r="C1458" s="260">
        <v>2019</v>
      </c>
      <c r="D1458" s="260">
        <v>750</v>
      </c>
      <c r="E1458" s="261">
        <v>0</v>
      </c>
      <c r="F1458" s="262"/>
      <c r="G1458" s="261"/>
      <c r="H1458" s="261"/>
      <c r="I1458" s="261"/>
      <c r="J1458" s="261"/>
      <c r="K1458" s="261"/>
      <c r="L1458" s="261"/>
      <c r="M1458" s="261"/>
    </row>
    <row r="1459" spans="1:13" ht="30" x14ac:dyDescent="0.25">
      <c r="A1459" s="259" t="s">
        <v>249</v>
      </c>
      <c r="B1459" s="259" t="s">
        <v>212</v>
      </c>
      <c r="C1459" s="260">
        <v>2019</v>
      </c>
      <c r="D1459" s="260">
        <v>9999</v>
      </c>
      <c r="E1459" s="261">
        <v>0</v>
      </c>
      <c r="F1459" s="262"/>
      <c r="G1459" s="261"/>
      <c r="H1459" s="261"/>
      <c r="I1459" s="261"/>
      <c r="J1459" s="261"/>
      <c r="K1459" s="261"/>
      <c r="L1459" s="261"/>
      <c r="M1459" s="261"/>
    </row>
    <row r="1460" spans="1:13" ht="30" x14ac:dyDescent="0.25">
      <c r="A1460" s="259" t="s">
        <v>249</v>
      </c>
      <c r="B1460" s="259" t="s">
        <v>206</v>
      </c>
      <c r="C1460" s="260">
        <v>2020</v>
      </c>
      <c r="D1460" s="260">
        <v>50</v>
      </c>
      <c r="E1460" s="261">
        <v>0</v>
      </c>
      <c r="F1460" s="262"/>
      <c r="G1460" s="261"/>
      <c r="H1460" s="261"/>
      <c r="I1460" s="263"/>
      <c r="J1460" s="261"/>
      <c r="K1460" s="261"/>
      <c r="L1460" s="261"/>
      <c r="M1460" s="261"/>
    </row>
    <row r="1461" spans="1:13" ht="30" x14ac:dyDescent="0.25">
      <c r="A1461" s="259" t="s">
        <v>249</v>
      </c>
      <c r="B1461" s="259" t="s">
        <v>206</v>
      </c>
      <c r="C1461" s="260">
        <v>2020</v>
      </c>
      <c r="D1461" s="260">
        <v>75</v>
      </c>
      <c r="E1461" s="261">
        <v>0</v>
      </c>
      <c r="F1461" s="262"/>
      <c r="G1461" s="261"/>
      <c r="H1461" s="261"/>
      <c r="I1461" s="263"/>
      <c r="J1461" s="261"/>
      <c r="K1461" s="261"/>
      <c r="L1461" s="261"/>
      <c r="M1461" s="261"/>
    </row>
    <row r="1462" spans="1:13" ht="30" x14ac:dyDescent="0.25">
      <c r="A1462" s="259" t="s">
        <v>249</v>
      </c>
      <c r="B1462" s="259" t="s">
        <v>206</v>
      </c>
      <c r="C1462" s="260">
        <v>2020</v>
      </c>
      <c r="D1462" s="260">
        <v>100</v>
      </c>
      <c r="E1462" s="261">
        <v>0</v>
      </c>
      <c r="F1462" s="262"/>
      <c r="G1462" s="261"/>
      <c r="H1462" s="261"/>
      <c r="I1462" s="263"/>
      <c r="J1462" s="261"/>
      <c r="K1462" s="261"/>
      <c r="L1462" s="261"/>
      <c r="M1462" s="261"/>
    </row>
    <row r="1463" spans="1:13" ht="30" x14ac:dyDescent="0.25">
      <c r="A1463" s="259" t="s">
        <v>249</v>
      </c>
      <c r="B1463" s="259" t="s">
        <v>206</v>
      </c>
      <c r="C1463" s="260">
        <v>2020</v>
      </c>
      <c r="D1463" s="260">
        <v>175</v>
      </c>
      <c r="E1463" s="261">
        <v>0</v>
      </c>
      <c r="F1463" s="262"/>
      <c r="G1463" s="261"/>
      <c r="H1463" s="261"/>
      <c r="I1463" s="263"/>
      <c r="J1463" s="261"/>
      <c r="K1463" s="261"/>
      <c r="L1463" s="261"/>
      <c r="M1463" s="261"/>
    </row>
    <row r="1464" spans="1:13" ht="30" x14ac:dyDescent="0.25">
      <c r="A1464" s="259" t="s">
        <v>249</v>
      </c>
      <c r="B1464" s="259" t="s">
        <v>206</v>
      </c>
      <c r="C1464" s="260">
        <v>2020</v>
      </c>
      <c r="D1464" s="260">
        <v>300</v>
      </c>
      <c r="E1464" s="261">
        <v>0</v>
      </c>
      <c r="F1464" s="262"/>
      <c r="G1464" s="261"/>
      <c r="H1464" s="261"/>
      <c r="I1464" s="263"/>
      <c r="J1464" s="261"/>
      <c r="K1464" s="261"/>
      <c r="L1464" s="261"/>
      <c r="M1464" s="261"/>
    </row>
    <row r="1465" spans="1:13" ht="30" x14ac:dyDescent="0.25">
      <c r="A1465" s="259" t="s">
        <v>249</v>
      </c>
      <c r="B1465" s="259" t="s">
        <v>206</v>
      </c>
      <c r="C1465" s="260">
        <v>2020</v>
      </c>
      <c r="D1465" s="260">
        <v>600</v>
      </c>
      <c r="E1465" s="261">
        <v>0</v>
      </c>
      <c r="F1465" s="262"/>
      <c r="G1465" s="261"/>
      <c r="H1465" s="261"/>
      <c r="I1465" s="263"/>
      <c r="J1465" s="261"/>
      <c r="K1465" s="261"/>
      <c r="L1465" s="261"/>
      <c r="M1465" s="261"/>
    </row>
    <row r="1466" spans="1:13" ht="45" x14ac:dyDescent="0.25">
      <c r="A1466" s="259" t="s">
        <v>249</v>
      </c>
      <c r="B1466" s="259" t="s">
        <v>208</v>
      </c>
      <c r="C1466" s="260">
        <v>2020</v>
      </c>
      <c r="D1466" s="260">
        <v>100</v>
      </c>
      <c r="E1466" s="261">
        <v>0</v>
      </c>
      <c r="F1466" s="262"/>
      <c r="G1466" s="261"/>
      <c r="H1466" s="261"/>
      <c r="I1466" s="263"/>
      <c r="J1466" s="261"/>
      <c r="K1466" s="261"/>
      <c r="L1466" s="261"/>
      <c r="M1466" s="261"/>
    </row>
    <row r="1467" spans="1:13" ht="45" x14ac:dyDescent="0.25">
      <c r="A1467" s="259" t="s">
        <v>249</v>
      </c>
      <c r="B1467" s="259" t="s">
        <v>208</v>
      </c>
      <c r="C1467" s="260">
        <v>2020</v>
      </c>
      <c r="D1467" s="260">
        <v>175</v>
      </c>
      <c r="E1467" s="261">
        <v>0</v>
      </c>
      <c r="F1467" s="262"/>
      <c r="G1467" s="261"/>
      <c r="H1467" s="261"/>
      <c r="I1467" s="263"/>
      <c r="J1467" s="261"/>
      <c r="K1467" s="261"/>
      <c r="L1467" s="261"/>
      <c r="M1467" s="261"/>
    </row>
    <row r="1468" spans="1:13" ht="45" x14ac:dyDescent="0.25">
      <c r="A1468" s="259" t="s">
        <v>249</v>
      </c>
      <c r="B1468" s="259" t="s">
        <v>208</v>
      </c>
      <c r="C1468" s="260">
        <v>2020</v>
      </c>
      <c r="D1468" s="260">
        <v>300</v>
      </c>
      <c r="E1468" s="261">
        <v>0</v>
      </c>
      <c r="F1468" s="262"/>
      <c r="G1468" s="261"/>
      <c r="H1468" s="261"/>
      <c r="I1468" s="263"/>
      <c r="J1468" s="261"/>
      <c r="K1468" s="261"/>
      <c r="L1468" s="261"/>
      <c r="M1468" s="261"/>
    </row>
    <row r="1469" spans="1:13" ht="45" x14ac:dyDescent="0.25">
      <c r="A1469" s="259" t="s">
        <v>249</v>
      </c>
      <c r="B1469" s="259" t="s">
        <v>208</v>
      </c>
      <c r="C1469" s="260">
        <v>2020</v>
      </c>
      <c r="D1469" s="260">
        <v>600</v>
      </c>
      <c r="E1469" s="261">
        <v>0</v>
      </c>
      <c r="F1469" s="262"/>
      <c r="G1469" s="261"/>
      <c r="H1469" s="261"/>
      <c r="I1469" s="263"/>
      <c r="J1469" s="261"/>
      <c r="K1469" s="261"/>
      <c r="L1469" s="261"/>
      <c r="M1469" s="261"/>
    </row>
    <row r="1470" spans="1:13" ht="30" x14ac:dyDescent="0.25">
      <c r="A1470" s="259" t="s">
        <v>249</v>
      </c>
      <c r="B1470" s="259" t="s">
        <v>192</v>
      </c>
      <c r="C1470" s="260">
        <v>2020</v>
      </c>
      <c r="D1470" s="260">
        <v>50</v>
      </c>
      <c r="E1470" s="261">
        <v>0</v>
      </c>
      <c r="F1470" s="262"/>
      <c r="G1470" s="261"/>
      <c r="H1470" s="261"/>
      <c r="I1470" s="263"/>
      <c r="J1470" s="261"/>
      <c r="K1470" s="261"/>
      <c r="L1470" s="261"/>
      <c r="M1470" s="261"/>
    </row>
    <row r="1471" spans="1:13" ht="30" x14ac:dyDescent="0.25">
      <c r="A1471" s="259" t="s">
        <v>249</v>
      </c>
      <c r="B1471" s="259" t="s">
        <v>192</v>
      </c>
      <c r="C1471" s="260">
        <v>2020</v>
      </c>
      <c r="D1471" s="260">
        <v>75</v>
      </c>
      <c r="E1471" s="261">
        <v>0</v>
      </c>
      <c r="F1471" s="262"/>
      <c r="G1471" s="261"/>
      <c r="H1471" s="261"/>
      <c r="I1471" s="263"/>
      <c r="J1471" s="261"/>
      <c r="K1471" s="261"/>
      <c r="L1471" s="261"/>
      <c r="M1471" s="261"/>
    </row>
    <row r="1472" spans="1:13" ht="30" x14ac:dyDescent="0.25">
      <c r="A1472" s="259" t="s">
        <v>249</v>
      </c>
      <c r="B1472" s="259" t="s">
        <v>192</v>
      </c>
      <c r="C1472" s="260">
        <v>2020</v>
      </c>
      <c r="D1472" s="260">
        <v>100</v>
      </c>
      <c r="E1472" s="261">
        <v>0</v>
      </c>
      <c r="F1472" s="262"/>
      <c r="G1472" s="261"/>
      <c r="H1472" s="261"/>
      <c r="I1472" s="263"/>
      <c r="J1472" s="261"/>
      <c r="K1472" s="261"/>
      <c r="L1472" s="261"/>
      <c r="M1472" s="261"/>
    </row>
    <row r="1473" spans="1:13" ht="30" x14ac:dyDescent="0.25">
      <c r="A1473" s="259" t="s">
        <v>249</v>
      </c>
      <c r="B1473" s="259" t="s">
        <v>192</v>
      </c>
      <c r="C1473" s="260">
        <v>2020</v>
      </c>
      <c r="D1473" s="260">
        <v>175</v>
      </c>
      <c r="E1473" s="261">
        <v>0</v>
      </c>
      <c r="F1473" s="262"/>
      <c r="G1473" s="261"/>
      <c r="H1473" s="261"/>
      <c r="I1473" s="263"/>
      <c r="J1473" s="261"/>
      <c r="K1473" s="261"/>
      <c r="L1473" s="261"/>
      <c r="M1473" s="261"/>
    </row>
    <row r="1474" spans="1:13" ht="30" x14ac:dyDescent="0.25">
      <c r="A1474" s="259" t="s">
        <v>249</v>
      </c>
      <c r="B1474" s="259" t="s">
        <v>192</v>
      </c>
      <c r="C1474" s="260">
        <v>2020</v>
      </c>
      <c r="D1474" s="260">
        <v>300</v>
      </c>
      <c r="E1474" s="261">
        <v>0</v>
      </c>
      <c r="F1474" s="262"/>
      <c r="G1474" s="261"/>
      <c r="H1474" s="261"/>
      <c r="I1474" s="263"/>
      <c r="J1474" s="261"/>
      <c r="K1474" s="261"/>
      <c r="L1474" s="261"/>
      <c r="M1474" s="261"/>
    </row>
    <row r="1475" spans="1:13" ht="30" x14ac:dyDescent="0.25">
      <c r="A1475" s="259" t="s">
        <v>249</v>
      </c>
      <c r="B1475" s="259" t="s">
        <v>192</v>
      </c>
      <c r="C1475" s="260">
        <v>2020</v>
      </c>
      <c r="D1475" s="260">
        <v>600</v>
      </c>
      <c r="E1475" s="261">
        <v>0</v>
      </c>
      <c r="F1475" s="262"/>
      <c r="G1475" s="261"/>
      <c r="H1475" s="261"/>
      <c r="I1475" s="263"/>
      <c r="J1475" s="261"/>
      <c r="K1475" s="261"/>
      <c r="L1475" s="261"/>
      <c r="M1475" s="261"/>
    </row>
    <row r="1476" spans="1:13" ht="45" x14ac:dyDescent="0.25">
      <c r="A1476" s="259" t="s">
        <v>249</v>
      </c>
      <c r="B1476" s="259" t="s">
        <v>211</v>
      </c>
      <c r="C1476" s="260">
        <v>2020</v>
      </c>
      <c r="D1476" s="260">
        <v>50</v>
      </c>
      <c r="E1476" s="261">
        <v>0</v>
      </c>
      <c r="F1476" s="262"/>
      <c r="G1476" s="261"/>
      <c r="H1476" s="261"/>
      <c r="I1476" s="263"/>
      <c r="J1476" s="261"/>
      <c r="K1476" s="261"/>
      <c r="L1476" s="261"/>
      <c r="M1476" s="261"/>
    </row>
    <row r="1477" spans="1:13" ht="45" x14ac:dyDescent="0.25">
      <c r="A1477" s="259" t="s">
        <v>249</v>
      </c>
      <c r="B1477" s="259" t="s">
        <v>211</v>
      </c>
      <c r="C1477" s="260">
        <v>2020</v>
      </c>
      <c r="D1477" s="260">
        <v>75</v>
      </c>
      <c r="E1477" s="261">
        <v>0</v>
      </c>
      <c r="F1477" s="262"/>
      <c r="G1477" s="261"/>
      <c r="H1477" s="261"/>
      <c r="I1477" s="263"/>
      <c r="J1477" s="261"/>
      <c r="K1477" s="261"/>
      <c r="L1477" s="261"/>
      <c r="M1477" s="261"/>
    </row>
    <row r="1478" spans="1:13" ht="45" x14ac:dyDescent="0.25">
      <c r="A1478" s="259" t="s">
        <v>249</v>
      </c>
      <c r="B1478" s="259" t="s">
        <v>211</v>
      </c>
      <c r="C1478" s="260">
        <v>2020</v>
      </c>
      <c r="D1478" s="260">
        <v>100</v>
      </c>
      <c r="E1478" s="261">
        <v>0</v>
      </c>
      <c r="F1478" s="262"/>
      <c r="G1478" s="261"/>
      <c r="H1478" s="261"/>
      <c r="I1478" s="263"/>
      <c r="J1478" s="261"/>
      <c r="K1478" s="261"/>
      <c r="L1478" s="261"/>
      <c r="M1478" s="261"/>
    </row>
    <row r="1479" spans="1:13" ht="45" x14ac:dyDescent="0.25">
      <c r="A1479" s="259" t="s">
        <v>249</v>
      </c>
      <c r="B1479" s="259" t="s">
        <v>211</v>
      </c>
      <c r="C1479" s="260">
        <v>2020</v>
      </c>
      <c r="D1479" s="260">
        <v>175</v>
      </c>
      <c r="E1479" s="261">
        <v>0</v>
      </c>
      <c r="F1479" s="262"/>
      <c r="G1479" s="261"/>
      <c r="H1479" s="261"/>
      <c r="I1479" s="263"/>
      <c r="J1479" s="261"/>
      <c r="K1479" s="261"/>
      <c r="L1479" s="261"/>
      <c r="M1479" s="261"/>
    </row>
    <row r="1480" spans="1:13" ht="45" x14ac:dyDescent="0.25">
      <c r="A1480" s="259" t="s">
        <v>249</v>
      </c>
      <c r="B1480" s="259" t="s">
        <v>211</v>
      </c>
      <c r="C1480" s="260">
        <v>2020</v>
      </c>
      <c r="D1480" s="260">
        <v>300</v>
      </c>
      <c r="E1480" s="261">
        <v>0</v>
      </c>
      <c r="F1480" s="262"/>
      <c r="G1480" s="261"/>
      <c r="H1480" s="261"/>
      <c r="I1480" s="263"/>
      <c r="J1480" s="261"/>
      <c r="K1480" s="261"/>
      <c r="L1480" s="261"/>
      <c r="M1480" s="261"/>
    </row>
    <row r="1481" spans="1:13" ht="45" x14ac:dyDescent="0.25">
      <c r="A1481" s="259" t="s">
        <v>249</v>
      </c>
      <c r="B1481" s="259" t="s">
        <v>211</v>
      </c>
      <c r="C1481" s="260">
        <v>2020</v>
      </c>
      <c r="D1481" s="260">
        <v>600</v>
      </c>
      <c r="E1481" s="261">
        <v>0</v>
      </c>
      <c r="F1481" s="262"/>
      <c r="G1481" s="261"/>
      <c r="H1481" s="261"/>
      <c r="I1481" s="263"/>
      <c r="J1481" s="261"/>
      <c r="K1481" s="261"/>
      <c r="L1481" s="261"/>
      <c r="M1481" s="261"/>
    </row>
    <row r="1482" spans="1:13" ht="30" x14ac:dyDescent="0.25">
      <c r="A1482" s="259" t="s">
        <v>249</v>
      </c>
      <c r="B1482" s="259" t="s">
        <v>212</v>
      </c>
      <c r="C1482" s="260">
        <v>2020</v>
      </c>
      <c r="D1482" s="260">
        <v>100</v>
      </c>
      <c r="E1482" s="261">
        <v>0</v>
      </c>
      <c r="F1482" s="262"/>
      <c r="G1482" s="261"/>
      <c r="H1482" s="261"/>
      <c r="I1482" s="261"/>
      <c r="J1482" s="261"/>
      <c r="K1482" s="261"/>
      <c r="L1482" s="261"/>
      <c r="M1482" s="261"/>
    </row>
    <row r="1483" spans="1:13" ht="30" x14ac:dyDescent="0.25">
      <c r="A1483" s="259" t="s">
        <v>249</v>
      </c>
      <c r="B1483" s="259" t="s">
        <v>212</v>
      </c>
      <c r="C1483" s="260">
        <v>2020</v>
      </c>
      <c r="D1483" s="260">
        <v>300</v>
      </c>
      <c r="E1483" s="261">
        <v>0</v>
      </c>
      <c r="F1483" s="262"/>
      <c r="G1483" s="261"/>
      <c r="H1483" s="261"/>
      <c r="I1483" s="261"/>
      <c r="J1483" s="261"/>
      <c r="K1483" s="261"/>
      <c r="L1483" s="261"/>
      <c r="M1483" s="261"/>
    </row>
    <row r="1484" spans="1:13" ht="30" x14ac:dyDescent="0.25">
      <c r="A1484" s="259" t="s">
        <v>249</v>
      </c>
      <c r="B1484" s="259" t="s">
        <v>212</v>
      </c>
      <c r="C1484" s="260">
        <v>2020</v>
      </c>
      <c r="D1484" s="260">
        <v>600</v>
      </c>
      <c r="E1484" s="261">
        <v>0</v>
      </c>
      <c r="F1484" s="262"/>
      <c r="G1484" s="261"/>
      <c r="H1484" s="261"/>
      <c r="I1484" s="261"/>
      <c r="J1484" s="261"/>
      <c r="K1484" s="261"/>
      <c r="L1484" s="261"/>
      <c r="M1484" s="261"/>
    </row>
    <row r="1485" spans="1:13" ht="30" x14ac:dyDescent="0.25">
      <c r="A1485" s="259" t="s">
        <v>249</v>
      </c>
      <c r="B1485" s="259" t="s">
        <v>212</v>
      </c>
      <c r="C1485" s="260">
        <v>2020</v>
      </c>
      <c r="D1485" s="260">
        <v>750</v>
      </c>
      <c r="E1485" s="261">
        <v>0</v>
      </c>
      <c r="F1485" s="262"/>
      <c r="G1485" s="261"/>
      <c r="H1485" s="261"/>
      <c r="I1485" s="261"/>
      <c r="J1485" s="261"/>
      <c r="K1485" s="261"/>
      <c r="L1485" s="261"/>
      <c r="M1485" s="261"/>
    </row>
    <row r="1486" spans="1:13" ht="30" x14ac:dyDescent="0.25">
      <c r="A1486" s="259" t="s">
        <v>249</v>
      </c>
      <c r="B1486" s="259" t="s">
        <v>212</v>
      </c>
      <c r="C1486" s="260">
        <v>2020</v>
      </c>
      <c r="D1486" s="260">
        <v>9999</v>
      </c>
      <c r="E1486" s="261">
        <v>0</v>
      </c>
      <c r="F1486" s="262"/>
      <c r="G1486" s="261"/>
      <c r="H1486" s="261"/>
      <c r="I1486" s="261"/>
      <c r="J1486" s="261"/>
      <c r="K1486" s="261"/>
      <c r="L1486" s="261"/>
      <c r="M1486" s="261"/>
    </row>
    <row r="1487" spans="1:13" ht="30" x14ac:dyDescent="0.25">
      <c r="A1487" s="259" t="s">
        <v>249</v>
      </c>
      <c r="B1487" s="259" t="s">
        <v>206</v>
      </c>
      <c r="C1487" s="260">
        <v>2021</v>
      </c>
      <c r="D1487" s="260">
        <v>50</v>
      </c>
      <c r="E1487" s="261">
        <v>0</v>
      </c>
      <c r="F1487" s="262"/>
      <c r="G1487" s="261"/>
      <c r="H1487" s="261"/>
      <c r="I1487" s="263"/>
      <c r="J1487" s="261"/>
      <c r="K1487" s="261"/>
      <c r="L1487" s="261"/>
      <c r="M1487" s="261"/>
    </row>
    <row r="1488" spans="1:13" ht="30" x14ac:dyDescent="0.25">
      <c r="A1488" s="259" t="s">
        <v>249</v>
      </c>
      <c r="B1488" s="259" t="s">
        <v>206</v>
      </c>
      <c r="C1488" s="260">
        <v>2021</v>
      </c>
      <c r="D1488" s="260">
        <v>75</v>
      </c>
      <c r="E1488" s="261">
        <v>0</v>
      </c>
      <c r="F1488" s="262"/>
      <c r="G1488" s="261"/>
      <c r="H1488" s="261"/>
      <c r="I1488" s="263"/>
      <c r="J1488" s="261"/>
      <c r="K1488" s="261"/>
      <c r="L1488" s="261"/>
      <c r="M1488" s="261"/>
    </row>
    <row r="1489" spans="1:13" ht="30" x14ac:dyDescent="0.25">
      <c r="A1489" s="259" t="s">
        <v>249</v>
      </c>
      <c r="B1489" s="259" t="s">
        <v>206</v>
      </c>
      <c r="C1489" s="260">
        <v>2021</v>
      </c>
      <c r="D1489" s="260">
        <v>100</v>
      </c>
      <c r="E1489" s="261">
        <v>0</v>
      </c>
      <c r="F1489" s="262"/>
      <c r="G1489" s="261"/>
      <c r="H1489" s="261"/>
      <c r="I1489" s="263"/>
      <c r="J1489" s="261"/>
      <c r="K1489" s="261"/>
      <c r="L1489" s="261"/>
      <c r="M1489" s="261"/>
    </row>
    <row r="1490" spans="1:13" ht="30" x14ac:dyDescent="0.25">
      <c r="A1490" s="259" t="s">
        <v>249</v>
      </c>
      <c r="B1490" s="259" t="s">
        <v>206</v>
      </c>
      <c r="C1490" s="260">
        <v>2021</v>
      </c>
      <c r="D1490" s="260">
        <v>175</v>
      </c>
      <c r="E1490" s="261">
        <v>0</v>
      </c>
      <c r="F1490" s="262"/>
      <c r="G1490" s="261"/>
      <c r="H1490" s="261"/>
      <c r="I1490" s="263"/>
      <c r="J1490" s="261"/>
      <c r="K1490" s="261"/>
      <c r="L1490" s="261"/>
      <c r="M1490" s="261"/>
    </row>
    <row r="1491" spans="1:13" ht="30" x14ac:dyDescent="0.25">
      <c r="A1491" s="259" t="s">
        <v>249</v>
      </c>
      <c r="B1491" s="259" t="s">
        <v>206</v>
      </c>
      <c r="C1491" s="260">
        <v>2021</v>
      </c>
      <c r="D1491" s="260">
        <v>300</v>
      </c>
      <c r="E1491" s="261">
        <v>0</v>
      </c>
      <c r="F1491" s="262"/>
      <c r="G1491" s="261"/>
      <c r="H1491" s="261"/>
      <c r="I1491" s="263"/>
      <c r="J1491" s="261"/>
      <c r="K1491" s="261"/>
      <c r="L1491" s="261"/>
      <c r="M1491" s="261"/>
    </row>
    <row r="1492" spans="1:13" ht="30" x14ac:dyDescent="0.25">
      <c r="A1492" s="259" t="s">
        <v>249</v>
      </c>
      <c r="B1492" s="259" t="s">
        <v>206</v>
      </c>
      <c r="C1492" s="260">
        <v>2021</v>
      </c>
      <c r="D1492" s="260">
        <v>600</v>
      </c>
      <c r="E1492" s="261">
        <v>0</v>
      </c>
      <c r="F1492" s="262"/>
      <c r="G1492" s="261"/>
      <c r="H1492" s="261"/>
      <c r="I1492" s="263"/>
      <c r="J1492" s="261"/>
      <c r="K1492" s="261"/>
      <c r="L1492" s="261"/>
      <c r="M1492" s="261"/>
    </row>
    <row r="1493" spans="1:13" ht="45" x14ac:dyDescent="0.25">
      <c r="A1493" s="259" t="s">
        <v>249</v>
      </c>
      <c r="B1493" s="259" t="s">
        <v>208</v>
      </c>
      <c r="C1493" s="260">
        <v>2021</v>
      </c>
      <c r="D1493" s="260">
        <v>100</v>
      </c>
      <c r="E1493" s="261">
        <v>0</v>
      </c>
      <c r="F1493" s="262"/>
      <c r="G1493" s="261"/>
      <c r="H1493" s="261"/>
      <c r="I1493" s="263"/>
      <c r="J1493" s="261"/>
      <c r="K1493" s="261"/>
      <c r="L1493" s="261"/>
      <c r="M1493" s="261"/>
    </row>
    <row r="1494" spans="1:13" ht="45" x14ac:dyDescent="0.25">
      <c r="A1494" s="259" t="s">
        <v>249</v>
      </c>
      <c r="B1494" s="259" t="s">
        <v>208</v>
      </c>
      <c r="C1494" s="260">
        <v>2021</v>
      </c>
      <c r="D1494" s="260">
        <v>175</v>
      </c>
      <c r="E1494" s="261">
        <v>0</v>
      </c>
      <c r="F1494" s="262"/>
      <c r="G1494" s="261"/>
      <c r="H1494" s="261"/>
      <c r="I1494" s="263"/>
      <c r="J1494" s="261"/>
      <c r="K1494" s="261"/>
      <c r="L1494" s="261"/>
      <c r="M1494" s="261"/>
    </row>
    <row r="1495" spans="1:13" ht="45" x14ac:dyDescent="0.25">
      <c r="A1495" s="259" t="s">
        <v>249</v>
      </c>
      <c r="B1495" s="259" t="s">
        <v>208</v>
      </c>
      <c r="C1495" s="260">
        <v>2021</v>
      </c>
      <c r="D1495" s="260">
        <v>300</v>
      </c>
      <c r="E1495" s="261">
        <v>0</v>
      </c>
      <c r="F1495" s="262"/>
      <c r="G1495" s="261"/>
      <c r="H1495" s="261"/>
      <c r="I1495" s="263"/>
      <c r="J1495" s="261"/>
      <c r="K1495" s="261"/>
      <c r="L1495" s="261"/>
      <c r="M1495" s="261"/>
    </row>
    <row r="1496" spans="1:13" ht="45" x14ac:dyDescent="0.25">
      <c r="A1496" s="259" t="s">
        <v>249</v>
      </c>
      <c r="B1496" s="259" t="s">
        <v>208</v>
      </c>
      <c r="C1496" s="260">
        <v>2021</v>
      </c>
      <c r="D1496" s="260">
        <v>600</v>
      </c>
      <c r="E1496" s="261">
        <v>0</v>
      </c>
      <c r="F1496" s="262"/>
      <c r="G1496" s="261"/>
      <c r="H1496" s="261"/>
      <c r="I1496" s="263"/>
      <c r="J1496" s="261"/>
      <c r="K1496" s="261"/>
      <c r="L1496" s="261"/>
      <c r="M1496" s="261"/>
    </row>
    <row r="1497" spans="1:13" ht="30" x14ac:dyDescent="0.25">
      <c r="A1497" s="259" t="s">
        <v>249</v>
      </c>
      <c r="B1497" s="259" t="s">
        <v>192</v>
      </c>
      <c r="C1497" s="260">
        <v>2021</v>
      </c>
      <c r="D1497" s="260">
        <v>50</v>
      </c>
      <c r="E1497" s="261">
        <v>0</v>
      </c>
      <c r="F1497" s="262"/>
      <c r="G1497" s="261"/>
      <c r="H1497" s="261"/>
      <c r="I1497" s="263"/>
      <c r="J1497" s="261"/>
      <c r="K1497" s="261"/>
      <c r="L1497" s="261"/>
      <c r="M1497" s="261"/>
    </row>
    <row r="1498" spans="1:13" ht="30" x14ac:dyDescent="0.25">
      <c r="A1498" s="259" t="s">
        <v>249</v>
      </c>
      <c r="B1498" s="259" t="s">
        <v>192</v>
      </c>
      <c r="C1498" s="260">
        <v>2021</v>
      </c>
      <c r="D1498" s="260">
        <v>75</v>
      </c>
      <c r="E1498" s="261">
        <v>0</v>
      </c>
      <c r="F1498" s="262"/>
      <c r="G1498" s="261"/>
      <c r="H1498" s="261"/>
      <c r="I1498" s="263"/>
      <c r="J1498" s="261"/>
      <c r="K1498" s="261"/>
      <c r="L1498" s="261"/>
      <c r="M1498" s="261"/>
    </row>
    <row r="1499" spans="1:13" ht="30" x14ac:dyDescent="0.25">
      <c r="A1499" s="259" t="s">
        <v>249</v>
      </c>
      <c r="B1499" s="259" t="s">
        <v>192</v>
      </c>
      <c r="C1499" s="260">
        <v>2021</v>
      </c>
      <c r="D1499" s="260">
        <v>100</v>
      </c>
      <c r="E1499" s="261">
        <v>0</v>
      </c>
      <c r="F1499" s="262"/>
      <c r="G1499" s="261"/>
      <c r="H1499" s="261"/>
      <c r="I1499" s="263"/>
      <c r="J1499" s="261"/>
      <c r="K1499" s="261"/>
      <c r="L1499" s="261"/>
      <c r="M1499" s="261"/>
    </row>
    <row r="1500" spans="1:13" ht="30" x14ac:dyDescent="0.25">
      <c r="A1500" s="259" t="s">
        <v>249</v>
      </c>
      <c r="B1500" s="259" t="s">
        <v>192</v>
      </c>
      <c r="C1500" s="260">
        <v>2021</v>
      </c>
      <c r="D1500" s="260">
        <v>175</v>
      </c>
      <c r="E1500" s="261">
        <v>0</v>
      </c>
      <c r="F1500" s="262"/>
      <c r="G1500" s="261"/>
      <c r="H1500" s="261"/>
      <c r="I1500" s="263"/>
      <c r="J1500" s="261"/>
      <c r="K1500" s="261"/>
      <c r="L1500" s="261"/>
      <c r="M1500" s="261"/>
    </row>
    <row r="1501" spans="1:13" ht="30" x14ac:dyDescent="0.25">
      <c r="A1501" s="259" t="s">
        <v>249</v>
      </c>
      <c r="B1501" s="259" t="s">
        <v>192</v>
      </c>
      <c r="C1501" s="260">
        <v>2021</v>
      </c>
      <c r="D1501" s="260">
        <v>300</v>
      </c>
      <c r="E1501" s="261">
        <v>0</v>
      </c>
      <c r="F1501" s="262"/>
      <c r="G1501" s="261"/>
      <c r="H1501" s="261"/>
      <c r="I1501" s="263"/>
      <c r="J1501" s="261"/>
      <c r="K1501" s="261"/>
      <c r="L1501" s="261"/>
      <c r="M1501" s="261"/>
    </row>
    <row r="1502" spans="1:13" ht="30" x14ac:dyDescent="0.25">
      <c r="A1502" s="259" t="s">
        <v>249</v>
      </c>
      <c r="B1502" s="259" t="s">
        <v>192</v>
      </c>
      <c r="C1502" s="260">
        <v>2021</v>
      </c>
      <c r="D1502" s="260">
        <v>600</v>
      </c>
      <c r="E1502" s="261">
        <v>0</v>
      </c>
      <c r="F1502" s="262"/>
      <c r="G1502" s="261"/>
      <c r="H1502" s="261"/>
      <c r="I1502" s="263"/>
      <c r="J1502" s="261"/>
      <c r="K1502" s="261"/>
      <c r="L1502" s="261"/>
      <c r="M1502" s="261"/>
    </row>
    <row r="1503" spans="1:13" ht="45" x14ac:dyDescent="0.25">
      <c r="A1503" s="259" t="s">
        <v>249</v>
      </c>
      <c r="B1503" s="259" t="s">
        <v>211</v>
      </c>
      <c r="C1503" s="260">
        <v>2021</v>
      </c>
      <c r="D1503" s="260">
        <v>50</v>
      </c>
      <c r="E1503" s="261">
        <v>0</v>
      </c>
      <c r="F1503" s="262"/>
      <c r="G1503" s="261"/>
      <c r="H1503" s="261"/>
      <c r="I1503" s="263"/>
      <c r="J1503" s="261"/>
      <c r="K1503" s="261"/>
      <c r="L1503" s="261"/>
      <c r="M1503" s="261"/>
    </row>
    <row r="1504" spans="1:13" ht="45" x14ac:dyDescent="0.25">
      <c r="A1504" s="259" t="s">
        <v>249</v>
      </c>
      <c r="B1504" s="259" t="s">
        <v>211</v>
      </c>
      <c r="C1504" s="260">
        <v>2021</v>
      </c>
      <c r="D1504" s="260">
        <v>75</v>
      </c>
      <c r="E1504" s="261">
        <v>0</v>
      </c>
      <c r="F1504" s="262"/>
      <c r="G1504" s="261"/>
      <c r="H1504" s="261"/>
      <c r="I1504" s="263"/>
      <c r="J1504" s="261"/>
      <c r="K1504" s="261"/>
      <c r="L1504" s="261"/>
      <c r="M1504" s="261"/>
    </row>
    <row r="1505" spans="1:13" ht="45" x14ac:dyDescent="0.25">
      <c r="A1505" s="259" t="s">
        <v>249</v>
      </c>
      <c r="B1505" s="259" t="s">
        <v>211</v>
      </c>
      <c r="C1505" s="260">
        <v>2021</v>
      </c>
      <c r="D1505" s="260">
        <v>100</v>
      </c>
      <c r="E1505" s="261">
        <v>0</v>
      </c>
      <c r="F1505" s="262"/>
      <c r="G1505" s="261"/>
      <c r="H1505" s="261"/>
      <c r="I1505" s="263"/>
      <c r="J1505" s="261"/>
      <c r="K1505" s="261"/>
      <c r="L1505" s="261"/>
      <c r="M1505" s="261"/>
    </row>
    <row r="1506" spans="1:13" ht="45" x14ac:dyDescent="0.25">
      <c r="A1506" s="259" t="s">
        <v>249</v>
      </c>
      <c r="B1506" s="259" t="s">
        <v>211</v>
      </c>
      <c r="C1506" s="260">
        <v>2021</v>
      </c>
      <c r="D1506" s="260">
        <v>175</v>
      </c>
      <c r="E1506" s="261">
        <v>0</v>
      </c>
      <c r="F1506" s="262"/>
      <c r="G1506" s="261"/>
      <c r="H1506" s="261"/>
      <c r="I1506" s="263"/>
      <c r="J1506" s="261"/>
      <c r="K1506" s="261"/>
      <c r="L1506" s="261"/>
      <c r="M1506" s="261"/>
    </row>
    <row r="1507" spans="1:13" ht="45" x14ac:dyDescent="0.25">
      <c r="A1507" s="259" t="s">
        <v>249</v>
      </c>
      <c r="B1507" s="259" t="s">
        <v>211</v>
      </c>
      <c r="C1507" s="260">
        <v>2021</v>
      </c>
      <c r="D1507" s="260">
        <v>300</v>
      </c>
      <c r="E1507" s="261">
        <v>0</v>
      </c>
      <c r="F1507" s="262"/>
      <c r="G1507" s="261"/>
      <c r="H1507" s="261"/>
      <c r="I1507" s="263"/>
      <c r="J1507" s="261"/>
      <c r="K1507" s="261"/>
      <c r="L1507" s="261"/>
      <c r="M1507" s="261"/>
    </row>
    <row r="1508" spans="1:13" ht="45" x14ac:dyDescent="0.25">
      <c r="A1508" s="259" t="s">
        <v>249</v>
      </c>
      <c r="B1508" s="259" t="s">
        <v>211</v>
      </c>
      <c r="C1508" s="260">
        <v>2021</v>
      </c>
      <c r="D1508" s="260">
        <v>600</v>
      </c>
      <c r="E1508" s="261">
        <v>0</v>
      </c>
      <c r="F1508" s="262"/>
      <c r="G1508" s="261"/>
      <c r="H1508" s="261"/>
      <c r="I1508" s="263"/>
      <c r="J1508" s="261"/>
      <c r="K1508" s="261"/>
      <c r="L1508" s="261"/>
      <c r="M1508" s="261"/>
    </row>
    <row r="1509" spans="1:13" ht="30" x14ac:dyDescent="0.25">
      <c r="A1509" s="259" t="s">
        <v>249</v>
      </c>
      <c r="B1509" s="259" t="s">
        <v>212</v>
      </c>
      <c r="C1509" s="260">
        <v>2021</v>
      </c>
      <c r="D1509" s="260">
        <v>100</v>
      </c>
      <c r="E1509" s="261">
        <v>0</v>
      </c>
      <c r="F1509" s="262"/>
      <c r="G1509" s="261"/>
      <c r="H1509" s="261"/>
      <c r="I1509" s="261"/>
      <c r="J1509" s="261"/>
      <c r="K1509" s="261"/>
      <c r="L1509" s="261"/>
      <c r="M1509" s="261"/>
    </row>
    <row r="1510" spans="1:13" ht="30" x14ac:dyDescent="0.25">
      <c r="A1510" s="259" t="s">
        <v>249</v>
      </c>
      <c r="B1510" s="259" t="s">
        <v>212</v>
      </c>
      <c r="C1510" s="260">
        <v>2021</v>
      </c>
      <c r="D1510" s="260">
        <v>300</v>
      </c>
      <c r="E1510" s="261">
        <v>0</v>
      </c>
      <c r="F1510" s="262"/>
      <c r="G1510" s="261"/>
      <c r="H1510" s="261"/>
      <c r="I1510" s="261"/>
      <c r="J1510" s="261"/>
      <c r="K1510" s="261"/>
      <c r="L1510" s="261"/>
      <c r="M1510" s="261"/>
    </row>
    <row r="1511" spans="1:13" ht="30" x14ac:dyDescent="0.25">
      <c r="A1511" s="259" t="s">
        <v>249</v>
      </c>
      <c r="B1511" s="259" t="s">
        <v>212</v>
      </c>
      <c r="C1511" s="260">
        <v>2021</v>
      </c>
      <c r="D1511" s="260">
        <v>600</v>
      </c>
      <c r="E1511" s="261">
        <v>0</v>
      </c>
      <c r="F1511" s="262"/>
      <c r="G1511" s="261"/>
      <c r="H1511" s="261"/>
      <c r="I1511" s="261"/>
      <c r="J1511" s="261"/>
      <c r="K1511" s="261"/>
      <c r="L1511" s="261"/>
      <c r="M1511" s="261"/>
    </row>
    <row r="1512" spans="1:13" ht="30" x14ac:dyDescent="0.25">
      <c r="A1512" s="259" t="s">
        <v>249</v>
      </c>
      <c r="B1512" s="259" t="s">
        <v>212</v>
      </c>
      <c r="C1512" s="260">
        <v>2021</v>
      </c>
      <c r="D1512" s="260">
        <v>750</v>
      </c>
      <c r="E1512" s="261">
        <v>0</v>
      </c>
      <c r="F1512" s="262"/>
      <c r="G1512" s="261"/>
      <c r="H1512" s="261"/>
      <c r="I1512" s="261"/>
      <c r="J1512" s="261"/>
      <c r="K1512" s="261"/>
      <c r="L1512" s="261"/>
      <c r="M1512" s="261"/>
    </row>
    <row r="1513" spans="1:13" ht="30" x14ac:dyDescent="0.25">
      <c r="A1513" s="259" t="s">
        <v>249</v>
      </c>
      <c r="B1513" s="259" t="s">
        <v>212</v>
      </c>
      <c r="C1513" s="260">
        <v>2021</v>
      </c>
      <c r="D1513" s="260">
        <v>9999</v>
      </c>
      <c r="E1513" s="261">
        <v>0</v>
      </c>
      <c r="F1513" s="262"/>
      <c r="G1513" s="261"/>
      <c r="H1513" s="261"/>
      <c r="I1513" s="261"/>
      <c r="J1513" s="261"/>
      <c r="K1513" s="261"/>
      <c r="L1513" s="261"/>
      <c r="M1513" s="261"/>
    </row>
    <row r="1514" spans="1:13" ht="30" x14ac:dyDescent="0.25">
      <c r="A1514" s="259" t="s">
        <v>249</v>
      </c>
      <c r="B1514" s="259" t="s">
        <v>206</v>
      </c>
      <c r="C1514" s="260">
        <v>2022</v>
      </c>
      <c r="D1514" s="260">
        <v>50</v>
      </c>
      <c r="E1514" s="261">
        <v>0</v>
      </c>
      <c r="F1514" s="262"/>
      <c r="G1514" s="261"/>
      <c r="H1514" s="261"/>
      <c r="I1514" s="263"/>
      <c r="J1514" s="261"/>
      <c r="K1514" s="261"/>
      <c r="L1514" s="261"/>
      <c r="M1514" s="261"/>
    </row>
    <row r="1515" spans="1:13" ht="30" x14ac:dyDescent="0.25">
      <c r="A1515" s="259" t="s">
        <v>249</v>
      </c>
      <c r="B1515" s="259" t="s">
        <v>206</v>
      </c>
      <c r="C1515" s="260">
        <v>2022</v>
      </c>
      <c r="D1515" s="260">
        <v>75</v>
      </c>
      <c r="E1515" s="261">
        <v>0</v>
      </c>
      <c r="F1515" s="262"/>
      <c r="G1515" s="261"/>
      <c r="H1515" s="261"/>
      <c r="I1515" s="263"/>
      <c r="J1515" s="261"/>
      <c r="K1515" s="261"/>
      <c r="L1515" s="261"/>
      <c r="M1515" s="261"/>
    </row>
    <row r="1516" spans="1:13" ht="30" x14ac:dyDescent="0.25">
      <c r="A1516" s="259" t="s">
        <v>249</v>
      </c>
      <c r="B1516" s="259" t="s">
        <v>206</v>
      </c>
      <c r="C1516" s="260">
        <v>2022</v>
      </c>
      <c r="D1516" s="260">
        <v>100</v>
      </c>
      <c r="E1516" s="261">
        <v>0</v>
      </c>
      <c r="F1516" s="262"/>
      <c r="G1516" s="261"/>
      <c r="H1516" s="261"/>
      <c r="I1516" s="263"/>
      <c r="J1516" s="261"/>
      <c r="K1516" s="261"/>
      <c r="L1516" s="261"/>
      <c r="M1516" s="261"/>
    </row>
    <row r="1517" spans="1:13" ht="30" x14ac:dyDescent="0.25">
      <c r="A1517" s="259" t="s">
        <v>249</v>
      </c>
      <c r="B1517" s="259" t="s">
        <v>206</v>
      </c>
      <c r="C1517" s="260">
        <v>2022</v>
      </c>
      <c r="D1517" s="260">
        <v>175</v>
      </c>
      <c r="E1517" s="261">
        <v>0</v>
      </c>
      <c r="F1517" s="262"/>
      <c r="G1517" s="261"/>
      <c r="H1517" s="261"/>
      <c r="I1517" s="263"/>
      <c r="J1517" s="261"/>
      <c r="K1517" s="261"/>
      <c r="L1517" s="261"/>
      <c r="M1517" s="261"/>
    </row>
    <row r="1518" spans="1:13" ht="30" x14ac:dyDescent="0.25">
      <c r="A1518" s="259" t="s">
        <v>249</v>
      </c>
      <c r="B1518" s="259" t="s">
        <v>206</v>
      </c>
      <c r="C1518" s="260">
        <v>2022</v>
      </c>
      <c r="D1518" s="260">
        <v>300</v>
      </c>
      <c r="E1518" s="261">
        <v>0</v>
      </c>
      <c r="F1518" s="262"/>
      <c r="G1518" s="261"/>
      <c r="H1518" s="261"/>
      <c r="I1518" s="263"/>
      <c r="J1518" s="261"/>
      <c r="K1518" s="261"/>
      <c r="L1518" s="261"/>
      <c r="M1518" s="261"/>
    </row>
    <row r="1519" spans="1:13" ht="30" x14ac:dyDescent="0.25">
      <c r="A1519" s="259" t="s">
        <v>249</v>
      </c>
      <c r="B1519" s="259" t="s">
        <v>206</v>
      </c>
      <c r="C1519" s="260">
        <v>2022</v>
      </c>
      <c r="D1519" s="260">
        <v>600</v>
      </c>
      <c r="E1519" s="261">
        <v>0</v>
      </c>
      <c r="F1519" s="262"/>
      <c r="G1519" s="261"/>
      <c r="H1519" s="261"/>
      <c r="I1519" s="263"/>
      <c r="J1519" s="261"/>
      <c r="K1519" s="261"/>
      <c r="L1519" s="261"/>
      <c r="M1519" s="261"/>
    </row>
    <row r="1520" spans="1:13" ht="45" x14ac:dyDescent="0.25">
      <c r="A1520" s="259" t="s">
        <v>249</v>
      </c>
      <c r="B1520" s="259" t="s">
        <v>208</v>
      </c>
      <c r="C1520" s="260">
        <v>2022</v>
      </c>
      <c r="D1520" s="260">
        <v>100</v>
      </c>
      <c r="E1520" s="261">
        <v>0</v>
      </c>
      <c r="F1520" s="262"/>
      <c r="G1520" s="261"/>
      <c r="H1520" s="261"/>
      <c r="I1520" s="263"/>
      <c r="J1520" s="261"/>
      <c r="K1520" s="261"/>
      <c r="L1520" s="261"/>
      <c r="M1520" s="261"/>
    </row>
    <row r="1521" spans="1:13" ht="45" x14ac:dyDescent="0.25">
      <c r="A1521" s="259" t="s">
        <v>249</v>
      </c>
      <c r="B1521" s="259" t="s">
        <v>208</v>
      </c>
      <c r="C1521" s="260">
        <v>2022</v>
      </c>
      <c r="D1521" s="260">
        <v>175</v>
      </c>
      <c r="E1521" s="261">
        <v>0</v>
      </c>
      <c r="F1521" s="262"/>
      <c r="G1521" s="261"/>
      <c r="H1521" s="261"/>
      <c r="I1521" s="263"/>
      <c r="J1521" s="261"/>
      <c r="K1521" s="261"/>
      <c r="L1521" s="261"/>
      <c r="M1521" s="261"/>
    </row>
    <row r="1522" spans="1:13" ht="45" x14ac:dyDescent="0.25">
      <c r="A1522" s="259" t="s">
        <v>249</v>
      </c>
      <c r="B1522" s="259" t="s">
        <v>208</v>
      </c>
      <c r="C1522" s="260">
        <v>2022</v>
      </c>
      <c r="D1522" s="260">
        <v>300</v>
      </c>
      <c r="E1522" s="261">
        <v>0</v>
      </c>
      <c r="F1522" s="262"/>
      <c r="G1522" s="261"/>
      <c r="H1522" s="261"/>
      <c r="I1522" s="263"/>
      <c r="J1522" s="261"/>
      <c r="K1522" s="261"/>
      <c r="L1522" s="261"/>
      <c r="M1522" s="261"/>
    </row>
    <row r="1523" spans="1:13" ht="45" x14ac:dyDescent="0.25">
      <c r="A1523" s="259" t="s">
        <v>249</v>
      </c>
      <c r="B1523" s="259" t="s">
        <v>208</v>
      </c>
      <c r="C1523" s="260">
        <v>2022</v>
      </c>
      <c r="D1523" s="260">
        <v>600</v>
      </c>
      <c r="E1523" s="261">
        <v>0</v>
      </c>
      <c r="F1523" s="262"/>
      <c r="G1523" s="261"/>
      <c r="H1523" s="261"/>
      <c r="I1523" s="263"/>
      <c r="J1523" s="261"/>
      <c r="K1523" s="261"/>
      <c r="L1523" s="261"/>
      <c r="M1523" s="261"/>
    </row>
    <row r="1524" spans="1:13" ht="30" x14ac:dyDescent="0.25">
      <c r="A1524" s="259" t="s">
        <v>249</v>
      </c>
      <c r="B1524" s="259" t="s">
        <v>192</v>
      </c>
      <c r="C1524" s="260">
        <v>2022</v>
      </c>
      <c r="D1524" s="260">
        <v>50</v>
      </c>
      <c r="E1524" s="261">
        <v>0</v>
      </c>
      <c r="F1524" s="262"/>
      <c r="G1524" s="261"/>
      <c r="H1524" s="261"/>
      <c r="I1524" s="263"/>
      <c r="J1524" s="261"/>
      <c r="K1524" s="261"/>
      <c r="L1524" s="261"/>
      <c r="M1524" s="261"/>
    </row>
    <row r="1525" spans="1:13" ht="30" x14ac:dyDescent="0.25">
      <c r="A1525" s="259" t="s">
        <v>249</v>
      </c>
      <c r="B1525" s="259" t="s">
        <v>192</v>
      </c>
      <c r="C1525" s="260">
        <v>2022</v>
      </c>
      <c r="D1525" s="260">
        <v>75</v>
      </c>
      <c r="E1525" s="261">
        <v>0</v>
      </c>
      <c r="F1525" s="262"/>
      <c r="G1525" s="261"/>
      <c r="H1525" s="261"/>
      <c r="I1525" s="263"/>
      <c r="J1525" s="261"/>
      <c r="K1525" s="261"/>
      <c r="L1525" s="261"/>
      <c r="M1525" s="261"/>
    </row>
    <row r="1526" spans="1:13" ht="30" x14ac:dyDescent="0.25">
      <c r="A1526" s="259" t="s">
        <v>249</v>
      </c>
      <c r="B1526" s="259" t="s">
        <v>192</v>
      </c>
      <c r="C1526" s="260">
        <v>2022</v>
      </c>
      <c r="D1526" s="260">
        <v>100</v>
      </c>
      <c r="E1526" s="261">
        <v>0</v>
      </c>
      <c r="F1526" s="262"/>
      <c r="G1526" s="261"/>
      <c r="H1526" s="261"/>
      <c r="I1526" s="263"/>
      <c r="J1526" s="261"/>
      <c r="K1526" s="261"/>
      <c r="L1526" s="261"/>
      <c r="M1526" s="261"/>
    </row>
    <row r="1527" spans="1:13" ht="30" x14ac:dyDescent="0.25">
      <c r="A1527" s="259" t="s">
        <v>249</v>
      </c>
      <c r="B1527" s="259" t="s">
        <v>192</v>
      </c>
      <c r="C1527" s="260">
        <v>2022</v>
      </c>
      <c r="D1527" s="260">
        <v>175</v>
      </c>
      <c r="E1527" s="261">
        <v>0</v>
      </c>
      <c r="F1527" s="262"/>
      <c r="G1527" s="261"/>
      <c r="H1527" s="261"/>
      <c r="I1527" s="263"/>
      <c r="J1527" s="261"/>
      <c r="K1527" s="261"/>
      <c r="L1527" s="261"/>
      <c r="M1527" s="261"/>
    </row>
    <row r="1528" spans="1:13" ht="30" x14ac:dyDescent="0.25">
      <c r="A1528" s="259" t="s">
        <v>249</v>
      </c>
      <c r="B1528" s="259" t="s">
        <v>192</v>
      </c>
      <c r="C1528" s="260">
        <v>2022</v>
      </c>
      <c r="D1528" s="260">
        <v>300</v>
      </c>
      <c r="E1528" s="261">
        <v>0</v>
      </c>
      <c r="F1528" s="262"/>
      <c r="G1528" s="261"/>
      <c r="H1528" s="261"/>
      <c r="I1528" s="263"/>
      <c r="J1528" s="261"/>
      <c r="K1528" s="261"/>
      <c r="L1528" s="261"/>
      <c r="M1528" s="261"/>
    </row>
    <row r="1529" spans="1:13" ht="30" x14ac:dyDescent="0.25">
      <c r="A1529" s="259" t="s">
        <v>249</v>
      </c>
      <c r="B1529" s="259" t="s">
        <v>192</v>
      </c>
      <c r="C1529" s="260">
        <v>2022</v>
      </c>
      <c r="D1529" s="260">
        <v>600</v>
      </c>
      <c r="E1529" s="261">
        <v>0</v>
      </c>
      <c r="F1529" s="262"/>
      <c r="G1529" s="261"/>
      <c r="H1529" s="261"/>
      <c r="I1529" s="263"/>
      <c r="J1529" s="261"/>
      <c r="K1529" s="261"/>
      <c r="L1529" s="261"/>
      <c r="M1529" s="261"/>
    </row>
    <row r="1530" spans="1:13" ht="45" x14ac:dyDescent="0.25">
      <c r="A1530" s="259" t="s">
        <v>249</v>
      </c>
      <c r="B1530" s="259" t="s">
        <v>211</v>
      </c>
      <c r="C1530" s="260">
        <v>2022</v>
      </c>
      <c r="D1530" s="260">
        <v>50</v>
      </c>
      <c r="E1530" s="261">
        <v>0</v>
      </c>
      <c r="F1530" s="262"/>
      <c r="G1530" s="261"/>
      <c r="H1530" s="261"/>
      <c r="I1530" s="263"/>
      <c r="J1530" s="261"/>
      <c r="K1530" s="261"/>
      <c r="L1530" s="261"/>
      <c r="M1530" s="261"/>
    </row>
    <row r="1531" spans="1:13" ht="45" x14ac:dyDescent="0.25">
      <c r="A1531" s="259" t="s">
        <v>249</v>
      </c>
      <c r="B1531" s="259" t="s">
        <v>211</v>
      </c>
      <c r="C1531" s="260">
        <v>2022</v>
      </c>
      <c r="D1531" s="260">
        <v>75</v>
      </c>
      <c r="E1531" s="261">
        <v>0</v>
      </c>
      <c r="F1531" s="262"/>
      <c r="G1531" s="261"/>
      <c r="H1531" s="261"/>
      <c r="I1531" s="263"/>
      <c r="J1531" s="261"/>
      <c r="K1531" s="261"/>
      <c r="L1531" s="261"/>
      <c r="M1531" s="261"/>
    </row>
    <row r="1532" spans="1:13" ht="45" x14ac:dyDescent="0.25">
      <c r="A1532" s="259" t="s">
        <v>249</v>
      </c>
      <c r="B1532" s="259" t="s">
        <v>211</v>
      </c>
      <c r="C1532" s="260">
        <v>2022</v>
      </c>
      <c r="D1532" s="260">
        <v>100</v>
      </c>
      <c r="E1532" s="261">
        <v>0</v>
      </c>
      <c r="F1532" s="262"/>
      <c r="G1532" s="261"/>
      <c r="H1532" s="261"/>
      <c r="I1532" s="263"/>
      <c r="J1532" s="261"/>
      <c r="K1532" s="261"/>
      <c r="L1532" s="261"/>
      <c r="M1532" s="261"/>
    </row>
    <row r="1533" spans="1:13" ht="45" x14ac:dyDescent="0.25">
      <c r="A1533" s="259" t="s">
        <v>249</v>
      </c>
      <c r="B1533" s="259" t="s">
        <v>211</v>
      </c>
      <c r="C1533" s="260">
        <v>2022</v>
      </c>
      <c r="D1533" s="260">
        <v>175</v>
      </c>
      <c r="E1533" s="261">
        <v>0</v>
      </c>
      <c r="F1533" s="262"/>
      <c r="G1533" s="261"/>
      <c r="H1533" s="261"/>
      <c r="I1533" s="263"/>
      <c r="J1533" s="261"/>
      <c r="K1533" s="261"/>
      <c r="L1533" s="261"/>
      <c r="M1533" s="261"/>
    </row>
    <row r="1534" spans="1:13" ht="45" x14ac:dyDescent="0.25">
      <c r="A1534" s="259" t="s">
        <v>249</v>
      </c>
      <c r="B1534" s="259" t="s">
        <v>211</v>
      </c>
      <c r="C1534" s="260">
        <v>2022</v>
      </c>
      <c r="D1534" s="260">
        <v>300</v>
      </c>
      <c r="E1534" s="261">
        <v>0</v>
      </c>
      <c r="F1534" s="262"/>
      <c r="G1534" s="261"/>
      <c r="H1534" s="261"/>
      <c r="I1534" s="263"/>
      <c r="J1534" s="261"/>
      <c r="K1534" s="261"/>
      <c r="L1534" s="261"/>
      <c r="M1534" s="261"/>
    </row>
    <row r="1535" spans="1:13" ht="45" x14ac:dyDescent="0.25">
      <c r="A1535" s="259" t="s">
        <v>249</v>
      </c>
      <c r="B1535" s="259" t="s">
        <v>211</v>
      </c>
      <c r="C1535" s="260">
        <v>2022</v>
      </c>
      <c r="D1535" s="260">
        <v>600</v>
      </c>
      <c r="E1535" s="261">
        <v>0</v>
      </c>
      <c r="F1535" s="262"/>
      <c r="G1535" s="261"/>
      <c r="H1535" s="261"/>
      <c r="I1535" s="263"/>
      <c r="J1535" s="261"/>
      <c r="K1535" s="261"/>
      <c r="L1535" s="261"/>
      <c r="M1535" s="261"/>
    </row>
    <row r="1536" spans="1:13" ht="30" x14ac:dyDescent="0.25">
      <c r="A1536" s="259" t="s">
        <v>249</v>
      </c>
      <c r="B1536" s="259" t="s">
        <v>212</v>
      </c>
      <c r="C1536" s="260">
        <v>2022</v>
      </c>
      <c r="D1536" s="260">
        <v>100</v>
      </c>
      <c r="E1536" s="261">
        <v>0</v>
      </c>
      <c r="F1536" s="262"/>
      <c r="G1536" s="261"/>
      <c r="H1536" s="261"/>
      <c r="I1536" s="261"/>
      <c r="J1536" s="261"/>
      <c r="K1536" s="261"/>
      <c r="L1536" s="261"/>
      <c r="M1536" s="261"/>
    </row>
    <row r="1537" spans="1:13" ht="30" x14ac:dyDescent="0.25">
      <c r="A1537" s="259" t="s">
        <v>249</v>
      </c>
      <c r="B1537" s="259" t="s">
        <v>212</v>
      </c>
      <c r="C1537" s="260">
        <v>2022</v>
      </c>
      <c r="D1537" s="260">
        <v>300</v>
      </c>
      <c r="E1537" s="261">
        <v>0</v>
      </c>
      <c r="F1537" s="262"/>
      <c r="G1537" s="261"/>
      <c r="H1537" s="261"/>
      <c r="I1537" s="261"/>
      <c r="J1537" s="261"/>
      <c r="K1537" s="261"/>
      <c r="L1537" s="261"/>
      <c r="M1537" s="261"/>
    </row>
    <row r="1538" spans="1:13" ht="30" x14ac:dyDescent="0.25">
      <c r="A1538" s="259" t="s">
        <v>249</v>
      </c>
      <c r="B1538" s="259" t="s">
        <v>212</v>
      </c>
      <c r="C1538" s="260">
        <v>2022</v>
      </c>
      <c r="D1538" s="260">
        <v>600</v>
      </c>
      <c r="E1538" s="261">
        <v>0</v>
      </c>
      <c r="F1538" s="262"/>
      <c r="G1538" s="261"/>
      <c r="H1538" s="261"/>
      <c r="I1538" s="261"/>
      <c r="J1538" s="261"/>
      <c r="K1538" s="261"/>
      <c r="L1538" s="261"/>
      <c r="M1538" s="261"/>
    </row>
    <row r="1539" spans="1:13" ht="30" x14ac:dyDescent="0.25">
      <c r="A1539" s="259" t="s">
        <v>249</v>
      </c>
      <c r="B1539" s="259" t="s">
        <v>212</v>
      </c>
      <c r="C1539" s="260">
        <v>2022</v>
      </c>
      <c r="D1539" s="260">
        <v>750</v>
      </c>
      <c r="E1539" s="261">
        <v>0</v>
      </c>
      <c r="F1539" s="262"/>
      <c r="G1539" s="261"/>
      <c r="H1539" s="261"/>
      <c r="I1539" s="261"/>
      <c r="J1539" s="261"/>
      <c r="K1539" s="261"/>
      <c r="L1539" s="261"/>
      <c r="M1539" s="261"/>
    </row>
    <row r="1540" spans="1:13" ht="30" x14ac:dyDescent="0.25">
      <c r="A1540" s="259" t="s">
        <v>249</v>
      </c>
      <c r="B1540" s="259" t="s">
        <v>212</v>
      </c>
      <c r="C1540" s="260">
        <v>2022</v>
      </c>
      <c r="D1540" s="260">
        <v>9999</v>
      </c>
      <c r="E1540" s="261">
        <v>0</v>
      </c>
      <c r="F1540" s="262"/>
      <c r="G1540" s="261"/>
      <c r="H1540" s="261"/>
      <c r="I1540" s="261"/>
      <c r="J1540" s="261"/>
      <c r="K1540" s="261"/>
      <c r="L1540" s="261"/>
      <c r="M1540" s="261"/>
    </row>
    <row r="1541" spans="1:13" ht="30" x14ac:dyDescent="0.25">
      <c r="A1541" s="259" t="s">
        <v>249</v>
      </c>
      <c r="B1541" s="259" t="s">
        <v>206</v>
      </c>
      <c r="C1541" s="260">
        <v>2023</v>
      </c>
      <c r="D1541" s="260">
        <v>50</v>
      </c>
      <c r="E1541" s="261">
        <v>0</v>
      </c>
      <c r="F1541" s="262"/>
      <c r="G1541" s="261"/>
      <c r="H1541" s="261"/>
      <c r="I1541" s="263"/>
      <c r="J1541" s="261"/>
      <c r="K1541" s="261"/>
      <c r="L1541" s="261"/>
      <c r="M1541" s="261"/>
    </row>
    <row r="1542" spans="1:13" ht="30" x14ac:dyDescent="0.25">
      <c r="A1542" s="259" t="s">
        <v>249</v>
      </c>
      <c r="B1542" s="259" t="s">
        <v>206</v>
      </c>
      <c r="C1542" s="260">
        <v>2023</v>
      </c>
      <c r="D1542" s="260">
        <v>75</v>
      </c>
      <c r="E1542" s="261">
        <v>0</v>
      </c>
      <c r="F1542" s="262"/>
      <c r="G1542" s="261"/>
      <c r="H1542" s="261"/>
      <c r="I1542" s="263"/>
      <c r="J1542" s="261"/>
      <c r="K1542" s="261"/>
      <c r="L1542" s="261"/>
      <c r="M1542" s="261"/>
    </row>
    <row r="1543" spans="1:13" ht="30" x14ac:dyDescent="0.25">
      <c r="A1543" s="259" t="s">
        <v>249</v>
      </c>
      <c r="B1543" s="259" t="s">
        <v>206</v>
      </c>
      <c r="C1543" s="260">
        <v>2023</v>
      </c>
      <c r="D1543" s="260">
        <v>100</v>
      </c>
      <c r="E1543" s="261">
        <v>0</v>
      </c>
      <c r="F1543" s="262"/>
      <c r="G1543" s="261"/>
      <c r="H1543" s="261"/>
      <c r="I1543" s="263"/>
      <c r="J1543" s="261"/>
      <c r="K1543" s="261"/>
      <c r="L1543" s="261"/>
      <c r="M1543" s="261"/>
    </row>
    <row r="1544" spans="1:13" ht="30" x14ac:dyDescent="0.25">
      <c r="A1544" s="259" t="s">
        <v>249</v>
      </c>
      <c r="B1544" s="259" t="s">
        <v>206</v>
      </c>
      <c r="C1544" s="260">
        <v>2023</v>
      </c>
      <c r="D1544" s="260">
        <v>175</v>
      </c>
      <c r="E1544" s="261">
        <v>0</v>
      </c>
      <c r="F1544" s="262"/>
      <c r="G1544" s="261"/>
      <c r="H1544" s="261"/>
      <c r="I1544" s="263"/>
      <c r="J1544" s="261"/>
      <c r="K1544" s="261"/>
      <c r="L1544" s="261"/>
      <c r="M1544" s="261"/>
    </row>
    <row r="1545" spans="1:13" ht="30" x14ac:dyDescent="0.25">
      <c r="A1545" s="259" t="s">
        <v>249</v>
      </c>
      <c r="B1545" s="259" t="s">
        <v>206</v>
      </c>
      <c r="C1545" s="260">
        <v>2023</v>
      </c>
      <c r="D1545" s="260">
        <v>300</v>
      </c>
      <c r="E1545" s="261">
        <v>0</v>
      </c>
      <c r="F1545" s="262"/>
      <c r="G1545" s="261"/>
      <c r="H1545" s="261"/>
      <c r="I1545" s="263"/>
      <c r="J1545" s="261"/>
      <c r="K1545" s="261"/>
      <c r="L1545" s="261"/>
      <c r="M1545" s="261"/>
    </row>
    <row r="1546" spans="1:13" ht="30" x14ac:dyDescent="0.25">
      <c r="A1546" s="259" t="s">
        <v>249</v>
      </c>
      <c r="B1546" s="259" t="s">
        <v>206</v>
      </c>
      <c r="C1546" s="260">
        <v>2023</v>
      </c>
      <c r="D1546" s="260">
        <v>600</v>
      </c>
      <c r="E1546" s="261">
        <v>0</v>
      </c>
      <c r="F1546" s="262"/>
      <c r="G1546" s="261"/>
      <c r="H1546" s="261"/>
      <c r="I1546" s="263"/>
      <c r="J1546" s="261"/>
      <c r="K1546" s="261"/>
      <c r="L1546" s="261"/>
      <c r="M1546" s="261"/>
    </row>
    <row r="1547" spans="1:13" ht="45" x14ac:dyDescent="0.25">
      <c r="A1547" s="259" t="s">
        <v>249</v>
      </c>
      <c r="B1547" s="259" t="s">
        <v>208</v>
      </c>
      <c r="C1547" s="260">
        <v>2023</v>
      </c>
      <c r="D1547" s="260">
        <v>100</v>
      </c>
      <c r="E1547" s="261">
        <v>0</v>
      </c>
      <c r="F1547" s="262"/>
      <c r="G1547" s="261"/>
      <c r="H1547" s="261"/>
      <c r="I1547" s="263"/>
      <c r="J1547" s="261"/>
      <c r="K1547" s="261"/>
      <c r="L1547" s="261"/>
      <c r="M1547" s="261"/>
    </row>
    <row r="1548" spans="1:13" ht="45" x14ac:dyDescent="0.25">
      <c r="A1548" s="259" t="s">
        <v>249</v>
      </c>
      <c r="B1548" s="259" t="s">
        <v>208</v>
      </c>
      <c r="C1548" s="260">
        <v>2023</v>
      </c>
      <c r="D1548" s="260">
        <v>175</v>
      </c>
      <c r="E1548" s="261">
        <v>0</v>
      </c>
      <c r="F1548" s="262"/>
      <c r="G1548" s="261"/>
      <c r="H1548" s="261"/>
      <c r="I1548" s="263"/>
      <c r="J1548" s="261"/>
      <c r="K1548" s="261"/>
      <c r="L1548" s="261"/>
      <c r="M1548" s="261"/>
    </row>
    <row r="1549" spans="1:13" ht="45" x14ac:dyDescent="0.25">
      <c r="A1549" s="259" t="s">
        <v>249</v>
      </c>
      <c r="B1549" s="259" t="s">
        <v>208</v>
      </c>
      <c r="C1549" s="260">
        <v>2023</v>
      </c>
      <c r="D1549" s="260">
        <v>300</v>
      </c>
      <c r="E1549" s="261">
        <v>0</v>
      </c>
      <c r="F1549" s="262"/>
      <c r="G1549" s="261"/>
      <c r="H1549" s="261"/>
      <c r="I1549" s="263"/>
      <c r="J1549" s="261"/>
      <c r="K1549" s="261"/>
      <c r="L1549" s="261"/>
      <c r="M1549" s="261"/>
    </row>
    <row r="1550" spans="1:13" ht="45" x14ac:dyDescent="0.25">
      <c r="A1550" s="259" t="s">
        <v>249</v>
      </c>
      <c r="B1550" s="259" t="s">
        <v>208</v>
      </c>
      <c r="C1550" s="260">
        <v>2023</v>
      </c>
      <c r="D1550" s="260">
        <v>600</v>
      </c>
      <c r="E1550" s="261">
        <v>0</v>
      </c>
      <c r="F1550" s="262"/>
      <c r="G1550" s="261"/>
      <c r="H1550" s="261"/>
      <c r="I1550" s="263"/>
      <c r="J1550" s="261"/>
      <c r="K1550" s="261"/>
      <c r="L1550" s="261"/>
      <c r="M1550" s="261"/>
    </row>
    <row r="1551" spans="1:13" ht="30" x14ac:dyDescent="0.25">
      <c r="A1551" s="259" t="s">
        <v>249</v>
      </c>
      <c r="B1551" s="259" t="s">
        <v>192</v>
      </c>
      <c r="C1551" s="260">
        <v>2023</v>
      </c>
      <c r="D1551" s="260">
        <v>50</v>
      </c>
      <c r="E1551" s="261">
        <v>0</v>
      </c>
      <c r="F1551" s="262"/>
      <c r="G1551" s="261"/>
      <c r="H1551" s="261"/>
      <c r="I1551" s="263"/>
      <c r="J1551" s="261"/>
      <c r="K1551" s="261"/>
      <c r="L1551" s="261"/>
      <c r="M1551" s="261"/>
    </row>
    <row r="1552" spans="1:13" ht="30" x14ac:dyDescent="0.25">
      <c r="A1552" s="259" t="s">
        <v>249</v>
      </c>
      <c r="B1552" s="259" t="s">
        <v>192</v>
      </c>
      <c r="C1552" s="260">
        <v>2023</v>
      </c>
      <c r="D1552" s="260">
        <v>75</v>
      </c>
      <c r="E1552" s="261">
        <v>0</v>
      </c>
      <c r="F1552" s="262"/>
      <c r="G1552" s="261"/>
      <c r="H1552" s="261"/>
      <c r="I1552" s="263"/>
      <c r="J1552" s="261"/>
      <c r="K1552" s="261"/>
      <c r="L1552" s="261"/>
      <c r="M1552" s="261"/>
    </row>
    <row r="1553" spans="1:13" ht="30" x14ac:dyDescent="0.25">
      <c r="A1553" s="259" t="s">
        <v>249</v>
      </c>
      <c r="B1553" s="259" t="s">
        <v>192</v>
      </c>
      <c r="C1553" s="260">
        <v>2023</v>
      </c>
      <c r="D1553" s="260">
        <v>100</v>
      </c>
      <c r="E1553" s="261">
        <v>0</v>
      </c>
      <c r="F1553" s="262"/>
      <c r="G1553" s="261"/>
      <c r="H1553" s="261"/>
      <c r="I1553" s="263"/>
      <c r="J1553" s="261"/>
      <c r="K1553" s="261"/>
      <c r="L1553" s="261"/>
      <c r="M1553" s="261"/>
    </row>
    <row r="1554" spans="1:13" ht="30" x14ac:dyDescent="0.25">
      <c r="A1554" s="259" t="s">
        <v>249</v>
      </c>
      <c r="B1554" s="259" t="s">
        <v>192</v>
      </c>
      <c r="C1554" s="260">
        <v>2023</v>
      </c>
      <c r="D1554" s="260">
        <v>175</v>
      </c>
      <c r="E1554" s="261">
        <v>0</v>
      </c>
      <c r="F1554" s="262"/>
      <c r="G1554" s="261"/>
      <c r="H1554" s="261"/>
      <c r="I1554" s="263"/>
      <c r="J1554" s="261"/>
      <c r="K1554" s="261"/>
      <c r="L1554" s="261"/>
      <c r="M1554" s="261"/>
    </row>
    <row r="1555" spans="1:13" ht="30" x14ac:dyDescent="0.25">
      <c r="A1555" s="259" t="s">
        <v>249</v>
      </c>
      <c r="B1555" s="259" t="s">
        <v>192</v>
      </c>
      <c r="C1555" s="260">
        <v>2023</v>
      </c>
      <c r="D1555" s="260">
        <v>300</v>
      </c>
      <c r="E1555" s="261">
        <v>0</v>
      </c>
      <c r="F1555" s="262"/>
      <c r="G1555" s="261"/>
      <c r="H1555" s="261"/>
      <c r="I1555" s="263"/>
      <c r="J1555" s="261"/>
      <c r="K1555" s="261"/>
      <c r="L1555" s="261"/>
      <c r="M1555" s="261"/>
    </row>
    <row r="1556" spans="1:13" ht="30" x14ac:dyDescent="0.25">
      <c r="A1556" s="259" t="s">
        <v>249</v>
      </c>
      <c r="B1556" s="259" t="s">
        <v>192</v>
      </c>
      <c r="C1556" s="260">
        <v>2023</v>
      </c>
      <c r="D1556" s="260">
        <v>600</v>
      </c>
      <c r="E1556" s="261">
        <v>0</v>
      </c>
      <c r="F1556" s="262"/>
      <c r="G1556" s="261"/>
      <c r="H1556" s="261"/>
      <c r="I1556" s="263"/>
      <c r="J1556" s="261"/>
      <c r="K1556" s="261"/>
      <c r="L1556" s="261"/>
      <c r="M1556" s="261"/>
    </row>
    <row r="1557" spans="1:13" ht="45" x14ac:dyDescent="0.25">
      <c r="A1557" s="259" t="s">
        <v>249</v>
      </c>
      <c r="B1557" s="259" t="s">
        <v>211</v>
      </c>
      <c r="C1557" s="260">
        <v>2023</v>
      </c>
      <c r="D1557" s="260">
        <v>50</v>
      </c>
      <c r="E1557" s="261">
        <v>0</v>
      </c>
      <c r="F1557" s="262"/>
      <c r="G1557" s="261"/>
      <c r="H1557" s="261"/>
      <c r="I1557" s="263"/>
      <c r="J1557" s="261"/>
      <c r="K1557" s="261"/>
      <c r="L1557" s="261"/>
      <c r="M1557" s="261"/>
    </row>
    <row r="1558" spans="1:13" ht="45" x14ac:dyDescent="0.25">
      <c r="A1558" s="259" t="s">
        <v>249</v>
      </c>
      <c r="B1558" s="259" t="s">
        <v>211</v>
      </c>
      <c r="C1558" s="260">
        <v>2023</v>
      </c>
      <c r="D1558" s="260">
        <v>75</v>
      </c>
      <c r="E1558" s="261">
        <v>0</v>
      </c>
      <c r="F1558" s="262"/>
      <c r="G1558" s="261"/>
      <c r="H1558" s="261"/>
      <c r="I1558" s="263"/>
      <c r="J1558" s="261"/>
      <c r="K1558" s="261"/>
      <c r="L1558" s="261"/>
      <c r="M1558" s="261"/>
    </row>
    <row r="1559" spans="1:13" ht="45" x14ac:dyDescent="0.25">
      <c r="A1559" s="259" t="s">
        <v>249</v>
      </c>
      <c r="B1559" s="259" t="s">
        <v>211</v>
      </c>
      <c r="C1559" s="260">
        <v>2023</v>
      </c>
      <c r="D1559" s="260">
        <v>100</v>
      </c>
      <c r="E1559" s="261">
        <v>0</v>
      </c>
      <c r="F1559" s="262"/>
      <c r="G1559" s="261"/>
      <c r="H1559" s="261"/>
      <c r="I1559" s="263"/>
      <c r="J1559" s="261"/>
      <c r="K1559" s="261"/>
      <c r="L1559" s="261"/>
      <c r="M1559" s="261"/>
    </row>
    <row r="1560" spans="1:13" ht="45" x14ac:dyDescent="0.25">
      <c r="A1560" s="259" t="s">
        <v>249</v>
      </c>
      <c r="B1560" s="259" t="s">
        <v>211</v>
      </c>
      <c r="C1560" s="260">
        <v>2023</v>
      </c>
      <c r="D1560" s="260">
        <v>175</v>
      </c>
      <c r="E1560" s="261">
        <v>0</v>
      </c>
      <c r="F1560" s="262"/>
      <c r="G1560" s="261"/>
      <c r="H1560" s="261"/>
      <c r="I1560" s="263"/>
      <c r="J1560" s="261"/>
      <c r="K1560" s="261"/>
      <c r="L1560" s="261"/>
      <c r="M1560" s="261"/>
    </row>
    <row r="1561" spans="1:13" ht="45" x14ac:dyDescent="0.25">
      <c r="A1561" s="259" t="s">
        <v>249</v>
      </c>
      <c r="B1561" s="259" t="s">
        <v>211</v>
      </c>
      <c r="C1561" s="260">
        <v>2023</v>
      </c>
      <c r="D1561" s="260">
        <v>300</v>
      </c>
      <c r="E1561" s="261">
        <v>0</v>
      </c>
      <c r="F1561" s="262"/>
      <c r="G1561" s="261"/>
      <c r="H1561" s="261"/>
      <c r="I1561" s="263"/>
      <c r="J1561" s="261"/>
      <c r="K1561" s="261"/>
      <c r="L1561" s="261"/>
      <c r="M1561" s="261"/>
    </row>
    <row r="1562" spans="1:13" ht="45" x14ac:dyDescent="0.25">
      <c r="A1562" s="259" t="s">
        <v>249</v>
      </c>
      <c r="B1562" s="259" t="s">
        <v>211</v>
      </c>
      <c r="C1562" s="260">
        <v>2023</v>
      </c>
      <c r="D1562" s="260">
        <v>600</v>
      </c>
      <c r="E1562" s="261">
        <v>0</v>
      </c>
      <c r="F1562" s="262"/>
      <c r="G1562" s="261"/>
      <c r="H1562" s="261"/>
      <c r="I1562" s="263"/>
      <c r="J1562" s="261"/>
      <c r="K1562" s="261"/>
      <c r="L1562" s="261"/>
      <c r="M1562" s="261"/>
    </row>
    <row r="1563" spans="1:13" ht="30" x14ac:dyDescent="0.25">
      <c r="A1563" s="259" t="s">
        <v>249</v>
      </c>
      <c r="B1563" s="259" t="s">
        <v>212</v>
      </c>
      <c r="C1563" s="260">
        <v>2023</v>
      </c>
      <c r="D1563" s="260">
        <v>100</v>
      </c>
      <c r="E1563" s="261">
        <v>0</v>
      </c>
      <c r="F1563" s="262"/>
      <c r="G1563" s="261"/>
      <c r="H1563" s="261"/>
      <c r="I1563" s="261"/>
      <c r="J1563" s="261"/>
      <c r="K1563" s="261"/>
      <c r="L1563" s="261"/>
      <c r="M1563" s="261"/>
    </row>
    <row r="1564" spans="1:13" ht="30" x14ac:dyDescent="0.25">
      <c r="A1564" s="259" t="s">
        <v>249</v>
      </c>
      <c r="B1564" s="259" t="s">
        <v>212</v>
      </c>
      <c r="C1564" s="260">
        <v>2023</v>
      </c>
      <c r="D1564" s="260">
        <v>300</v>
      </c>
      <c r="E1564" s="261">
        <v>0</v>
      </c>
      <c r="F1564" s="262"/>
      <c r="G1564" s="261"/>
      <c r="H1564" s="261"/>
      <c r="I1564" s="261"/>
      <c r="J1564" s="261"/>
      <c r="K1564" s="261"/>
      <c r="L1564" s="261"/>
      <c r="M1564" s="261"/>
    </row>
    <row r="1565" spans="1:13" ht="30" x14ac:dyDescent="0.25">
      <c r="A1565" s="259" t="s">
        <v>249</v>
      </c>
      <c r="B1565" s="259" t="s">
        <v>212</v>
      </c>
      <c r="C1565" s="260">
        <v>2023</v>
      </c>
      <c r="D1565" s="260">
        <v>600</v>
      </c>
      <c r="E1565" s="261">
        <v>0</v>
      </c>
      <c r="F1565" s="262"/>
      <c r="G1565" s="261"/>
      <c r="H1565" s="261"/>
      <c r="I1565" s="261"/>
      <c r="J1565" s="261"/>
      <c r="K1565" s="261"/>
      <c r="L1565" s="261"/>
      <c r="M1565" s="261"/>
    </row>
    <row r="1566" spans="1:13" ht="30" x14ac:dyDescent="0.25">
      <c r="A1566" s="259" t="s">
        <v>249</v>
      </c>
      <c r="B1566" s="259" t="s">
        <v>212</v>
      </c>
      <c r="C1566" s="260">
        <v>2023</v>
      </c>
      <c r="D1566" s="260">
        <v>750</v>
      </c>
      <c r="E1566" s="261">
        <v>0</v>
      </c>
      <c r="F1566" s="262"/>
      <c r="G1566" s="261"/>
      <c r="H1566" s="261"/>
      <c r="I1566" s="261"/>
      <c r="J1566" s="261"/>
      <c r="K1566" s="261"/>
      <c r="L1566" s="261"/>
      <c r="M1566" s="261"/>
    </row>
    <row r="1567" spans="1:13" ht="30" x14ac:dyDescent="0.25">
      <c r="A1567" s="259" t="s">
        <v>249</v>
      </c>
      <c r="B1567" s="259" t="s">
        <v>212</v>
      </c>
      <c r="C1567" s="260">
        <v>2023</v>
      </c>
      <c r="D1567" s="260">
        <v>9999</v>
      </c>
      <c r="E1567" s="261">
        <v>0</v>
      </c>
      <c r="F1567" s="262"/>
      <c r="G1567" s="261"/>
      <c r="H1567" s="261"/>
      <c r="I1567" s="261"/>
      <c r="J1567" s="261"/>
      <c r="K1567" s="261"/>
      <c r="L1567" s="261"/>
      <c r="M1567" s="261"/>
    </row>
    <row r="1568" spans="1:13" ht="30" x14ac:dyDescent="0.25">
      <c r="A1568" s="259" t="s">
        <v>249</v>
      </c>
      <c r="B1568" s="259" t="s">
        <v>206</v>
      </c>
      <c r="C1568" s="260">
        <v>2024</v>
      </c>
      <c r="D1568" s="260">
        <v>50</v>
      </c>
      <c r="E1568" s="261">
        <v>0</v>
      </c>
      <c r="F1568" s="262"/>
      <c r="G1568" s="261"/>
      <c r="H1568" s="261"/>
      <c r="I1568" s="263"/>
      <c r="J1568" s="261"/>
      <c r="K1568" s="261"/>
      <c r="L1568" s="261"/>
      <c r="M1568" s="261"/>
    </row>
    <row r="1569" spans="1:13" ht="30" x14ac:dyDescent="0.25">
      <c r="A1569" s="259" t="s">
        <v>249</v>
      </c>
      <c r="B1569" s="259" t="s">
        <v>206</v>
      </c>
      <c r="C1569" s="260">
        <v>2024</v>
      </c>
      <c r="D1569" s="260">
        <v>75</v>
      </c>
      <c r="E1569" s="261">
        <v>0</v>
      </c>
      <c r="F1569" s="262"/>
      <c r="G1569" s="261"/>
      <c r="H1569" s="261"/>
      <c r="I1569" s="263"/>
      <c r="J1569" s="261"/>
      <c r="K1569" s="261"/>
      <c r="L1569" s="261"/>
      <c r="M1569" s="261"/>
    </row>
    <row r="1570" spans="1:13" ht="30" x14ac:dyDescent="0.25">
      <c r="A1570" s="259" t="s">
        <v>249</v>
      </c>
      <c r="B1570" s="259" t="s">
        <v>206</v>
      </c>
      <c r="C1570" s="260">
        <v>2024</v>
      </c>
      <c r="D1570" s="260">
        <v>100</v>
      </c>
      <c r="E1570" s="261">
        <v>0</v>
      </c>
      <c r="F1570" s="262"/>
      <c r="G1570" s="261"/>
      <c r="H1570" s="261"/>
      <c r="I1570" s="263"/>
      <c r="J1570" s="261"/>
      <c r="K1570" s="261"/>
      <c r="L1570" s="261"/>
      <c r="M1570" s="261"/>
    </row>
    <row r="1571" spans="1:13" ht="30" x14ac:dyDescent="0.25">
      <c r="A1571" s="259" t="s">
        <v>249</v>
      </c>
      <c r="B1571" s="259" t="s">
        <v>206</v>
      </c>
      <c r="C1571" s="260">
        <v>2024</v>
      </c>
      <c r="D1571" s="260">
        <v>175</v>
      </c>
      <c r="E1571" s="261">
        <v>0</v>
      </c>
      <c r="F1571" s="262"/>
      <c r="G1571" s="261"/>
      <c r="H1571" s="261"/>
      <c r="I1571" s="263"/>
      <c r="J1571" s="261"/>
      <c r="K1571" s="261"/>
      <c r="L1571" s="261"/>
      <c r="M1571" s="261"/>
    </row>
    <row r="1572" spans="1:13" ht="30" x14ac:dyDescent="0.25">
      <c r="A1572" s="259" t="s">
        <v>249</v>
      </c>
      <c r="B1572" s="259" t="s">
        <v>206</v>
      </c>
      <c r="C1572" s="260">
        <v>2024</v>
      </c>
      <c r="D1572" s="260">
        <v>300</v>
      </c>
      <c r="E1572" s="261">
        <v>0</v>
      </c>
      <c r="F1572" s="262"/>
      <c r="G1572" s="261"/>
      <c r="H1572" s="261"/>
      <c r="I1572" s="263"/>
      <c r="J1572" s="261"/>
      <c r="K1572" s="261"/>
      <c r="L1572" s="261"/>
      <c r="M1572" s="261"/>
    </row>
    <row r="1573" spans="1:13" ht="30" x14ac:dyDescent="0.25">
      <c r="A1573" s="259" t="s">
        <v>249</v>
      </c>
      <c r="B1573" s="259" t="s">
        <v>206</v>
      </c>
      <c r="C1573" s="260">
        <v>2024</v>
      </c>
      <c r="D1573" s="260">
        <v>600</v>
      </c>
      <c r="E1573" s="261">
        <v>0</v>
      </c>
      <c r="F1573" s="262"/>
      <c r="G1573" s="261"/>
      <c r="H1573" s="261"/>
      <c r="I1573" s="263"/>
      <c r="J1573" s="261"/>
      <c r="K1573" s="261"/>
      <c r="L1573" s="261"/>
      <c r="M1573" s="261"/>
    </row>
    <row r="1574" spans="1:13" ht="45" x14ac:dyDescent="0.25">
      <c r="A1574" s="259" t="s">
        <v>249</v>
      </c>
      <c r="B1574" s="259" t="s">
        <v>208</v>
      </c>
      <c r="C1574" s="260">
        <v>2024</v>
      </c>
      <c r="D1574" s="260">
        <v>100</v>
      </c>
      <c r="E1574" s="261">
        <v>0</v>
      </c>
      <c r="F1574" s="262"/>
      <c r="G1574" s="261"/>
      <c r="H1574" s="261"/>
      <c r="I1574" s="263"/>
      <c r="J1574" s="261"/>
      <c r="K1574" s="261"/>
      <c r="L1574" s="261"/>
      <c r="M1574" s="261"/>
    </row>
    <row r="1575" spans="1:13" ht="45" x14ac:dyDescent="0.25">
      <c r="A1575" s="259" t="s">
        <v>249</v>
      </c>
      <c r="B1575" s="259" t="s">
        <v>208</v>
      </c>
      <c r="C1575" s="260">
        <v>2024</v>
      </c>
      <c r="D1575" s="260">
        <v>175</v>
      </c>
      <c r="E1575" s="261">
        <v>0</v>
      </c>
      <c r="F1575" s="262"/>
      <c r="G1575" s="261"/>
      <c r="H1575" s="261"/>
      <c r="I1575" s="263"/>
      <c r="J1575" s="261"/>
      <c r="K1575" s="261"/>
      <c r="L1575" s="261"/>
      <c r="M1575" s="261"/>
    </row>
    <row r="1576" spans="1:13" ht="45" x14ac:dyDescent="0.25">
      <c r="A1576" s="259" t="s">
        <v>249</v>
      </c>
      <c r="B1576" s="259" t="s">
        <v>208</v>
      </c>
      <c r="C1576" s="260">
        <v>2024</v>
      </c>
      <c r="D1576" s="260">
        <v>300</v>
      </c>
      <c r="E1576" s="261">
        <v>0</v>
      </c>
      <c r="F1576" s="262"/>
      <c r="G1576" s="261"/>
      <c r="H1576" s="261"/>
      <c r="I1576" s="263"/>
      <c r="J1576" s="261"/>
      <c r="K1576" s="261"/>
      <c r="L1576" s="261"/>
      <c r="M1576" s="261"/>
    </row>
    <row r="1577" spans="1:13" ht="45" x14ac:dyDescent="0.25">
      <c r="A1577" s="259" t="s">
        <v>249</v>
      </c>
      <c r="B1577" s="259" t="s">
        <v>208</v>
      </c>
      <c r="C1577" s="260">
        <v>2024</v>
      </c>
      <c r="D1577" s="260">
        <v>600</v>
      </c>
      <c r="E1577" s="261">
        <v>0</v>
      </c>
      <c r="F1577" s="262"/>
      <c r="G1577" s="261"/>
      <c r="H1577" s="261"/>
      <c r="I1577" s="263"/>
      <c r="J1577" s="261"/>
      <c r="K1577" s="261"/>
      <c r="L1577" s="261"/>
      <c r="M1577" s="261"/>
    </row>
    <row r="1578" spans="1:13" ht="30" x14ac:dyDescent="0.25">
      <c r="A1578" s="259" t="s">
        <v>249</v>
      </c>
      <c r="B1578" s="259" t="s">
        <v>192</v>
      </c>
      <c r="C1578" s="260">
        <v>2024</v>
      </c>
      <c r="D1578" s="260">
        <v>50</v>
      </c>
      <c r="E1578" s="261">
        <v>0</v>
      </c>
      <c r="F1578" s="262"/>
      <c r="G1578" s="261"/>
      <c r="H1578" s="261"/>
      <c r="I1578" s="263"/>
      <c r="J1578" s="261"/>
      <c r="K1578" s="261"/>
      <c r="L1578" s="261"/>
      <c r="M1578" s="261"/>
    </row>
    <row r="1579" spans="1:13" ht="30" x14ac:dyDescent="0.25">
      <c r="A1579" s="259" t="s">
        <v>249</v>
      </c>
      <c r="B1579" s="259" t="s">
        <v>192</v>
      </c>
      <c r="C1579" s="260">
        <v>2024</v>
      </c>
      <c r="D1579" s="260">
        <v>75</v>
      </c>
      <c r="E1579" s="261">
        <v>0</v>
      </c>
      <c r="F1579" s="262"/>
      <c r="G1579" s="261"/>
      <c r="H1579" s="261"/>
      <c r="I1579" s="263"/>
      <c r="J1579" s="261"/>
      <c r="K1579" s="261"/>
      <c r="L1579" s="261"/>
      <c r="M1579" s="261"/>
    </row>
    <row r="1580" spans="1:13" ht="30" x14ac:dyDescent="0.25">
      <c r="A1580" s="259" t="s">
        <v>249</v>
      </c>
      <c r="B1580" s="259" t="s">
        <v>192</v>
      </c>
      <c r="C1580" s="260">
        <v>2024</v>
      </c>
      <c r="D1580" s="260">
        <v>100</v>
      </c>
      <c r="E1580" s="261">
        <v>0</v>
      </c>
      <c r="F1580" s="262"/>
      <c r="G1580" s="261"/>
      <c r="H1580" s="261"/>
      <c r="I1580" s="263"/>
      <c r="J1580" s="261"/>
      <c r="K1580" s="261"/>
      <c r="L1580" s="261"/>
      <c r="M1580" s="261"/>
    </row>
    <row r="1581" spans="1:13" ht="30" x14ac:dyDescent="0.25">
      <c r="A1581" s="259" t="s">
        <v>249</v>
      </c>
      <c r="B1581" s="259" t="s">
        <v>192</v>
      </c>
      <c r="C1581" s="260">
        <v>2024</v>
      </c>
      <c r="D1581" s="260">
        <v>175</v>
      </c>
      <c r="E1581" s="261">
        <v>0</v>
      </c>
      <c r="F1581" s="262"/>
      <c r="G1581" s="261"/>
      <c r="H1581" s="261"/>
      <c r="I1581" s="263"/>
      <c r="J1581" s="261"/>
      <c r="K1581" s="261"/>
      <c r="L1581" s="261"/>
      <c r="M1581" s="261"/>
    </row>
    <row r="1582" spans="1:13" ht="30" x14ac:dyDescent="0.25">
      <c r="A1582" s="259" t="s">
        <v>249</v>
      </c>
      <c r="B1582" s="259" t="s">
        <v>192</v>
      </c>
      <c r="C1582" s="260">
        <v>2024</v>
      </c>
      <c r="D1582" s="260">
        <v>300</v>
      </c>
      <c r="E1582" s="261">
        <v>0</v>
      </c>
      <c r="F1582" s="262"/>
      <c r="G1582" s="261"/>
      <c r="H1582" s="261"/>
      <c r="I1582" s="263"/>
      <c r="J1582" s="261"/>
      <c r="K1582" s="261"/>
      <c r="L1582" s="261"/>
      <c r="M1582" s="261"/>
    </row>
    <row r="1583" spans="1:13" ht="30" x14ac:dyDescent="0.25">
      <c r="A1583" s="259" t="s">
        <v>249</v>
      </c>
      <c r="B1583" s="259" t="s">
        <v>192</v>
      </c>
      <c r="C1583" s="260">
        <v>2024</v>
      </c>
      <c r="D1583" s="260">
        <v>600</v>
      </c>
      <c r="E1583" s="261">
        <v>0</v>
      </c>
      <c r="F1583" s="262"/>
      <c r="G1583" s="261"/>
      <c r="H1583" s="261"/>
      <c r="I1583" s="263"/>
      <c r="J1583" s="261"/>
      <c r="K1583" s="261"/>
      <c r="L1583" s="261"/>
      <c r="M1583" s="261"/>
    </row>
    <row r="1584" spans="1:13" ht="45" x14ac:dyDescent="0.25">
      <c r="A1584" s="259" t="s">
        <v>249</v>
      </c>
      <c r="B1584" s="259" t="s">
        <v>211</v>
      </c>
      <c r="C1584" s="260">
        <v>2024</v>
      </c>
      <c r="D1584" s="260">
        <v>50</v>
      </c>
      <c r="E1584" s="261">
        <v>0</v>
      </c>
      <c r="F1584" s="262"/>
      <c r="G1584" s="261"/>
      <c r="H1584" s="261"/>
      <c r="I1584" s="263"/>
      <c r="J1584" s="261"/>
      <c r="K1584" s="261"/>
      <c r="L1584" s="261"/>
      <c r="M1584" s="261"/>
    </row>
    <row r="1585" spans="1:13" ht="45" x14ac:dyDescent="0.25">
      <c r="A1585" s="259" t="s">
        <v>249</v>
      </c>
      <c r="B1585" s="259" t="s">
        <v>211</v>
      </c>
      <c r="C1585" s="260">
        <v>2024</v>
      </c>
      <c r="D1585" s="260">
        <v>75</v>
      </c>
      <c r="E1585" s="261">
        <v>0</v>
      </c>
      <c r="F1585" s="262"/>
      <c r="G1585" s="261"/>
      <c r="H1585" s="261"/>
      <c r="I1585" s="263"/>
      <c r="J1585" s="261"/>
      <c r="K1585" s="261"/>
      <c r="L1585" s="261"/>
      <c r="M1585" s="261"/>
    </row>
    <row r="1586" spans="1:13" ht="45" x14ac:dyDescent="0.25">
      <c r="A1586" s="259" t="s">
        <v>249</v>
      </c>
      <c r="B1586" s="259" t="s">
        <v>211</v>
      </c>
      <c r="C1586" s="260">
        <v>2024</v>
      </c>
      <c r="D1586" s="260">
        <v>100</v>
      </c>
      <c r="E1586" s="261">
        <v>0</v>
      </c>
      <c r="F1586" s="262"/>
      <c r="G1586" s="261"/>
      <c r="H1586" s="261"/>
      <c r="I1586" s="263"/>
      <c r="J1586" s="261"/>
      <c r="K1586" s="261"/>
      <c r="L1586" s="261"/>
      <c r="M1586" s="261"/>
    </row>
    <row r="1587" spans="1:13" ht="45" x14ac:dyDescent="0.25">
      <c r="A1587" s="259" t="s">
        <v>249</v>
      </c>
      <c r="B1587" s="259" t="s">
        <v>211</v>
      </c>
      <c r="C1587" s="260">
        <v>2024</v>
      </c>
      <c r="D1587" s="260">
        <v>175</v>
      </c>
      <c r="E1587" s="261">
        <v>0</v>
      </c>
      <c r="F1587" s="262"/>
      <c r="G1587" s="261"/>
      <c r="H1587" s="261"/>
      <c r="I1587" s="263"/>
      <c r="J1587" s="261"/>
      <c r="K1587" s="261"/>
      <c r="L1587" s="261"/>
      <c r="M1587" s="261"/>
    </row>
    <row r="1588" spans="1:13" ht="45" x14ac:dyDescent="0.25">
      <c r="A1588" s="259" t="s">
        <v>249</v>
      </c>
      <c r="B1588" s="259" t="s">
        <v>211</v>
      </c>
      <c r="C1588" s="260">
        <v>2024</v>
      </c>
      <c r="D1588" s="260">
        <v>300</v>
      </c>
      <c r="E1588" s="261">
        <v>0</v>
      </c>
      <c r="F1588" s="262"/>
      <c r="G1588" s="261"/>
      <c r="H1588" s="261"/>
      <c r="I1588" s="263"/>
      <c r="J1588" s="261"/>
      <c r="K1588" s="261"/>
      <c r="L1588" s="261"/>
      <c r="M1588" s="261"/>
    </row>
    <row r="1589" spans="1:13" ht="45" x14ac:dyDescent="0.25">
      <c r="A1589" s="259" t="s">
        <v>249</v>
      </c>
      <c r="B1589" s="259" t="s">
        <v>211</v>
      </c>
      <c r="C1589" s="260">
        <v>2024</v>
      </c>
      <c r="D1589" s="260">
        <v>600</v>
      </c>
      <c r="E1589" s="261">
        <v>0</v>
      </c>
      <c r="F1589" s="262"/>
      <c r="G1589" s="261"/>
      <c r="H1589" s="261"/>
      <c r="I1589" s="263"/>
      <c r="J1589" s="261"/>
      <c r="K1589" s="261"/>
      <c r="L1589" s="261"/>
      <c r="M1589" s="261"/>
    </row>
    <row r="1590" spans="1:13" ht="30" x14ac:dyDescent="0.25">
      <c r="A1590" s="259" t="s">
        <v>249</v>
      </c>
      <c r="B1590" s="259" t="s">
        <v>212</v>
      </c>
      <c r="C1590" s="260">
        <v>2024</v>
      </c>
      <c r="D1590" s="260">
        <v>100</v>
      </c>
      <c r="E1590" s="261">
        <v>0</v>
      </c>
      <c r="F1590" s="262"/>
      <c r="G1590" s="261"/>
      <c r="H1590" s="261"/>
      <c r="I1590" s="261"/>
      <c r="J1590" s="261"/>
      <c r="K1590" s="261"/>
      <c r="L1590" s="261"/>
      <c r="M1590" s="261"/>
    </row>
    <row r="1591" spans="1:13" ht="30" x14ac:dyDescent="0.25">
      <c r="A1591" s="259" t="s">
        <v>249</v>
      </c>
      <c r="B1591" s="259" t="s">
        <v>212</v>
      </c>
      <c r="C1591" s="260">
        <v>2024</v>
      </c>
      <c r="D1591" s="260">
        <v>300</v>
      </c>
      <c r="E1591" s="261">
        <v>0</v>
      </c>
      <c r="F1591" s="262"/>
      <c r="G1591" s="261"/>
      <c r="H1591" s="261"/>
      <c r="I1591" s="261"/>
      <c r="J1591" s="261"/>
      <c r="K1591" s="261"/>
      <c r="L1591" s="261"/>
      <c r="M1591" s="261"/>
    </row>
    <row r="1592" spans="1:13" ht="30" x14ac:dyDescent="0.25">
      <c r="A1592" s="259" t="s">
        <v>249</v>
      </c>
      <c r="B1592" s="259" t="s">
        <v>212</v>
      </c>
      <c r="C1592" s="260">
        <v>2024</v>
      </c>
      <c r="D1592" s="260">
        <v>600</v>
      </c>
      <c r="E1592" s="261">
        <v>0</v>
      </c>
      <c r="F1592" s="262"/>
      <c r="G1592" s="261"/>
      <c r="H1592" s="261"/>
      <c r="I1592" s="261"/>
      <c r="J1592" s="261"/>
      <c r="K1592" s="261"/>
      <c r="L1592" s="261"/>
      <c r="M1592" s="261"/>
    </row>
    <row r="1593" spans="1:13" ht="30" x14ac:dyDescent="0.25">
      <c r="A1593" s="259" t="s">
        <v>249</v>
      </c>
      <c r="B1593" s="259" t="s">
        <v>212</v>
      </c>
      <c r="C1593" s="260">
        <v>2024</v>
      </c>
      <c r="D1593" s="260">
        <v>750</v>
      </c>
      <c r="E1593" s="261">
        <v>0</v>
      </c>
      <c r="F1593" s="262"/>
      <c r="G1593" s="261"/>
      <c r="H1593" s="261"/>
      <c r="I1593" s="261"/>
      <c r="J1593" s="261"/>
      <c r="K1593" s="261"/>
      <c r="L1593" s="261"/>
      <c r="M1593" s="261"/>
    </row>
    <row r="1594" spans="1:13" ht="30" x14ac:dyDescent="0.25">
      <c r="A1594" s="259" t="s">
        <v>249</v>
      </c>
      <c r="B1594" s="259" t="s">
        <v>212</v>
      </c>
      <c r="C1594" s="260">
        <v>2024</v>
      </c>
      <c r="D1594" s="260">
        <v>9999</v>
      </c>
      <c r="E1594" s="261">
        <v>0</v>
      </c>
      <c r="F1594" s="262"/>
      <c r="G1594" s="261"/>
      <c r="H1594" s="261"/>
      <c r="I1594" s="261"/>
      <c r="J1594" s="261"/>
      <c r="K1594" s="261"/>
      <c r="L1594" s="261"/>
      <c r="M1594" s="261"/>
    </row>
    <row r="1595" spans="1:13" ht="30" x14ac:dyDescent="0.25">
      <c r="A1595" s="259" t="s">
        <v>249</v>
      </c>
      <c r="B1595" s="259" t="s">
        <v>206</v>
      </c>
      <c r="C1595" s="260">
        <v>2025</v>
      </c>
      <c r="D1595" s="260">
        <v>50</v>
      </c>
      <c r="E1595" s="261">
        <v>0</v>
      </c>
      <c r="F1595" s="262"/>
      <c r="G1595" s="261"/>
      <c r="H1595" s="261"/>
      <c r="I1595" s="263"/>
      <c r="J1595" s="261"/>
      <c r="K1595" s="261"/>
      <c r="L1595" s="261"/>
      <c r="M1595" s="261"/>
    </row>
    <row r="1596" spans="1:13" ht="30" x14ac:dyDescent="0.25">
      <c r="A1596" s="259" t="s">
        <v>249</v>
      </c>
      <c r="B1596" s="259" t="s">
        <v>206</v>
      </c>
      <c r="C1596" s="260">
        <v>2025</v>
      </c>
      <c r="D1596" s="260">
        <v>75</v>
      </c>
      <c r="E1596" s="261">
        <v>0</v>
      </c>
      <c r="F1596" s="262"/>
      <c r="G1596" s="261"/>
      <c r="H1596" s="261"/>
      <c r="I1596" s="263"/>
      <c r="J1596" s="261"/>
      <c r="K1596" s="261"/>
      <c r="L1596" s="261"/>
      <c r="M1596" s="261"/>
    </row>
    <row r="1597" spans="1:13" ht="30" x14ac:dyDescent="0.25">
      <c r="A1597" s="259" t="s">
        <v>249</v>
      </c>
      <c r="B1597" s="259" t="s">
        <v>206</v>
      </c>
      <c r="C1597" s="260">
        <v>2025</v>
      </c>
      <c r="D1597" s="260">
        <v>100</v>
      </c>
      <c r="E1597" s="261">
        <v>0</v>
      </c>
      <c r="F1597" s="262"/>
      <c r="G1597" s="261"/>
      <c r="H1597" s="261"/>
      <c r="I1597" s="263"/>
      <c r="J1597" s="261"/>
      <c r="K1597" s="261"/>
      <c r="L1597" s="261"/>
      <c r="M1597" s="261"/>
    </row>
    <row r="1598" spans="1:13" ht="30" x14ac:dyDescent="0.25">
      <c r="A1598" s="259" t="s">
        <v>249</v>
      </c>
      <c r="B1598" s="259" t="s">
        <v>206</v>
      </c>
      <c r="C1598" s="260">
        <v>2025</v>
      </c>
      <c r="D1598" s="260">
        <v>175</v>
      </c>
      <c r="E1598" s="261">
        <v>0</v>
      </c>
      <c r="F1598" s="262"/>
      <c r="G1598" s="261"/>
      <c r="H1598" s="261"/>
      <c r="I1598" s="263"/>
      <c r="J1598" s="261"/>
      <c r="K1598" s="261"/>
      <c r="L1598" s="261"/>
      <c r="M1598" s="261"/>
    </row>
    <row r="1599" spans="1:13" ht="30" x14ac:dyDescent="0.25">
      <c r="A1599" s="259" t="s">
        <v>249</v>
      </c>
      <c r="B1599" s="259" t="s">
        <v>206</v>
      </c>
      <c r="C1599" s="260">
        <v>2025</v>
      </c>
      <c r="D1599" s="260">
        <v>300</v>
      </c>
      <c r="E1599" s="261">
        <v>0</v>
      </c>
      <c r="F1599" s="262"/>
      <c r="G1599" s="261"/>
      <c r="H1599" s="261"/>
      <c r="I1599" s="263"/>
      <c r="J1599" s="261"/>
      <c r="K1599" s="261"/>
      <c r="L1599" s="261"/>
      <c r="M1599" s="261"/>
    </row>
    <row r="1600" spans="1:13" ht="30" x14ac:dyDescent="0.25">
      <c r="A1600" s="259" t="s">
        <v>249</v>
      </c>
      <c r="B1600" s="259" t="s">
        <v>206</v>
      </c>
      <c r="C1600" s="260">
        <v>2025</v>
      </c>
      <c r="D1600" s="260">
        <v>600</v>
      </c>
      <c r="E1600" s="261">
        <v>0</v>
      </c>
      <c r="F1600" s="262"/>
      <c r="G1600" s="261"/>
      <c r="H1600" s="261"/>
      <c r="I1600" s="263"/>
      <c r="J1600" s="261"/>
      <c r="K1600" s="261"/>
      <c r="L1600" s="261"/>
      <c r="M1600" s="261"/>
    </row>
    <row r="1601" spans="1:13" ht="45" x14ac:dyDescent="0.25">
      <c r="A1601" s="259" t="s">
        <v>249</v>
      </c>
      <c r="B1601" s="259" t="s">
        <v>208</v>
      </c>
      <c r="C1601" s="260">
        <v>2025</v>
      </c>
      <c r="D1601" s="260">
        <v>100</v>
      </c>
      <c r="E1601" s="261">
        <v>0</v>
      </c>
      <c r="F1601" s="262"/>
      <c r="G1601" s="261"/>
      <c r="H1601" s="261"/>
      <c r="I1601" s="263"/>
      <c r="J1601" s="261"/>
      <c r="K1601" s="261"/>
      <c r="L1601" s="261"/>
      <c r="M1601" s="261"/>
    </row>
    <row r="1602" spans="1:13" ht="45" x14ac:dyDescent="0.25">
      <c r="A1602" s="259" t="s">
        <v>249</v>
      </c>
      <c r="B1602" s="259" t="s">
        <v>208</v>
      </c>
      <c r="C1602" s="260">
        <v>2025</v>
      </c>
      <c r="D1602" s="260">
        <v>175</v>
      </c>
      <c r="E1602" s="261">
        <v>0</v>
      </c>
      <c r="F1602" s="262"/>
      <c r="G1602" s="261"/>
      <c r="H1602" s="261"/>
      <c r="I1602" s="263"/>
      <c r="J1602" s="261"/>
      <c r="K1602" s="261"/>
      <c r="L1602" s="261"/>
      <c r="M1602" s="261"/>
    </row>
    <row r="1603" spans="1:13" ht="45" x14ac:dyDescent="0.25">
      <c r="A1603" s="259" t="s">
        <v>249</v>
      </c>
      <c r="B1603" s="259" t="s">
        <v>208</v>
      </c>
      <c r="C1603" s="260">
        <v>2025</v>
      </c>
      <c r="D1603" s="260">
        <v>300</v>
      </c>
      <c r="E1603" s="261">
        <v>0</v>
      </c>
      <c r="F1603" s="262"/>
      <c r="G1603" s="261"/>
      <c r="H1603" s="261"/>
      <c r="I1603" s="263"/>
      <c r="J1603" s="261"/>
      <c r="K1603" s="261"/>
      <c r="L1603" s="261"/>
      <c r="M1603" s="261"/>
    </row>
    <row r="1604" spans="1:13" ht="45" x14ac:dyDescent="0.25">
      <c r="A1604" s="259" t="s">
        <v>249</v>
      </c>
      <c r="B1604" s="259" t="s">
        <v>208</v>
      </c>
      <c r="C1604" s="260">
        <v>2025</v>
      </c>
      <c r="D1604" s="260">
        <v>600</v>
      </c>
      <c r="E1604" s="261">
        <v>0</v>
      </c>
      <c r="F1604" s="262"/>
      <c r="G1604" s="261"/>
      <c r="H1604" s="261"/>
      <c r="I1604" s="263"/>
      <c r="J1604" s="261"/>
      <c r="K1604" s="261"/>
      <c r="L1604" s="261"/>
      <c r="M1604" s="261"/>
    </row>
    <row r="1605" spans="1:13" ht="30" x14ac:dyDescent="0.25">
      <c r="A1605" s="259" t="s">
        <v>249</v>
      </c>
      <c r="B1605" s="259" t="s">
        <v>192</v>
      </c>
      <c r="C1605" s="260">
        <v>2025</v>
      </c>
      <c r="D1605" s="260">
        <v>50</v>
      </c>
      <c r="E1605" s="261">
        <v>0</v>
      </c>
      <c r="F1605" s="262"/>
      <c r="G1605" s="261"/>
      <c r="H1605" s="261"/>
      <c r="I1605" s="263"/>
      <c r="J1605" s="261"/>
      <c r="K1605" s="261"/>
      <c r="L1605" s="261"/>
      <c r="M1605" s="261"/>
    </row>
    <row r="1606" spans="1:13" ht="30" x14ac:dyDescent="0.25">
      <c r="A1606" s="259" t="s">
        <v>249</v>
      </c>
      <c r="B1606" s="259" t="s">
        <v>192</v>
      </c>
      <c r="C1606" s="260">
        <v>2025</v>
      </c>
      <c r="D1606" s="260">
        <v>75</v>
      </c>
      <c r="E1606" s="261">
        <v>0</v>
      </c>
      <c r="F1606" s="262"/>
      <c r="G1606" s="261"/>
      <c r="H1606" s="261"/>
      <c r="I1606" s="263"/>
      <c r="J1606" s="261"/>
      <c r="K1606" s="261"/>
      <c r="L1606" s="261"/>
      <c r="M1606" s="261"/>
    </row>
    <row r="1607" spans="1:13" ht="30" x14ac:dyDescent="0.25">
      <c r="A1607" s="259" t="s">
        <v>249</v>
      </c>
      <c r="B1607" s="259" t="s">
        <v>192</v>
      </c>
      <c r="C1607" s="260">
        <v>2025</v>
      </c>
      <c r="D1607" s="260">
        <v>100</v>
      </c>
      <c r="E1607" s="261">
        <v>0</v>
      </c>
      <c r="F1607" s="262"/>
      <c r="G1607" s="261"/>
      <c r="H1607" s="261"/>
      <c r="I1607" s="263"/>
      <c r="J1607" s="261"/>
      <c r="K1607" s="261"/>
      <c r="L1607" s="261"/>
      <c r="M1607" s="261"/>
    </row>
    <row r="1608" spans="1:13" ht="30" x14ac:dyDescent="0.25">
      <c r="A1608" s="259" t="s">
        <v>249</v>
      </c>
      <c r="B1608" s="259" t="s">
        <v>192</v>
      </c>
      <c r="C1608" s="260">
        <v>2025</v>
      </c>
      <c r="D1608" s="260">
        <v>175</v>
      </c>
      <c r="E1608" s="261">
        <v>0</v>
      </c>
      <c r="F1608" s="262"/>
      <c r="G1608" s="261"/>
      <c r="H1608" s="261"/>
      <c r="I1608" s="263"/>
      <c r="J1608" s="261"/>
      <c r="K1608" s="261"/>
      <c r="L1608" s="261"/>
      <c r="M1608" s="261"/>
    </row>
    <row r="1609" spans="1:13" ht="30" x14ac:dyDescent="0.25">
      <c r="A1609" s="259" t="s">
        <v>249</v>
      </c>
      <c r="B1609" s="259" t="s">
        <v>192</v>
      </c>
      <c r="C1609" s="260">
        <v>2025</v>
      </c>
      <c r="D1609" s="260">
        <v>300</v>
      </c>
      <c r="E1609" s="261">
        <v>0</v>
      </c>
      <c r="F1609" s="262"/>
      <c r="G1609" s="261"/>
      <c r="H1609" s="261"/>
      <c r="I1609" s="263"/>
      <c r="J1609" s="261"/>
      <c r="K1609" s="261"/>
      <c r="L1609" s="261"/>
      <c r="M1609" s="261"/>
    </row>
    <row r="1610" spans="1:13" ht="30" x14ac:dyDescent="0.25">
      <c r="A1610" s="259" t="s">
        <v>249</v>
      </c>
      <c r="B1610" s="259" t="s">
        <v>192</v>
      </c>
      <c r="C1610" s="260">
        <v>2025</v>
      </c>
      <c r="D1610" s="260">
        <v>600</v>
      </c>
      <c r="E1610" s="261">
        <v>0</v>
      </c>
      <c r="F1610" s="262"/>
      <c r="G1610" s="261"/>
      <c r="H1610" s="261"/>
      <c r="I1610" s="263"/>
      <c r="J1610" s="261"/>
      <c r="K1610" s="261"/>
      <c r="L1610" s="261"/>
      <c r="M1610" s="261"/>
    </row>
    <row r="1611" spans="1:13" ht="45" x14ac:dyDescent="0.25">
      <c r="A1611" s="259" t="s">
        <v>249</v>
      </c>
      <c r="B1611" s="259" t="s">
        <v>211</v>
      </c>
      <c r="C1611" s="260">
        <v>2025</v>
      </c>
      <c r="D1611" s="260">
        <v>50</v>
      </c>
      <c r="E1611" s="261">
        <v>0</v>
      </c>
      <c r="F1611" s="262"/>
      <c r="G1611" s="261"/>
      <c r="H1611" s="261"/>
      <c r="I1611" s="263"/>
      <c r="J1611" s="261"/>
      <c r="K1611" s="261"/>
      <c r="L1611" s="261"/>
      <c r="M1611" s="261"/>
    </row>
    <row r="1612" spans="1:13" ht="45" x14ac:dyDescent="0.25">
      <c r="A1612" s="259" t="s">
        <v>249</v>
      </c>
      <c r="B1612" s="259" t="s">
        <v>211</v>
      </c>
      <c r="C1612" s="260">
        <v>2025</v>
      </c>
      <c r="D1612" s="260">
        <v>75</v>
      </c>
      <c r="E1612" s="261">
        <v>0</v>
      </c>
      <c r="F1612" s="262"/>
      <c r="G1612" s="261"/>
      <c r="H1612" s="261"/>
      <c r="I1612" s="263"/>
      <c r="J1612" s="261"/>
      <c r="K1612" s="261"/>
      <c r="L1612" s="261"/>
      <c r="M1612" s="261"/>
    </row>
    <row r="1613" spans="1:13" ht="45" x14ac:dyDescent="0.25">
      <c r="A1613" s="259" t="s">
        <v>249</v>
      </c>
      <c r="B1613" s="259" t="s">
        <v>211</v>
      </c>
      <c r="C1613" s="260">
        <v>2025</v>
      </c>
      <c r="D1613" s="260">
        <v>100</v>
      </c>
      <c r="E1613" s="261">
        <v>0</v>
      </c>
      <c r="F1613" s="262"/>
      <c r="G1613" s="261"/>
      <c r="H1613" s="261"/>
      <c r="I1613" s="263"/>
      <c r="J1613" s="261"/>
      <c r="K1613" s="261"/>
      <c r="L1613" s="261"/>
      <c r="M1613" s="261"/>
    </row>
    <row r="1614" spans="1:13" ht="45" x14ac:dyDescent="0.25">
      <c r="A1614" s="259" t="s">
        <v>249</v>
      </c>
      <c r="B1614" s="259" t="s">
        <v>211</v>
      </c>
      <c r="C1614" s="260">
        <v>2025</v>
      </c>
      <c r="D1614" s="260">
        <v>175</v>
      </c>
      <c r="E1614" s="261">
        <v>0</v>
      </c>
      <c r="F1614" s="262"/>
      <c r="G1614" s="261"/>
      <c r="H1614" s="261"/>
      <c r="I1614" s="263"/>
      <c r="J1614" s="261"/>
      <c r="K1614" s="261"/>
      <c r="L1614" s="261"/>
      <c r="M1614" s="261"/>
    </row>
    <row r="1615" spans="1:13" ht="45" x14ac:dyDescent="0.25">
      <c r="A1615" s="259" t="s">
        <v>249</v>
      </c>
      <c r="B1615" s="259" t="s">
        <v>211</v>
      </c>
      <c r="C1615" s="260">
        <v>2025</v>
      </c>
      <c r="D1615" s="260">
        <v>300</v>
      </c>
      <c r="E1615" s="261">
        <v>0</v>
      </c>
      <c r="F1615" s="262"/>
      <c r="G1615" s="261"/>
      <c r="H1615" s="261"/>
      <c r="I1615" s="263"/>
      <c r="J1615" s="261"/>
      <c r="K1615" s="261"/>
      <c r="L1615" s="261"/>
      <c r="M1615" s="261"/>
    </row>
    <row r="1616" spans="1:13" ht="45" x14ac:dyDescent="0.25">
      <c r="A1616" s="259" t="s">
        <v>249</v>
      </c>
      <c r="B1616" s="259" t="s">
        <v>211</v>
      </c>
      <c r="C1616" s="260">
        <v>2025</v>
      </c>
      <c r="D1616" s="260">
        <v>600</v>
      </c>
      <c r="E1616" s="261">
        <v>0</v>
      </c>
      <c r="F1616" s="262"/>
      <c r="G1616" s="261"/>
      <c r="H1616" s="261"/>
      <c r="I1616" s="263"/>
      <c r="J1616" s="261"/>
      <c r="K1616" s="261"/>
      <c r="L1616" s="261"/>
      <c r="M1616" s="261"/>
    </row>
    <row r="1617" spans="1:13" ht="30" x14ac:dyDescent="0.25">
      <c r="A1617" s="259" t="s">
        <v>249</v>
      </c>
      <c r="B1617" s="259" t="s">
        <v>212</v>
      </c>
      <c r="C1617" s="260">
        <v>2025</v>
      </c>
      <c r="D1617" s="260">
        <v>100</v>
      </c>
      <c r="E1617" s="261">
        <v>0</v>
      </c>
      <c r="F1617" s="262"/>
      <c r="G1617" s="261"/>
      <c r="H1617" s="261"/>
      <c r="I1617" s="261"/>
      <c r="J1617" s="261"/>
      <c r="K1617" s="261"/>
      <c r="L1617" s="261"/>
      <c r="M1617" s="261"/>
    </row>
    <row r="1618" spans="1:13" ht="30" x14ac:dyDescent="0.25">
      <c r="A1618" s="259" t="s">
        <v>249</v>
      </c>
      <c r="B1618" s="259" t="s">
        <v>212</v>
      </c>
      <c r="C1618" s="260">
        <v>2025</v>
      </c>
      <c r="D1618" s="260">
        <v>300</v>
      </c>
      <c r="E1618" s="261">
        <v>0</v>
      </c>
      <c r="F1618" s="262"/>
      <c r="G1618" s="261"/>
      <c r="H1618" s="261"/>
      <c r="I1618" s="261"/>
      <c r="J1618" s="261"/>
      <c r="K1618" s="261"/>
      <c r="L1618" s="261"/>
      <c r="M1618" s="261"/>
    </row>
    <row r="1619" spans="1:13" ht="30" x14ac:dyDescent="0.25">
      <c r="A1619" s="259" t="s">
        <v>249</v>
      </c>
      <c r="B1619" s="259" t="s">
        <v>212</v>
      </c>
      <c r="C1619" s="260">
        <v>2025</v>
      </c>
      <c r="D1619" s="260">
        <v>600</v>
      </c>
      <c r="E1619" s="261">
        <v>0</v>
      </c>
      <c r="F1619" s="262"/>
      <c r="G1619" s="261"/>
      <c r="H1619" s="261"/>
      <c r="I1619" s="261"/>
      <c r="J1619" s="261"/>
      <c r="K1619" s="261"/>
      <c r="L1619" s="261"/>
      <c r="M1619" s="261"/>
    </row>
    <row r="1620" spans="1:13" ht="30" x14ac:dyDescent="0.25">
      <c r="A1620" s="259" t="s">
        <v>249</v>
      </c>
      <c r="B1620" s="259" t="s">
        <v>212</v>
      </c>
      <c r="C1620" s="260">
        <v>2025</v>
      </c>
      <c r="D1620" s="260">
        <v>750</v>
      </c>
      <c r="E1620" s="261">
        <v>0</v>
      </c>
      <c r="F1620" s="262"/>
      <c r="G1620" s="261"/>
      <c r="H1620" s="261"/>
      <c r="I1620" s="261"/>
      <c r="J1620" s="261"/>
      <c r="K1620" s="261"/>
      <c r="L1620" s="261"/>
      <c r="M1620" s="261"/>
    </row>
    <row r="1621" spans="1:13" ht="30" x14ac:dyDescent="0.25">
      <c r="A1621" s="259" t="s">
        <v>249</v>
      </c>
      <c r="B1621" s="259" t="s">
        <v>212</v>
      </c>
      <c r="C1621" s="260">
        <v>2025</v>
      </c>
      <c r="D1621" s="260">
        <v>9999</v>
      </c>
      <c r="E1621" s="261">
        <v>0</v>
      </c>
      <c r="F1621" s="262"/>
      <c r="G1621" s="261"/>
      <c r="H1621" s="261"/>
      <c r="I1621" s="261"/>
      <c r="J1621" s="261"/>
      <c r="K1621" s="261"/>
      <c r="L1621" s="261"/>
      <c r="M1621" s="261"/>
    </row>
    <row r="1622" spans="1:13" x14ac:dyDescent="0.25">
      <c r="H1622" s="151">
        <f>SUM(H1082:H1621)</f>
        <v>523841580.39422292</v>
      </c>
      <c r="I1622" s="151">
        <f>SUM(I1082:I1621)</f>
        <v>64186180.906241335</v>
      </c>
      <c r="K1622" s="151">
        <f t="shared" ref="K1622:L1622" si="40">SUM(K1082:K1621)</f>
        <v>1676888019.2538049</v>
      </c>
      <c r="L1622" s="151">
        <f t="shared" si="40"/>
        <v>128372361.81248267</v>
      </c>
      <c r="M1622" s="151">
        <f>SUM(M1082:M1621)</f>
        <v>82354194.329789281</v>
      </c>
    </row>
  </sheetData>
  <sheetProtection password="CDC6" sheet="1" objects="1" scenarios="1"/>
  <mergeCells count="1">
    <mergeCell ref="K1408:M140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0"/>
  <sheetViews>
    <sheetView zoomScale="76" zoomScaleNormal="76" workbookViewId="0">
      <selection activeCell="C3" sqref="C3"/>
    </sheetView>
  </sheetViews>
  <sheetFormatPr defaultRowHeight="15" x14ac:dyDescent="0.25"/>
  <cols>
    <col min="1" max="1" width="18.42578125" bestFit="1" customWidth="1"/>
    <col min="2" max="2" width="13.42578125" bestFit="1" customWidth="1"/>
    <col min="3" max="3" width="13.42578125" customWidth="1"/>
    <col min="4" max="4" width="14.7109375" customWidth="1"/>
    <col min="5" max="5" width="14" customWidth="1"/>
    <col min="6" max="6" width="11" bestFit="1" customWidth="1"/>
    <col min="7" max="7" width="16.140625" customWidth="1"/>
    <col min="8" max="8" width="15.5703125" bestFit="1" customWidth="1"/>
    <col min="9" max="9" width="6.7109375" customWidth="1"/>
    <col min="11" max="11" width="15.140625" bestFit="1" customWidth="1"/>
    <col min="12" max="12" width="16" customWidth="1"/>
    <col min="13" max="13" width="15.28515625" customWidth="1"/>
    <col min="15" max="15" width="12.28515625" customWidth="1"/>
  </cols>
  <sheetData>
    <row r="1" spans="1:16" s="117" customFormat="1" ht="60" customHeight="1" x14ac:dyDescent="0.25">
      <c r="A1" s="309"/>
      <c r="B1" s="309" t="s">
        <v>206</v>
      </c>
      <c r="C1" s="309" t="s">
        <v>266</v>
      </c>
      <c r="D1" s="309" t="s">
        <v>192</v>
      </c>
      <c r="E1" s="309" t="s">
        <v>267</v>
      </c>
      <c r="F1" s="309" t="s">
        <v>212</v>
      </c>
      <c r="G1" s="309"/>
      <c r="K1" s="310" t="s">
        <v>206</v>
      </c>
      <c r="L1" s="310" t="s">
        <v>266</v>
      </c>
      <c r="M1" s="310" t="s">
        <v>192</v>
      </c>
      <c r="N1" s="310" t="s">
        <v>267</v>
      </c>
      <c r="O1" s="310" t="s">
        <v>212</v>
      </c>
      <c r="P1" s="310" t="s">
        <v>277</v>
      </c>
    </row>
    <row r="2" spans="1:16" s="117" customFormat="1" x14ac:dyDescent="0.25">
      <c r="A2" s="280" t="s">
        <v>268</v>
      </c>
      <c r="B2" s="309"/>
      <c r="C2" s="309"/>
      <c r="D2" s="309"/>
      <c r="E2" s="309"/>
      <c r="F2" s="309"/>
      <c r="G2" s="309"/>
      <c r="J2" s="39" t="s">
        <v>278</v>
      </c>
      <c r="K2" s="39"/>
      <c r="L2" s="39"/>
      <c r="M2" s="39"/>
      <c r="N2" s="39"/>
      <c r="O2" s="39"/>
      <c r="P2" s="39"/>
    </row>
    <row r="3" spans="1:16" x14ac:dyDescent="0.25">
      <c r="A3" s="309">
        <v>2011</v>
      </c>
      <c r="B3" s="281"/>
      <c r="C3" s="281"/>
      <c r="D3" s="281"/>
      <c r="E3" s="281"/>
      <c r="F3" s="281"/>
      <c r="G3" s="281"/>
      <c r="J3" s="309">
        <v>2011</v>
      </c>
      <c r="K3" s="8"/>
      <c r="L3" s="282"/>
      <c r="M3" s="282"/>
      <c r="N3" s="282"/>
      <c r="O3" s="282"/>
      <c r="P3" s="8"/>
    </row>
    <row r="4" spans="1:16" x14ac:dyDescent="0.25">
      <c r="A4" s="309">
        <v>2012</v>
      </c>
      <c r="B4" s="281"/>
      <c r="C4" s="281"/>
      <c r="D4" s="281"/>
      <c r="E4" s="281"/>
      <c r="F4" s="281"/>
      <c r="G4" s="281"/>
      <c r="J4" s="309">
        <v>2012</v>
      </c>
      <c r="K4" s="283"/>
      <c r="L4" s="283"/>
      <c r="M4" s="283"/>
      <c r="N4" s="283"/>
      <c r="O4" s="282"/>
      <c r="P4" s="282"/>
    </row>
    <row r="5" spans="1:16" x14ac:dyDescent="0.25">
      <c r="A5" s="309">
        <v>2013</v>
      </c>
      <c r="B5" s="284">
        <v>5.6923084539674235E-2</v>
      </c>
      <c r="C5" s="284">
        <v>0.20448489583785409</v>
      </c>
      <c r="D5" s="284">
        <v>3.8226187246258293E-2</v>
      </c>
      <c r="E5" s="284">
        <v>5.285946310848743E-2</v>
      </c>
      <c r="F5" s="281"/>
      <c r="G5" s="281"/>
      <c r="J5" s="309">
        <v>2013</v>
      </c>
      <c r="K5" s="286">
        <f>'$$$ Replace &amp; Retrofit'!$C$28*B5</f>
        <v>1.2122555436943809</v>
      </c>
      <c r="L5" s="286">
        <f>'$$$ Replace &amp; Retrofit'!$C$29*C5</f>
        <v>1.1207124425046648</v>
      </c>
      <c r="M5" s="286">
        <f>'$$$ Replace &amp; Retrofit'!$C$30*D5</f>
        <v>10.496984749030391</v>
      </c>
      <c r="N5" s="286">
        <f>'$$$ Replace &amp; Retrofit'!$C$31*E5</f>
        <v>0.58388566419113441</v>
      </c>
      <c r="O5" s="282"/>
      <c r="P5" s="286">
        <f t="shared" ref="P5:P9" si="0">SUM(K5:O5)</f>
        <v>13.413838399420571</v>
      </c>
    </row>
    <row r="6" spans="1:16" x14ac:dyDescent="0.25">
      <c r="A6" s="309">
        <v>2014</v>
      </c>
      <c r="B6" s="284">
        <v>0.15443215441505906</v>
      </c>
      <c r="C6" s="284">
        <v>6.0232996409515148E-2</v>
      </c>
      <c r="D6" s="284">
        <v>0.13104298731656719</v>
      </c>
      <c r="E6" s="284">
        <v>0.17718403582041492</v>
      </c>
      <c r="F6" s="281"/>
      <c r="G6" s="281"/>
      <c r="J6" s="309">
        <v>2014</v>
      </c>
      <c r="K6" s="286">
        <f>'$$$ Replace &amp; Retrofit'!$C$28*B6</f>
        <v>3.2888455857278709</v>
      </c>
      <c r="L6" s="286">
        <f>'$$$ Replace &amp; Retrofit'!$C$29*C6</f>
        <v>0.3301166487084185</v>
      </c>
      <c r="M6" s="286">
        <f>'$$$ Replace &amp; Retrofit'!$C$30*D6</f>
        <v>35.98465707468727</v>
      </c>
      <c r="N6" s="286">
        <f>'$$$ Replace &amp; Retrofit'!$C$31*E6</f>
        <v>1.957174975968633</v>
      </c>
      <c r="O6" s="282"/>
      <c r="P6" s="286">
        <f t="shared" si="0"/>
        <v>41.560794285092193</v>
      </c>
    </row>
    <row r="7" spans="1:16" x14ac:dyDescent="0.25">
      <c r="A7" s="309">
        <v>2015</v>
      </c>
      <c r="B7" s="284">
        <v>0.25309308282589615</v>
      </c>
      <c r="C7" s="284">
        <v>0.25810780590933402</v>
      </c>
      <c r="D7" s="284">
        <v>0.26496051894023004</v>
      </c>
      <c r="E7" s="284">
        <v>0.26114658432386373</v>
      </c>
      <c r="F7" s="281"/>
      <c r="G7" s="281"/>
      <c r="J7" s="309">
        <v>2015</v>
      </c>
      <c r="K7" s="286">
        <f>'$$$ Replace &amp; Retrofit'!$C$28*B7</f>
        <v>5.3899660429074423</v>
      </c>
      <c r="L7" s="286">
        <f>'$$$ Replace &amp; Retrofit'!$C$29*C7</f>
        <v>1.4146014472361885</v>
      </c>
      <c r="M7" s="286">
        <f>'$$$ Replace &amp; Retrofit'!$C$30*D7</f>
        <v>72.758669560564513</v>
      </c>
      <c r="N7" s="286">
        <f>'$$$ Replace &amp; Retrofit'!$C$31*E7</f>
        <v>2.8846253418472996</v>
      </c>
      <c r="O7" s="282"/>
      <c r="P7" s="286">
        <f t="shared" si="0"/>
        <v>82.447862392555436</v>
      </c>
    </row>
    <row r="8" spans="1:16" x14ac:dyDescent="0.25">
      <c r="A8" s="309">
        <v>2016</v>
      </c>
      <c r="B8" s="284">
        <v>0.2664062203918498</v>
      </c>
      <c r="C8" s="284">
        <v>0.25140273093672683</v>
      </c>
      <c r="D8" s="284">
        <v>0.28389361608475888</v>
      </c>
      <c r="E8" s="284">
        <v>0.26677020107740457</v>
      </c>
      <c r="F8" s="281"/>
      <c r="G8" s="281"/>
      <c r="J8" s="309">
        <v>2016</v>
      </c>
      <c r="K8" s="286">
        <f>'$$$ Replace &amp; Retrofit'!$C$28*B8</f>
        <v>5.6734876571840678</v>
      </c>
      <c r="L8" s="286">
        <f>'$$$ Replace &amp; Retrofit'!$C$29*C8</f>
        <v>1.3778532027316845</v>
      </c>
      <c r="M8" s="286">
        <f>'$$$ Replace &amp; Retrofit'!$C$30*D8</f>
        <v>77.957734554876325</v>
      </c>
      <c r="N8" s="286">
        <f>'$$$ Replace &amp; Retrofit'!$C$31*E8</f>
        <v>2.9467438161980231</v>
      </c>
      <c r="O8" s="282"/>
      <c r="P8" s="286">
        <f t="shared" si="0"/>
        <v>87.955819230990102</v>
      </c>
    </row>
    <row r="9" spans="1:16" x14ac:dyDescent="0.25">
      <c r="A9" s="309">
        <v>2017</v>
      </c>
      <c r="B9" s="284">
        <v>0.26914545782752075</v>
      </c>
      <c r="C9" s="284">
        <v>0.22577157090656985</v>
      </c>
      <c r="D9" s="284">
        <v>0.2818766904121856</v>
      </c>
      <c r="E9" s="284">
        <v>0.24203971566982943</v>
      </c>
      <c r="F9" s="281"/>
      <c r="G9" s="281"/>
      <c r="J9" s="309">
        <v>2017</v>
      </c>
      <c r="K9" s="286">
        <f>'$$$ Replace &amp; Retrofit'!$C$28*B9</f>
        <v>5.7318234939318611</v>
      </c>
      <c r="L9" s="286">
        <f>'$$$ Replace &amp; Retrofit'!$C$29*C9</f>
        <v>1.2373774974531748</v>
      </c>
      <c r="M9" s="286">
        <f>'$$$ Replace &amp; Retrofit'!$C$30*D9</f>
        <v>77.40388287491308</v>
      </c>
      <c r="N9" s="286">
        <f>'$$$ Replace &amp; Retrofit'!$C$31*E9</f>
        <v>2.6735708581538722</v>
      </c>
      <c r="O9" s="282"/>
      <c r="P9" s="286">
        <f t="shared" si="0"/>
        <v>87.046654724451983</v>
      </c>
    </row>
    <row r="10" spans="1:16" x14ac:dyDescent="0.25">
      <c r="A10" s="309">
        <v>2018</v>
      </c>
      <c r="B10" s="285"/>
      <c r="C10" s="285"/>
      <c r="D10" s="285"/>
      <c r="E10" s="285"/>
      <c r="F10" s="281"/>
      <c r="G10" s="281"/>
      <c r="J10" s="309">
        <v>2018</v>
      </c>
      <c r="K10" s="283"/>
      <c r="L10" s="283"/>
      <c r="M10" s="282"/>
      <c r="N10" s="282"/>
      <c r="O10" s="282"/>
      <c r="P10" s="282"/>
    </row>
    <row r="11" spans="1:16" x14ac:dyDescent="0.25">
      <c r="A11" s="287"/>
      <c r="B11" s="288">
        <f>SUM(B3:B10)</f>
        <v>1</v>
      </c>
      <c r="C11" s="288">
        <f>SUM(C3:C10)</f>
        <v>0.99999999999999989</v>
      </c>
      <c r="D11" s="288">
        <f>SUM(D3:D10)</f>
        <v>1</v>
      </c>
      <c r="E11" s="288">
        <f>SUM(E3:E10)</f>
        <v>1.0000000000000002</v>
      </c>
      <c r="F11" s="288">
        <f>SUM(F3:F10)</f>
        <v>0</v>
      </c>
      <c r="G11" s="288"/>
      <c r="J11" s="39" t="s">
        <v>14</v>
      </c>
      <c r="K11" s="286">
        <f>SUM(K3:K10)</f>
        <v>21.296378323445623</v>
      </c>
      <c r="L11" s="286">
        <f>SUM(L3:L10)</f>
        <v>5.4806612386341316</v>
      </c>
      <c r="M11" s="286">
        <f>SUM(M3:M10)</f>
        <v>274.60192881407158</v>
      </c>
      <c r="N11" s="286">
        <f>SUM(N3:N10)</f>
        <v>11.046000656358963</v>
      </c>
      <c r="O11" s="286">
        <f>SUM(O3:O10)</f>
        <v>0</v>
      </c>
      <c r="P11" s="286">
        <f>SUM(P4:P10)</f>
        <v>312.42496903251026</v>
      </c>
    </row>
    <row r="13" spans="1:16" s="74" customFormat="1" ht="45" x14ac:dyDescent="0.25">
      <c r="A13" s="311" t="s">
        <v>269</v>
      </c>
      <c r="B13" s="312">
        <f>'$$$ Replace &amp; Retrofit'!J$28</f>
        <v>5002057.2689051935</v>
      </c>
      <c r="C13" s="312">
        <f>'$$$ Replace &amp; Retrofit'!J$29</f>
        <v>3855197.4684698316</v>
      </c>
      <c r="D13" s="312">
        <f>'$$$ Replace &amp; Retrofit'!J$30</f>
        <v>42344137.087157503</v>
      </c>
      <c r="E13" s="312">
        <f>'$$$ Replace &amp; Retrofit'!J$31</f>
        <v>1447447.4847717218</v>
      </c>
      <c r="F13" s="312">
        <f>'$$$ Replace &amp; Retrofit'!J$32</f>
        <v>0</v>
      </c>
      <c r="G13" s="312">
        <f>'$$$ Replace &amp; Retrofit'!J$33</f>
        <v>52648839.309304245</v>
      </c>
      <c r="H13" s="313">
        <v>0.05</v>
      </c>
      <c r="I13" s="289"/>
      <c r="J13" s="314"/>
      <c r="K13" s="315" t="s">
        <v>270</v>
      </c>
      <c r="L13" s="315" t="s">
        <v>271</v>
      </c>
      <c r="M13" s="315" t="s">
        <v>272</v>
      </c>
    </row>
    <row r="14" spans="1:16" s="74" customFormat="1" ht="30" x14ac:dyDescent="0.25">
      <c r="A14" s="311" t="s">
        <v>273</v>
      </c>
      <c r="B14" s="316">
        <f t="shared" ref="B14:F14" si="1">SUM(B15:B22)</f>
        <v>5002057.2689051945</v>
      </c>
      <c r="C14" s="316">
        <f t="shared" si="1"/>
        <v>3855197.4684698316</v>
      </c>
      <c r="D14" s="316">
        <f t="shared" si="1"/>
        <v>42344137.087157503</v>
      </c>
      <c r="E14" s="316">
        <f t="shared" si="1"/>
        <v>1447447.4847717218</v>
      </c>
      <c r="F14" s="316">
        <f t="shared" si="1"/>
        <v>0</v>
      </c>
      <c r="G14" s="316">
        <f>SUM(G15:G22)</f>
        <v>52648839.309304252</v>
      </c>
      <c r="H14" s="317">
        <f>SUM(H15:H22)</f>
        <v>42142369.126670547</v>
      </c>
      <c r="I14" s="289"/>
      <c r="J14" s="314"/>
      <c r="K14" s="318"/>
      <c r="L14" s="318"/>
      <c r="M14" s="318"/>
    </row>
    <row r="15" spans="1:16" x14ac:dyDescent="0.25">
      <c r="A15" s="309">
        <v>2011</v>
      </c>
      <c r="B15" s="292">
        <f t="shared" ref="B15:F22" si="2">B$13*B3</f>
        <v>0</v>
      </c>
      <c r="C15" s="292">
        <f t="shared" si="2"/>
        <v>0</v>
      </c>
      <c r="D15" s="292">
        <f t="shared" si="2"/>
        <v>0</v>
      </c>
      <c r="E15" s="292">
        <f t="shared" si="2"/>
        <v>0</v>
      </c>
      <c r="F15" s="292">
        <f t="shared" si="2"/>
        <v>0</v>
      </c>
      <c r="G15" s="292">
        <f>SUM(B15:F15)</f>
        <v>0</v>
      </c>
      <c r="H15" s="291">
        <f>G15</f>
        <v>0</v>
      </c>
      <c r="I15" s="289"/>
      <c r="J15" s="309">
        <v>2011</v>
      </c>
      <c r="K15" s="319">
        <f>H30</f>
        <v>2768228.3915622714</v>
      </c>
      <c r="L15" s="319">
        <f>H15</f>
        <v>0</v>
      </c>
      <c r="M15" s="319">
        <f>L17-K15</f>
        <v>-257363.63731077826</v>
      </c>
      <c r="O15" s="290">
        <f t="shared" ref="O15:O20" si="3">L17-K15</f>
        <v>-257363.63731077826</v>
      </c>
    </row>
    <row r="16" spans="1:16" x14ac:dyDescent="0.25">
      <c r="A16" s="309">
        <v>2012</v>
      </c>
      <c r="B16" s="292">
        <f t="shared" si="2"/>
        <v>0</v>
      </c>
      <c r="C16" s="292">
        <f t="shared" si="2"/>
        <v>0</v>
      </c>
      <c r="D16" s="292">
        <f t="shared" si="2"/>
        <v>0</v>
      </c>
      <c r="E16" s="292">
        <f t="shared" si="2"/>
        <v>0</v>
      </c>
      <c r="F16" s="292">
        <f t="shared" si="2"/>
        <v>0</v>
      </c>
      <c r="G16" s="292">
        <f t="shared" ref="G16:G20" si="4">SUM(B16:F16)</f>
        <v>0</v>
      </c>
      <c r="H16" s="291">
        <f>G16/(1+H$28)</f>
        <v>0</v>
      </c>
      <c r="I16" s="289"/>
      <c r="J16" s="309">
        <v>2012</v>
      </c>
      <c r="K16" s="319">
        <f>H31</f>
        <v>6485767.0305277854</v>
      </c>
      <c r="L16" s="319">
        <f t="shared" ref="L16:L22" si="5">H16</f>
        <v>0</v>
      </c>
      <c r="M16" s="319">
        <f t="shared" ref="M16:M18" si="6">L18-K16</f>
        <v>-602985.14342775382</v>
      </c>
      <c r="O16" s="290">
        <f t="shared" si="3"/>
        <v>-602985.14342775382</v>
      </c>
    </row>
    <row r="17" spans="1:15" x14ac:dyDescent="0.25">
      <c r="A17" s="309">
        <v>2013</v>
      </c>
      <c r="B17" s="292">
        <f>B$13*B5</f>
        <v>284732.52879018238</v>
      </c>
      <c r="C17" s="292">
        <f t="shared" si="2"/>
        <v>788329.6527744123</v>
      </c>
      <c r="D17" s="292">
        <f t="shared" si="2"/>
        <v>1618654.913074913</v>
      </c>
      <c r="E17" s="292">
        <f t="shared" si="2"/>
        <v>76511.296922763751</v>
      </c>
      <c r="F17" s="292">
        <f t="shared" si="2"/>
        <v>0</v>
      </c>
      <c r="G17" s="292">
        <f t="shared" si="4"/>
        <v>2768228.3915622714</v>
      </c>
      <c r="H17" s="291">
        <f>G17/((1+H$13)*(1+H$13))</f>
        <v>2510864.7542514931</v>
      </c>
      <c r="I17" s="289"/>
      <c r="J17" s="309">
        <v>2013</v>
      </c>
      <c r="K17" s="319">
        <f t="shared" ref="K17:K20" si="7">H32</f>
        <v>12570125.313304909</v>
      </c>
      <c r="L17" s="319">
        <f t="shared" si="5"/>
        <v>2510864.7542514931</v>
      </c>
      <c r="M17" s="319">
        <f>L19-K17</f>
        <v>-1168651.1062256284</v>
      </c>
      <c r="O17" s="290">
        <f t="shared" si="3"/>
        <v>-1168651.1062256284</v>
      </c>
    </row>
    <row r="18" spans="1:15" x14ac:dyDescent="0.25">
      <c r="A18" s="309">
        <v>2014</v>
      </c>
      <c r="B18" s="292">
        <f t="shared" si="2"/>
        <v>772478.48054453544</v>
      </c>
      <c r="C18" s="292">
        <f t="shared" si="2"/>
        <v>232210.09527631526</v>
      </c>
      <c r="D18" s="292">
        <f t="shared" si="2"/>
        <v>5548902.2192433625</v>
      </c>
      <c r="E18" s="292">
        <f t="shared" si="2"/>
        <v>256464.58698996223</v>
      </c>
      <c r="F18" s="292">
        <f t="shared" si="2"/>
        <v>0</v>
      </c>
      <c r="G18" s="292">
        <f t="shared" si="4"/>
        <v>6810055.3820541753</v>
      </c>
      <c r="H18" s="291">
        <f>G18/((1+H$13)*(1+H$13)*(1+H$13))</f>
        <v>5882781.8871000316</v>
      </c>
      <c r="I18" s="289"/>
      <c r="J18" s="309">
        <v>2014</v>
      </c>
      <c r="K18" s="319">
        <f t="shared" si="7"/>
        <v>12706318.883308247</v>
      </c>
      <c r="L18" s="319">
        <f t="shared" si="5"/>
        <v>5882781.8871000316</v>
      </c>
      <c r="M18" s="319">
        <f t="shared" si="6"/>
        <v>-1181313.0934595</v>
      </c>
      <c r="O18" s="290">
        <f t="shared" si="3"/>
        <v>-1181313.0934595</v>
      </c>
    </row>
    <row r="19" spans="1:15" x14ac:dyDescent="0.25">
      <c r="A19" s="309">
        <v>2015</v>
      </c>
      <c r="B19" s="292">
        <f t="shared" si="2"/>
        <v>1265986.094658898</v>
      </c>
      <c r="C19" s="292">
        <f t="shared" si="2"/>
        <v>995056.55993396719</v>
      </c>
      <c r="D19" s="292">
        <f t="shared" si="2"/>
        <v>11219524.536689492</v>
      </c>
      <c r="E19" s="292">
        <f t="shared" si="2"/>
        <v>377995.96663630288</v>
      </c>
      <c r="F19" s="292">
        <f t="shared" si="2"/>
        <v>0</v>
      </c>
      <c r="G19" s="292">
        <f t="shared" si="4"/>
        <v>13858563.157918662</v>
      </c>
      <c r="H19" s="291">
        <f>G19/((1+H$13)*(1+H$13)*(1+H$13)*(1+H$13))</f>
        <v>11401474.20707928</v>
      </c>
      <c r="I19" s="289"/>
      <c r="J19" s="309">
        <v>2015</v>
      </c>
      <c r="K19" s="319">
        <f t="shared" si="7"/>
        <v>11931522.343451075</v>
      </c>
      <c r="L19" s="319">
        <f t="shared" si="5"/>
        <v>11401474.20707928</v>
      </c>
      <c r="M19" s="319">
        <f>L21-K19</f>
        <v>-1109279.8550600782</v>
      </c>
      <c r="O19" s="290">
        <f t="shared" si="3"/>
        <v>-1109279.8550600782</v>
      </c>
    </row>
    <row r="20" spans="1:15" x14ac:dyDescent="0.25">
      <c r="A20" s="309">
        <v>2016</v>
      </c>
      <c r="B20" s="292">
        <f t="shared" si="2"/>
        <v>1332579.1711926113</v>
      </c>
      <c r="C20" s="292">
        <f t="shared" si="2"/>
        <v>969207.17187367147</v>
      </c>
      <c r="D20" s="292">
        <f t="shared" si="2"/>
        <v>12021230.197661892</v>
      </c>
      <c r="E20" s="292">
        <f t="shared" si="2"/>
        <v>386135.85656153568</v>
      </c>
      <c r="F20" s="292">
        <f t="shared" si="2"/>
        <v>0</v>
      </c>
      <c r="G20" s="292">
        <f t="shared" si="4"/>
        <v>14709152.39728971</v>
      </c>
      <c r="H20" s="291">
        <f>G20/((1+H$13)*(1+H$13)*(1+H$13)*(1+H$13)*(1+H$13))</f>
        <v>11525005.789848747</v>
      </c>
      <c r="I20" s="289"/>
      <c r="J20" s="309">
        <v>2016</v>
      </c>
      <c r="K20" s="319">
        <f t="shared" si="7"/>
        <v>0</v>
      </c>
      <c r="L20" s="319">
        <f t="shared" si="5"/>
        <v>11525005.789848747</v>
      </c>
      <c r="M20" s="319"/>
      <c r="O20" s="290">
        <f t="shared" si="3"/>
        <v>0</v>
      </c>
    </row>
    <row r="21" spans="1:15" x14ac:dyDescent="0.25">
      <c r="A21" s="309">
        <v>2017</v>
      </c>
      <c r="B21" s="292">
        <f t="shared" si="2"/>
        <v>1346280.9937189664</v>
      </c>
      <c r="C21" s="292">
        <f t="shared" si="2"/>
        <v>870393.9886114652</v>
      </c>
      <c r="D21" s="292">
        <f t="shared" si="2"/>
        <v>11935825.220487842</v>
      </c>
      <c r="E21" s="292">
        <f t="shared" si="2"/>
        <v>350339.77766115731</v>
      </c>
      <c r="F21" s="292">
        <f t="shared" si="2"/>
        <v>0</v>
      </c>
      <c r="G21" s="292">
        <f>SUM(B21:F21)+SUM(B22:F22)</f>
        <v>14502839.980479432</v>
      </c>
      <c r="H21" s="291">
        <f>G21/((1+H$13)*(1+H$13)*(1+H$13)*(1+H$13)*(1+H$13)*(1+H$13))</f>
        <v>10822242.488390997</v>
      </c>
      <c r="I21" s="289"/>
      <c r="J21" s="309">
        <v>2017</v>
      </c>
      <c r="K21" s="319"/>
      <c r="L21" s="319">
        <f t="shared" si="5"/>
        <v>10822242.488390997</v>
      </c>
      <c r="M21" s="319"/>
      <c r="O21" s="290"/>
    </row>
    <row r="22" spans="1:15" x14ac:dyDescent="0.25">
      <c r="A22" s="309">
        <v>2018</v>
      </c>
      <c r="B22" s="296">
        <f t="shared" si="2"/>
        <v>0</v>
      </c>
      <c r="C22" s="296">
        <f t="shared" si="2"/>
        <v>0</v>
      </c>
      <c r="D22" s="296">
        <f t="shared" si="2"/>
        <v>0</v>
      </c>
      <c r="E22" s="296">
        <f t="shared" si="2"/>
        <v>0</v>
      </c>
      <c r="F22" s="296">
        <f t="shared" si="2"/>
        <v>0</v>
      </c>
      <c r="G22" s="294"/>
      <c r="H22" s="320">
        <f>G22/((1+H$13)*(1+H$13)*(1+H$13)*(1+H$13)*(1+H$13)*(1+H$13)*(1+H$13))</f>
        <v>0</v>
      </c>
      <c r="I22" s="289"/>
      <c r="J22" s="309">
        <v>2018</v>
      </c>
      <c r="K22" s="319"/>
      <c r="L22" s="319">
        <f t="shared" si="5"/>
        <v>0</v>
      </c>
      <c r="M22" s="319"/>
      <c r="O22" s="290">
        <f>L24-K22</f>
        <v>0</v>
      </c>
    </row>
    <row r="23" spans="1:15" x14ac:dyDescent="0.25">
      <c r="I23" s="289"/>
      <c r="J23" s="39" t="s">
        <v>14</v>
      </c>
      <c r="K23" s="319">
        <f>SUM(K15:K22)</f>
        <v>46461961.962154292</v>
      </c>
      <c r="L23" s="319">
        <f>SUM(L15:L22)</f>
        <v>42142369.126670547</v>
      </c>
      <c r="M23" s="319">
        <f>SUM(M15:M22)</f>
        <v>-4319592.8354837392</v>
      </c>
      <c r="O23" s="293">
        <f>SUM(O15:O22)</f>
        <v>-4319592.8354837392</v>
      </c>
    </row>
    <row r="24" spans="1:15" x14ac:dyDescent="0.25">
      <c r="I24" s="289"/>
      <c r="K24" s="290"/>
    </row>
    <row r="28" spans="1:15" s="322" customFormat="1" ht="30" x14ac:dyDescent="0.25">
      <c r="A28" s="311" t="s">
        <v>274</v>
      </c>
      <c r="B28" s="321">
        <f>'$$$ Replace &amp; Retrofit'!J$28</f>
        <v>5002057.2689051935</v>
      </c>
      <c r="C28" s="321">
        <f>'$$$ Replace &amp; Retrofit'!J$29</f>
        <v>3855197.4684698316</v>
      </c>
      <c r="D28" s="321">
        <f>'$$$ Replace &amp; Retrofit'!J$30</f>
        <v>42344137.087157503</v>
      </c>
      <c r="E28" s="321">
        <f>'$$$ Replace &amp; Retrofit'!J$31</f>
        <v>1447447.4847717218</v>
      </c>
      <c r="F28" s="321">
        <f>'$$$ Replace &amp; Retrofit'!J$32</f>
        <v>0</v>
      </c>
      <c r="G28" s="321">
        <f>'$$$ Replace &amp; Retrofit'!J$33</f>
        <v>52648839.309304245</v>
      </c>
      <c r="H28" s="313">
        <v>0.05</v>
      </c>
      <c r="I28" s="289"/>
      <c r="J28" s="74"/>
      <c r="K28" s="74"/>
      <c r="L28" s="74"/>
      <c r="M28" s="74"/>
    </row>
    <row r="29" spans="1:15" s="322" customFormat="1" ht="30" x14ac:dyDescent="0.25">
      <c r="A29" s="311" t="s">
        <v>273</v>
      </c>
      <c r="B29" s="316">
        <f t="shared" ref="B29:H29" si="8">SUM(B30:B37)</f>
        <v>5002057.2689051945</v>
      </c>
      <c r="C29" s="316">
        <f t="shared" si="8"/>
        <v>3855197.4684698316</v>
      </c>
      <c r="D29" s="316">
        <f t="shared" si="8"/>
        <v>42344137.087157503</v>
      </c>
      <c r="E29" s="316">
        <f t="shared" si="8"/>
        <v>1447447.4847717218</v>
      </c>
      <c r="F29" s="316">
        <f t="shared" si="8"/>
        <v>0</v>
      </c>
      <c r="G29" s="316">
        <f t="shared" si="8"/>
        <v>52648839.309304252</v>
      </c>
      <c r="H29" s="323">
        <f t="shared" si="8"/>
        <v>46461961.962154292</v>
      </c>
      <c r="I29" s="289"/>
      <c r="J29" s="74"/>
      <c r="K29" s="74"/>
      <c r="L29" s="74"/>
      <c r="M29" s="74"/>
    </row>
    <row r="30" spans="1:15" x14ac:dyDescent="0.25">
      <c r="A30" s="309">
        <v>2011</v>
      </c>
      <c r="B30" s="292">
        <f>B17</f>
        <v>284732.52879018238</v>
      </c>
      <c r="C30" s="292">
        <f t="shared" ref="C30:F30" si="9">C17</f>
        <v>788329.6527744123</v>
      </c>
      <c r="D30" s="292">
        <f t="shared" si="9"/>
        <v>1618654.913074913</v>
      </c>
      <c r="E30" s="292">
        <f t="shared" si="9"/>
        <v>76511.296922763751</v>
      </c>
      <c r="F30" s="292">
        <f t="shared" si="9"/>
        <v>0</v>
      </c>
      <c r="G30" s="292">
        <f t="shared" ref="G30:G37" si="10">SUM(B30:F30)</f>
        <v>2768228.3915622714</v>
      </c>
      <c r="H30" s="295">
        <f>G30</f>
        <v>2768228.3915622714</v>
      </c>
      <c r="I30" s="289"/>
      <c r="J30" s="297"/>
      <c r="K30" s="287"/>
      <c r="L30" s="287"/>
      <c r="M30" s="287"/>
    </row>
    <row r="31" spans="1:15" x14ac:dyDescent="0.25">
      <c r="A31" s="309">
        <v>2012</v>
      </c>
      <c r="B31" s="292">
        <f t="shared" ref="B31:F35" si="11">B18</f>
        <v>772478.48054453544</v>
      </c>
      <c r="C31" s="292">
        <f t="shared" si="11"/>
        <v>232210.09527631526</v>
      </c>
      <c r="D31" s="292">
        <f t="shared" si="11"/>
        <v>5548902.2192433625</v>
      </c>
      <c r="E31" s="292">
        <f t="shared" si="11"/>
        <v>256464.58698996223</v>
      </c>
      <c r="F31" s="292">
        <f t="shared" si="11"/>
        <v>0</v>
      </c>
      <c r="G31" s="292">
        <f t="shared" si="10"/>
        <v>6810055.3820541753</v>
      </c>
      <c r="H31" s="295">
        <f>G31/(1+H$28)</f>
        <v>6485767.0305277854</v>
      </c>
      <c r="I31" s="289"/>
      <c r="J31" s="297"/>
      <c r="K31" s="287"/>
      <c r="L31" s="287"/>
      <c r="M31" s="287"/>
    </row>
    <row r="32" spans="1:15" x14ac:dyDescent="0.25">
      <c r="A32" s="309">
        <v>2013</v>
      </c>
      <c r="B32" s="292">
        <f t="shared" si="11"/>
        <v>1265986.094658898</v>
      </c>
      <c r="C32" s="292">
        <f t="shared" si="11"/>
        <v>995056.55993396719</v>
      </c>
      <c r="D32" s="292">
        <f t="shared" si="11"/>
        <v>11219524.536689492</v>
      </c>
      <c r="E32" s="292">
        <f t="shared" si="11"/>
        <v>377995.96663630288</v>
      </c>
      <c r="F32" s="292">
        <f t="shared" si="11"/>
        <v>0</v>
      </c>
      <c r="G32" s="292">
        <f t="shared" si="10"/>
        <v>13858563.157918662</v>
      </c>
      <c r="H32" s="295">
        <f>G32/((1+H$28)*(1+H$28))</f>
        <v>12570125.313304909</v>
      </c>
      <c r="I32" s="289"/>
    </row>
    <row r="33" spans="1:12" x14ac:dyDescent="0.25">
      <c r="A33" s="309">
        <v>2014</v>
      </c>
      <c r="B33" s="292">
        <f t="shared" si="11"/>
        <v>1332579.1711926113</v>
      </c>
      <c r="C33" s="292">
        <f t="shared" si="11"/>
        <v>969207.17187367147</v>
      </c>
      <c r="D33" s="292">
        <f t="shared" si="11"/>
        <v>12021230.197661892</v>
      </c>
      <c r="E33" s="292">
        <f>E20</f>
        <v>386135.85656153568</v>
      </c>
      <c r="F33" s="292">
        <f t="shared" si="11"/>
        <v>0</v>
      </c>
      <c r="G33" s="292">
        <f t="shared" si="10"/>
        <v>14709152.39728971</v>
      </c>
      <c r="H33" s="295">
        <f>G33/((1+H$28)*(1+H$28)*(1+H$28))</f>
        <v>12706318.883308247</v>
      </c>
      <c r="I33" s="289"/>
    </row>
    <row r="34" spans="1:12" x14ac:dyDescent="0.25">
      <c r="A34" s="309">
        <v>2015</v>
      </c>
      <c r="B34" s="292">
        <f t="shared" si="11"/>
        <v>1346280.9937189664</v>
      </c>
      <c r="C34" s="292">
        <f t="shared" si="11"/>
        <v>870393.9886114652</v>
      </c>
      <c r="D34" s="292">
        <f t="shared" si="11"/>
        <v>11935825.220487842</v>
      </c>
      <c r="E34" s="292">
        <f t="shared" si="11"/>
        <v>350339.77766115731</v>
      </c>
      <c r="F34" s="292">
        <f t="shared" si="11"/>
        <v>0</v>
      </c>
      <c r="G34" s="292">
        <f>SUM(B34:F34)+SUM(B35:F35)</f>
        <v>14502839.980479432</v>
      </c>
      <c r="H34" s="295">
        <f>G34/((1+H$28)*(1+H$28)*(1+H$28)*(1+H$28))</f>
        <v>11931522.343451075</v>
      </c>
      <c r="I34" s="289"/>
    </row>
    <row r="35" spans="1:12" x14ac:dyDescent="0.25">
      <c r="A35" s="309">
        <v>2016</v>
      </c>
      <c r="B35" s="296">
        <f t="shared" si="11"/>
        <v>0</v>
      </c>
      <c r="C35" s="296">
        <f t="shared" si="11"/>
        <v>0</v>
      </c>
      <c r="D35" s="296">
        <f t="shared" si="11"/>
        <v>0</v>
      </c>
      <c r="E35" s="296">
        <f t="shared" si="11"/>
        <v>0</v>
      </c>
      <c r="F35" s="296">
        <f t="shared" si="11"/>
        <v>0</v>
      </c>
      <c r="G35" s="296"/>
      <c r="H35" s="295">
        <f>G35/((1+H$28)*(1+H$28)*(1+H$28)*(1+H$28)*(1+H$28))</f>
        <v>0</v>
      </c>
      <c r="I35" s="289"/>
    </row>
    <row r="36" spans="1:12" x14ac:dyDescent="0.25">
      <c r="A36" s="309">
        <v>2017</v>
      </c>
      <c r="B36" s="296"/>
      <c r="C36" s="296"/>
      <c r="D36" s="296"/>
      <c r="E36" s="296"/>
      <c r="F36" s="296"/>
      <c r="G36" s="296">
        <f t="shared" si="10"/>
        <v>0</v>
      </c>
      <c r="H36" s="295">
        <f>G36/((1+H$28)*(1+H$28)*(1+H$28)*(1+H$28)*(1+H$28)*(1+H$28))</f>
        <v>0</v>
      </c>
      <c r="I36" s="289"/>
    </row>
    <row r="37" spans="1:12" x14ac:dyDescent="0.25">
      <c r="A37" s="309">
        <v>2018</v>
      </c>
      <c r="B37" s="296"/>
      <c r="C37" s="296"/>
      <c r="D37" s="296"/>
      <c r="E37" s="296"/>
      <c r="F37" s="296"/>
      <c r="G37" s="296">
        <f t="shared" si="10"/>
        <v>0</v>
      </c>
      <c r="H37" s="295">
        <f>G37/((1+H$28)*(1+H$28)*(1+H$28)*(1+H$28)*(1+H$28)*(1+H$28)*(1+H$28))</f>
        <v>0</v>
      </c>
      <c r="I37" s="289"/>
    </row>
    <row r="38" spans="1:12" x14ac:dyDescent="0.25">
      <c r="I38" s="289"/>
    </row>
    <row r="40" spans="1:12" x14ac:dyDescent="0.25">
      <c r="K40" s="298">
        <f>H29*0.9</f>
        <v>41815765.765938863</v>
      </c>
      <c r="L40" s="299">
        <f>H29-H14</f>
        <v>4319592.8354837447</v>
      </c>
    </row>
  </sheetData>
  <sheetProtection password="CDC6" sheet="1" objects="1" scenario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76" zoomScaleNormal="76" workbookViewId="0">
      <selection activeCell="C3" sqref="C3"/>
    </sheetView>
  </sheetViews>
  <sheetFormatPr defaultRowHeight="15" x14ac:dyDescent="0.25"/>
  <cols>
    <col min="1" max="1" width="18.42578125" bestFit="1" customWidth="1"/>
    <col min="2" max="2" width="13.42578125" bestFit="1" customWidth="1"/>
    <col min="3" max="3" width="13.140625" customWidth="1"/>
    <col min="4" max="4" width="14.5703125" customWidth="1"/>
    <col min="5" max="5" width="14" customWidth="1"/>
    <col min="6" max="6" width="14.140625" customWidth="1"/>
    <col min="7" max="7" width="14.7109375" customWidth="1"/>
    <col min="8" max="8" width="13.85546875" bestFit="1" customWidth="1"/>
    <col min="9" max="9" width="6.7109375" customWidth="1"/>
    <col min="11" max="11" width="15.140625" bestFit="1" customWidth="1"/>
    <col min="12" max="12" width="16" customWidth="1"/>
    <col min="13" max="13" width="15.28515625" customWidth="1"/>
    <col min="14" max="14" width="10.85546875" customWidth="1"/>
    <col min="15" max="15" width="15" customWidth="1"/>
  </cols>
  <sheetData>
    <row r="1" spans="1:16" s="117" customFormat="1" ht="60" customHeight="1" x14ac:dyDescent="0.25">
      <c r="A1" s="309"/>
      <c r="B1" s="309" t="s">
        <v>206</v>
      </c>
      <c r="C1" s="309" t="s">
        <v>266</v>
      </c>
      <c r="D1" s="309" t="s">
        <v>192</v>
      </c>
      <c r="E1" s="309" t="s">
        <v>267</v>
      </c>
      <c r="F1" s="309" t="s">
        <v>212</v>
      </c>
      <c r="G1" s="309"/>
      <c r="K1" s="309" t="s">
        <v>206</v>
      </c>
      <c r="L1" s="309" t="s">
        <v>266</v>
      </c>
      <c r="M1" s="309" t="s">
        <v>192</v>
      </c>
      <c r="N1" s="309" t="s">
        <v>267</v>
      </c>
      <c r="O1" s="309" t="s">
        <v>212</v>
      </c>
      <c r="P1" s="309" t="s">
        <v>277</v>
      </c>
    </row>
    <row r="2" spans="1:16" s="117" customFormat="1" x14ac:dyDescent="0.25">
      <c r="A2" s="280" t="s">
        <v>268</v>
      </c>
      <c r="B2" s="309"/>
      <c r="C2" s="309"/>
      <c r="D2" s="309"/>
      <c r="E2" s="309"/>
      <c r="F2" s="309"/>
      <c r="G2" s="309"/>
      <c r="J2" s="39" t="s">
        <v>278</v>
      </c>
      <c r="K2" s="39"/>
      <c r="L2" s="39"/>
      <c r="M2" s="39"/>
      <c r="N2" s="39"/>
      <c r="O2" s="39"/>
      <c r="P2" s="39"/>
    </row>
    <row r="3" spans="1:16" x14ac:dyDescent="0.25">
      <c r="A3" s="309">
        <v>2011</v>
      </c>
      <c r="C3" s="285"/>
      <c r="D3" s="285"/>
      <c r="E3" s="285"/>
      <c r="F3" s="285"/>
      <c r="G3" s="281"/>
      <c r="J3" s="309">
        <v>2011</v>
      </c>
      <c r="K3" s="8"/>
      <c r="L3" s="282"/>
      <c r="M3" s="282"/>
      <c r="N3" s="282"/>
      <c r="O3" s="282"/>
      <c r="P3" s="282"/>
    </row>
    <row r="4" spans="1:16" x14ac:dyDescent="0.25">
      <c r="A4" s="309">
        <v>2012</v>
      </c>
      <c r="B4" s="324"/>
      <c r="C4" s="325"/>
      <c r="D4" s="325"/>
      <c r="E4" s="325"/>
      <c r="F4" s="325"/>
      <c r="G4" s="281"/>
      <c r="J4" s="309">
        <v>2012</v>
      </c>
      <c r="K4" s="326"/>
      <c r="L4" s="326"/>
      <c r="M4" s="326"/>
      <c r="N4" s="326"/>
      <c r="O4" s="326"/>
      <c r="P4" s="282"/>
    </row>
    <row r="5" spans="1:16" x14ac:dyDescent="0.25">
      <c r="A5" s="309">
        <v>2013</v>
      </c>
      <c r="B5" s="300">
        <v>0.44099494517115273</v>
      </c>
      <c r="C5" s="284">
        <v>0.30668543043102681</v>
      </c>
      <c r="D5" s="284">
        <v>0.58139986728368287</v>
      </c>
      <c r="E5" s="284">
        <v>0.41728732235628213</v>
      </c>
      <c r="F5" s="284">
        <v>0.29071267685948482</v>
      </c>
      <c r="G5" s="281"/>
      <c r="J5" s="309">
        <v>2013</v>
      </c>
      <c r="K5" s="286">
        <f>'$$$ Replace &amp; Retrofit'!$C$20*'Low-Use $ PV'!B5</f>
        <v>9.6458237083127436</v>
      </c>
      <c r="L5" s="286">
        <f>'$$$ Replace &amp; Retrofit'!$C$21*'Low-Use $ PV'!C5</f>
        <v>3.9291322103266677</v>
      </c>
      <c r="M5" s="286">
        <f>'$$$ Replace &amp; Retrofit'!$C$22*'Low-Use $ PV'!D5</f>
        <v>57.409543923362932</v>
      </c>
      <c r="N5" s="286">
        <f>'$$$ Replace &amp; Retrofit'!$C$23*'Low-Use $ PV'!E5</f>
        <v>7.8031635580959264</v>
      </c>
      <c r="O5" s="286">
        <f>'$$$ Replace &amp; Retrofit'!$C$24*'Low-Use $ PV'!F5</f>
        <v>6.7962330493248473</v>
      </c>
      <c r="P5" s="286">
        <f t="shared" ref="P5:P7" si="0">SUM(K5:O5)</f>
        <v>85.583896449423122</v>
      </c>
    </row>
    <row r="6" spans="1:16" x14ac:dyDescent="0.25">
      <c r="A6" s="309">
        <v>2014</v>
      </c>
      <c r="B6" s="300">
        <v>0.32732474463844535</v>
      </c>
      <c r="C6" s="284">
        <v>0.3127400292581502</v>
      </c>
      <c r="D6" s="284">
        <v>0.3111987205165474</v>
      </c>
      <c r="E6" s="284">
        <v>0.37179870999032044</v>
      </c>
      <c r="F6" s="284">
        <v>0.35464058990574499</v>
      </c>
      <c r="G6" s="281"/>
      <c r="J6" s="309">
        <v>2014</v>
      </c>
      <c r="K6" s="286">
        <f>'$$$ Replace &amp; Retrofit'!$C$20*'Low-Use $ PV'!B6</f>
        <v>7.1595305495521213</v>
      </c>
      <c r="L6" s="286">
        <f>'$$$ Replace &amp; Retrofit'!$C$21*'Low-Use $ PV'!C6</f>
        <v>4.0067013313599764</v>
      </c>
      <c r="M6" s="286">
        <f>'$$$ Replace &amp; Retrofit'!$C$22*'Low-Use $ PV'!D6</f>
        <v>30.728896960122302</v>
      </c>
      <c r="N6" s="286">
        <f>'$$$ Replace &amp; Retrofit'!$C$23*'Low-Use $ PV'!E6</f>
        <v>6.9525384293043038</v>
      </c>
      <c r="O6" s="286">
        <f>'$$$ Replace &amp; Retrofit'!$C$24*'Low-Use $ PV'!F6</f>
        <v>8.2907292650139812</v>
      </c>
      <c r="P6" s="286">
        <f t="shared" si="0"/>
        <v>57.138396535352683</v>
      </c>
    </row>
    <row r="7" spans="1:16" x14ac:dyDescent="0.25">
      <c r="A7" s="309">
        <v>2015</v>
      </c>
      <c r="B7" s="300">
        <v>0.23168031019040197</v>
      </c>
      <c r="C7" s="284">
        <v>0.38057454031082305</v>
      </c>
      <c r="D7" s="284">
        <v>0.1074014121997698</v>
      </c>
      <c r="E7" s="284">
        <v>0.21091396765339737</v>
      </c>
      <c r="F7" s="284">
        <v>0.3546467332347702</v>
      </c>
      <c r="G7" s="281"/>
      <c r="J7" s="309">
        <v>2015</v>
      </c>
      <c r="K7" s="286">
        <f>'$$$ Replace &amp; Retrofit'!$C$20*'Low-Use $ PV'!B7</f>
        <v>5.0675125718652199</v>
      </c>
      <c r="L7" s="286">
        <f>'$$$ Replace &amp; Retrofit'!$C$21*'Low-Use $ PV'!C7</f>
        <v>4.8757702074856706</v>
      </c>
      <c r="M7" s="286">
        <f>'$$$ Replace &amp; Retrofit'!$C$22*'Low-Use $ PV'!D7</f>
        <v>10.605207255930411</v>
      </c>
      <c r="N7" s="286">
        <f>'$$$ Replace &amp; Retrofit'!$C$23*'Low-Use $ PV'!E7</f>
        <v>3.9440359150935911</v>
      </c>
      <c r="O7" s="286">
        <f>'$$$ Replace &amp; Retrofit'!$C$24*'Low-Use $ PV'!F7</f>
        <v>8.2908728827474949</v>
      </c>
      <c r="P7" s="286">
        <f t="shared" si="0"/>
        <v>32.783398833122391</v>
      </c>
    </row>
    <row r="8" spans="1:16" x14ac:dyDescent="0.25">
      <c r="A8" s="309">
        <v>2016</v>
      </c>
      <c r="B8" s="281"/>
      <c r="C8" s="281"/>
      <c r="D8" s="281"/>
      <c r="E8" s="281"/>
      <c r="F8" s="281"/>
      <c r="G8" s="281"/>
      <c r="J8" s="309">
        <v>2016</v>
      </c>
      <c r="K8" s="282"/>
      <c r="L8" s="282"/>
      <c r="M8" s="282"/>
      <c r="N8" s="282"/>
      <c r="O8" s="282"/>
      <c r="P8" s="282"/>
    </row>
    <row r="9" spans="1:16" x14ac:dyDescent="0.25">
      <c r="A9" s="309">
        <v>2017</v>
      </c>
      <c r="B9" s="281"/>
      <c r="C9" s="281"/>
      <c r="D9" s="281"/>
      <c r="E9" s="281"/>
      <c r="F9" s="281"/>
      <c r="G9" s="281"/>
      <c r="J9" s="309">
        <v>2017</v>
      </c>
      <c r="K9" s="282"/>
      <c r="L9" s="282"/>
      <c r="M9" s="282"/>
      <c r="N9" s="282"/>
      <c r="O9" s="282"/>
      <c r="P9" s="282"/>
    </row>
    <row r="10" spans="1:16" x14ac:dyDescent="0.25">
      <c r="A10" s="309">
        <v>2018</v>
      </c>
      <c r="B10" s="281"/>
      <c r="C10" s="281"/>
      <c r="D10" s="281"/>
      <c r="E10" s="281"/>
      <c r="F10" s="281"/>
      <c r="G10" s="281"/>
      <c r="J10" s="309">
        <v>2018</v>
      </c>
      <c r="K10" s="282"/>
      <c r="L10" s="282"/>
      <c r="M10" s="282"/>
      <c r="N10" s="282"/>
      <c r="O10" s="282"/>
      <c r="P10" s="282"/>
    </row>
    <row r="11" spans="1:16" x14ac:dyDescent="0.25">
      <c r="A11" s="287"/>
      <c r="B11" s="288">
        <f>SUM(B3:B10)</f>
        <v>1</v>
      </c>
      <c r="C11" s="288">
        <f>SUM(C3:C10)</f>
        <v>1</v>
      </c>
      <c r="D11" s="288">
        <f>SUM(D3:D10)</f>
        <v>1</v>
      </c>
      <c r="E11" s="288">
        <f>SUM(E3:E10)</f>
        <v>1</v>
      </c>
      <c r="F11" s="288">
        <f>SUM(F3:F10)</f>
        <v>1</v>
      </c>
      <c r="G11" s="288"/>
      <c r="J11" s="39" t="s">
        <v>14</v>
      </c>
      <c r="K11" s="286">
        <f>SUM(K3:K10)</f>
        <v>21.872866829730082</v>
      </c>
      <c r="L11" s="286">
        <f>SUM(L3:L10)</f>
        <v>12.811603749172315</v>
      </c>
      <c r="M11" s="286">
        <f>SUM(M3:M10)</f>
        <v>98.74364813941564</v>
      </c>
      <c r="N11" s="286">
        <f>SUM(N3:N10)</f>
        <v>18.699737902493819</v>
      </c>
      <c r="O11" s="286">
        <f>SUM(O3:O10)</f>
        <v>23.377835197086323</v>
      </c>
      <c r="P11" s="286">
        <f>SUM(P4:P10)</f>
        <v>175.5056918178982</v>
      </c>
    </row>
    <row r="13" spans="1:16" s="74" customFormat="1" ht="45" x14ac:dyDescent="0.25">
      <c r="A13" s="311" t="s">
        <v>269</v>
      </c>
      <c r="B13" s="312">
        <f>'$$$ Replace &amp; Retrofit'!J20</f>
        <v>4303744.2579741562</v>
      </c>
      <c r="C13" s="312">
        <f>'$$$ Replace &amp; Retrofit'!J21</f>
        <v>2620624.6528558847</v>
      </c>
      <c r="D13" s="312">
        <f>'$$$ Replace &amp; Retrofit'!J22</f>
        <v>13867155.235030428</v>
      </c>
      <c r="E13" s="312">
        <f>'$$$ Replace &amp; Retrofit'!J23</f>
        <v>2369467.5691145626</v>
      </c>
      <c r="F13" s="312">
        <f>'$$$ Replace &amp; Retrofit'!J24</f>
        <v>13893046.159915082</v>
      </c>
      <c r="G13" s="312">
        <f>'$$$ Replace &amp; Retrofit'!J$33</f>
        <v>52648839.309304245</v>
      </c>
      <c r="H13" s="313">
        <v>0.05</v>
      </c>
      <c r="J13" s="314"/>
      <c r="K13" s="315" t="s">
        <v>270</v>
      </c>
      <c r="L13" s="315" t="s">
        <v>271</v>
      </c>
      <c r="M13" s="315" t="s">
        <v>272</v>
      </c>
    </row>
    <row r="14" spans="1:16" s="74" customFormat="1" ht="30" x14ac:dyDescent="0.25">
      <c r="A14" s="311" t="s">
        <v>273</v>
      </c>
      <c r="B14" s="316">
        <f>SUM(B15:B22)</f>
        <v>4303744.2579741562</v>
      </c>
      <c r="C14" s="316">
        <f t="shared" ref="C14:H14" si="1">SUM(C15:C22)</f>
        <v>2620624.6528558847</v>
      </c>
      <c r="D14" s="316">
        <f t="shared" si="1"/>
        <v>13867155.235030428</v>
      </c>
      <c r="E14" s="316">
        <f t="shared" si="1"/>
        <v>2369467.5691145626</v>
      </c>
      <c r="F14" s="316">
        <f t="shared" si="1"/>
        <v>13893046.159915082</v>
      </c>
      <c r="G14" s="316">
        <f>SUM(G15:G22)</f>
        <v>37054037.874890111</v>
      </c>
      <c r="H14" s="323">
        <f t="shared" si="1"/>
        <v>32324200.07570016</v>
      </c>
      <c r="J14" s="314"/>
      <c r="K14" s="318"/>
      <c r="L14" s="318"/>
      <c r="M14" s="318"/>
    </row>
    <row r="15" spans="1:16" x14ac:dyDescent="0.25">
      <c r="A15" s="309">
        <v>2011</v>
      </c>
      <c r="B15" s="296">
        <f t="shared" ref="B15:F22" si="2">B$13*B3</f>
        <v>0</v>
      </c>
      <c r="C15" s="296">
        <f t="shared" si="2"/>
        <v>0</v>
      </c>
      <c r="D15" s="296">
        <f t="shared" si="2"/>
        <v>0</v>
      </c>
      <c r="E15" s="296">
        <f t="shared" si="2"/>
        <v>0</v>
      </c>
      <c r="F15" s="296">
        <f t="shared" si="2"/>
        <v>0</v>
      </c>
      <c r="G15" s="296">
        <f>SUM(B15:F15)</f>
        <v>0</v>
      </c>
      <c r="H15" s="295">
        <f>G15</f>
        <v>0</v>
      </c>
      <c r="J15" s="309">
        <v>2011</v>
      </c>
      <c r="K15" s="327">
        <f>H30</f>
        <v>15791632.492191326</v>
      </c>
      <c r="L15" s="327">
        <f>H15</f>
        <v>0</v>
      </c>
      <c r="M15" s="327">
        <f>L17-K15</f>
        <v>-1468156.3087978326</v>
      </c>
    </row>
    <row r="16" spans="1:16" x14ac:dyDescent="0.25">
      <c r="A16" s="309">
        <v>2012</v>
      </c>
      <c r="B16" s="292">
        <f t="shared" si="2"/>
        <v>0</v>
      </c>
      <c r="C16" s="292">
        <f t="shared" si="2"/>
        <v>0</v>
      </c>
      <c r="D16" s="292">
        <f t="shared" si="2"/>
        <v>0</v>
      </c>
      <c r="E16" s="292">
        <f t="shared" si="2"/>
        <v>0</v>
      </c>
      <c r="F16" s="292">
        <f t="shared" si="2"/>
        <v>0</v>
      </c>
      <c r="G16" s="292">
        <f t="shared" ref="G16:G22" si="3">SUM(B16:F16)</f>
        <v>0</v>
      </c>
      <c r="H16" s="295">
        <f>G16/(1+H$28)</f>
        <v>0</v>
      </c>
      <c r="J16" s="309">
        <v>2012</v>
      </c>
      <c r="K16" s="327">
        <f>H31</f>
        <v>11763562.150938934</v>
      </c>
      <c r="L16" s="327">
        <f t="shared" ref="L16:L22" si="4">H16</f>
        <v>0</v>
      </c>
      <c r="M16" s="327">
        <f>L18-K16</f>
        <v>-1093664.508363938</v>
      </c>
      <c r="O16" s="290">
        <f>-(K16-L18)</f>
        <v>-1093664.508363938</v>
      </c>
    </row>
    <row r="17" spans="1:15" x14ac:dyDescent="0.25">
      <c r="A17" s="309">
        <v>2013</v>
      </c>
      <c r="B17" s="292">
        <f t="shared" si="2"/>
        <v>1897929.4630759764</v>
      </c>
      <c r="C17" s="292">
        <f t="shared" si="2"/>
        <v>803707.39965926716</v>
      </c>
      <c r="D17" s="292">
        <f t="shared" si="2"/>
        <v>8062362.2132489188</v>
      </c>
      <c r="E17" s="292">
        <f t="shared" si="2"/>
        <v>988748.77732586465</v>
      </c>
      <c r="F17" s="292">
        <f t="shared" si="2"/>
        <v>4038884.6388812996</v>
      </c>
      <c r="G17" s="292">
        <f t="shared" si="3"/>
        <v>15791632.492191326</v>
      </c>
      <c r="H17" s="295">
        <f>G17/((1+H$13)*(1+H$13))</f>
        <v>14323476.183393493</v>
      </c>
      <c r="J17" s="309">
        <v>2013</v>
      </c>
      <c r="K17" s="327">
        <f t="shared" ref="K17:K20" si="5">H32</f>
        <v>8082235.940329168</v>
      </c>
      <c r="L17" s="327">
        <f t="shared" si="4"/>
        <v>14323476.183393493</v>
      </c>
      <c r="M17" s="327">
        <f>L19-K17</f>
        <v>-751409.69059749786</v>
      </c>
      <c r="O17" s="290">
        <f>-(K17-L19)</f>
        <v>-751409.69059749786</v>
      </c>
    </row>
    <row r="18" spans="1:15" x14ac:dyDescent="0.25">
      <c r="A18" s="309">
        <v>2014</v>
      </c>
      <c r="B18" s="292">
        <f t="shared" si="2"/>
        <v>1408721.9902305661</v>
      </c>
      <c r="C18" s="292">
        <f t="shared" si="2"/>
        <v>819574.23060877912</v>
      </c>
      <c r="D18" s="292">
        <f t="shared" si="2"/>
        <v>4315440.9663458113</v>
      </c>
      <c r="E18" s="292">
        <f t="shared" si="2"/>
        <v>880964.98556069483</v>
      </c>
      <c r="F18" s="292">
        <f t="shared" si="2"/>
        <v>4927038.0857400298</v>
      </c>
      <c r="G18" s="292">
        <f t="shared" si="3"/>
        <v>12351740.258485882</v>
      </c>
      <c r="H18" s="295">
        <f>G18/((1+H$13)*(1+H$13)*(1+H$13))</f>
        <v>10669897.642574996</v>
      </c>
      <c r="J18" s="309">
        <v>2014</v>
      </c>
      <c r="K18" s="327">
        <f t="shared" si="5"/>
        <v>0</v>
      </c>
      <c r="L18" s="327">
        <f t="shared" si="4"/>
        <v>10669897.642574996</v>
      </c>
      <c r="M18" s="327">
        <f t="shared" ref="M18" si="6">L20-K18</f>
        <v>0</v>
      </c>
      <c r="O18" s="290">
        <f>-(K18-L20)</f>
        <v>0</v>
      </c>
    </row>
    <row r="19" spans="1:15" x14ac:dyDescent="0.25">
      <c r="A19" s="309">
        <v>2015</v>
      </c>
      <c r="B19" s="292">
        <f t="shared" si="2"/>
        <v>997092.80466761382</v>
      </c>
      <c r="C19" s="292">
        <f t="shared" si="2"/>
        <v>997343.02258783858</v>
      </c>
      <c r="D19" s="292">
        <f t="shared" si="2"/>
        <v>1489352.0554356987</v>
      </c>
      <c r="E19" s="292">
        <f t="shared" si="2"/>
        <v>499753.80622800294</v>
      </c>
      <c r="F19" s="292">
        <f t="shared" si="2"/>
        <v>4927123.4352937527</v>
      </c>
      <c r="G19" s="292">
        <f t="shared" si="3"/>
        <v>8910665.1242129076</v>
      </c>
      <c r="H19" s="295">
        <f>G19/((1+H$13)*(1+H$13)*(1+H$13)*(1+H$13))</f>
        <v>7330826.2497316701</v>
      </c>
      <c r="J19" s="309">
        <v>2015</v>
      </c>
      <c r="K19" s="327">
        <f t="shared" si="5"/>
        <v>0</v>
      </c>
      <c r="L19" s="327">
        <f t="shared" si="4"/>
        <v>7330826.2497316701</v>
      </c>
      <c r="M19" s="327">
        <f>L21-K19</f>
        <v>0</v>
      </c>
      <c r="O19" s="290">
        <f>-(K19-L21)</f>
        <v>0</v>
      </c>
    </row>
    <row r="20" spans="1:15" x14ac:dyDescent="0.25">
      <c r="A20" s="309">
        <v>2016</v>
      </c>
      <c r="B20" s="296">
        <f t="shared" si="2"/>
        <v>0</v>
      </c>
      <c r="C20" s="296">
        <f t="shared" si="2"/>
        <v>0</v>
      </c>
      <c r="D20" s="296">
        <f t="shared" si="2"/>
        <v>0</v>
      </c>
      <c r="E20" s="296">
        <f t="shared" si="2"/>
        <v>0</v>
      </c>
      <c r="F20" s="296">
        <f t="shared" si="2"/>
        <v>0</v>
      </c>
      <c r="G20" s="296">
        <f t="shared" si="3"/>
        <v>0</v>
      </c>
      <c r="H20" s="295">
        <f>G20/((1+H$13)*(1+H$13)*(1+H$13)*(1+H$13)*(1+H$13))</f>
        <v>0</v>
      </c>
      <c r="J20" s="309">
        <v>2016</v>
      </c>
      <c r="K20" s="319">
        <f t="shared" si="5"/>
        <v>0</v>
      </c>
      <c r="L20" s="319">
        <f t="shared" si="4"/>
        <v>0</v>
      </c>
      <c r="M20" s="319"/>
    </row>
    <row r="21" spans="1:15" x14ac:dyDescent="0.25">
      <c r="A21" s="309">
        <v>2017</v>
      </c>
      <c r="B21" s="296">
        <f t="shared" si="2"/>
        <v>0</v>
      </c>
      <c r="C21" s="296">
        <f t="shared" si="2"/>
        <v>0</v>
      </c>
      <c r="D21" s="296">
        <f t="shared" si="2"/>
        <v>0</v>
      </c>
      <c r="E21" s="296">
        <f t="shared" si="2"/>
        <v>0</v>
      </c>
      <c r="F21" s="296">
        <f t="shared" si="2"/>
        <v>0</v>
      </c>
      <c r="G21" s="296">
        <f t="shared" si="3"/>
        <v>0</v>
      </c>
      <c r="H21" s="291">
        <f>G21/((1+H$13)*(1+H$13)*(1+H$13)*(1+H$13)*(1+H$13)*(1+H$13))</f>
        <v>0</v>
      </c>
      <c r="J21" s="309">
        <v>2017</v>
      </c>
      <c r="K21" s="319"/>
      <c r="L21" s="319">
        <f t="shared" si="4"/>
        <v>0</v>
      </c>
      <c r="M21" s="319"/>
    </row>
    <row r="22" spans="1:15" x14ac:dyDescent="0.25">
      <c r="A22" s="309">
        <v>2018</v>
      </c>
      <c r="B22" s="296">
        <f t="shared" si="2"/>
        <v>0</v>
      </c>
      <c r="C22" s="296">
        <f t="shared" si="2"/>
        <v>0</v>
      </c>
      <c r="D22" s="296">
        <f t="shared" si="2"/>
        <v>0</v>
      </c>
      <c r="E22" s="296">
        <f t="shared" si="2"/>
        <v>0</v>
      </c>
      <c r="F22" s="296">
        <f t="shared" si="2"/>
        <v>0</v>
      </c>
      <c r="G22" s="296">
        <f t="shared" si="3"/>
        <v>0</v>
      </c>
      <c r="H22" s="291">
        <f>G22/((1+H$13)*(1+H$13)*(1+H$13)*(1+H$13)*(1+H$13)*(1+H$13)*(1+H$13))</f>
        <v>0</v>
      </c>
      <c r="J22" s="309">
        <v>2018</v>
      </c>
      <c r="K22" s="319"/>
      <c r="L22" s="319">
        <f t="shared" si="4"/>
        <v>0</v>
      </c>
      <c r="M22" s="319"/>
    </row>
    <row r="23" spans="1:15" x14ac:dyDescent="0.25">
      <c r="J23" s="39" t="s">
        <v>14</v>
      </c>
      <c r="K23" s="327">
        <f>SUM(K15:K22)</f>
        <v>35637430.583459422</v>
      </c>
      <c r="L23" s="327">
        <f>SUM(L15:L22)</f>
        <v>32324200.07570016</v>
      </c>
      <c r="M23" s="327">
        <f>SUM(M15:M22)</f>
        <v>-3313230.5077592684</v>
      </c>
      <c r="O23" s="293">
        <f>SUM(O15:O22)</f>
        <v>-1845074.1989614358</v>
      </c>
    </row>
    <row r="28" spans="1:15" s="322" customFormat="1" ht="30" x14ac:dyDescent="0.25">
      <c r="A28" s="311" t="s">
        <v>274</v>
      </c>
      <c r="B28" s="321">
        <f>B13</f>
        <v>4303744.2579741562</v>
      </c>
      <c r="C28" s="321">
        <f t="shared" ref="C28:F28" si="7">C13</f>
        <v>2620624.6528558847</v>
      </c>
      <c r="D28" s="321">
        <f t="shared" si="7"/>
        <v>13867155.235030428</v>
      </c>
      <c r="E28" s="321">
        <f t="shared" si="7"/>
        <v>2369467.5691145626</v>
      </c>
      <c r="F28" s="321">
        <f t="shared" si="7"/>
        <v>13893046.159915082</v>
      </c>
      <c r="G28" s="321">
        <f>'$$$ Replace &amp; Retrofit'!J$25</f>
        <v>37054037.874890119</v>
      </c>
      <c r="H28" s="313">
        <v>0.05</v>
      </c>
      <c r="I28" s="74"/>
      <c r="J28" s="328"/>
    </row>
    <row r="29" spans="1:15" s="322" customFormat="1" ht="30" x14ac:dyDescent="0.25">
      <c r="A29" s="311" t="s">
        <v>273</v>
      </c>
      <c r="B29" s="316">
        <f t="shared" ref="B29:H29" si="8">SUM(B30:B37)</f>
        <v>4303744.2579741562</v>
      </c>
      <c r="C29" s="316">
        <f t="shared" si="8"/>
        <v>2620624.6528558847</v>
      </c>
      <c r="D29" s="316">
        <f t="shared" si="8"/>
        <v>13867155.235030428</v>
      </c>
      <c r="E29" s="316">
        <f t="shared" si="8"/>
        <v>2369467.5691145626</v>
      </c>
      <c r="F29" s="316">
        <f t="shared" si="8"/>
        <v>13893046.159915082</v>
      </c>
      <c r="G29" s="316">
        <f t="shared" si="8"/>
        <v>37054037.874890111</v>
      </c>
      <c r="H29" s="323">
        <f t="shared" si="8"/>
        <v>35637430.583459422</v>
      </c>
      <c r="I29" s="74"/>
      <c r="J29" s="328"/>
    </row>
    <row r="30" spans="1:15" x14ac:dyDescent="0.25">
      <c r="A30" s="309">
        <v>2011</v>
      </c>
      <c r="B30" s="292">
        <f t="shared" ref="B30:F36" si="9">B17</f>
        <v>1897929.4630759764</v>
      </c>
      <c r="C30" s="292">
        <f t="shared" si="9"/>
        <v>803707.39965926716</v>
      </c>
      <c r="D30" s="292">
        <f t="shared" si="9"/>
        <v>8062362.2132489188</v>
      </c>
      <c r="E30" s="292">
        <f t="shared" si="9"/>
        <v>988748.77732586465</v>
      </c>
      <c r="F30" s="292">
        <f t="shared" si="9"/>
        <v>4038884.6388812996</v>
      </c>
      <c r="G30" s="292">
        <f>SUM(B30:F30)</f>
        <v>15791632.492191326</v>
      </c>
      <c r="H30" s="295">
        <f>G30</f>
        <v>15791632.492191326</v>
      </c>
    </row>
    <row r="31" spans="1:15" x14ac:dyDescent="0.25">
      <c r="A31" s="309">
        <v>2012</v>
      </c>
      <c r="B31" s="292">
        <f t="shared" si="9"/>
        <v>1408721.9902305661</v>
      </c>
      <c r="C31" s="292">
        <f t="shared" si="9"/>
        <v>819574.23060877912</v>
      </c>
      <c r="D31" s="292">
        <f t="shared" si="9"/>
        <v>4315440.9663458113</v>
      </c>
      <c r="E31" s="292">
        <f t="shared" si="9"/>
        <v>880964.98556069483</v>
      </c>
      <c r="F31" s="292">
        <f t="shared" si="9"/>
        <v>4927038.0857400298</v>
      </c>
      <c r="G31" s="292">
        <f>SUM(B31:F31)</f>
        <v>12351740.258485882</v>
      </c>
      <c r="H31" s="295">
        <f>G31/(1+H$28)</f>
        <v>11763562.150938934</v>
      </c>
    </row>
    <row r="32" spans="1:15" x14ac:dyDescent="0.25">
      <c r="A32" s="309">
        <v>2013</v>
      </c>
      <c r="B32" s="292">
        <f t="shared" si="9"/>
        <v>997092.80466761382</v>
      </c>
      <c r="C32" s="292">
        <f t="shared" si="9"/>
        <v>997343.02258783858</v>
      </c>
      <c r="D32" s="292">
        <f t="shared" si="9"/>
        <v>1489352.0554356987</v>
      </c>
      <c r="E32" s="292">
        <f t="shared" si="9"/>
        <v>499753.80622800294</v>
      </c>
      <c r="F32" s="292">
        <f t="shared" si="9"/>
        <v>4927123.4352937527</v>
      </c>
      <c r="G32" s="292">
        <f>SUM(B32:F32)</f>
        <v>8910665.1242129076</v>
      </c>
      <c r="H32" s="295">
        <f>G32/((1+H$28)*(1+H$28))</f>
        <v>8082235.940329168</v>
      </c>
    </row>
    <row r="33" spans="1:12" x14ac:dyDescent="0.25">
      <c r="A33" s="309">
        <v>2014</v>
      </c>
      <c r="B33" s="296">
        <f t="shared" si="9"/>
        <v>0</v>
      </c>
      <c r="C33" s="296">
        <f t="shared" si="9"/>
        <v>0</v>
      </c>
      <c r="D33" s="296">
        <f t="shared" si="9"/>
        <v>0</v>
      </c>
      <c r="E33" s="296">
        <f t="shared" si="9"/>
        <v>0</v>
      </c>
      <c r="F33" s="296">
        <f t="shared" si="9"/>
        <v>0</v>
      </c>
      <c r="G33" s="296">
        <f t="shared" ref="G33:G37" si="10">SUM(B33:F33)</f>
        <v>0</v>
      </c>
      <c r="H33" s="295">
        <f>G33/((1+H$28)*(1+H$28)*(1+H$28))</f>
        <v>0</v>
      </c>
    </row>
    <row r="34" spans="1:12" x14ac:dyDescent="0.25">
      <c r="A34" s="309">
        <v>2015</v>
      </c>
      <c r="B34" s="296">
        <f t="shared" si="9"/>
        <v>0</v>
      </c>
      <c r="C34" s="296">
        <f t="shared" si="9"/>
        <v>0</v>
      </c>
      <c r="D34" s="296">
        <f t="shared" si="9"/>
        <v>0</v>
      </c>
      <c r="E34" s="296">
        <f t="shared" si="9"/>
        <v>0</v>
      </c>
      <c r="F34" s="296">
        <f t="shared" si="9"/>
        <v>0</v>
      </c>
      <c r="G34" s="296">
        <f t="shared" si="10"/>
        <v>0</v>
      </c>
      <c r="H34" s="295">
        <f>G34/((1+H$28)*(1+H$28)*(1+H$28)*(1+H$28))</f>
        <v>0</v>
      </c>
    </row>
    <row r="35" spans="1:12" x14ac:dyDescent="0.25">
      <c r="A35" s="309">
        <v>2016</v>
      </c>
      <c r="B35" s="296">
        <f t="shared" si="9"/>
        <v>0</v>
      </c>
      <c r="C35" s="296">
        <f t="shared" si="9"/>
        <v>0</v>
      </c>
      <c r="D35" s="296">
        <f t="shared" si="9"/>
        <v>0</v>
      </c>
      <c r="E35" s="296">
        <f t="shared" si="9"/>
        <v>0</v>
      </c>
      <c r="F35" s="296">
        <f t="shared" si="9"/>
        <v>0</v>
      </c>
      <c r="G35" s="296">
        <f t="shared" si="10"/>
        <v>0</v>
      </c>
      <c r="H35" s="295">
        <f>G35/((1+H$28)*(1+H$28)*(1+H$28)*(1+H$28)*(1+H$28))</f>
        <v>0</v>
      </c>
    </row>
    <row r="36" spans="1:12" x14ac:dyDescent="0.25">
      <c r="A36" s="309">
        <v>2017</v>
      </c>
      <c r="B36" s="296">
        <f t="shared" si="9"/>
        <v>0</v>
      </c>
      <c r="C36" s="296">
        <f t="shared" si="9"/>
        <v>0</v>
      </c>
      <c r="D36" s="296">
        <f t="shared" si="9"/>
        <v>0</v>
      </c>
      <c r="E36" s="296">
        <f t="shared" si="9"/>
        <v>0</v>
      </c>
      <c r="F36" s="296">
        <f t="shared" si="9"/>
        <v>0</v>
      </c>
      <c r="G36" s="296">
        <f t="shared" si="10"/>
        <v>0</v>
      </c>
      <c r="H36" s="295">
        <f>G36/((1+H$28)*(1+H$28)*(1+H$28)*(1+H$28)*(1+H$28)*(1+H$28))</f>
        <v>0</v>
      </c>
    </row>
    <row r="37" spans="1:12" x14ac:dyDescent="0.25">
      <c r="A37" s="309">
        <v>2018</v>
      </c>
      <c r="B37" s="296">
        <f t="shared" ref="B37:F37" si="11">B20</f>
        <v>0</v>
      </c>
      <c r="C37" s="296">
        <f t="shared" si="11"/>
        <v>0</v>
      </c>
      <c r="D37" s="296">
        <f t="shared" si="11"/>
        <v>0</v>
      </c>
      <c r="E37" s="296">
        <f t="shared" si="11"/>
        <v>0</v>
      </c>
      <c r="F37" s="296">
        <f t="shared" si="11"/>
        <v>0</v>
      </c>
      <c r="G37" s="296">
        <f t="shared" si="10"/>
        <v>0</v>
      </c>
      <c r="H37" s="295">
        <f>G37/((1+H$28)*(1+H$28)*(1+H$28)*(1+H$28)*(1+H$28)*(1+H$28)*(1+H$28))</f>
        <v>0</v>
      </c>
    </row>
    <row r="38" spans="1:12" x14ac:dyDescent="0.25">
      <c r="K38" s="298">
        <f>H29*0.9</f>
        <v>32073687.525113482</v>
      </c>
      <c r="L38" s="299">
        <f>H29-H14</f>
        <v>3313230.5077592619</v>
      </c>
    </row>
  </sheetData>
  <sheetProtection password="CDC6" sheet="1" objects="1" scenarios="1"/>
  <pageMargins left="0.7" right="0.7" top="0.75" bottom="0.75" header="0.3" footer="0.3"/>
  <pageSetup orientation="landscape" r:id="rId1"/>
  <headerFooter>
    <oddHeader>&amp;A</oddHeader>
    <oddFooter>&amp;Z&amp;F&amp;RPage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2"/>
  <sheetViews>
    <sheetView zoomScale="80" zoomScaleNormal="80" workbookViewId="0">
      <selection activeCell="C3" sqref="C3"/>
    </sheetView>
  </sheetViews>
  <sheetFormatPr defaultRowHeight="15" x14ac:dyDescent="0.25"/>
  <cols>
    <col min="1" max="1" width="18.42578125" bestFit="1" customWidth="1"/>
    <col min="2" max="2" width="13.5703125" bestFit="1" customWidth="1"/>
    <col min="3" max="3" width="12.42578125" customWidth="1"/>
    <col min="4" max="4" width="13.5703125" customWidth="1"/>
    <col min="5" max="5" width="14" customWidth="1"/>
    <col min="6" max="6" width="12.85546875" bestFit="1" customWidth="1"/>
    <col min="7" max="7" width="13.7109375" customWidth="1"/>
    <col min="8" max="8" width="15.140625" bestFit="1" customWidth="1"/>
    <col min="10" max="10" width="15.140625" bestFit="1" customWidth="1"/>
    <col min="11" max="11" width="16" customWidth="1"/>
    <col min="12" max="12" width="15.28515625" customWidth="1"/>
    <col min="13" max="13" width="11.140625" customWidth="1"/>
  </cols>
  <sheetData>
    <row r="1" spans="1:15" s="117" customFormat="1" ht="60" customHeight="1" x14ac:dyDescent="0.25">
      <c r="A1" s="309"/>
      <c r="B1" s="309" t="s">
        <v>206</v>
      </c>
      <c r="C1" s="309" t="s">
        <v>266</v>
      </c>
      <c r="D1" s="309" t="s">
        <v>192</v>
      </c>
      <c r="E1" s="309" t="s">
        <v>267</v>
      </c>
      <c r="F1" s="309" t="s">
        <v>212</v>
      </c>
      <c r="G1" s="309"/>
      <c r="J1" s="310" t="s">
        <v>206</v>
      </c>
      <c r="K1" s="310" t="s">
        <v>266</v>
      </c>
      <c r="L1" s="310" t="s">
        <v>192</v>
      </c>
      <c r="M1" s="310" t="s">
        <v>267</v>
      </c>
      <c r="N1" s="310" t="s">
        <v>212</v>
      </c>
      <c r="O1" s="310" t="s">
        <v>277</v>
      </c>
    </row>
    <row r="2" spans="1:15" s="117" customFormat="1" x14ac:dyDescent="0.25">
      <c r="A2" s="280" t="s">
        <v>268</v>
      </c>
      <c r="B2" s="309"/>
      <c r="C2" s="309"/>
      <c r="D2" s="309"/>
      <c r="E2" s="309"/>
      <c r="F2" s="309"/>
      <c r="G2" s="309"/>
      <c r="I2" s="39" t="s">
        <v>278</v>
      </c>
      <c r="J2" s="39"/>
      <c r="K2" s="39"/>
      <c r="L2" s="39"/>
      <c r="M2" s="39"/>
      <c r="N2" s="39"/>
      <c r="O2" s="39"/>
    </row>
    <row r="3" spans="1:15" x14ac:dyDescent="0.25">
      <c r="A3" s="309">
        <v>2011</v>
      </c>
      <c r="B3" s="285"/>
      <c r="C3" s="285"/>
      <c r="D3" s="285"/>
      <c r="E3" s="285"/>
      <c r="F3" s="285"/>
      <c r="G3" s="281"/>
      <c r="I3" s="329">
        <v>2011</v>
      </c>
      <c r="J3" s="37"/>
      <c r="K3" s="330"/>
      <c r="L3" s="330"/>
      <c r="M3" s="330"/>
      <c r="N3" s="330"/>
      <c r="O3" s="8"/>
    </row>
    <row r="4" spans="1:15" x14ac:dyDescent="0.25">
      <c r="A4" s="309">
        <v>2012</v>
      </c>
      <c r="B4" s="284">
        <v>0.134588091268285</v>
      </c>
      <c r="C4" s="284">
        <v>0.2049714582353426</v>
      </c>
      <c r="D4" s="284">
        <v>5.3349729468228961E-2</v>
      </c>
      <c r="E4" s="284">
        <v>0.14017027959461692</v>
      </c>
      <c r="F4" s="284">
        <v>0.18078285489277207</v>
      </c>
      <c r="G4" s="281"/>
      <c r="I4" s="309">
        <v>2012</v>
      </c>
      <c r="J4" s="286">
        <f>'$$$ Replace &amp; Retrofit'!$C$36*B4</f>
        <v>2.2999442036049453</v>
      </c>
      <c r="K4" s="286">
        <f>'$$$ Replace &amp; Retrofit'!$C$37*C4</f>
        <v>15.326987027723876</v>
      </c>
      <c r="L4" s="286">
        <f>'$$$ Replace &amp; Retrofit'!$C$38*D4</f>
        <v>3.7450671005538205</v>
      </c>
      <c r="M4" s="286">
        <f>'$$$ Replace &amp; Retrofit'!$C$39*E4</f>
        <v>2.0110753631533171</v>
      </c>
      <c r="N4" s="286">
        <f>'$$$ Replace &amp; Retrofit'!$C$40*F4</f>
        <v>8.6678923143796727</v>
      </c>
      <c r="O4" s="286">
        <f>SUM(J4:N4)</f>
        <v>32.050966009415632</v>
      </c>
    </row>
    <row r="5" spans="1:15" x14ac:dyDescent="0.25">
      <c r="A5" s="309">
        <v>2013</v>
      </c>
      <c r="B5" s="284">
        <v>0.1549936492570631</v>
      </c>
      <c r="C5" s="284">
        <v>0.19923635128257358</v>
      </c>
      <c r="D5" s="284">
        <v>8.4815086649495205E-2</v>
      </c>
      <c r="E5" s="284">
        <v>0.14860034881326412</v>
      </c>
      <c r="F5" s="284">
        <v>0.17576506451093057</v>
      </c>
      <c r="G5" s="281"/>
      <c r="I5" s="309">
        <v>2013</v>
      </c>
      <c r="J5" s="286">
        <f>'$$$ Replace &amp; Retrofit'!$C$36*B5</f>
        <v>2.6486499796907523</v>
      </c>
      <c r="K5" s="286">
        <f>'$$$ Replace &amp; Retrofit'!$C$37*C5</f>
        <v>14.898137515579734</v>
      </c>
      <c r="L5" s="286">
        <f>'$$$ Replace &amp; Retrofit'!$C$38*D5</f>
        <v>5.9538856861646732</v>
      </c>
      <c r="M5" s="286">
        <f>'$$$ Replace &amp; Retrofit'!$C$39*E5</f>
        <v>2.1320247153578595</v>
      </c>
      <c r="N5" s="286">
        <f>'$$$ Replace &amp; Retrofit'!$C$40*F5</f>
        <v>8.4273071841596092</v>
      </c>
      <c r="O5" s="286">
        <f t="shared" ref="O5:O8" si="0">SUM(J5:N5)</f>
        <v>34.060005080952628</v>
      </c>
    </row>
    <row r="6" spans="1:15" x14ac:dyDescent="0.25">
      <c r="A6" s="309">
        <v>2014</v>
      </c>
      <c r="B6" s="284">
        <v>0.2373651602737582</v>
      </c>
      <c r="C6" s="284">
        <v>0.24208298440707729</v>
      </c>
      <c r="D6" s="284">
        <v>0.25822317626550256</v>
      </c>
      <c r="E6" s="284">
        <v>0.23012577605965442</v>
      </c>
      <c r="F6" s="284">
        <v>0.26129591928584278</v>
      </c>
      <c r="G6" s="281"/>
      <c r="I6" s="309">
        <v>2014</v>
      </c>
      <c r="J6" s="286">
        <f>'$$$ Replace &amp; Retrofit'!$C$36*B6</f>
        <v>4.0562773375034391</v>
      </c>
      <c r="K6" s="286">
        <f>'$$$ Replace &amp; Retrofit'!$C$37*C6</f>
        <v>18.102045980371432</v>
      </c>
      <c r="L6" s="286">
        <f>'$$$ Replace &amp; Retrofit'!$C$38*D6</f>
        <v>18.126860842065806</v>
      </c>
      <c r="M6" s="286">
        <f>'$$$ Replace &amp; Retrofit'!$C$39*E6</f>
        <v>3.3017004745839271</v>
      </c>
      <c r="N6" s="286">
        <f>'$$$ Replace &amp; Retrofit'!$C$40*F6</f>
        <v>12.528206238915196</v>
      </c>
      <c r="O6" s="286">
        <f t="shared" si="0"/>
        <v>56.115090873439797</v>
      </c>
    </row>
    <row r="7" spans="1:15" x14ac:dyDescent="0.25">
      <c r="A7" s="309">
        <v>2015</v>
      </c>
      <c r="B7" s="284">
        <v>0.23784823742020186</v>
      </c>
      <c r="C7" s="284">
        <v>0.19711433024841596</v>
      </c>
      <c r="D7" s="284">
        <v>0.28329567990112314</v>
      </c>
      <c r="E7" s="284">
        <v>0.24736197001458152</v>
      </c>
      <c r="F7" s="284">
        <v>0.22754529181129618</v>
      </c>
      <c r="G7" s="281"/>
      <c r="I7" s="309">
        <v>2015</v>
      </c>
      <c r="J7" s="286">
        <f>'$$$ Replace &amp; Retrofit'!$C$36*B7</f>
        <v>4.0645325291209682</v>
      </c>
      <c r="K7" s="286">
        <f>'$$$ Replace &amp; Retrofit'!$C$37*C7</f>
        <v>14.739460843504993</v>
      </c>
      <c r="L7" s="286">
        <f>'$$$ Replace &amp; Retrofit'!$C$38*D7</f>
        <v>19.88691116341181</v>
      </c>
      <c r="M7" s="286">
        <f>'$$$ Replace &amp; Retrofit'!$C$39*E7</f>
        <v>3.5489945879832501</v>
      </c>
      <c r="N7" s="286">
        <f>'$$$ Replace &amp; Retrofit'!$C$40*F7</f>
        <v>10.909984175403519</v>
      </c>
      <c r="O7" s="286">
        <f t="shared" si="0"/>
        <v>53.149883299424545</v>
      </c>
    </row>
    <row r="8" spans="1:15" x14ac:dyDescent="0.25">
      <c r="A8" s="309">
        <v>2016</v>
      </c>
      <c r="B8" s="284">
        <v>0.2352048617806918</v>
      </c>
      <c r="C8" s="284">
        <v>0.15659487582659057</v>
      </c>
      <c r="D8" s="284">
        <v>0.32031632771565016</v>
      </c>
      <c r="E8" s="284">
        <v>0.23374162551788305</v>
      </c>
      <c r="F8" s="284">
        <v>0.15461086949915839</v>
      </c>
      <c r="G8" s="281"/>
      <c r="I8" s="309">
        <v>2016</v>
      </c>
      <c r="J8" s="286">
        <f>'$$$ Replace &amp; Retrofit'!$C$36*B8</f>
        <v>4.0193605051866754</v>
      </c>
      <c r="K8" s="286">
        <f>'$$$ Replace &amp; Retrofit'!$C$37*C8</f>
        <v>11.709569961913546</v>
      </c>
      <c r="L8" s="286">
        <f>'$$$ Replace &amp; Retrofit'!$C$38*D8</f>
        <v>22.485702414151724</v>
      </c>
      <c r="M8" s="286">
        <f>'$$$ Replace &amp; Retrofit'!$C$39*E8</f>
        <v>3.3535784174926899</v>
      </c>
      <c r="N8" s="286">
        <f>'$$$ Replace &amp; Retrofit'!$C$40*F8</f>
        <v>7.4130390752275614</v>
      </c>
      <c r="O8" s="286">
        <f t="shared" si="0"/>
        <v>48.981250373972195</v>
      </c>
    </row>
    <row r="9" spans="1:15" x14ac:dyDescent="0.25">
      <c r="A9" s="309">
        <v>2017</v>
      </c>
      <c r="B9" s="285"/>
      <c r="C9" s="285"/>
      <c r="D9" s="285"/>
      <c r="E9" s="285"/>
      <c r="F9" s="285"/>
      <c r="G9" s="281"/>
      <c r="I9" s="309">
        <v>2017</v>
      </c>
      <c r="J9" s="283"/>
      <c r="K9" s="282"/>
      <c r="L9" s="282"/>
      <c r="M9" s="282"/>
      <c r="N9" s="282"/>
      <c r="O9" s="8"/>
    </row>
    <row r="10" spans="1:15" x14ac:dyDescent="0.25">
      <c r="A10" s="309">
        <v>2018</v>
      </c>
      <c r="B10" s="281"/>
      <c r="C10" s="281"/>
      <c r="D10" s="281"/>
      <c r="E10" s="281"/>
      <c r="F10" s="281"/>
      <c r="G10" s="281"/>
      <c r="I10" s="309">
        <v>2018</v>
      </c>
      <c r="J10" s="282"/>
      <c r="K10" s="282"/>
      <c r="L10" s="282"/>
      <c r="M10" s="282"/>
      <c r="N10" s="282"/>
      <c r="O10" s="8"/>
    </row>
    <row r="11" spans="1:15" x14ac:dyDescent="0.25">
      <c r="A11" s="287"/>
      <c r="B11" s="288">
        <f>SUM(B3:B10)</f>
        <v>1</v>
      </c>
      <c r="C11" s="288">
        <f>SUM(C3:C10)</f>
        <v>1</v>
      </c>
      <c r="D11" s="288">
        <f>SUM(D3:D10)</f>
        <v>1</v>
      </c>
      <c r="E11" s="288">
        <f>SUM(E3:E10)</f>
        <v>1</v>
      </c>
      <c r="F11" s="288">
        <f>SUM(F3:F10)</f>
        <v>1</v>
      </c>
      <c r="G11" s="288"/>
      <c r="I11" s="39" t="s">
        <v>14</v>
      </c>
      <c r="J11" s="286">
        <f>SUM(J3:J10)</f>
        <v>17.088764555106781</v>
      </c>
      <c r="K11" s="286">
        <f>SUM(K3:K10)</f>
        <v>74.776201329093581</v>
      </c>
      <c r="L11" s="286">
        <f>SUM(L3:L10)</f>
        <v>70.198427206347844</v>
      </c>
      <c r="M11" s="286">
        <f>SUM(M3:M10)</f>
        <v>14.347373558571045</v>
      </c>
      <c r="N11" s="286">
        <f>SUM(N3:N10)</f>
        <v>47.946428988085557</v>
      </c>
      <c r="O11" s="286">
        <f>SUM(O4:O10)</f>
        <v>224.3571956372048</v>
      </c>
    </row>
    <row r="13" spans="1:15" s="74" customFormat="1" ht="30" x14ac:dyDescent="0.25">
      <c r="A13" s="311" t="s">
        <v>269</v>
      </c>
      <c r="B13" s="312">
        <f>'$$$ Replace &amp; Retrofit'!I36</f>
        <v>631322.20027723908</v>
      </c>
      <c r="C13" s="312">
        <f>'$$$ Replace &amp; Retrofit'!I37</f>
        <v>2406322.7052948987</v>
      </c>
      <c r="D13" s="312">
        <f>'$$$ Replace &amp; Retrofit'!I38</f>
        <v>1694853.073557565</v>
      </c>
      <c r="E13" s="312">
        <f>'$$$ Replace &amp; Retrofit'!I39</f>
        <v>403315.04132962256</v>
      </c>
      <c r="F13" s="312">
        <f>'$$$ Replace &amp; Retrofit'!I40</f>
        <v>1905639.2440607627</v>
      </c>
      <c r="G13" s="312">
        <f>'$$$ Replace &amp; Retrofit'!I41</f>
        <v>7041452.2645200882</v>
      </c>
      <c r="H13" s="313">
        <v>0.05</v>
      </c>
    </row>
    <row r="14" spans="1:15" s="74" customFormat="1" ht="29.25" customHeight="1" x14ac:dyDescent="0.25">
      <c r="A14" s="311" t="s">
        <v>273</v>
      </c>
      <c r="B14" s="316">
        <f>SUM(B15:B22)</f>
        <v>631322.20027723908</v>
      </c>
      <c r="C14" s="316">
        <f t="shared" ref="C14:D14" si="1">SUM(C15:C22)</f>
        <v>2406322.7052948987</v>
      </c>
      <c r="D14" s="316">
        <f t="shared" si="1"/>
        <v>1694853.073557565</v>
      </c>
      <c r="E14" s="316">
        <f>SUM(E15:E22)</f>
        <v>403315.04132962256</v>
      </c>
      <c r="F14" s="316">
        <f>SUM(F15:F22)</f>
        <v>1905639.2440607627</v>
      </c>
      <c r="G14" s="316">
        <f>SUM(G15:G22)</f>
        <v>7041452.2645200873</v>
      </c>
      <c r="H14" s="323">
        <f>SUM(H15:H22)</f>
        <v>6041178.5830023531</v>
      </c>
    </row>
    <row r="15" spans="1:15" x14ac:dyDescent="0.25">
      <c r="A15" s="309">
        <v>2011</v>
      </c>
      <c r="B15" s="292">
        <f t="shared" ref="B15:F22" si="2">B$13*B3</f>
        <v>0</v>
      </c>
      <c r="C15" s="292">
        <f t="shared" si="2"/>
        <v>0</v>
      </c>
      <c r="D15" s="292">
        <f t="shared" si="2"/>
        <v>0</v>
      </c>
      <c r="E15" s="292">
        <f t="shared" si="2"/>
        <v>0</v>
      </c>
      <c r="F15" s="292">
        <f t="shared" si="2"/>
        <v>0</v>
      </c>
      <c r="G15" s="292">
        <f>SUM(B15:F15)</f>
        <v>0</v>
      </c>
      <c r="H15" s="295">
        <f>G15</f>
        <v>0</v>
      </c>
    </row>
    <row r="16" spans="1:15" x14ac:dyDescent="0.25">
      <c r="A16" s="309">
        <v>2012</v>
      </c>
      <c r="B16" s="292">
        <f>B$13*B4</f>
        <v>84968.449910607553</v>
      </c>
      <c r="C16" s="292">
        <f t="shared" si="2"/>
        <v>493227.47388910997</v>
      </c>
      <c r="D16" s="292">
        <f t="shared" si="2"/>
        <v>90419.952962692449</v>
      </c>
      <c r="E16" s="292">
        <f t="shared" si="2"/>
        <v>56532.782107887673</v>
      </c>
      <c r="F16" s="292">
        <f t="shared" si="2"/>
        <v>344506.90293700871</v>
      </c>
      <c r="G16" s="292">
        <f t="shared" ref="G16:G22" si="3">SUM(B16:F16)</f>
        <v>1069655.5618073065</v>
      </c>
      <c r="H16" s="295">
        <f>G16/(1+H$13)</f>
        <v>1018719.5826736252</v>
      </c>
    </row>
    <row r="17" spans="1:8" x14ac:dyDescent="0.25">
      <c r="A17" s="309">
        <v>2013</v>
      </c>
      <c r="B17" s="292">
        <f t="shared" si="2"/>
        <v>97850.931677967747</v>
      </c>
      <c r="C17" s="292">
        <f t="shared" si="2"/>
        <v>479426.9558113672</v>
      </c>
      <c r="D17" s="292">
        <f t="shared" si="2"/>
        <v>143749.11029194813</v>
      </c>
      <c r="E17" s="292">
        <f t="shared" si="2"/>
        <v>59932.755823217944</v>
      </c>
      <c r="F17" s="292">
        <f t="shared" si="2"/>
        <v>334944.80466690095</v>
      </c>
      <c r="G17" s="292">
        <f t="shared" si="3"/>
        <v>1115904.5582714018</v>
      </c>
      <c r="H17" s="295">
        <f>G17/((1+H$13)*(1+H$13))</f>
        <v>1012158.3294978701</v>
      </c>
    </row>
    <row r="18" spans="1:8" x14ac:dyDescent="0.25">
      <c r="A18" s="309">
        <v>2014</v>
      </c>
      <c r="B18" s="292">
        <f t="shared" si="2"/>
        <v>149853.89525318853</v>
      </c>
      <c r="C18" s="292">
        <f t="shared" si="2"/>
        <v>582529.78194430098</v>
      </c>
      <c r="D18" s="292">
        <f t="shared" si="2"/>
        <v>437650.34395738388</v>
      </c>
      <c r="E18" s="292">
        <f t="shared" si="2"/>
        <v>92813.186882510985</v>
      </c>
      <c r="F18" s="292">
        <f t="shared" si="2"/>
        <v>497935.75810403551</v>
      </c>
      <c r="G18" s="292">
        <f t="shared" si="3"/>
        <v>1760782.96614142</v>
      </c>
      <c r="H18" s="295">
        <f>G18/((1+H$13)*(1+H$13)*(1+H$13))</f>
        <v>1521030.5290067333</v>
      </c>
    </row>
    <row r="19" spans="1:8" x14ac:dyDescent="0.25">
      <c r="A19" s="309">
        <v>2015</v>
      </c>
      <c r="B19" s="292">
        <f t="shared" si="2"/>
        <v>150158.87258018498</v>
      </c>
      <c r="C19" s="292">
        <f t="shared" si="2"/>
        <v>474320.68841576035</v>
      </c>
      <c r="D19" s="292">
        <f t="shared" si="2"/>
        <v>480144.55380599864</v>
      </c>
      <c r="E19" s="292">
        <f t="shared" si="2"/>
        <v>99764.803159807794</v>
      </c>
      <c r="F19" s="292">
        <f t="shared" si="2"/>
        <v>433619.23787686409</v>
      </c>
      <c r="G19" s="292">
        <f t="shared" si="3"/>
        <v>1638008.155838616</v>
      </c>
      <c r="H19" s="295">
        <f>G19/((1+H$13)*(1+H$13)*(1+H$13)*(1+H$13))</f>
        <v>1347593.3635377157</v>
      </c>
    </row>
    <row r="20" spans="1:8" x14ac:dyDescent="0.25">
      <c r="A20" s="309">
        <v>2016</v>
      </c>
      <c r="B20" s="292">
        <f t="shared" si="2"/>
        <v>148490.05085529026</v>
      </c>
      <c r="C20" s="292">
        <f t="shared" si="2"/>
        <v>376817.80523436016</v>
      </c>
      <c r="D20" s="292">
        <f t="shared" si="2"/>
        <v>542889.11253954191</v>
      </c>
      <c r="E20" s="292">
        <f t="shared" si="2"/>
        <v>94271.513356198164</v>
      </c>
      <c r="F20" s="292">
        <f t="shared" si="2"/>
        <v>294632.54047595343</v>
      </c>
      <c r="G20" s="292">
        <f t="shared" si="3"/>
        <v>1457101.0224613438</v>
      </c>
      <c r="H20" s="295">
        <f>G20/((1+H$13)*(1+H$13)*(1+H$13)*(1+H$13)*(1+H$13))</f>
        <v>1141676.7782864084</v>
      </c>
    </row>
    <row r="21" spans="1:8" x14ac:dyDescent="0.25">
      <c r="A21" s="309">
        <v>2017</v>
      </c>
      <c r="B21" s="296">
        <f t="shared" si="2"/>
        <v>0</v>
      </c>
      <c r="C21" s="296">
        <f t="shared" si="2"/>
        <v>0</v>
      </c>
      <c r="D21" s="296">
        <f t="shared" si="2"/>
        <v>0</v>
      </c>
      <c r="E21" s="296">
        <f t="shared" si="2"/>
        <v>0</v>
      </c>
      <c r="F21" s="296">
        <f t="shared" si="2"/>
        <v>0</v>
      </c>
      <c r="G21" s="296">
        <f t="shared" si="3"/>
        <v>0</v>
      </c>
      <c r="H21" s="291">
        <f>G21/((1+H$13)*(1+H$13)*(1+H$13)*(1+H$13)*(1+H$13)*(1+H$13))</f>
        <v>0</v>
      </c>
    </row>
    <row r="22" spans="1:8" x14ac:dyDescent="0.25">
      <c r="A22" s="309">
        <v>2018</v>
      </c>
      <c r="B22" s="296">
        <f t="shared" si="2"/>
        <v>0</v>
      </c>
      <c r="C22" s="296">
        <f t="shared" si="2"/>
        <v>0</v>
      </c>
      <c r="D22" s="296">
        <f t="shared" si="2"/>
        <v>0</v>
      </c>
      <c r="E22" s="296">
        <f t="shared" si="2"/>
        <v>0</v>
      </c>
      <c r="F22" s="296">
        <f t="shared" si="2"/>
        <v>0</v>
      </c>
      <c r="G22" s="296">
        <f t="shared" si="3"/>
        <v>0</v>
      </c>
      <c r="H22" s="291">
        <f>G22/((1+H$13)*(1+H$13)*(1+H$13)*(1+H$13)*(1+H$13)*(1+H$13)*(1+H$13))</f>
        <v>0</v>
      </c>
    </row>
  </sheetData>
  <sheetProtection password="CDC6" sheet="1" objects="1" scenario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37"/>
  <sheetViews>
    <sheetView workbookViewId="0">
      <selection activeCell="C3" sqref="C3:C4"/>
    </sheetView>
  </sheetViews>
  <sheetFormatPr defaultRowHeight="15" x14ac:dyDescent="0.25"/>
  <cols>
    <col min="1" max="1" width="5.140625" customWidth="1"/>
    <col min="2" max="2" width="10.42578125" style="117" customWidth="1"/>
    <col min="3" max="3" width="11" style="117" customWidth="1"/>
    <col min="4" max="5" width="10.28515625" style="117" customWidth="1"/>
    <col min="6" max="6" width="10.7109375" style="117" customWidth="1"/>
    <col min="7" max="7" width="12.140625" style="117" customWidth="1"/>
    <col min="11" max="11" width="16.85546875" customWidth="1"/>
  </cols>
  <sheetData>
    <row r="2" spans="2:7" x14ac:dyDescent="0.25">
      <c r="B2" s="389" t="s">
        <v>279</v>
      </c>
      <c r="C2" s="389"/>
      <c r="D2" s="389"/>
      <c r="E2" s="389"/>
      <c r="F2" s="389"/>
      <c r="G2" s="389"/>
    </row>
    <row r="3" spans="2:7" s="3" customFormat="1" ht="33" customHeight="1" x14ac:dyDescent="0.25">
      <c r="B3" s="390" t="s">
        <v>236</v>
      </c>
      <c r="C3" s="390" t="s">
        <v>280</v>
      </c>
      <c r="D3" s="390" t="s">
        <v>281</v>
      </c>
      <c r="E3" s="390" t="s">
        <v>282</v>
      </c>
      <c r="F3" s="391" t="s">
        <v>283</v>
      </c>
      <c r="G3" s="391"/>
    </row>
    <row r="4" spans="2:7" x14ac:dyDescent="0.25">
      <c r="B4" s="390"/>
      <c r="C4" s="390"/>
      <c r="D4" s="390"/>
      <c r="E4" s="390"/>
      <c r="F4" s="235" t="s">
        <v>284</v>
      </c>
      <c r="G4" s="235" t="s">
        <v>285</v>
      </c>
    </row>
    <row r="5" spans="2:7" x14ac:dyDescent="0.25">
      <c r="B5" s="331"/>
      <c r="C5" s="331"/>
      <c r="D5" s="331"/>
      <c r="E5" s="331"/>
      <c r="F5" s="332">
        <v>50</v>
      </c>
      <c r="G5" s="333">
        <v>0.05</v>
      </c>
    </row>
    <row r="6" spans="2:7" x14ac:dyDescent="0.25">
      <c r="B6" s="39">
        <v>2012</v>
      </c>
      <c r="C6" s="334">
        <v>1585</v>
      </c>
      <c r="D6" s="39">
        <v>2464</v>
      </c>
      <c r="E6" s="334">
        <v>4049</v>
      </c>
      <c r="F6" s="251">
        <f>E6*F$5</f>
        <v>202450</v>
      </c>
      <c r="G6" s="251">
        <f>$F6/((1+G$5))</f>
        <v>192809.52380952379</v>
      </c>
    </row>
    <row r="7" spans="2:7" x14ac:dyDescent="0.25">
      <c r="B7" s="39">
        <v>2013</v>
      </c>
      <c r="C7" s="39">
        <v>1606</v>
      </c>
      <c r="D7" s="39">
        <v>2502</v>
      </c>
      <c r="E7" s="334">
        <v>4108</v>
      </c>
      <c r="F7" s="251">
        <f t="shared" ref="F7:F14" si="0">E7*F$5</f>
        <v>205400</v>
      </c>
      <c r="G7" s="251">
        <f>$F7/((1+G$5)*(1+G$5))</f>
        <v>186303.85487528343</v>
      </c>
    </row>
    <row r="8" spans="2:7" x14ac:dyDescent="0.25">
      <c r="B8" s="39">
        <v>2014</v>
      </c>
      <c r="C8" s="39">
        <v>1707</v>
      </c>
      <c r="D8" s="39">
        <v>2660</v>
      </c>
      <c r="E8" s="334">
        <v>4367</v>
      </c>
      <c r="F8" s="251">
        <f t="shared" si="0"/>
        <v>218350</v>
      </c>
      <c r="G8" s="251">
        <f>$F8/((1+G$5)*(1+G$5)*(1+G$5))</f>
        <v>188618.93963934778</v>
      </c>
    </row>
    <row r="9" spans="2:7" x14ac:dyDescent="0.25">
      <c r="B9" s="39">
        <v>2015</v>
      </c>
      <c r="C9" s="39">
        <v>1841</v>
      </c>
      <c r="D9" s="39">
        <v>2853</v>
      </c>
      <c r="E9" s="334">
        <v>4694</v>
      </c>
      <c r="F9" s="251">
        <f t="shared" si="0"/>
        <v>234700</v>
      </c>
      <c r="G9" s="251">
        <f>$F9/((1+G$5)*(1+G$5)*(1+G$5)*(1+G$5))</f>
        <v>193088.27083365468</v>
      </c>
    </row>
    <row r="10" spans="2:7" x14ac:dyDescent="0.25">
      <c r="B10" s="39">
        <v>2016</v>
      </c>
      <c r="C10" s="39">
        <v>1979</v>
      </c>
      <c r="D10" s="39">
        <v>3042</v>
      </c>
      <c r="E10" s="334">
        <v>5021</v>
      </c>
      <c r="F10" s="251">
        <f t="shared" si="0"/>
        <v>251050</v>
      </c>
      <c r="G10" s="251">
        <f>$F10/((1+G$5)*(1+G$5)*(1+G$5)*(1+G$5)*(1+G$5))</f>
        <v>196704.24409190658</v>
      </c>
    </row>
    <row r="11" spans="2:7" x14ac:dyDescent="0.25">
      <c r="B11" s="39">
        <v>2017</v>
      </c>
      <c r="C11" s="39">
        <v>2137</v>
      </c>
      <c r="D11" s="39">
        <v>3256</v>
      </c>
      <c r="E11" s="334">
        <v>5393</v>
      </c>
      <c r="F11" s="251">
        <f t="shared" si="0"/>
        <v>269650</v>
      </c>
      <c r="G11" s="251">
        <f>$F11/((1+G$5)*(1+G$5)*(1+G$5)*(1+G$5)*(1+G$5)*(1+G$5))</f>
        <v>201216.98170306659</v>
      </c>
    </row>
    <row r="12" spans="2:7" x14ac:dyDescent="0.25">
      <c r="B12" s="39">
        <v>2018</v>
      </c>
      <c r="C12" s="39">
        <v>2256</v>
      </c>
      <c r="D12" s="39">
        <v>3419</v>
      </c>
      <c r="E12" s="334">
        <v>5675</v>
      </c>
      <c r="F12" s="251">
        <f t="shared" si="0"/>
        <v>283750</v>
      </c>
      <c r="G12" s="251">
        <f>$F12/((1+G$5)*(1+G$5)*(1+G$5)*(1+G$5)*(1+G$5)*(1+G$5)*(1+G$5))</f>
        <v>201655.82742442194</v>
      </c>
    </row>
    <row r="13" spans="2:7" x14ac:dyDescent="0.25">
      <c r="B13" s="39">
        <v>2019</v>
      </c>
      <c r="C13" s="39">
        <v>2383</v>
      </c>
      <c r="D13" s="39">
        <v>3590</v>
      </c>
      <c r="E13" s="334">
        <v>5973</v>
      </c>
      <c r="F13" s="251">
        <f t="shared" si="0"/>
        <v>298650</v>
      </c>
      <c r="G13" s="251">
        <f>$F13/((1+G$5)*(1+G$5)*(1+G$5)*(1+G$5)*(1+G$5)*(1+G$5)*(1+G$5)*(1+G$5))</f>
        <v>202138.07546986736</v>
      </c>
    </row>
    <row r="14" spans="2:7" x14ac:dyDescent="0.25">
      <c r="B14" s="39">
        <v>2020</v>
      </c>
      <c r="C14" s="39">
        <v>2487</v>
      </c>
      <c r="D14" s="39">
        <v>3732</v>
      </c>
      <c r="E14" s="334">
        <v>6219</v>
      </c>
      <c r="F14" s="251">
        <f t="shared" si="0"/>
        <v>310950</v>
      </c>
      <c r="G14" s="251">
        <f>$F14/((1+G$5)*(1+G$5)*(1+G$5)*(1+G$5)*(1+G$5)*(1+G$5)*(1+G$5)*(1+G$5)*(1+G$5))</f>
        <v>200441.14249792401</v>
      </c>
    </row>
    <row r="15" spans="2:7" x14ac:dyDescent="0.25">
      <c r="B15" s="39" t="s">
        <v>14</v>
      </c>
      <c r="C15" s="39"/>
      <c r="D15" s="39"/>
      <c r="E15" s="39"/>
      <c r="F15" s="39"/>
      <c r="G15" s="335">
        <f>SUM(G6:G14)</f>
        <v>1762976.860344996</v>
      </c>
    </row>
    <row r="16" spans="2:7" x14ac:dyDescent="0.25">
      <c r="B16" s="191"/>
      <c r="C16" s="191"/>
      <c r="D16" s="191"/>
      <c r="E16" s="191"/>
      <c r="F16" s="191"/>
      <c r="G16" s="191"/>
    </row>
    <row r="17" spans="2:7" ht="15" customHeight="1" x14ac:dyDescent="0.25">
      <c r="D17" s="383" t="s">
        <v>238</v>
      </c>
      <c r="E17" s="384"/>
      <c r="F17" s="252">
        <f>2*1950</f>
        <v>3900</v>
      </c>
      <c r="G17" s="191"/>
    </row>
    <row r="18" spans="2:7" x14ac:dyDescent="0.25">
      <c r="D18" s="385" t="s">
        <v>239</v>
      </c>
      <c r="E18" s="386"/>
      <c r="F18" s="336">
        <f>F17*140</f>
        <v>546000</v>
      </c>
      <c r="G18" s="191"/>
    </row>
    <row r="19" spans="2:7" x14ac:dyDescent="0.25">
      <c r="D19" s="385" t="s">
        <v>240</v>
      </c>
      <c r="E19" s="386"/>
      <c r="F19" s="336">
        <f>140*5500</f>
        <v>770000</v>
      </c>
      <c r="G19" s="191"/>
    </row>
    <row r="20" spans="2:7" x14ac:dyDescent="0.25">
      <c r="D20" s="387" t="s">
        <v>286</v>
      </c>
      <c r="E20" s="388"/>
      <c r="F20" s="337">
        <f>F19+F18</f>
        <v>1316000</v>
      </c>
      <c r="G20" s="335">
        <f>F20/1.05</f>
        <v>1253333.3333333333</v>
      </c>
    </row>
    <row r="21" spans="2:7" x14ac:dyDescent="0.25">
      <c r="D21" s="338" t="s">
        <v>287</v>
      </c>
      <c r="E21" s="339"/>
      <c r="F21" s="340"/>
      <c r="G21" s="341">
        <f>SUM(G15:G20)</f>
        <v>3016310.1936783292</v>
      </c>
    </row>
    <row r="22" spans="2:7" x14ac:dyDescent="0.25">
      <c r="G22" s="191"/>
    </row>
    <row r="24" spans="2:7" x14ac:dyDescent="0.25">
      <c r="B24" s="389" t="s">
        <v>288</v>
      </c>
      <c r="C24" s="389"/>
      <c r="D24" s="389"/>
      <c r="E24" s="389"/>
      <c r="F24" s="389"/>
      <c r="G24" s="389"/>
    </row>
    <row r="25" spans="2:7" s="3" customFormat="1" ht="33" customHeight="1" x14ac:dyDescent="0.25">
      <c r="B25" s="390" t="s">
        <v>236</v>
      </c>
      <c r="C25" s="390" t="s">
        <v>280</v>
      </c>
      <c r="D25" s="390" t="s">
        <v>281</v>
      </c>
      <c r="E25" s="390" t="s">
        <v>282</v>
      </c>
      <c r="F25" s="391" t="s">
        <v>283</v>
      </c>
      <c r="G25" s="391"/>
    </row>
    <row r="26" spans="2:7" x14ac:dyDescent="0.25">
      <c r="B26" s="390"/>
      <c r="C26" s="390"/>
      <c r="D26" s="390"/>
      <c r="E26" s="390"/>
      <c r="F26" s="235" t="s">
        <v>284</v>
      </c>
      <c r="G26" s="235" t="s">
        <v>285</v>
      </c>
    </row>
    <row r="27" spans="2:7" x14ac:dyDescent="0.25">
      <c r="B27" s="331"/>
      <c r="C27" s="331"/>
      <c r="D27" s="331"/>
      <c r="E27" s="331"/>
      <c r="F27" s="332">
        <v>60</v>
      </c>
      <c r="G27" s="333">
        <v>0.05</v>
      </c>
    </row>
    <row r="28" spans="2:7" x14ac:dyDescent="0.25">
      <c r="B28" s="39">
        <v>2012</v>
      </c>
      <c r="C28" s="334">
        <v>1585</v>
      </c>
      <c r="D28" s="39">
        <v>2464</v>
      </c>
      <c r="E28" s="334">
        <v>4049</v>
      </c>
      <c r="F28" s="251">
        <f t="shared" ref="F28:F36" si="1">E28*F$27</f>
        <v>242940</v>
      </c>
      <c r="G28" s="251">
        <f>$F28/((1+G$27))</f>
        <v>231371.42857142855</v>
      </c>
    </row>
    <row r="29" spans="2:7" x14ac:dyDescent="0.25">
      <c r="B29" s="39">
        <v>2013</v>
      </c>
      <c r="C29" s="39">
        <v>1606</v>
      </c>
      <c r="D29" s="39">
        <v>2502</v>
      </c>
      <c r="E29" s="334">
        <v>4108</v>
      </c>
      <c r="F29" s="251">
        <f t="shared" si="1"/>
        <v>246480</v>
      </c>
      <c r="G29" s="251">
        <f>$F29/((1+G$27)*(1+G$27))</f>
        <v>223564.62585034012</v>
      </c>
    </row>
    <row r="30" spans="2:7" x14ac:dyDescent="0.25">
      <c r="B30" s="39">
        <v>2014</v>
      </c>
      <c r="C30" s="39">
        <v>1707</v>
      </c>
      <c r="D30" s="39">
        <v>2660</v>
      </c>
      <c r="E30" s="334">
        <v>4367</v>
      </c>
      <c r="F30" s="251">
        <f t="shared" si="1"/>
        <v>262020</v>
      </c>
      <c r="G30" s="251">
        <f>$F30/((1+G$27)*(1+G$27)*(1+G$27))</f>
        <v>226342.72756721734</v>
      </c>
    </row>
    <row r="31" spans="2:7" x14ac:dyDescent="0.25">
      <c r="B31" s="39">
        <v>2015</v>
      </c>
      <c r="C31" s="39">
        <v>1841</v>
      </c>
      <c r="D31" s="39">
        <v>2853</v>
      </c>
      <c r="E31" s="334">
        <v>4694</v>
      </c>
      <c r="F31" s="251">
        <f t="shared" si="1"/>
        <v>281640</v>
      </c>
      <c r="G31" s="251">
        <f>$F31/((1+G$27)*(1+G$27)*(1+G$27)*(1+G$27))</f>
        <v>231705.92500038559</v>
      </c>
    </row>
    <row r="32" spans="2:7" x14ac:dyDescent="0.25">
      <c r="B32" s="39">
        <v>2016</v>
      </c>
      <c r="C32" s="39">
        <v>1979</v>
      </c>
      <c r="D32" s="39">
        <v>3042</v>
      </c>
      <c r="E32" s="334">
        <v>5021</v>
      </c>
      <c r="F32" s="251">
        <f t="shared" si="1"/>
        <v>301260</v>
      </c>
      <c r="G32" s="251">
        <f>$F32/((1+G$27)*(1+G$27)*(1+G$27)*(1+G$27)*(1+G$27))</f>
        <v>236045.0929102879</v>
      </c>
    </row>
    <row r="33" spans="2:7" x14ac:dyDescent="0.25">
      <c r="B33" s="39">
        <v>2017</v>
      </c>
      <c r="C33" s="39">
        <v>2137</v>
      </c>
      <c r="D33" s="39">
        <v>3256</v>
      </c>
      <c r="E33" s="334">
        <v>5393</v>
      </c>
      <c r="F33" s="251">
        <f t="shared" si="1"/>
        <v>323580</v>
      </c>
      <c r="G33" s="251">
        <f>$F33/((1+G$27)*(1+G$27)*(1+G$27)*(1+G$27)*(1+G$27)*(1+G$27))</f>
        <v>241460.3780436799</v>
      </c>
    </row>
    <row r="34" spans="2:7" x14ac:dyDescent="0.25">
      <c r="B34" s="39">
        <v>2018</v>
      </c>
      <c r="C34" s="39">
        <v>2256</v>
      </c>
      <c r="D34" s="39">
        <v>3419</v>
      </c>
      <c r="E34" s="334">
        <v>5675</v>
      </c>
      <c r="F34" s="251">
        <f t="shared" si="1"/>
        <v>340500</v>
      </c>
      <c r="G34" s="251">
        <f>$F34/((1+G$27)*(1+G$27)*(1+G$27)*(1+G$27)*(1+G$27)*(1+G$27)*(1+G$27))</f>
        <v>241986.99290930631</v>
      </c>
    </row>
    <row r="35" spans="2:7" x14ac:dyDescent="0.25">
      <c r="B35" s="39">
        <v>2019</v>
      </c>
      <c r="C35" s="39">
        <v>2383</v>
      </c>
      <c r="D35" s="39">
        <v>3590</v>
      </c>
      <c r="E35" s="334">
        <v>5973</v>
      </c>
      <c r="F35" s="251">
        <f t="shared" si="1"/>
        <v>358380</v>
      </c>
      <c r="G35" s="251">
        <f>$F35/((1+G$27)*(1+G$27)*(1+G$27)*(1+G$27)*(1+G$27)*(1+G$27)*(1+G$27)*(1+G$27))</f>
        <v>242565.69056384085</v>
      </c>
    </row>
    <row r="36" spans="2:7" x14ac:dyDescent="0.25">
      <c r="B36" s="39">
        <v>2020</v>
      </c>
      <c r="C36" s="39">
        <v>2487</v>
      </c>
      <c r="D36" s="39">
        <v>3732</v>
      </c>
      <c r="E36" s="334">
        <v>6219</v>
      </c>
      <c r="F36" s="251">
        <f t="shared" si="1"/>
        <v>373140</v>
      </c>
      <c r="G36" s="251">
        <f>$F36/((1+G$27)*(1+G$27)*(1+G$27)*(1+G$27)*(1+G$27)*(1+G$27)*(1+G$27)*(1+G$27)*(1+G$27))</f>
        <v>240529.37099750881</v>
      </c>
    </row>
    <row r="37" spans="2:7" x14ac:dyDescent="0.25">
      <c r="B37" s="342" t="s">
        <v>287</v>
      </c>
      <c r="C37" s="343"/>
      <c r="D37" s="343"/>
      <c r="E37" s="343"/>
      <c r="F37" s="344"/>
      <c r="G37" s="341">
        <f>SUM(G28:G36)</f>
        <v>2115572.2324139955</v>
      </c>
    </row>
  </sheetData>
  <sheetProtection password="CDC6" sheet="1" objects="1" scenarios="1"/>
  <mergeCells count="16">
    <mergeCell ref="B2:G2"/>
    <mergeCell ref="B3:B4"/>
    <mergeCell ref="C3:C4"/>
    <mergeCell ref="D3:D4"/>
    <mergeCell ref="E3:E4"/>
    <mergeCell ref="F3:G3"/>
    <mergeCell ref="B25:B26"/>
    <mergeCell ref="C25:C26"/>
    <mergeCell ref="D25:D26"/>
    <mergeCell ref="E25:E26"/>
    <mergeCell ref="F25:G25"/>
    <mergeCell ref="D17:E17"/>
    <mergeCell ref="D18:E18"/>
    <mergeCell ref="D19:E19"/>
    <mergeCell ref="D20:E20"/>
    <mergeCell ref="B24:G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1"/>
  <sheetViews>
    <sheetView zoomScaleNormal="100" workbookViewId="0">
      <selection activeCell="B9" sqref="B9"/>
    </sheetView>
  </sheetViews>
  <sheetFormatPr defaultRowHeight="15" x14ac:dyDescent="0.25"/>
  <cols>
    <col min="1" max="1" width="12" customWidth="1"/>
    <col min="2" max="2" width="22.5703125" customWidth="1"/>
    <col min="3" max="3" width="14.85546875" customWidth="1"/>
    <col min="4" max="5" width="10.7109375" customWidth="1"/>
    <col min="6" max="6" width="10.140625" customWidth="1"/>
    <col min="7" max="7" width="4.42578125" customWidth="1"/>
    <col min="8" max="8" width="14" customWidth="1"/>
    <col min="9" max="9" width="12.140625" customWidth="1"/>
    <col min="10" max="10" width="12.85546875" customWidth="1"/>
    <col min="11" max="11" width="12.28515625" customWidth="1"/>
    <col min="12" max="12" width="12.5703125" bestFit="1" customWidth="1"/>
    <col min="13" max="15" width="14.5703125" customWidth="1"/>
    <col min="16" max="16" width="20.7109375" customWidth="1"/>
    <col min="17" max="17" width="12.5703125" bestFit="1" customWidth="1"/>
    <col min="18" max="18" width="11.42578125" customWidth="1"/>
    <col min="19" max="19" width="12.85546875" customWidth="1"/>
    <col min="20" max="20" width="13.42578125" customWidth="1"/>
    <col min="21" max="21" width="12" customWidth="1"/>
    <col min="22" max="23" width="11.28515625" customWidth="1"/>
    <col min="24" max="24" width="11.5703125" customWidth="1"/>
    <col min="25" max="25" width="11.7109375" customWidth="1"/>
    <col min="26" max="26" width="11.85546875" customWidth="1"/>
    <col min="27" max="27" width="12.28515625" customWidth="1"/>
  </cols>
  <sheetData>
    <row r="1" spans="2:10" x14ac:dyDescent="0.25">
      <c r="B1" t="s">
        <v>296</v>
      </c>
      <c r="D1" s="178"/>
      <c r="E1" t="s">
        <v>275</v>
      </c>
    </row>
    <row r="2" spans="2:10" x14ac:dyDescent="0.25">
      <c r="B2" t="s">
        <v>190</v>
      </c>
    </row>
    <row r="3" spans="2:10" x14ac:dyDescent="0.25">
      <c r="B3" t="s">
        <v>191</v>
      </c>
    </row>
    <row r="4" spans="2:10" x14ac:dyDescent="0.25">
      <c r="B4" t="s">
        <v>192</v>
      </c>
      <c r="C4" t="s">
        <v>193</v>
      </c>
    </row>
    <row r="5" spans="2:10" x14ac:dyDescent="0.25">
      <c r="B5" t="s">
        <v>194</v>
      </c>
      <c r="C5" t="s">
        <v>195</v>
      </c>
    </row>
    <row r="8" spans="2:10" x14ac:dyDescent="0.25">
      <c r="B8" s="179" t="s">
        <v>196</v>
      </c>
      <c r="E8" s="180" t="s">
        <v>197</v>
      </c>
      <c r="I8" s="181" t="s">
        <v>198</v>
      </c>
      <c r="J8" s="182"/>
    </row>
    <row r="9" spans="2:10" ht="45" x14ac:dyDescent="0.25">
      <c r="B9" s="183" t="s">
        <v>199</v>
      </c>
      <c r="C9" s="183" t="s">
        <v>200</v>
      </c>
      <c r="D9" s="183" t="s">
        <v>201</v>
      </c>
      <c r="E9" s="82" t="s">
        <v>202</v>
      </c>
      <c r="F9" s="183" t="s">
        <v>203</v>
      </c>
      <c r="H9" s="41"/>
      <c r="I9" s="184" t="s">
        <v>204</v>
      </c>
      <c r="J9" s="184" t="s">
        <v>205</v>
      </c>
    </row>
    <row r="10" spans="2:10" ht="30" x14ac:dyDescent="0.25">
      <c r="B10" s="185" t="s">
        <v>206</v>
      </c>
      <c r="C10" s="8">
        <v>1000</v>
      </c>
      <c r="D10" s="8" t="s">
        <v>207</v>
      </c>
      <c r="E10" s="51">
        <v>0</v>
      </c>
      <c r="F10" s="186">
        <v>8000</v>
      </c>
      <c r="H10" s="187"/>
      <c r="I10" s="39">
        <v>0</v>
      </c>
      <c r="J10" s="188">
        <v>16750</v>
      </c>
    </row>
    <row r="11" spans="2:10" ht="45" x14ac:dyDescent="0.25">
      <c r="B11" s="185" t="s">
        <v>208</v>
      </c>
      <c r="C11" s="8">
        <v>797</v>
      </c>
      <c r="D11" s="35" t="s">
        <v>209</v>
      </c>
      <c r="E11" s="51">
        <v>50</v>
      </c>
      <c r="F11" s="186">
        <v>12000</v>
      </c>
      <c r="H11" s="187"/>
      <c r="I11" s="39">
        <v>50</v>
      </c>
      <c r="J11" s="188">
        <v>17588</v>
      </c>
    </row>
    <row r="12" spans="2:10" ht="45" x14ac:dyDescent="0.25">
      <c r="B12" s="185" t="s">
        <v>192</v>
      </c>
      <c r="C12" s="8">
        <v>875</v>
      </c>
      <c r="D12" s="35" t="s">
        <v>210</v>
      </c>
      <c r="E12" s="51">
        <v>175</v>
      </c>
      <c r="F12" s="186">
        <v>18000</v>
      </c>
      <c r="H12" s="187"/>
      <c r="I12" s="39">
        <v>125</v>
      </c>
      <c r="J12" s="188">
        <v>19733</v>
      </c>
    </row>
    <row r="13" spans="2:10" ht="30" x14ac:dyDescent="0.25">
      <c r="B13" s="185" t="s">
        <v>211</v>
      </c>
      <c r="C13" s="8">
        <v>1000</v>
      </c>
      <c r="D13" s="35" t="s">
        <v>207</v>
      </c>
      <c r="E13" s="189">
        <v>400</v>
      </c>
      <c r="F13" s="190">
        <v>30000</v>
      </c>
      <c r="H13" s="187"/>
      <c r="I13" s="39">
        <v>175</v>
      </c>
      <c r="J13" s="188">
        <v>24796</v>
      </c>
    </row>
    <row r="14" spans="2:10" ht="30" x14ac:dyDescent="0.25">
      <c r="B14" s="185" t="s">
        <v>212</v>
      </c>
      <c r="C14" s="35" t="s">
        <v>213</v>
      </c>
      <c r="D14" s="35" t="s">
        <v>214</v>
      </c>
      <c r="I14" s="39">
        <v>300</v>
      </c>
      <c r="J14" s="188">
        <v>28763</v>
      </c>
    </row>
    <row r="15" spans="2:10" x14ac:dyDescent="0.25">
      <c r="I15" s="39">
        <v>400</v>
      </c>
      <c r="J15" s="188">
        <v>52333</v>
      </c>
    </row>
    <row r="16" spans="2:10" x14ac:dyDescent="0.25">
      <c r="B16" s="191"/>
      <c r="C16" s="187"/>
    </row>
    <row r="17" spans="1:16" x14ac:dyDescent="0.25">
      <c r="B17" s="191"/>
      <c r="C17" s="187"/>
    </row>
    <row r="18" spans="1:16" x14ac:dyDescent="0.25">
      <c r="B18" s="191"/>
      <c r="C18" s="187" t="s">
        <v>215</v>
      </c>
    </row>
    <row r="19" spans="1:16" x14ac:dyDescent="0.25">
      <c r="A19" s="192" t="s">
        <v>0</v>
      </c>
      <c r="B19" s="192" t="s">
        <v>216</v>
      </c>
      <c r="C19" s="192" t="s">
        <v>217</v>
      </c>
      <c r="D19" s="193" t="s">
        <v>218</v>
      </c>
      <c r="E19" s="193" t="s">
        <v>219</v>
      </c>
      <c r="F19" s="192" t="s">
        <v>17</v>
      </c>
      <c r="G19" s="41"/>
      <c r="H19" s="193" t="s">
        <v>220</v>
      </c>
      <c r="I19" s="193" t="s">
        <v>221</v>
      </c>
      <c r="J19" s="193" t="s">
        <v>222</v>
      </c>
      <c r="K19" s="193" t="s">
        <v>223</v>
      </c>
    </row>
    <row r="20" spans="1:16" ht="30" x14ac:dyDescent="0.25">
      <c r="A20" s="194" t="s">
        <v>20</v>
      </c>
      <c r="B20" s="194" t="s">
        <v>206</v>
      </c>
      <c r="C20" s="195">
        <f>'CHE Model poplulation'!F572</f>
        <v>21.872866829730082</v>
      </c>
      <c r="D20" s="196">
        <f>C20*0.5</f>
        <v>10.936433414865041</v>
      </c>
      <c r="E20" s="196">
        <f>C20*0.5</f>
        <v>10.936433414865041</v>
      </c>
      <c r="F20">
        <v>2011</v>
      </c>
      <c r="G20" s="41"/>
      <c r="H20" s="197">
        <f>(SUM('CHE Model poplulation'!H572:H577)+SUM('CHE Model poplulation'!J572:J577))*0.5</f>
        <v>3925732.4715259909</v>
      </c>
      <c r="I20" s="198">
        <f>SUM('CHE Model poplulation'!I572:I577)*0.5</f>
        <v>378011.78644816531</v>
      </c>
      <c r="J20" s="199">
        <f>H20+I20</f>
        <v>4303744.2579741562</v>
      </c>
      <c r="K20" s="200">
        <f>J20*0.1</f>
        <v>430374.42579741566</v>
      </c>
    </row>
    <row r="21" spans="1:16" ht="30" x14ac:dyDescent="0.25">
      <c r="A21" s="201" t="s">
        <v>20</v>
      </c>
      <c r="B21" s="201" t="s">
        <v>208</v>
      </c>
      <c r="C21" s="202">
        <f>'CHE Model poplulation'!F682</f>
        <v>12.811603749172313</v>
      </c>
      <c r="D21" s="196">
        <f t="shared" ref="D21:D24" si="0">C21*0.5</f>
        <v>6.4058018745861567</v>
      </c>
      <c r="E21" s="196">
        <f t="shared" ref="E21:E24" si="1">C21*0.5</f>
        <v>6.4058018745861567</v>
      </c>
      <c r="F21" s="203">
        <v>2011</v>
      </c>
      <c r="G21" s="41"/>
      <c r="H21" s="197">
        <f>(SUM('CHE Model poplulation'!H682:H685)+SUM('CHE Model poplulation'!J682:J685))*0.5</f>
        <v>2364324.6377306506</v>
      </c>
      <c r="I21" s="198">
        <f>SUM('CHE Model poplulation'!I682:I685)*0.5</f>
        <v>256300.01512523415</v>
      </c>
      <c r="J21" s="199">
        <f t="shared" ref="J21:J24" si="2">H21+I21</f>
        <v>2620624.6528558847</v>
      </c>
      <c r="K21" s="200">
        <f t="shared" ref="K21:K24" si="3">J21*0.1</f>
        <v>262062.46528558849</v>
      </c>
    </row>
    <row r="22" spans="1:16" x14ac:dyDescent="0.25">
      <c r="A22" s="201" t="s">
        <v>20</v>
      </c>
      <c r="B22" s="201" t="s">
        <v>192</v>
      </c>
      <c r="C22" s="202">
        <f>'CHE Model poplulation'!F772</f>
        <v>98.74364813941564</v>
      </c>
      <c r="D22" s="196">
        <f>C22*0.9</f>
        <v>88.869283325474072</v>
      </c>
      <c r="E22" s="196">
        <f>C22*0.1</f>
        <v>9.8743648139415647</v>
      </c>
      <c r="F22" s="203">
        <v>2011</v>
      </c>
      <c r="G22" s="41"/>
      <c r="H22" s="197">
        <f>(SUM('CHE Model poplulation'!H772:H777)+SUM('CHE Model poplulation'!J772:J777))*0.9</f>
        <v>13639225.968310596</v>
      </c>
      <c r="I22" s="198">
        <f>SUM('CHE Model poplulation'!I772:I777)*0.1</f>
        <v>227929.26671983104</v>
      </c>
      <c r="J22" s="199">
        <f t="shared" si="2"/>
        <v>13867155.235030428</v>
      </c>
      <c r="K22" s="200">
        <f t="shared" si="3"/>
        <v>1386715.5235030428</v>
      </c>
    </row>
    <row r="23" spans="1:16" ht="30" x14ac:dyDescent="0.25">
      <c r="A23" s="201" t="s">
        <v>20</v>
      </c>
      <c r="B23" s="201" t="s">
        <v>211</v>
      </c>
      <c r="C23" s="202">
        <f>'CHE Model poplulation'!F892</f>
        <v>18.699737902493823</v>
      </c>
      <c r="D23" s="196">
        <f t="shared" si="0"/>
        <v>9.3498689512469113</v>
      </c>
      <c r="E23" s="196">
        <f t="shared" si="1"/>
        <v>9.3498689512469113</v>
      </c>
      <c r="F23">
        <v>2011</v>
      </c>
      <c r="G23" s="41"/>
      <c r="H23" s="197">
        <f>(SUM('CHE Model poplulation'!H892:H897)+SUM('CHE Model poplulation'!J892:J897))*0.5</f>
        <v>2121950.2927781222</v>
      </c>
      <c r="I23" s="198">
        <f>SUM('CHE Model poplulation'!I892:I897)*0.5</f>
        <v>247517.27633644053</v>
      </c>
      <c r="J23" s="199">
        <f t="shared" si="2"/>
        <v>2369467.5691145626</v>
      </c>
      <c r="K23" s="200">
        <f t="shared" si="3"/>
        <v>236946.75691145626</v>
      </c>
    </row>
    <row r="24" spans="1:16" ht="15.75" thickBot="1" x14ac:dyDescent="0.3">
      <c r="A24" s="201" t="s">
        <v>20</v>
      </c>
      <c r="B24" s="204" t="s">
        <v>212</v>
      </c>
      <c r="C24" s="205">
        <f>'CHE Model poplulation'!F1007</f>
        <v>23.377835197086323</v>
      </c>
      <c r="D24" s="206">
        <f t="shared" si="0"/>
        <v>11.688917598543162</v>
      </c>
      <c r="E24" s="207">
        <f t="shared" si="1"/>
        <v>11.688917598543162</v>
      </c>
      <c r="F24" s="203">
        <v>2011</v>
      </c>
      <c r="G24" s="41"/>
      <c r="H24" s="208">
        <f>(SUM('CHE Model poplulation'!H1007:H1011)+SUM('CHE Model poplulation'!J1007:J1011))*0.5</f>
        <v>13340834.405722423</v>
      </c>
      <c r="I24" s="209">
        <f>SUM('CHE Model poplulation'!I1007:I1011)*0.5</f>
        <v>552211.75419265963</v>
      </c>
      <c r="J24" s="210">
        <f t="shared" si="2"/>
        <v>13893046.159915082</v>
      </c>
      <c r="K24" s="211">
        <f t="shared" si="3"/>
        <v>1389304.6159915084</v>
      </c>
    </row>
    <row r="25" spans="1:16" ht="15.75" thickTop="1" x14ac:dyDescent="0.25">
      <c r="A25" s="212"/>
      <c r="B25" s="213" t="s">
        <v>14</v>
      </c>
      <c r="C25" s="214">
        <f>SUM(C20:C24)</f>
        <v>175.5056918178982</v>
      </c>
      <c r="D25" s="215">
        <f t="shared" ref="D25:E25" si="4">SUM(D20:D24)</f>
        <v>127.25030516471534</v>
      </c>
      <c r="E25" s="215">
        <f t="shared" si="4"/>
        <v>48.255386653182832</v>
      </c>
      <c r="F25" s="203"/>
      <c r="G25" s="41"/>
      <c r="H25" s="216">
        <f>SUM(H20:H24)</f>
        <v>35392067.776067786</v>
      </c>
      <c r="I25" s="216">
        <f>SUM(I20:I24)</f>
        <v>1661970.0988223306</v>
      </c>
      <c r="J25" s="217">
        <f>SUM(J20:J24)</f>
        <v>37054037.874890119</v>
      </c>
      <c r="K25" s="217">
        <f>SUM(K20:K24)</f>
        <v>3705403.7874890119</v>
      </c>
      <c r="L25" s="218">
        <f>H25/D25</f>
        <v>278129.53163652995</v>
      </c>
      <c r="M25" s="218">
        <f>I25/E25</f>
        <v>34441.131116969511</v>
      </c>
      <c r="N25" s="219"/>
      <c r="O25" s="219"/>
      <c r="P25" s="219"/>
    </row>
    <row r="26" spans="1:16" x14ac:dyDescent="0.25">
      <c r="H26" s="151">
        <f>H25/D25</f>
        <v>278129.53163652995</v>
      </c>
      <c r="I26" s="151">
        <f>I25/E25</f>
        <v>34441.131116969511</v>
      </c>
      <c r="J26" s="200"/>
      <c r="K26" s="200"/>
      <c r="L26" s="147" t="s">
        <v>224</v>
      </c>
      <c r="M26" s="147" t="s">
        <v>225</v>
      </c>
      <c r="N26" s="191"/>
      <c r="O26" s="191"/>
      <c r="P26" s="191"/>
    </row>
    <row r="27" spans="1:16" x14ac:dyDescent="0.25">
      <c r="A27" s="220" t="s">
        <v>0</v>
      </c>
      <c r="B27" s="220" t="s">
        <v>216</v>
      </c>
      <c r="C27" s="220" t="s">
        <v>226</v>
      </c>
      <c r="D27" s="220" t="s">
        <v>227</v>
      </c>
      <c r="E27" s="220" t="s">
        <v>228</v>
      </c>
      <c r="F27" s="220" t="s">
        <v>17</v>
      </c>
      <c r="H27" s="193" t="s">
        <v>220</v>
      </c>
      <c r="I27" s="193" t="s">
        <v>221</v>
      </c>
      <c r="J27" s="193" t="s">
        <v>222</v>
      </c>
      <c r="K27" s="193" t="s">
        <v>223</v>
      </c>
    </row>
    <row r="28" spans="1:16" ht="30" x14ac:dyDescent="0.25">
      <c r="A28" s="221" t="s">
        <v>229</v>
      </c>
      <c r="B28" s="221" t="s">
        <v>206</v>
      </c>
      <c r="C28" s="222">
        <v>21.296378323445623</v>
      </c>
      <c r="D28">
        <v>0.5</v>
      </c>
      <c r="E28">
        <v>0.5</v>
      </c>
      <c r="F28">
        <v>2010</v>
      </c>
      <c r="H28" s="197">
        <f>(SUM('CHE Model poplulation'!H1106:H1111)+SUM('CHE Model poplulation'!J1106:J1111))*D28</f>
        <v>4566028.6096785935</v>
      </c>
      <c r="I28" s="197">
        <f>SUM('CHE Model poplulation'!I1106:I1111)*E28</f>
        <v>436028.65922660037</v>
      </c>
      <c r="J28" s="200">
        <f t="shared" ref="J28:J32" si="5">H28+I28</f>
        <v>5002057.2689051935</v>
      </c>
      <c r="K28" s="200">
        <f t="shared" ref="K28:K32" si="6">J28*0.1</f>
        <v>500205.72689051938</v>
      </c>
    </row>
    <row r="29" spans="1:16" ht="30" x14ac:dyDescent="0.25">
      <c r="A29" s="223" t="s">
        <v>229</v>
      </c>
      <c r="B29" s="223" t="s">
        <v>208</v>
      </c>
      <c r="C29" s="224">
        <v>5.4806612386341316</v>
      </c>
      <c r="D29">
        <v>0.5</v>
      </c>
      <c r="E29">
        <v>0.5</v>
      </c>
      <c r="F29">
        <v>2012</v>
      </c>
      <c r="H29" s="197">
        <f>(SUM('CHE Model poplulation'!H1226:H1229)+SUM('CHE Model poplulation'!J1226:J1229))*D29</f>
        <v>3478699.3426333964</v>
      </c>
      <c r="I29" s="197">
        <f>SUM('CHE Model poplulation'!I1226:I1229)*E29</f>
        <v>376498.12583643524</v>
      </c>
      <c r="J29" s="200">
        <f t="shared" si="5"/>
        <v>3855197.4684698316</v>
      </c>
      <c r="K29" s="200">
        <f t="shared" si="6"/>
        <v>385519.74684698321</v>
      </c>
    </row>
    <row r="30" spans="1:16" ht="30" x14ac:dyDescent="0.25">
      <c r="A30" s="223" t="s">
        <v>229</v>
      </c>
      <c r="B30" s="223" t="s">
        <v>192</v>
      </c>
      <c r="C30" s="224">
        <v>274.60192881407158</v>
      </c>
      <c r="D30">
        <v>0.9</v>
      </c>
      <c r="E30">
        <v>0.1</v>
      </c>
      <c r="F30">
        <v>2009</v>
      </c>
      <c r="H30" s="197">
        <f>(SUM('CHE Model poplulation'!H1300:H1305)+SUM('CHE Model poplulation'!J1300:J1305))*D30</f>
        <v>41671904.385931946</v>
      </c>
      <c r="I30" s="197">
        <f>SUM('CHE Model poplulation'!I1300:I1305)*E30</f>
        <v>672232.7012255569</v>
      </c>
      <c r="J30" s="200">
        <f t="shared" si="5"/>
        <v>42344137.087157503</v>
      </c>
      <c r="K30" s="200">
        <f t="shared" si="6"/>
        <v>4234413.7087157508</v>
      </c>
      <c r="L30" s="151">
        <f>H30/(D30*$C30)</f>
        <v>168615.40697960363</v>
      </c>
      <c r="M30" s="151">
        <f>I30/(E30*$C30)</f>
        <v>24480.261450774968</v>
      </c>
    </row>
    <row r="31" spans="1:16" ht="30" x14ac:dyDescent="0.25">
      <c r="A31" s="223" t="s">
        <v>229</v>
      </c>
      <c r="B31" s="223" t="s">
        <v>211</v>
      </c>
      <c r="C31" s="224">
        <v>11.046000656358961</v>
      </c>
      <c r="D31">
        <v>0.5</v>
      </c>
      <c r="E31">
        <v>0.5</v>
      </c>
      <c r="F31">
        <v>2010</v>
      </c>
      <c r="H31" s="197">
        <f>(SUM('CHE Model poplulation'!H1426:H1431)+SUM('CHE Model poplulation'!J1426:J1431))*D31</f>
        <v>1281968.5419369298</v>
      </c>
      <c r="I31" s="197">
        <f>SUM('CHE Model poplulation'!I1426:I1431)*E31</f>
        <v>165478.94283479202</v>
      </c>
      <c r="J31" s="200">
        <f t="shared" si="5"/>
        <v>1447447.4847717218</v>
      </c>
      <c r="K31" s="200">
        <f t="shared" si="6"/>
        <v>144744.74847717219</v>
      </c>
    </row>
    <row r="32" spans="1:16" ht="30.75" thickBot="1" x14ac:dyDescent="0.3">
      <c r="A32" s="223" t="s">
        <v>229</v>
      </c>
      <c r="B32" s="225" t="s">
        <v>212</v>
      </c>
      <c r="C32" s="226">
        <v>0</v>
      </c>
      <c r="D32" s="227">
        <v>0</v>
      </c>
      <c r="E32" s="227">
        <v>0</v>
      </c>
      <c r="F32">
        <v>0</v>
      </c>
      <c r="H32" s="208">
        <f>(SUM('CHE Model poplulation'!H1547:H1551)+SUM('CHE Model poplulation'!J1547:J1551))*D32</f>
        <v>0</v>
      </c>
      <c r="I32" s="208">
        <f>SUM('CHE Model poplulation'!I1547:I1551)*E32</f>
        <v>0</v>
      </c>
      <c r="J32" s="211">
        <f t="shared" si="5"/>
        <v>0</v>
      </c>
      <c r="K32" s="211">
        <f t="shared" si="6"/>
        <v>0</v>
      </c>
      <c r="L32" s="228">
        <f>D33</f>
        <v>266.0532560418838</v>
      </c>
      <c r="M32" s="228">
        <f>E33</f>
        <v>46.371712990626513</v>
      </c>
      <c r="N32" s="228">
        <f>M32+L32</f>
        <v>312.42496903251032</v>
      </c>
    </row>
    <row r="33" spans="1:27" ht="15.75" thickTop="1" x14ac:dyDescent="0.25">
      <c r="A33" s="229"/>
      <c r="B33" s="213" t="s">
        <v>14</v>
      </c>
      <c r="C33" s="214">
        <f>SUM(C28:C32)</f>
        <v>312.42496903251032</v>
      </c>
      <c r="D33" s="214">
        <f>SUMPRODUCT(C28:C32,D28:D32)</f>
        <v>266.0532560418838</v>
      </c>
      <c r="E33" s="214">
        <f>SUMPRODUCT(C28:C32,E28:E32)</f>
        <v>46.371712990626513</v>
      </c>
      <c r="H33" s="216">
        <f>SUM(H28:H32)</f>
        <v>50998600.880180866</v>
      </c>
      <c r="I33" s="216">
        <f>SUM(I28:I32)</f>
        <v>1650238.4291233844</v>
      </c>
      <c r="J33" s="230">
        <f>SUM(J28:J32)</f>
        <v>52648839.309304245</v>
      </c>
      <c r="K33" s="217">
        <f>SUM(K28:K32)</f>
        <v>5264883.9309304254</v>
      </c>
      <c r="L33" s="231">
        <f>H33/D33</f>
        <v>191685.68593707547</v>
      </c>
      <c r="M33" s="231">
        <f>I33/E33</f>
        <v>35587.178533968763</v>
      </c>
      <c r="N33" s="231">
        <f>L32*L33+M32*M33</f>
        <v>52648839.309304252</v>
      </c>
      <c r="O33" s="219"/>
      <c r="P33" s="219"/>
    </row>
    <row r="34" spans="1:27" x14ac:dyDescent="0.25">
      <c r="H34" s="232">
        <f>H33/D33</f>
        <v>191685.68593707547</v>
      </c>
      <c r="I34" s="232">
        <f>I33/E33</f>
        <v>35587.178533968763</v>
      </c>
      <c r="L34" s="233" t="s">
        <v>224</v>
      </c>
      <c r="M34" s="233" t="s">
        <v>225</v>
      </c>
      <c r="N34" s="233" t="s">
        <v>14</v>
      </c>
      <c r="O34" s="191"/>
      <c r="P34" s="191"/>
      <c r="Q34" t="s">
        <v>230</v>
      </c>
    </row>
    <row r="35" spans="1:27" x14ac:dyDescent="0.25">
      <c r="A35" s="234" t="s">
        <v>0</v>
      </c>
      <c r="B35" s="234" t="s">
        <v>216</v>
      </c>
      <c r="C35" s="234" t="s">
        <v>231</v>
      </c>
      <c r="D35" s="220" t="s">
        <v>227</v>
      </c>
      <c r="E35" s="220" t="s">
        <v>228</v>
      </c>
      <c r="F35" s="220" t="s">
        <v>17</v>
      </c>
      <c r="H35" s="193" t="s">
        <v>220</v>
      </c>
      <c r="I35" s="193" t="s">
        <v>221</v>
      </c>
      <c r="J35" s="193" t="s">
        <v>222</v>
      </c>
      <c r="K35" s="77"/>
      <c r="O35" s="234" t="s">
        <v>0</v>
      </c>
      <c r="P35" s="234" t="s">
        <v>216</v>
      </c>
      <c r="Q35" s="235">
        <v>2011</v>
      </c>
      <c r="R35" s="235">
        <v>2012</v>
      </c>
      <c r="S35" s="235">
        <v>2013</v>
      </c>
      <c r="T35" s="235">
        <v>2014</v>
      </c>
      <c r="U35" s="235">
        <v>2015</v>
      </c>
      <c r="V35" s="235">
        <v>2016</v>
      </c>
      <c r="W35" s="235">
        <v>2017</v>
      </c>
      <c r="Y35" t="s">
        <v>232</v>
      </c>
    </row>
    <row r="36" spans="1:27" ht="15" customHeight="1" x14ac:dyDescent="0.25">
      <c r="A36" s="236" t="s">
        <v>233</v>
      </c>
      <c r="B36" s="236" t="s">
        <v>206</v>
      </c>
      <c r="C36" s="237">
        <v>17.088764555106781</v>
      </c>
      <c r="D36">
        <v>0</v>
      </c>
      <c r="E36">
        <v>1</v>
      </c>
      <c r="F36">
        <v>2017</v>
      </c>
      <c r="H36" s="4">
        <f>SUM('CHE Model poplulation'!H68:H73)*D36</f>
        <v>0</v>
      </c>
      <c r="I36" s="197">
        <f>SUM('CHE Model poplulation'!I68:I73)*E36</f>
        <v>631322.20027723908</v>
      </c>
      <c r="J36" s="200">
        <f t="shared" ref="J36:J40" si="7">H36+I36</f>
        <v>631322.20027723908</v>
      </c>
      <c r="K36" s="238"/>
      <c r="M36" s="218">
        <f t="shared" ref="M36:M41" si="8">I36/C36</f>
        <v>36943.700537355442</v>
      </c>
      <c r="N36" s="219"/>
      <c r="O36" s="236" t="s">
        <v>233</v>
      </c>
      <c r="P36" s="236" t="s">
        <v>206</v>
      </c>
      <c r="Q36" s="4">
        <f>'CHE Model poplulation'!$K$32</f>
        <v>0</v>
      </c>
      <c r="R36" s="4">
        <f>'CHE Model poplulation'!$K$38</f>
        <v>93327.401924941645</v>
      </c>
      <c r="S36" s="4">
        <f>'CHE Model poplulation'!$K$44</f>
        <v>97786.328317270832</v>
      </c>
      <c r="T36" s="4">
        <f>'CHE Model poplulation'!$K$50</f>
        <v>146273.9852049519</v>
      </c>
      <c r="U36" s="4">
        <f>'CHE Model poplulation'!$K$56</f>
        <v>147811.41392893781</v>
      </c>
      <c r="V36" s="4">
        <f>'CHE Model poplulation'!$K$62</f>
        <v>146087.57637892728</v>
      </c>
      <c r="W36" s="4">
        <f>'CHE Model poplulation'!$K$68</f>
        <v>35.494522209628485</v>
      </c>
      <c r="Y36" s="239">
        <f>SUM(Q36:W36)</f>
        <v>631322.20027723908</v>
      </c>
    </row>
    <row r="37" spans="1:27" ht="30" x14ac:dyDescent="0.25">
      <c r="A37" s="240" t="s">
        <v>233</v>
      </c>
      <c r="B37" s="240" t="s">
        <v>208</v>
      </c>
      <c r="C37" s="241">
        <v>74.776201329093581</v>
      </c>
      <c r="D37">
        <v>0</v>
      </c>
      <c r="E37">
        <v>1</v>
      </c>
      <c r="F37">
        <v>2015</v>
      </c>
      <c r="H37" s="4">
        <f>SUM('CHE Model poplulation'!H158:H161)*'$$$ Replace &amp; Retrofit'!D37</f>
        <v>0</v>
      </c>
      <c r="I37" s="197">
        <f>SUM('CHE Model poplulation'!I158:I161)*'$$$ Replace &amp; Retrofit'!E37</f>
        <v>2406322.7052948987</v>
      </c>
      <c r="J37" s="200">
        <f t="shared" si="7"/>
        <v>2406322.7052948987</v>
      </c>
      <c r="K37" s="238"/>
      <c r="M37" s="218">
        <f t="shared" si="8"/>
        <v>32180.328266537093</v>
      </c>
      <c r="N37" s="219"/>
      <c r="O37" s="240" t="s">
        <v>233</v>
      </c>
      <c r="P37" s="240" t="s">
        <v>208</v>
      </c>
      <c r="Q37" s="4">
        <f>'CHE Model poplulation'!$K$142</f>
        <v>0</v>
      </c>
      <c r="R37" s="4">
        <f>'CHE Model poplulation'!$K$146</f>
        <v>596059.06275635865</v>
      </c>
      <c r="S37" s="4">
        <f>'CHE Model poplulation'!$K$150</f>
        <v>551661.97484848229</v>
      </c>
      <c r="T37" s="4">
        <f>'CHE Model poplulation'!$K$154</f>
        <v>682182.57595376763</v>
      </c>
      <c r="U37" s="4">
        <f>'CHE Model poplulation'!$K$158</f>
        <v>576419.09173629014</v>
      </c>
      <c r="V37" s="4"/>
      <c r="W37" s="4"/>
      <c r="Y37" s="239">
        <f t="shared" ref="Y37:Y38" si="9">SUM(Q37:W37)</f>
        <v>2406322.7052948987</v>
      </c>
    </row>
    <row r="38" spans="1:27" x14ac:dyDescent="0.25">
      <c r="A38" s="240" t="s">
        <v>233</v>
      </c>
      <c r="B38" s="240" t="s">
        <v>192</v>
      </c>
      <c r="C38" s="241">
        <v>70.19842720634783</v>
      </c>
      <c r="D38">
        <v>0</v>
      </c>
      <c r="E38">
        <v>1</v>
      </c>
      <c r="F38">
        <v>2016</v>
      </c>
      <c r="H38" s="4">
        <f>SUM('CHE Model poplulation'!H262:H267)*'$$$ Replace &amp; Retrofit'!D38</f>
        <v>0</v>
      </c>
      <c r="I38" s="197">
        <f>SUM('CHE Model poplulation'!I262:I267)*'$$$ Replace &amp; Retrofit'!E38</f>
        <v>1694853.073557565</v>
      </c>
      <c r="J38" s="200">
        <f t="shared" si="7"/>
        <v>1694853.073557565</v>
      </c>
      <c r="K38" s="238"/>
      <c r="M38" s="218">
        <f t="shared" si="8"/>
        <v>24143.747103842587</v>
      </c>
      <c r="N38" s="219"/>
      <c r="O38" s="240" t="s">
        <v>233</v>
      </c>
      <c r="P38" s="240" t="s">
        <v>192</v>
      </c>
      <c r="Q38" s="4">
        <f>'CHE Model poplulation'!$K$232</f>
        <v>0</v>
      </c>
      <c r="R38" s="4">
        <f>'CHE Model poplulation'!$K$238</f>
        <v>91107.370790873407</v>
      </c>
      <c r="S38" s="4">
        <f>'CHE Model poplulation'!$K$244</f>
        <v>144364.71298842225</v>
      </c>
      <c r="T38" s="4">
        <f>'CHE Model poplulation'!$K$250</f>
        <v>433635.03809191089</v>
      </c>
      <c r="U38" s="4">
        <f>'CHE Model poplulation'!$K$256</f>
        <v>477542.49472666474</v>
      </c>
      <c r="V38" s="4">
        <f>'CHE Model poplulation'!$K$262</f>
        <v>548203.45695969358</v>
      </c>
      <c r="W38" s="4"/>
      <c r="Y38" s="239">
        <f t="shared" si="9"/>
        <v>1694853.073557565</v>
      </c>
    </row>
    <row r="39" spans="1:27" ht="30" x14ac:dyDescent="0.25">
      <c r="A39" s="240" t="s">
        <v>233</v>
      </c>
      <c r="B39" s="240" t="s">
        <v>211</v>
      </c>
      <c r="C39" s="241">
        <v>14.347373558571043</v>
      </c>
      <c r="D39">
        <v>0</v>
      </c>
      <c r="E39">
        <v>1</v>
      </c>
      <c r="F39">
        <v>2017</v>
      </c>
      <c r="H39" s="4">
        <f>SUM('CHE Model poplulation'!H388:H393)*'$$$ Replace &amp; Retrofit'!D39</f>
        <v>0</v>
      </c>
      <c r="I39" s="197">
        <f>SUM('CHE Model poplulation'!I388:I393)*'$$$ Replace &amp; Retrofit'!E39</f>
        <v>403315.04132962256</v>
      </c>
      <c r="J39" s="200">
        <f t="shared" si="7"/>
        <v>403315.04132962256</v>
      </c>
      <c r="K39" s="238"/>
      <c r="M39" s="218">
        <f t="shared" si="8"/>
        <v>28110.722822065531</v>
      </c>
      <c r="N39" s="219"/>
      <c r="O39" s="240" t="s">
        <v>233</v>
      </c>
      <c r="P39" s="240" t="s">
        <v>211</v>
      </c>
      <c r="Q39" s="4">
        <f>'CHE Model poplulation'!$K$352</f>
        <v>0</v>
      </c>
      <c r="R39" s="4">
        <f>'CHE Model poplulation'!$K$358</f>
        <v>68664.749353148247</v>
      </c>
      <c r="S39" s="4">
        <f>'CHE Model poplulation'!$K$364</f>
        <v>58741.598055234368</v>
      </c>
      <c r="T39" s="4">
        <f>'CHE Model poplulation'!$K$370</f>
        <v>90092.82140201758</v>
      </c>
      <c r="U39" s="4">
        <f>'CHE Model poplulation'!$K$376</f>
        <v>95683.48327104593</v>
      </c>
      <c r="V39" s="4">
        <f>'CHE Model poplulation'!$K$382</f>
        <v>89322.548473434959</v>
      </c>
      <c r="W39" s="4">
        <f>'CHE Model poplulation'!$K$388</f>
        <v>809.84077474150399</v>
      </c>
      <c r="Y39" s="239">
        <f>SUM(Q39:W39)</f>
        <v>403315.04132962262</v>
      </c>
    </row>
    <row r="40" spans="1:27" ht="15.75" thickBot="1" x14ac:dyDescent="0.3">
      <c r="A40" s="240" t="s">
        <v>233</v>
      </c>
      <c r="B40" s="242" t="s">
        <v>212</v>
      </c>
      <c r="C40" s="243">
        <v>47.946428988085557</v>
      </c>
      <c r="D40" s="227">
        <v>0</v>
      </c>
      <c r="E40" s="227">
        <v>1</v>
      </c>
      <c r="F40">
        <v>2015</v>
      </c>
      <c r="H40" s="244">
        <f>SUM('CHE Model poplulation'!H487:H491)*'$$$ Replace &amp; Retrofit'!D40</f>
        <v>0</v>
      </c>
      <c r="I40" s="208">
        <f>SUM('CHE Model poplulation'!I487:I491)*'$$$ Replace &amp; Retrofit'!E40</f>
        <v>1905639.2440607627</v>
      </c>
      <c r="J40" s="211">
        <f t="shared" si="7"/>
        <v>1905639.2440607627</v>
      </c>
      <c r="K40" s="238"/>
      <c r="M40" s="218">
        <f t="shared" si="8"/>
        <v>39745.175694613339</v>
      </c>
      <c r="N40" s="219"/>
      <c r="O40" s="240" t="s">
        <v>233</v>
      </c>
      <c r="P40" s="242" t="s">
        <v>212</v>
      </c>
      <c r="Q40" s="244">
        <f>'CHE Model poplulation'!$K$467</f>
        <v>0</v>
      </c>
      <c r="R40" s="244">
        <f>'CHE Model poplulation'!$K$472</f>
        <v>403965.42344248848</v>
      </c>
      <c r="S40" s="244">
        <f>'CHE Model poplulation'!$K$477</f>
        <v>396048.26537059521</v>
      </c>
      <c r="T40" s="244">
        <f>'CHE Model poplulation'!$K$482</f>
        <v>589319.22603253182</v>
      </c>
      <c r="U40" s="244">
        <f>'CHE Model poplulation'!$K$487</f>
        <v>516306.32921514713</v>
      </c>
      <c r="V40" s="244"/>
      <c r="W40" s="244"/>
      <c r="Y40" s="239">
        <f>SUM(Q40:W40)</f>
        <v>1905639.2440607627</v>
      </c>
    </row>
    <row r="41" spans="1:27" ht="15.75" thickTop="1" x14ac:dyDescent="0.25">
      <c r="B41" s="213" t="s">
        <v>14</v>
      </c>
      <c r="C41" s="214">
        <f>SUM(C36:C40)</f>
        <v>224.35719563720477</v>
      </c>
      <c r="D41" s="215"/>
      <c r="E41" s="215"/>
      <c r="H41" s="230"/>
      <c r="I41" s="216">
        <f>SUM(I36:I40)</f>
        <v>7041452.2645200882</v>
      </c>
      <c r="J41" s="217">
        <f>SUM(J36:J40)</f>
        <v>7041452.2645200882</v>
      </c>
      <c r="M41" s="245">
        <f t="shared" si="8"/>
        <v>31385.007485591945</v>
      </c>
      <c r="N41" s="219"/>
      <c r="O41" s="219"/>
      <c r="P41" s="5" t="s">
        <v>234</v>
      </c>
      <c r="Q41" s="246">
        <f>SUM(Q36:Q40)</f>
        <v>0</v>
      </c>
      <c r="R41" s="246">
        <f t="shared" ref="R41:W41" si="10">SUM(R36:R40)</f>
        <v>1253124.0082678106</v>
      </c>
      <c r="S41" s="246">
        <f t="shared" si="10"/>
        <v>1248602.8795800051</v>
      </c>
      <c r="T41" s="246">
        <f t="shared" si="10"/>
        <v>1941503.6466851798</v>
      </c>
      <c r="U41" s="246">
        <f t="shared" si="10"/>
        <v>1813762.8128780855</v>
      </c>
      <c r="V41" s="246">
        <f t="shared" si="10"/>
        <v>783613.58181205578</v>
      </c>
      <c r="W41" s="246">
        <f t="shared" si="10"/>
        <v>845.33529695113248</v>
      </c>
      <c r="X41" s="247">
        <f>SUM(Q41:W41)</f>
        <v>7041452.2645200882</v>
      </c>
      <c r="Y41" s="247">
        <f>SUM(Y36:Y40)</f>
        <v>7041452.2645200882</v>
      </c>
    </row>
    <row r="42" spans="1:27" x14ac:dyDescent="0.25">
      <c r="M42" s="147" t="s">
        <v>225</v>
      </c>
      <c r="N42" s="191"/>
      <c r="O42" s="191"/>
      <c r="P42" s="191"/>
    </row>
    <row r="44" spans="1:27" x14ac:dyDescent="0.25">
      <c r="O44" s="191"/>
      <c r="P44" s="191"/>
      <c r="Q44" t="s">
        <v>235</v>
      </c>
    </row>
    <row r="45" spans="1:27" x14ac:dyDescent="0.25">
      <c r="O45" s="234" t="s">
        <v>0</v>
      </c>
      <c r="P45" s="234" t="s">
        <v>216</v>
      </c>
      <c r="Q45" s="235">
        <v>2011</v>
      </c>
      <c r="R45" s="235">
        <v>2012</v>
      </c>
      <c r="S45" s="235">
        <v>2013</v>
      </c>
      <c r="T45" s="235">
        <v>2014</v>
      </c>
      <c r="U45" s="235">
        <v>2015</v>
      </c>
      <c r="V45" s="235">
        <v>2016</v>
      </c>
      <c r="W45" s="235">
        <v>2017</v>
      </c>
      <c r="X45" s="235">
        <v>2018</v>
      </c>
      <c r="Y45" s="235">
        <v>2019</v>
      </c>
      <c r="Z45" s="235">
        <v>2020</v>
      </c>
      <c r="AA45" s="248" t="s">
        <v>234</v>
      </c>
    </row>
    <row r="46" spans="1:27" ht="30" x14ac:dyDescent="0.25">
      <c r="O46" s="236" t="s">
        <v>233</v>
      </c>
      <c r="P46" s="236" t="s">
        <v>206</v>
      </c>
      <c r="Q46" s="4">
        <f>'CHE Model poplulation'!$K$32</f>
        <v>0</v>
      </c>
      <c r="R46" s="4">
        <f>'CHE Model poplulation'!$K$38</f>
        <v>93327.401924941645</v>
      </c>
      <c r="S46" s="4">
        <f>'CHE Model poplulation'!$K$44</f>
        <v>97786.328317270832</v>
      </c>
      <c r="T46" s="4">
        <f>'CHE Model poplulation'!$K$50</f>
        <v>146273.9852049519</v>
      </c>
      <c r="U46" s="4">
        <f>'CHE Model poplulation'!$K$56</f>
        <v>147811.41392893781</v>
      </c>
      <c r="V46" s="4">
        <f>'CHE Model poplulation'!$K$62+Q46</f>
        <v>146087.57637892728</v>
      </c>
      <c r="W46" s="4">
        <f>'CHE Model poplulation'!$K$68+R46</f>
        <v>93362.896447151274</v>
      </c>
      <c r="X46" s="239">
        <f>S46</f>
        <v>97786.328317270832</v>
      </c>
      <c r="Y46" s="239">
        <f>T46</f>
        <v>146273.9852049519</v>
      </c>
      <c r="Z46" s="239">
        <f>U46</f>
        <v>147811.41392893781</v>
      </c>
      <c r="AA46" s="239">
        <f>SUM(Q46:Z46)</f>
        <v>1116521.3296533413</v>
      </c>
    </row>
    <row r="47" spans="1:27" ht="30" x14ac:dyDescent="0.25">
      <c r="O47" s="240" t="s">
        <v>233</v>
      </c>
      <c r="P47" s="240" t="s">
        <v>208</v>
      </c>
      <c r="Q47" s="4">
        <f>'CHE Model poplulation'!$K$142</f>
        <v>0</v>
      </c>
      <c r="R47" s="4">
        <f>'CHE Model poplulation'!$K$146</f>
        <v>596059.06275635865</v>
      </c>
      <c r="S47" s="4">
        <f>'CHE Model poplulation'!$K$150</f>
        <v>551661.97484848229</v>
      </c>
      <c r="T47" s="4">
        <f>'CHE Model poplulation'!$K$154</f>
        <v>682182.57595376763</v>
      </c>
      <c r="U47" s="4">
        <f>'CHE Model poplulation'!$K$158</f>
        <v>576419.09173629014</v>
      </c>
      <c r="V47" s="4">
        <f>Q47</f>
        <v>0</v>
      </c>
      <c r="W47" s="4">
        <f t="shared" ref="W47:Z50" si="11">R47</f>
        <v>596059.06275635865</v>
      </c>
      <c r="X47" s="4">
        <f t="shared" si="11"/>
        <v>551661.97484848229</v>
      </c>
      <c r="Y47" s="4">
        <f t="shared" si="11"/>
        <v>682182.57595376763</v>
      </c>
      <c r="Z47" s="4">
        <f t="shared" si="11"/>
        <v>576419.09173629014</v>
      </c>
      <c r="AA47" s="239">
        <f t="shared" ref="AA47:AA51" si="12">SUM(Q47:Z47)</f>
        <v>4812645.4105897974</v>
      </c>
    </row>
    <row r="48" spans="1:27" x14ac:dyDescent="0.25">
      <c r="O48" s="240" t="s">
        <v>233</v>
      </c>
      <c r="P48" s="240" t="s">
        <v>192</v>
      </c>
      <c r="Q48" s="4">
        <f>'CHE Model poplulation'!$K$232</f>
        <v>0</v>
      </c>
      <c r="R48" s="4">
        <f>'CHE Model poplulation'!$K$238</f>
        <v>91107.370790873407</v>
      </c>
      <c r="S48" s="4">
        <f>'CHE Model poplulation'!$K$244</f>
        <v>144364.71298842225</v>
      </c>
      <c r="T48" s="4">
        <f>'CHE Model poplulation'!$K$250</f>
        <v>433635.03809191089</v>
      </c>
      <c r="U48" s="4">
        <f>'CHE Model poplulation'!$K$256</f>
        <v>477542.49472666474</v>
      </c>
      <c r="V48" s="4">
        <f>'CHE Model poplulation'!$K$262+Q48</f>
        <v>548203.45695969358</v>
      </c>
      <c r="W48" s="4">
        <f>R48</f>
        <v>91107.370790873407</v>
      </c>
      <c r="X48" s="4">
        <f t="shared" si="11"/>
        <v>144364.71298842225</v>
      </c>
      <c r="Y48" s="4">
        <f t="shared" si="11"/>
        <v>433635.03809191089</v>
      </c>
      <c r="Z48" s="4">
        <f t="shared" si="11"/>
        <v>477542.49472666474</v>
      </c>
      <c r="AA48" s="239">
        <f t="shared" si="12"/>
        <v>2841502.6901554363</v>
      </c>
    </row>
    <row r="49" spans="15:27" ht="30" x14ac:dyDescent="0.25">
      <c r="O49" s="240" t="s">
        <v>233</v>
      </c>
      <c r="P49" s="240" t="s">
        <v>211</v>
      </c>
      <c r="Q49" s="4">
        <f>'CHE Model poplulation'!$K$352</f>
        <v>0</v>
      </c>
      <c r="R49" s="4">
        <f>'CHE Model poplulation'!$K$358</f>
        <v>68664.749353148247</v>
      </c>
      <c r="S49" s="4">
        <f>'CHE Model poplulation'!$K$364</f>
        <v>58741.598055234368</v>
      </c>
      <c r="T49" s="4">
        <f>'CHE Model poplulation'!$K$370</f>
        <v>90092.82140201758</v>
      </c>
      <c r="U49" s="4">
        <f>'CHE Model poplulation'!$K$376</f>
        <v>95683.48327104593</v>
      </c>
      <c r="V49" s="4">
        <f>'CHE Model poplulation'!$K$382+Q49</f>
        <v>89322.548473434959</v>
      </c>
      <c r="W49" s="4">
        <f>'CHE Model poplulation'!$K$388+R49</f>
        <v>69474.590127889751</v>
      </c>
      <c r="X49" s="239">
        <f>S49</f>
        <v>58741.598055234368</v>
      </c>
      <c r="Y49" s="239">
        <f t="shared" si="11"/>
        <v>90092.82140201758</v>
      </c>
      <c r="Z49" s="239">
        <f t="shared" si="11"/>
        <v>95683.48327104593</v>
      </c>
      <c r="AA49" s="239">
        <f t="shared" si="12"/>
        <v>716497.69341106887</v>
      </c>
    </row>
    <row r="50" spans="15:27" ht="15.75" thickBot="1" x14ac:dyDescent="0.3">
      <c r="O50" s="240" t="s">
        <v>233</v>
      </c>
      <c r="P50" s="242" t="s">
        <v>212</v>
      </c>
      <c r="Q50" s="244">
        <f>'CHE Model poplulation'!$K$467</f>
        <v>0</v>
      </c>
      <c r="R50" s="244">
        <f>'CHE Model poplulation'!$K$472</f>
        <v>403965.42344248848</v>
      </c>
      <c r="S50" s="244">
        <f>'CHE Model poplulation'!$K$477</f>
        <v>396048.26537059521</v>
      </c>
      <c r="T50" s="244">
        <f>'CHE Model poplulation'!$K$482</f>
        <v>589319.22603253182</v>
      </c>
      <c r="U50" s="244">
        <f>'CHE Model poplulation'!$K$487</f>
        <v>516306.32921514713</v>
      </c>
      <c r="V50" s="244">
        <f>Q50</f>
        <v>0</v>
      </c>
      <c r="W50" s="244">
        <f t="shared" ref="W50:X50" si="13">R50</f>
        <v>403965.42344248848</v>
      </c>
      <c r="X50" s="244">
        <f t="shared" si="13"/>
        <v>396048.26537059521</v>
      </c>
      <c r="Y50" s="244">
        <f t="shared" si="11"/>
        <v>589319.22603253182</v>
      </c>
      <c r="Z50" s="244">
        <f t="shared" si="11"/>
        <v>516306.32921514713</v>
      </c>
      <c r="AA50" s="249">
        <f t="shared" si="12"/>
        <v>3811278.4881215254</v>
      </c>
    </row>
    <row r="51" spans="15:27" ht="15.75" thickTop="1" x14ac:dyDescent="0.25">
      <c r="O51" s="219"/>
      <c r="P51" s="5" t="s">
        <v>234</v>
      </c>
      <c r="Q51" s="246">
        <f>SUM(Q46:Q50)</f>
        <v>0</v>
      </c>
      <c r="R51" s="246">
        <f t="shared" ref="R51:Z51" si="14">SUM(R46:R50)</f>
        <v>1253124.0082678106</v>
      </c>
      <c r="S51" s="246">
        <f t="shared" si="14"/>
        <v>1248602.8795800051</v>
      </c>
      <c r="T51" s="246">
        <f t="shared" si="14"/>
        <v>1941503.6466851798</v>
      </c>
      <c r="U51" s="246">
        <f t="shared" si="14"/>
        <v>1813762.8128780855</v>
      </c>
      <c r="V51" s="246">
        <f t="shared" si="14"/>
        <v>783613.58181205578</v>
      </c>
      <c r="W51" s="246">
        <f t="shared" si="14"/>
        <v>1253969.3435647616</v>
      </c>
      <c r="X51" s="246">
        <f t="shared" si="14"/>
        <v>1248602.8795800051</v>
      </c>
      <c r="Y51" s="246">
        <f t="shared" si="14"/>
        <v>1941503.6466851798</v>
      </c>
      <c r="Z51" s="246">
        <f t="shared" si="14"/>
        <v>1813762.8128780855</v>
      </c>
      <c r="AA51" s="250">
        <f t="shared" si="12"/>
        <v>13298445.611931169</v>
      </c>
    </row>
  </sheetData>
  <sheetProtection password="CDC6" sheet="1" objects="1" scenarios="1"/>
  <pageMargins left="0.7" right="0.7" top="0.75" bottom="0.75" header="0.3" footer="0.3"/>
  <pageSetup scale="35" fitToHeight="2" orientation="landscape" r:id="rId1"/>
  <headerFooter>
    <oddFooter>&amp;Z&amp;F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39"/>
  <sheetViews>
    <sheetView zoomScale="63" zoomScaleNormal="63" workbookViewId="0">
      <pane xSplit="8" topLeftCell="I1" activePane="topRight" state="frozen"/>
      <selection activeCell="S40" sqref="S40"/>
      <selection pane="topRight" activeCell="S40" sqref="S40"/>
    </sheetView>
  </sheetViews>
  <sheetFormatPr defaultRowHeight="15" x14ac:dyDescent="0.25"/>
  <cols>
    <col min="1" max="1" width="32.7109375" customWidth="1"/>
    <col min="2" max="2" width="18.85546875" customWidth="1"/>
    <col min="3" max="3" width="9.7109375" customWidth="1"/>
    <col min="4" max="4" width="6.7109375" customWidth="1"/>
    <col min="5" max="5" width="4.85546875" bestFit="1" customWidth="1"/>
    <col min="6" max="6" width="6.7109375" style="160" bestFit="1" customWidth="1"/>
    <col min="7" max="7" width="6.7109375" hidden="1" customWidth="1"/>
    <col min="8" max="8" width="7.28515625" hidden="1" customWidth="1"/>
    <col min="9" max="9" width="9.140625" style="138" hidden="1" customWidth="1"/>
    <col min="10" max="10" width="9.140625" hidden="1" customWidth="1"/>
    <col min="11" max="11" width="7.5703125" hidden="1" customWidth="1"/>
    <col min="12" max="13" width="9.140625" hidden="1" customWidth="1"/>
    <col min="14" max="14" width="5.7109375" hidden="1" customWidth="1"/>
    <col min="15" max="16" width="6" hidden="1" customWidth="1"/>
    <col min="17" max="20" width="9.140625" customWidth="1"/>
    <col min="21" max="21" width="13.42578125" style="51" customWidth="1"/>
    <col min="22" max="22" width="12.140625" customWidth="1"/>
    <col min="23" max="23" width="11.7109375" customWidth="1"/>
    <col min="24" max="24" width="11.85546875" customWidth="1"/>
    <col min="25" max="25" width="10.28515625" customWidth="1"/>
    <col min="26" max="26" width="12.85546875" customWidth="1"/>
    <col min="27" max="27" width="9.85546875" customWidth="1"/>
    <col min="28" max="28" width="13" bestFit="1" customWidth="1"/>
  </cols>
  <sheetData>
    <row r="1" spans="1:27" s="65" customFormat="1" ht="45" x14ac:dyDescent="0.25">
      <c r="A1" s="53" t="s">
        <v>62</v>
      </c>
      <c r="B1" s="54" t="s">
        <v>63</v>
      </c>
      <c r="C1" s="54" t="s">
        <v>64</v>
      </c>
      <c r="D1" s="54" t="s">
        <v>65</v>
      </c>
      <c r="E1" s="54" t="s">
        <v>66</v>
      </c>
      <c r="F1" s="63" t="s">
        <v>67</v>
      </c>
      <c r="G1" s="55" t="s">
        <v>68</v>
      </c>
      <c r="H1" s="56" t="s">
        <v>69</v>
      </c>
      <c r="I1" s="57" t="s">
        <v>70</v>
      </c>
      <c r="J1" s="58" t="s">
        <v>71</v>
      </c>
      <c r="K1" s="58" t="s">
        <v>72</v>
      </c>
      <c r="L1" s="58" t="s">
        <v>73</v>
      </c>
      <c r="M1" s="58" t="s">
        <v>74</v>
      </c>
      <c r="N1" s="58" t="s">
        <v>75</v>
      </c>
      <c r="O1" s="58" t="s">
        <v>76</v>
      </c>
      <c r="P1" s="58" t="s">
        <v>77</v>
      </c>
      <c r="Q1" s="59" t="s">
        <v>182</v>
      </c>
      <c r="R1" s="161" t="s">
        <v>183</v>
      </c>
      <c r="S1" s="161" t="s">
        <v>184</v>
      </c>
      <c r="T1" s="161" t="s">
        <v>185</v>
      </c>
      <c r="U1" s="161" t="s">
        <v>144</v>
      </c>
      <c r="V1" s="162" t="s">
        <v>145</v>
      </c>
      <c r="W1" s="64" t="s">
        <v>146</v>
      </c>
      <c r="X1" s="64" t="s">
        <v>147</v>
      </c>
      <c r="Y1" s="64" t="s">
        <v>148</v>
      </c>
      <c r="Z1" s="59" t="s">
        <v>149</v>
      </c>
      <c r="AA1" s="64" t="s">
        <v>150</v>
      </c>
    </row>
    <row r="2" spans="1:27" ht="15" customHeight="1" x14ac:dyDescent="0.25">
      <c r="A2" s="66" t="s">
        <v>289</v>
      </c>
      <c r="B2" s="67" t="s">
        <v>151</v>
      </c>
      <c r="C2" s="67" t="s">
        <v>152</v>
      </c>
      <c r="D2" s="67">
        <v>3306</v>
      </c>
      <c r="E2" s="163">
        <v>200</v>
      </c>
      <c r="F2" s="164">
        <v>1981</v>
      </c>
      <c r="G2" s="70">
        <v>570</v>
      </c>
      <c r="H2" s="71">
        <v>12.5</v>
      </c>
      <c r="I2" s="72">
        <v>12.5</v>
      </c>
      <c r="J2">
        <f t="shared" ref="J2:J19" si="0">SUM(E2*I2)</f>
        <v>2500</v>
      </c>
      <c r="K2" s="365">
        <f>SUM(J2:J6,J23,J25)/SUM(E2:E6,E23,E25)</f>
        <v>12.030707196029777</v>
      </c>
      <c r="L2">
        <v>6.2</v>
      </c>
      <c r="M2">
        <f t="shared" ref="M2:M19" si="1">SUM(E2*L2)</f>
        <v>1240</v>
      </c>
      <c r="N2" s="365">
        <f>SUM(M2:M6,M23,M25)/SUM(E2:E6,E23,E25)</f>
        <v>6.1341811414392051</v>
      </c>
      <c r="O2" s="367">
        <f>SUM(E2:E6,E23,E25)*0.1-SUM(E23*2)</f>
        <v>-18.799999999999983</v>
      </c>
      <c r="P2" s="369">
        <f>SUM(E23*2)</f>
        <v>180</v>
      </c>
      <c r="Q2" s="164">
        <f>SUM($E2*797)+18000</f>
        <v>177400</v>
      </c>
      <c r="R2" s="92">
        <f>Q2</f>
        <v>177400</v>
      </c>
      <c r="S2" s="90"/>
      <c r="T2" s="90"/>
      <c r="U2" s="363">
        <f>SUM(Q2:Q6)</f>
        <v>861030</v>
      </c>
      <c r="V2" s="81">
        <f>R2</f>
        <v>177400</v>
      </c>
      <c r="W2" s="83">
        <v>2011</v>
      </c>
      <c r="X2" s="165">
        <v>2011</v>
      </c>
      <c r="Y2" s="83">
        <f>W2-X2</f>
        <v>0</v>
      </c>
      <c r="Z2" s="81">
        <f>-PV(AA$2,Y2,,V2)</f>
        <v>177400</v>
      </c>
      <c r="AA2" s="166">
        <v>0.05</v>
      </c>
    </row>
    <row r="3" spans="1:27" ht="15" customHeight="1" x14ac:dyDescent="0.25">
      <c r="A3" s="66" t="s">
        <v>289</v>
      </c>
      <c r="B3" s="85" t="s">
        <v>151</v>
      </c>
      <c r="C3" s="85" t="s">
        <v>152</v>
      </c>
      <c r="D3" s="85">
        <v>3408</v>
      </c>
      <c r="E3" s="167">
        <v>375</v>
      </c>
      <c r="F3" s="96">
        <v>1981</v>
      </c>
      <c r="G3" s="88">
        <v>440</v>
      </c>
      <c r="H3" s="89">
        <v>11.9</v>
      </c>
      <c r="I3" s="72">
        <v>11.9</v>
      </c>
      <c r="J3">
        <f t="shared" si="0"/>
        <v>4462.5</v>
      </c>
      <c r="K3" s="365"/>
      <c r="L3">
        <v>5.9</v>
      </c>
      <c r="M3">
        <f t="shared" si="1"/>
        <v>2212.5</v>
      </c>
      <c r="N3" s="365"/>
      <c r="O3" s="367"/>
      <c r="P3" s="370"/>
      <c r="Q3" s="96">
        <f t="shared" ref="Q3:Q5" si="2">SUM($E3*797)+18000</f>
        <v>316875</v>
      </c>
      <c r="R3" s="90"/>
      <c r="S3" s="92">
        <f>Q3</f>
        <v>316875</v>
      </c>
      <c r="T3" s="90"/>
      <c r="U3" s="363"/>
      <c r="V3" s="94">
        <f>S3</f>
        <v>316875</v>
      </c>
      <c r="W3" s="95">
        <v>2012</v>
      </c>
      <c r="X3" s="95">
        <f>X$2</f>
        <v>2011</v>
      </c>
      <c r="Y3" s="95">
        <f t="shared" ref="Y3:Y19" si="3">W3-X3</f>
        <v>1</v>
      </c>
      <c r="Z3" s="94">
        <f>-PV(AA$2,Y3,,V3)</f>
        <v>301785.71428571426</v>
      </c>
    </row>
    <row r="4" spans="1:27" ht="15" customHeight="1" x14ac:dyDescent="0.25">
      <c r="A4" s="66" t="s">
        <v>289</v>
      </c>
      <c r="B4" s="85" t="s">
        <v>151</v>
      </c>
      <c r="C4" s="85" t="s">
        <v>152</v>
      </c>
      <c r="D4" s="85">
        <v>3306</v>
      </c>
      <c r="E4" s="167">
        <v>170</v>
      </c>
      <c r="F4" s="96">
        <v>1974</v>
      </c>
      <c r="G4" s="88">
        <v>601</v>
      </c>
      <c r="H4" s="89">
        <v>13.6</v>
      </c>
      <c r="I4" s="72">
        <v>13.6</v>
      </c>
      <c r="J4">
        <f t="shared" si="0"/>
        <v>2312</v>
      </c>
      <c r="K4" s="365"/>
      <c r="L4">
        <v>6.4</v>
      </c>
      <c r="M4">
        <f t="shared" si="1"/>
        <v>1088</v>
      </c>
      <c r="N4" s="365"/>
      <c r="O4" s="367"/>
      <c r="P4" s="370"/>
      <c r="Q4" s="96" t="s">
        <v>153</v>
      </c>
      <c r="R4" s="90"/>
      <c r="S4" s="90"/>
      <c r="T4" s="90"/>
      <c r="U4" s="363"/>
      <c r="V4" s="94"/>
      <c r="W4" s="95" t="s">
        <v>186</v>
      </c>
      <c r="X4" s="95" t="s">
        <v>154</v>
      </c>
      <c r="Y4" s="95" t="s">
        <v>154</v>
      </c>
      <c r="Z4" s="94">
        <v>0</v>
      </c>
    </row>
    <row r="5" spans="1:27" ht="15" customHeight="1" x14ac:dyDescent="0.25">
      <c r="A5" s="66" t="s">
        <v>289</v>
      </c>
      <c r="B5" s="85" t="s">
        <v>151</v>
      </c>
      <c r="C5" s="85" t="s">
        <v>152</v>
      </c>
      <c r="D5" s="85">
        <v>3306</v>
      </c>
      <c r="E5" s="167">
        <v>200</v>
      </c>
      <c r="F5" s="96">
        <v>1982</v>
      </c>
      <c r="G5" s="88">
        <v>1148</v>
      </c>
      <c r="H5" s="89">
        <v>12.5</v>
      </c>
      <c r="I5" s="72">
        <v>12.5</v>
      </c>
      <c r="J5">
        <f t="shared" si="0"/>
        <v>2500</v>
      </c>
      <c r="K5" s="365"/>
      <c r="L5">
        <v>6.2</v>
      </c>
      <c r="M5">
        <f t="shared" si="1"/>
        <v>1240</v>
      </c>
      <c r="N5" s="365"/>
      <c r="O5" s="367"/>
      <c r="P5" s="370"/>
      <c r="Q5" s="96">
        <f t="shared" si="2"/>
        <v>177400</v>
      </c>
      <c r="R5" s="92">
        <f>Q5</f>
        <v>177400</v>
      </c>
      <c r="S5" s="90"/>
      <c r="T5" s="90"/>
      <c r="U5" s="363"/>
      <c r="V5" s="94">
        <f>R5</f>
        <v>177400</v>
      </c>
      <c r="W5" s="95">
        <v>2011</v>
      </c>
      <c r="X5" s="95">
        <f t="shared" ref="X5:X19" si="4">X$2</f>
        <v>2011</v>
      </c>
      <c r="Y5" s="95">
        <f t="shared" si="3"/>
        <v>0</v>
      </c>
      <c r="Z5" s="94">
        <f t="shared" ref="Z5:Z19" si="5">-PV(AA$2,Y5,,V5)</f>
        <v>177400</v>
      </c>
    </row>
    <row r="6" spans="1:27" s="105" customFormat="1" ht="15" customHeight="1" thickBot="1" x14ac:dyDescent="0.3">
      <c r="A6" s="66" t="s">
        <v>289</v>
      </c>
      <c r="B6" s="99" t="s">
        <v>151</v>
      </c>
      <c r="C6" s="99" t="s">
        <v>152</v>
      </c>
      <c r="D6" s="99">
        <v>3306</v>
      </c>
      <c r="E6" s="168">
        <v>215</v>
      </c>
      <c r="F6" s="169">
        <v>1987</v>
      </c>
      <c r="G6" s="102">
        <v>1610</v>
      </c>
      <c r="H6" s="103">
        <v>12.5</v>
      </c>
      <c r="I6" s="104">
        <v>12.5</v>
      </c>
      <c r="J6">
        <f t="shared" si="0"/>
        <v>2687.5</v>
      </c>
      <c r="K6" s="366"/>
      <c r="L6" s="105">
        <v>6.2</v>
      </c>
      <c r="M6">
        <f t="shared" si="1"/>
        <v>1333</v>
      </c>
      <c r="N6" s="366"/>
      <c r="O6" s="368"/>
      <c r="P6" s="371"/>
      <c r="Q6" s="169">
        <f>SUM(E6*797)+18000</f>
        <v>189355</v>
      </c>
      <c r="R6" s="111">
        <f>Q6</f>
        <v>189355</v>
      </c>
      <c r="S6" s="106"/>
      <c r="T6" s="106"/>
      <c r="U6" s="372"/>
      <c r="V6" s="113">
        <f>R6</f>
        <v>189355</v>
      </c>
      <c r="W6" s="114">
        <v>2012</v>
      </c>
      <c r="X6" s="114">
        <f t="shared" si="4"/>
        <v>2011</v>
      </c>
      <c r="Y6" s="114">
        <f t="shared" si="3"/>
        <v>1</v>
      </c>
      <c r="Z6" s="113">
        <f t="shared" si="5"/>
        <v>180338.09523809524</v>
      </c>
    </row>
    <row r="7" spans="1:27" ht="15" customHeight="1" thickTop="1" x14ac:dyDescent="0.25">
      <c r="A7" s="115" t="s">
        <v>290</v>
      </c>
      <c r="B7" s="67" t="s">
        <v>151</v>
      </c>
      <c r="C7" s="116" t="s">
        <v>152</v>
      </c>
      <c r="D7" s="117">
        <v>3306</v>
      </c>
      <c r="E7" s="117">
        <v>235</v>
      </c>
      <c r="F7" s="170">
        <v>1995</v>
      </c>
      <c r="G7" s="117">
        <v>440</v>
      </c>
      <c r="H7" s="117">
        <v>9.3000000000000007</v>
      </c>
      <c r="I7" s="72">
        <v>9.3000000000000007</v>
      </c>
      <c r="J7" s="119">
        <f t="shared" si="0"/>
        <v>2185.5</v>
      </c>
      <c r="K7" s="357">
        <f>SUM(J7:J11)/SUM(E7:E11)</f>
        <v>8.2044176706827301</v>
      </c>
      <c r="L7" s="77">
        <v>6.2</v>
      </c>
      <c r="M7" s="119">
        <f t="shared" si="1"/>
        <v>1457</v>
      </c>
      <c r="N7" s="357">
        <f>SUM(M7:M11)/SUM(E7:E11)</f>
        <v>6.1285140562248994</v>
      </c>
      <c r="O7" s="359">
        <f>SUM(E7:E11)*0.1</f>
        <v>124.5</v>
      </c>
      <c r="P7" s="373">
        <v>0</v>
      </c>
      <c r="Q7" s="170">
        <f>SUM(E7*797)+18000</f>
        <v>205295</v>
      </c>
      <c r="R7" s="92">
        <f>Q7</f>
        <v>205295</v>
      </c>
      <c r="S7" s="90"/>
      <c r="T7" s="90"/>
      <c r="U7" s="362">
        <f>SUM(Q7:Q11)</f>
        <v>951805</v>
      </c>
      <c r="V7" s="94">
        <f>R7</f>
        <v>205295</v>
      </c>
      <c r="W7" s="95">
        <v>2011</v>
      </c>
      <c r="X7" s="95">
        <f t="shared" si="4"/>
        <v>2011</v>
      </c>
      <c r="Y7" s="95">
        <f t="shared" si="3"/>
        <v>0</v>
      </c>
      <c r="Z7" s="94">
        <f t="shared" si="5"/>
        <v>205295</v>
      </c>
    </row>
    <row r="8" spans="1:27" ht="15" customHeight="1" x14ac:dyDescent="0.25">
      <c r="A8" s="115" t="s">
        <v>290</v>
      </c>
      <c r="B8" s="85" t="s">
        <v>151</v>
      </c>
      <c r="C8" s="116" t="s">
        <v>152</v>
      </c>
      <c r="D8" s="117">
        <v>3408</v>
      </c>
      <c r="E8" s="117">
        <v>410</v>
      </c>
      <c r="F8" s="171">
        <v>1987</v>
      </c>
      <c r="G8" s="117">
        <v>440</v>
      </c>
      <c r="H8" s="117">
        <v>11.9</v>
      </c>
      <c r="I8" s="72">
        <v>11.9</v>
      </c>
      <c r="J8" s="51">
        <f t="shared" si="0"/>
        <v>4879</v>
      </c>
      <c r="K8" s="365"/>
      <c r="L8" s="77">
        <v>5.9</v>
      </c>
      <c r="M8" s="51">
        <f t="shared" si="1"/>
        <v>2419</v>
      </c>
      <c r="N8" s="365"/>
      <c r="O8" s="360"/>
      <c r="P8" s="361"/>
      <c r="Q8" s="171">
        <f>SUM(E8*797)+30000</f>
        <v>356770</v>
      </c>
      <c r="R8" s="90"/>
      <c r="S8" s="92">
        <f>Q8</f>
        <v>356770</v>
      </c>
      <c r="T8" s="90"/>
      <c r="U8" s="363"/>
      <c r="V8" s="94">
        <f>S8</f>
        <v>356770</v>
      </c>
      <c r="W8" s="95">
        <v>2012</v>
      </c>
      <c r="X8" s="95">
        <f t="shared" si="4"/>
        <v>2011</v>
      </c>
      <c r="Y8" s="95">
        <f t="shared" si="3"/>
        <v>1</v>
      </c>
      <c r="Z8" s="94">
        <f t="shared" si="5"/>
        <v>339780.95238095237</v>
      </c>
    </row>
    <row r="9" spans="1:27" ht="15" customHeight="1" x14ac:dyDescent="0.25">
      <c r="A9" s="115" t="s">
        <v>290</v>
      </c>
      <c r="B9" s="85" t="s">
        <v>151</v>
      </c>
      <c r="C9" s="116" t="s">
        <v>152</v>
      </c>
      <c r="D9" s="116" t="s">
        <v>155</v>
      </c>
      <c r="E9" s="117">
        <v>180</v>
      </c>
      <c r="F9" s="172">
        <v>2003</v>
      </c>
      <c r="G9" s="117">
        <v>385</v>
      </c>
      <c r="H9" s="117">
        <v>4.3</v>
      </c>
      <c r="I9" s="72">
        <v>4.3</v>
      </c>
      <c r="J9" s="51">
        <f t="shared" si="0"/>
        <v>774</v>
      </c>
      <c r="K9" s="365"/>
      <c r="L9" s="77">
        <v>6.2</v>
      </c>
      <c r="M9" s="51">
        <f t="shared" si="1"/>
        <v>1116</v>
      </c>
      <c r="N9" s="365"/>
      <c r="O9" s="360"/>
      <c r="P9" s="361"/>
      <c r="Q9" s="172">
        <v>25000</v>
      </c>
      <c r="R9" s="92">
        <f>Q9</f>
        <v>25000</v>
      </c>
      <c r="S9" s="90"/>
      <c r="T9" s="90"/>
      <c r="U9" s="363"/>
      <c r="V9" s="94">
        <f>Q9</f>
        <v>25000</v>
      </c>
      <c r="W9" s="95">
        <v>2011</v>
      </c>
      <c r="X9" s="95">
        <f t="shared" si="4"/>
        <v>2011</v>
      </c>
      <c r="Y9" s="95">
        <f t="shared" si="3"/>
        <v>0</v>
      </c>
      <c r="Z9" s="94">
        <f t="shared" si="5"/>
        <v>25000</v>
      </c>
    </row>
    <row r="10" spans="1:27" ht="15" customHeight="1" x14ac:dyDescent="0.25">
      <c r="A10" s="115" t="s">
        <v>290</v>
      </c>
      <c r="B10" s="85" t="s">
        <v>151</v>
      </c>
      <c r="C10" s="130" t="s">
        <v>152</v>
      </c>
      <c r="D10" s="117">
        <v>3208</v>
      </c>
      <c r="E10" s="117">
        <v>250</v>
      </c>
      <c r="F10" s="170">
        <v>1990</v>
      </c>
      <c r="G10" s="117">
        <v>385</v>
      </c>
      <c r="H10" s="117">
        <v>9.3000000000000007</v>
      </c>
      <c r="I10" s="72">
        <v>9.3000000000000007</v>
      </c>
      <c r="J10" s="51">
        <f t="shared" si="0"/>
        <v>2325</v>
      </c>
      <c r="K10" s="365"/>
      <c r="L10" s="77">
        <v>6.2</v>
      </c>
      <c r="M10" s="51">
        <f t="shared" si="1"/>
        <v>1550</v>
      </c>
      <c r="N10" s="365"/>
      <c r="O10" s="360"/>
      <c r="P10" s="361"/>
      <c r="Q10" s="170">
        <f>SUM(E10*797)+18000</f>
        <v>217250</v>
      </c>
      <c r="R10" s="90"/>
      <c r="S10" s="90"/>
      <c r="T10" s="92">
        <f>Q10</f>
        <v>217250</v>
      </c>
      <c r="U10" s="363"/>
      <c r="V10" s="94">
        <f>T10</f>
        <v>217250</v>
      </c>
      <c r="W10" s="95">
        <v>2013</v>
      </c>
      <c r="X10" s="95">
        <f t="shared" si="4"/>
        <v>2011</v>
      </c>
      <c r="Y10" s="95">
        <f t="shared" si="3"/>
        <v>2</v>
      </c>
      <c r="Z10" s="94">
        <f t="shared" si="5"/>
        <v>197052.15419501133</v>
      </c>
    </row>
    <row r="11" spans="1:27" s="105" customFormat="1" ht="15" customHeight="1" thickBot="1" x14ac:dyDescent="0.3">
      <c r="A11" s="115" t="s">
        <v>290</v>
      </c>
      <c r="B11" s="99" t="s">
        <v>151</v>
      </c>
      <c r="C11" s="131" t="s">
        <v>152</v>
      </c>
      <c r="D11" s="131">
        <v>3306</v>
      </c>
      <c r="E11" s="132">
        <v>170</v>
      </c>
      <c r="F11" s="169">
        <v>1973</v>
      </c>
      <c r="G11" s="132">
        <v>200</v>
      </c>
      <c r="H11" s="132">
        <v>13.6</v>
      </c>
      <c r="I11" s="104">
        <v>0.3</v>
      </c>
      <c r="J11" s="105">
        <f t="shared" si="0"/>
        <v>51</v>
      </c>
      <c r="K11" s="366"/>
      <c r="L11" s="105">
        <v>6.4</v>
      </c>
      <c r="M11" s="105">
        <f t="shared" si="1"/>
        <v>1088</v>
      </c>
      <c r="N11" s="366"/>
      <c r="O11" s="368"/>
      <c r="P11" s="371"/>
      <c r="Q11" s="169">
        <f>SUM(E11*797)+12000</f>
        <v>147490</v>
      </c>
      <c r="R11" s="134">
        <f>Q11</f>
        <v>147490</v>
      </c>
      <c r="S11" s="173"/>
      <c r="T11" s="173"/>
      <c r="U11" s="372"/>
      <c r="V11" s="113">
        <f>R11</f>
        <v>147490</v>
      </c>
      <c r="W11" s="114">
        <v>2011</v>
      </c>
      <c r="X11" s="114">
        <f t="shared" si="4"/>
        <v>2011</v>
      </c>
      <c r="Y11" s="114">
        <f t="shared" si="3"/>
        <v>0</v>
      </c>
      <c r="Z11" s="113">
        <f t="shared" si="5"/>
        <v>147490</v>
      </c>
    </row>
    <row r="12" spans="1:27" ht="15" customHeight="1" thickTop="1" x14ac:dyDescent="0.25">
      <c r="A12" s="115" t="s">
        <v>291</v>
      </c>
      <c r="B12" s="137" t="s">
        <v>151</v>
      </c>
      <c r="C12" s="130" t="s">
        <v>152</v>
      </c>
      <c r="D12" s="130">
        <v>3408</v>
      </c>
      <c r="E12" s="117">
        <v>375</v>
      </c>
      <c r="F12" s="171">
        <v>1981</v>
      </c>
      <c r="G12" s="117">
        <v>250</v>
      </c>
      <c r="H12" s="117">
        <v>11.9</v>
      </c>
      <c r="I12" s="138">
        <v>0.3</v>
      </c>
      <c r="J12">
        <f t="shared" si="0"/>
        <v>112.5</v>
      </c>
      <c r="K12" s="357">
        <f>SUM(J12:J19)/SUM(E12:E19)</f>
        <v>4.2337047353760449</v>
      </c>
      <c r="L12" s="77">
        <v>5.9</v>
      </c>
      <c r="M12">
        <f t="shared" si="1"/>
        <v>2212.5</v>
      </c>
      <c r="N12" s="357">
        <f>SUM(M12:M19)/SUM(E12:E19)</f>
        <v>4.7899721448467965</v>
      </c>
      <c r="O12" s="359">
        <f>SUM(E12:E19)*0.1</f>
        <v>179.5</v>
      </c>
      <c r="P12" s="359">
        <f>E12-O12</f>
        <v>195.5</v>
      </c>
      <c r="Q12" s="171">
        <f>SUM(E12*797)+18000</f>
        <v>316875</v>
      </c>
      <c r="R12" s="122"/>
      <c r="S12" s="139">
        <f>Q12</f>
        <v>316875</v>
      </c>
      <c r="T12" s="122"/>
      <c r="U12" s="362">
        <f>SUM(Q12:Q19)</f>
        <v>863995</v>
      </c>
      <c r="V12" s="94">
        <f>S12</f>
        <v>316875</v>
      </c>
      <c r="W12" s="174">
        <v>2012</v>
      </c>
      <c r="X12" s="95">
        <f t="shared" si="4"/>
        <v>2011</v>
      </c>
      <c r="Y12" s="95">
        <f t="shared" si="3"/>
        <v>1</v>
      </c>
      <c r="Z12" s="94">
        <f t="shared" si="5"/>
        <v>301785.71428571426</v>
      </c>
    </row>
    <row r="13" spans="1:27" ht="15" customHeight="1" x14ac:dyDescent="0.25">
      <c r="A13" s="115" t="s">
        <v>291</v>
      </c>
      <c r="B13" s="137" t="s">
        <v>151</v>
      </c>
      <c r="C13" s="130" t="s">
        <v>152</v>
      </c>
      <c r="D13" s="117"/>
      <c r="E13" s="117">
        <v>260</v>
      </c>
      <c r="F13" s="172">
        <v>2004</v>
      </c>
      <c r="G13" s="117">
        <v>2000</v>
      </c>
      <c r="H13" s="117">
        <v>4.3</v>
      </c>
      <c r="I13" s="138">
        <v>4.3</v>
      </c>
      <c r="J13">
        <f t="shared" si="0"/>
        <v>1118</v>
      </c>
      <c r="K13" s="358"/>
      <c r="L13" s="77">
        <v>6.2</v>
      </c>
      <c r="M13">
        <f t="shared" si="1"/>
        <v>1612</v>
      </c>
      <c r="N13" s="358"/>
      <c r="O13" s="360"/>
      <c r="P13" s="361"/>
      <c r="Q13" s="172">
        <v>25000</v>
      </c>
      <c r="R13" s="92">
        <f>Q13</f>
        <v>25000</v>
      </c>
      <c r="S13" s="142"/>
      <c r="T13" s="142"/>
      <c r="U13" s="363"/>
      <c r="V13" s="94">
        <f>Q13</f>
        <v>25000</v>
      </c>
      <c r="W13" s="174">
        <v>2011</v>
      </c>
      <c r="X13" s="95">
        <f t="shared" si="4"/>
        <v>2011</v>
      </c>
      <c r="Y13" s="95">
        <f t="shared" si="3"/>
        <v>0</v>
      </c>
      <c r="Z13" s="94">
        <f t="shared" si="5"/>
        <v>25000</v>
      </c>
    </row>
    <row r="14" spans="1:27" ht="15" customHeight="1" x14ac:dyDescent="0.25">
      <c r="A14" s="115" t="s">
        <v>291</v>
      </c>
      <c r="B14" s="137" t="s">
        <v>157</v>
      </c>
      <c r="C14" s="130" t="s">
        <v>152</v>
      </c>
      <c r="D14" s="117"/>
      <c r="E14" s="117">
        <v>135</v>
      </c>
      <c r="F14" s="172">
        <v>2005</v>
      </c>
      <c r="G14" s="117">
        <v>750</v>
      </c>
      <c r="H14" s="117">
        <v>4.3</v>
      </c>
      <c r="I14" s="138">
        <v>4.3</v>
      </c>
      <c r="J14">
        <f t="shared" si="0"/>
        <v>580.5</v>
      </c>
      <c r="K14" s="358"/>
      <c r="L14" s="77">
        <v>6.4</v>
      </c>
      <c r="M14">
        <f t="shared" si="1"/>
        <v>864</v>
      </c>
      <c r="N14" s="358"/>
      <c r="O14" s="360"/>
      <c r="P14" s="361"/>
      <c r="Q14" s="172">
        <v>18000</v>
      </c>
      <c r="R14" s="142"/>
      <c r="S14" s="142"/>
      <c r="T14" s="92">
        <f>Q14</f>
        <v>18000</v>
      </c>
      <c r="U14" s="363"/>
      <c r="V14" s="94">
        <f>Q14</f>
        <v>18000</v>
      </c>
      <c r="W14" s="174">
        <v>2013</v>
      </c>
      <c r="X14" s="95">
        <f t="shared" si="4"/>
        <v>2011</v>
      </c>
      <c r="Y14" s="95">
        <f t="shared" si="3"/>
        <v>2</v>
      </c>
      <c r="Z14" s="94">
        <f t="shared" si="5"/>
        <v>16326.530612244898</v>
      </c>
    </row>
    <row r="15" spans="1:27" ht="15" customHeight="1" x14ac:dyDescent="0.25">
      <c r="A15" s="115" t="s">
        <v>291</v>
      </c>
      <c r="B15" s="137" t="s">
        <v>158</v>
      </c>
      <c r="C15" s="130" t="s">
        <v>152</v>
      </c>
      <c r="D15" s="117"/>
      <c r="E15" s="117">
        <v>120</v>
      </c>
      <c r="F15" s="172">
        <v>2003</v>
      </c>
      <c r="G15" s="117">
        <v>900</v>
      </c>
      <c r="H15" s="117">
        <v>4.3</v>
      </c>
      <c r="I15" s="138">
        <v>4.3</v>
      </c>
      <c r="J15">
        <f t="shared" si="0"/>
        <v>516</v>
      </c>
      <c r="K15" s="358"/>
      <c r="L15" s="77">
        <v>6.4</v>
      </c>
      <c r="M15">
        <f t="shared" si="1"/>
        <v>768</v>
      </c>
      <c r="N15" s="358"/>
      <c r="O15" s="360"/>
      <c r="P15" s="361"/>
      <c r="Q15" s="172">
        <v>18000</v>
      </c>
      <c r="R15" s="92">
        <f>Q15</f>
        <v>18000</v>
      </c>
      <c r="S15" s="142"/>
      <c r="T15" s="142"/>
      <c r="U15" s="363"/>
      <c r="V15" s="94">
        <f>Q15</f>
        <v>18000</v>
      </c>
      <c r="W15" s="95">
        <v>2011</v>
      </c>
      <c r="X15" s="95">
        <f t="shared" si="4"/>
        <v>2011</v>
      </c>
      <c r="Y15" s="95">
        <f t="shared" si="3"/>
        <v>0</v>
      </c>
      <c r="Z15" s="94">
        <f t="shared" si="5"/>
        <v>18000</v>
      </c>
    </row>
    <row r="16" spans="1:27" ht="15" customHeight="1" x14ac:dyDescent="0.25">
      <c r="A16" s="115" t="s">
        <v>291</v>
      </c>
      <c r="B16" s="137" t="s">
        <v>158</v>
      </c>
      <c r="C16" s="130" t="s">
        <v>152</v>
      </c>
      <c r="D16" s="117">
        <v>3408</v>
      </c>
      <c r="E16" s="117">
        <v>300</v>
      </c>
      <c r="F16" s="171">
        <v>1985</v>
      </c>
      <c r="G16" s="117">
        <v>300</v>
      </c>
      <c r="H16" s="117">
        <v>11.9</v>
      </c>
      <c r="I16" s="138">
        <v>11.9</v>
      </c>
      <c r="J16">
        <f t="shared" si="0"/>
        <v>3570</v>
      </c>
      <c r="K16" s="358"/>
      <c r="L16" s="77">
        <v>5.9</v>
      </c>
      <c r="M16">
        <f t="shared" si="1"/>
        <v>1770</v>
      </c>
      <c r="N16" s="358"/>
      <c r="O16" s="360"/>
      <c r="P16" s="361"/>
      <c r="Q16" s="171">
        <f>SUM(E16*1172)+18000</f>
        <v>369600</v>
      </c>
      <c r="R16" s="142"/>
      <c r="S16" s="92">
        <f>Q16</f>
        <v>369600</v>
      </c>
      <c r="T16" s="142"/>
      <c r="U16" s="363"/>
      <c r="V16" s="94">
        <f>S16</f>
        <v>369600</v>
      </c>
      <c r="W16" s="95">
        <v>2012</v>
      </c>
      <c r="X16" s="95">
        <f t="shared" si="4"/>
        <v>2011</v>
      </c>
      <c r="Y16" s="95">
        <f t="shared" si="3"/>
        <v>1</v>
      </c>
      <c r="Z16" s="94">
        <f t="shared" si="5"/>
        <v>352000</v>
      </c>
    </row>
    <row r="17" spans="1:26" ht="15" customHeight="1" x14ac:dyDescent="0.25">
      <c r="A17" s="115" t="s">
        <v>291</v>
      </c>
      <c r="B17" s="137" t="s">
        <v>159</v>
      </c>
      <c r="C17" s="130" t="s">
        <v>160</v>
      </c>
      <c r="D17" s="117"/>
      <c r="E17" s="117">
        <v>85</v>
      </c>
      <c r="F17" s="172">
        <v>2003</v>
      </c>
      <c r="G17" s="117">
        <v>2000</v>
      </c>
      <c r="H17" s="117">
        <v>6.9</v>
      </c>
      <c r="I17" s="138">
        <v>6.9</v>
      </c>
      <c r="J17">
        <f t="shared" si="0"/>
        <v>586.5</v>
      </c>
      <c r="K17" s="358"/>
      <c r="L17" s="77">
        <v>7.1</v>
      </c>
      <c r="M17">
        <f t="shared" si="1"/>
        <v>603.5</v>
      </c>
      <c r="N17" s="358"/>
      <c r="O17" s="360"/>
      <c r="P17" s="361"/>
      <c r="Q17" s="172">
        <v>18000</v>
      </c>
      <c r="R17" s="92">
        <f>Q17</f>
        <v>18000</v>
      </c>
      <c r="S17" s="142"/>
      <c r="T17" s="142"/>
      <c r="U17" s="363"/>
      <c r="V17" s="94">
        <f>R17</f>
        <v>18000</v>
      </c>
      <c r="W17" s="95">
        <v>2011</v>
      </c>
      <c r="X17" s="95">
        <f t="shared" si="4"/>
        <v>2011</v>
      </c>
      <c r="Y17" s="95">
        <f t="shared" si="3"/>
        <v>0</v>
      </c>
      <c r="Z17" s="94">
        <f t="shared" si="5"/>
        <v>18000</v>
      </c>
    </row>
    <row r="18" spans="1:26" ht="15" customHeight="1" x14ac:dyDescent="0.25">
      <c r="A18" s="115" t="s">
        <v>291</v>
      </c>
      <c r="B18" s="137" t="s">
        <v>161</v>
      </c>
      <c r="C18" s="130"/>
      <c r="D18" s="117"/>
      <c r="E18" s="117">
        <v>400</v>
      </c>
      <c r="F18" s="172">
        <v>1996</v>
      </c>
      <c r="G18" s="117"/>
      <c r="H18" s="117"/>
      <c r="K18" s="358"/>
      <c r="L18" s="77"/>
      <c r="N18" s="358"/>
      <c r="O18" s="360"/>
      <c r="P18" s="361"/>
      <c r="Q18" s="172">
        <v>15000</v>
      </c>
      <c r="R18" s="92">
        <f>V18</f>
        <v>15000</v>
      </c>
      <c r="S18" s="142"/>
      <c r="T18" s="142"/>
      <c r="U18" s="363"/>
      <c r="V18" s="94">
        <f>Q18</f>
        <v>15000</v>
      </c>
      <c r="W18" s="95">
        <v>2011</v>
      </c>
      <c r="X18" s="95">
        <f t="shared" si="4"/>
        <v>2011</v>
      </c>
      <c r="Y18" s="95">
        <f t="shared" si="3"/>
        <v>0</v>
      </c>
      <c r="Z18" s="94">
        <f t="shared" si="5"/>
        <v>15000</v>
      </c>
    </row>
    <row r="19" spans="1:26" ht="15" customHeight="1" x14ac:dyDescent="0.25">
      <c r="A19" s="115" t="s">
        <v>291</v>
      </c>
      <c r="B19" s="137" t="s">
        <v>162</v>
      </c>
      <c r="C19" s="130" t="s">
        <v>163</v>
      </c>
      <c r="D19" s="117"/>
      <c r="E19" s="117">
        <v>120</v>
      </c>
      <c r="F19" s="175">
        <v>1990</v>
      </c>
      <c r="G19" s="117">
        <v>2500</v>
      </c>
      <c r="H19" s="117">
        <v>9.3000000000000007</v>
      </c>
      <c r="I19" s="138">
        <v>9.3000000000000007</v>
      </c>
      <c r="J19">
        <f t="shared" si="0"/>
        <v>1116</v>
      </c>
      <c r="K19" s="358"/>
      <c r="L19" s="77">
        <v>6.4</v>
      </c>
      <c r="M19">
        <f t="shared" si="1"/>
        <v>768</v>
      </c>
      <c r="N19" s="358"/>
      <c r="O19" s="360"/>
      <c r="P19" s="361"/>
      <c r="Q19" s="175">
        <f>SUM(E19*596)+12000</f>
        <v>83520</v>
      </c>
      <c r="R19" s="145">
        <f>Q19</f>
        <v>83520</v>
      </c>
      <c r="S19" s="143"/>
      <c r="T19" s="143"/>
      <c r="U19" s="364"/>
      <c r="V19" s="146">
        <f>R19</f>
        <v>83520</v>
      </c>
      <c r="W19" s="147">
        <v>2011</v>
      </c>
      <c r="X19" s="147">
        <f t="shared" si="4"/>
        <v>2011</v>
      </c>
      <c r="Y19" s="147">
        <f t="shared" si="3"/>
        <v>0</v>
      </c>
      <c r="Z19" s="146">
        <f t="shared" si="5"/>
        <v>83520</v>
      </c>
    </row>
    <row r="20" spans="1:26" x14ac:dyDescent="0.25">
      <c r="A20" s="148"/>
      <c r="B20" s="149"/>
      <c r="C20" s="149"/>
      <c r="D20" s="149"/>
      <c r="E20" s="149"/>
      <c r="F20" s="150"/>
      <c r="G20" s="149"/>
      <c r="H20" s="149"/>
      <c r="W20" s="151"/>
    </row>
    <row r="21" spans="1:26" x14ac:dyDescent="0.25">
      <c r="A21" s="148"/>
      <c r="B21" s="149"/>
      <c r="C21" s="149"/>
      <c r="D21" s="149"/>
      <c r="E21" s="149"/>
      <c r="F21" s="150"/>
      <c r="G21" s="149"/>
      <c r="H21" s="149"/>
      <c r="T21" s="353" t="s">
        <v>187</v>
      </c>
      <c r="U21" s="354"/>
      <c r="V21" s="176">
        <f>SUM(U2:U19)</f>
        <v>2676830</v>
      </c>
      <c r="W21" s="151"/>
      <c r="X21" s="353" t="s">
        <v>188</v>
      </c>
      <c r="Y21" s="354"/>
      <c r="Z21" s="176">
        <f>SUM(Z2:Z20)</f>
        <v>2581174.1609977325</v>
      </c>
    </row>
    <row r="22" spans="1:26" ht="30" x14ac:dyDescent="0.25">
      <c r="A22" s="153" t="s">
        <v>165</v>
      </c>
      <c r="B22" s="154" t="s">
        <v>166</v>
      </c>
      <c r="C22" s="149"/>
      <c r="D22" s="149"/>
      <c r="E22" s="149"/>
      <c r="F22" s="150"/>
      <c r="G22" s="149"/>
      <c r="H22" s="149"/>
      <c r="K22" s="3" t="s">
        <v>167</v>
      </c>
      <c r="U22"/>
    </row>
    <row r="23" spans="1:26" x14ac:dyDescent="0.25">
      <c r="A23" s="115" t="s">
        <v>289</v>
      </c>
      <c r="B23" s="116" t="s">
        <v>168</v>
      </c>
      <c r="C23" s="116" t="s">
        <v>169</v>
      </c>
      <c r="D23" s="117"/>
      <c r="E23" s="117">
        <v>90</v>
      </c>
      <c r="F23" s="155">
        <v>1994</v>
      </c>
      <c r="G23" s="117">
        <v>480</v>
      </c>
      <c r="H23" s="117">
        <v>9.9</v>
      </c>
      <c r="I23" s="138">
        <v>9.9</v>
      </c>
      <c r="J23">
        <f>SUM(E23*I23*K23)</f>
        <v>623.69999999999993</v>
      </c>
      <c r="K23" s="117">
        <v>0.7</v>
      </c>
      <c r="L23">
        <v>7.1</v>
      </c>
      <c r="M23">
        <f>SUM(E23*L23)</f>
        <v>639</v>
      </c>
      <c r="U23"/>
    </row>
    <row r="24" spans="1:26" x14ac:dyDescent="0.25">
      <c r="A24" s="355" t="s">
        <v>170</v>
      </c>
      <c r="B24" s="355"/>
      <c r="C24" s="355"/>
      <c r="D24" s="355"/>
      <c r="E24" s="355"/>
      <c r="F24" s="355"/>
      <c r="G24" s="156"/>
      <c r="H24" s="156"/>
      <c r="I24" s="156"/>
      <c r="U24"/>
    </row>
    <row r="25" spans="1:26" x14ac:dyDescent="0.25">
      <c r="A25" s="157" t="s">
        <v>289</v>
      </c>
      <c r="B25" s="117" t="s">
        <v>171</v>
      </c>
      <c r="C25" s="117"/>
      <c r="D25" s="117"/>
      <c r="E25" s="117">
        <v>362</v>
      </c>
      <c r="F25" s="155">
        <v>1984</v>
      </c>
      <c r="G25" s="117">
        <v>220</v>
      </c>
      <c r="H25" s="117">
        <v>11.9</v>
      </c>
      <c r="I25" s="138">
        <v>11.9</v>
      </c>
      <c r="J25">
        <f>SUM(E25*I25)</f>
        <v>4307.8</v>
      </c>
      <c r="L25">
        <v>5.9</v>
      </c>
      <c r="M25">
        <f>SUM(E25*L25)</f>
        <v>2135.8000000000002</v>
      </c>
      <c r="T25" s="353" t="s">
        <v>189</v>
      </c>
      <c r="U25" s="354"/>
      <c r="V25" s="354"/>
      <c r="W25" s="354"/>
      <c r="X25" s="354"/>
      <c r="Y25" s="354"/>
      <c r="Z25" s="177">
        <f>Z21-'[1]Humboldt Off-Road'!CR21</f>
        <v>981953.1879520088</v>
      </c>
    </row>
    <row r="26" spans="1:26" x14ac:dyDescent="0.25">
      <c r="U26"/>
      <c r="V26" s="51"/>
    </row>
    <row r="28" spans="1:26" ht="30" customHeight="1" x14ac:dyDescent="0.25">
      <c r="A28" s="356" t="s">
        <v>172</v>
      </c>
      <c r="B28" s="356"/>
      <c r="C28" s="356"/>
      <c r="D28" s="356"/>
      <c r="E28" s="356"/>
      <c r="F28" s="356"/>
      <c r="G28" s="158"/>
      <c r="H28" s="158"/>
      <c r="I28" s="158"/>
      <c r="J28" s="158"/>
      <c r="K28" s="158"/>
      <c r="L28" s="158"/>
      <c r="M28" s="158"/>
      <c r="N28" s="158"/>
    </row>
    <row r="29" spans="1:26" ht="15" customHeight="1" x14ac:dyDescent="0.25">
      <c r="A29" s="115" t="s">
        <v>156</v>
      </c>
      <c r="B29" s="137" t="s">
        <v>161</v>
      </c>
      <c r="C29" s="130" t="s">
        <v>152</v>
      </c>
      <c r="D29" s="116" t="s">
        <v>173</v>
      </c>
      <c r="E29" s="117">
        <v>400</v>
      </c>
      <c r="F29" s="155">
        <v>1996</v>
      </c>
      <c r="G29" s="117">
        <v>2000</v>
      </c>
      <c r="H29" s="117">
        <v>6.9</v>
      </c>
      <c r="I29" s="138">
        <v>6.9</v>
      </c>
      <c r="J29">
        <f>SUM(E29*I29)</f>
        <v>2760</v>
      </c>
      <c r="K29" s="159"/>
      <c r="L29" s="77"/>
      <c r="N29" s="159"/>
      <c r="O29" s="74"/>
      <c r="P29" s="74"/>
      <c r="Q29" s="74"/>
    </row>
    <row r="31" spans="1:26" ht="15" hidden="1" customHeight="1" x14ac:dyDescent="0.25">
      <c r="A31" t="s">
        <v>174</v>
      </c>
      <c r="E31" t="s">
        <v>175</v>
      </c>
    </row>
    <row r="32" spans="1:26" ht="15" hidden="1" customHeight="1" x14ac:dyDescent="0.25">
      <c r="A32" t="s">
        <v>176</v>
      </c>
      <c r="E32">
        <f>SUM(E2:E6,E23,E25)*0.1</f>
        <v>161.20000000000002</v>
      </c>
    </row>
    <row r="33" spans="1:6" ht="15" hidden="1" customHeight="1" x14ac:dyDescent="0.25">
      <c r="A33" t="s">
        <v>177</v>
      </c>
      <c r="E33">
        <f>SUM(E7:E11)*0.1</f>
        <v>124.5</v>
      </c>
    </row>
    <row r="34" spans="1:6" ht="15" hidden="1" customHeight="1" x14ac:dyDescent="0.25">
      <c r="A34" t="s">
        <v>178</v>
      </c>
      <c r="E34">
        <f>SUM(E12:E19)*0.1</f>
        <v>179.5</v>
      </c>
    </row>
    <row r="35" spans="1:6" x14ac:dyDescent="0.25">
      <c r="A35" t="s">
        <v>179</v>
      </c>
    </row>
    <row r="36" spans="1:6" ht="45" customHeight="1" x14ac:dyDescent="0.25">
      <c r="A36" s="351" t="s">
        <v>292</v>
      </c>
      <c r="B36" s="351"/>
      <c r="C36" s="351"/>
      <c r="D36" s="351"/>
      <c r="E36" s="351"/>
      <c r="F36" s="351"/>
    </row>
    <row r="37" spans="1:6" ht="60" customHeight="1" x14ac:dyDescent="0.25">
      <c r="A37" s="351" t="s">
        <v>180</v>
      </c>
      <c r="B37" s="351"/>
      <c r="C37" s="351"/>
      <c r="D37" s="351"/>
      <c r="E37" s="351"/>
      <c r="F37" s="351"/>
    </row>
    <row r="38" spans="1:6" ht="60" customHeight="1" x14ac:dyDescent="0.25">
      <c r="A38" s="351" t="s">
        <v>181</v>
      </c>
      <c r="B38" s="351"/>
      <c r="C38" s="351"/>
      <c r="D38" s="351"/>
      <c r="E38" s="351"/>
      <c r="F38" s="351"/>
    </row>
    <row r="39" spans="1:6" ht="45" customHeight="1" x14ac:dyDescent="0.25">
      <c r="A39" s="351" t="s">
        <v>293</v>
      </c>
      <c r="B39" s="351"/>
      <c r="C39" s="351"/>
      <c r="D39" s="351"/>
      <c r="E39" s="351"/>
      <c r="F39" s="352"/>
    </row>
  </sheetData>
  <mergeCells count="24">
    <mergeCell ref="K7:K11"/>
    <mergeCell ref="N7:N11"/>
    <mergeCell ref="O7:O11"/>
    <mergeCell ref="P7:P11"/>
    <mergeCell ref="U7:U11"/>
    <mergeCell ref="K2:K6"/>
    <mergeCell ref="N2:N6"/>
    <mergeCell ref="O2:O6"/>
    <mergeCell ref="P2:P6"/>
    <mergeCell ref="U2:U6"/>
    <mergeCell ref="K12:K19"/>
    <mergeCell ref="N12:N19"/>
    <mergeCell ref="O12:O19"/>
    <mergeCell ref="P12:P19"/>
    <mergeCell ref="U12:U19"/>
    <mergeCell ref="A38:F38"/>
    <mergeCell ref="A39:F39"/>
    <mergeCell ref="X21:Y21"/>
    <mergeCell ref="A24:F24"/>
    <mergeCell ref="T25:Y25"/>
    <mergeCell ref="A28:F28"/>
    <mergeCell ref="A36:F36"/>
    <mergeCell ref="A37:F37"/>
    <mergeCell ref="T21:U21"/>
  </mergeCells>
  <pageMargins left="0.7" right="0.7" top="0.75" bottom="0.75" header="0.3" footer="0.3"/>
  <pageSetup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S39"/>
  <sheetViews>
    <sheetView zoomScale="63" zoomScaleNormal="63" workbookViewId="0">
      <pane xSplit="8" topLeftCell="I1" activePane="topRight" state="frozen"/>
      <selection activeCell="S40" sqref="S40"/>
      <selection pane="topRight" activeCell="S40" sqref="S40"/>
    </sheetView>
  </sheetViews>
  <sheetFormatPr defaultRowHeight="15" x14ac:dyDescent="0.25"/>
  <cols>
    <col min="1" max="1" width="32.7109375" customWidth="1"/>
    <col min="2" max="2" width="18.85546875" customWidth="1"/>
    <col min="3" max="3" width="9.7109375" customWidth="1"/>
    <col min="4" max="4" width="6.7109375" customWidth="1"/>
    <col min="5" max="5" width="4.85546875" bestFit="1" customWidth="1"/>
    <col min="6" max="6" width="6.7109375" style="160" bestFit="1" customWidth="1"/>
    <col min="7" max="7" width="6.7109375" hidden="1" customWidth="1"/>
    <col min="8" max="8" width="7.28515625" hidden="1" customWidth="1"/>
    <col min="9" max="9" width="9.140625" style="138" hidden="1" customWidth="1"/>
    <col min="10" max="10" width="9.140625" hidden="1" customWidth="1"/>
    <col min="11" max="11" width="7.5703125" hidden="1" customWidth="1"/>
    <col min="12" max="13" width="9.140625" hidden="1" customWidth="1"/>
    <col min="14" max="14" width="5.7109375" hidden="1" customWidth="1"/>
    <col min="15" max="16" width="6" hidden="1" customWidth="1"/>
    <col min="17" max="17" width="9.140625" customWidth="1"/>
    <col min="18" max="25" width="9.140625" hidden="1" customWidth="1"/>
    <col min="26" max="27" width="9.140625" customWidth="1"/>
    <col min="28" max="35" width="9.140625" hidden="1" customWidth="1"/>
    <col min="37" max="39" width="0" hidden="1" customWidth="1"/>
    <col min="40" max="40" width="0" style="78" hidden="1" customWidth="1"/>
    <col min="41" max="42" width="0" hidden="1" customWidth="1"/>
    <col min="43" max="44" width="9.140625" hidden="1" customWidth="1"/>
    <col min="46" max="51" width="0" hidden="1" customWidth="1"/>
    <col min="52" max="53" width="9.140625" hidden="1" customWidth="1"/>
    <col min="55" max="59" width="0" hidden="1" customWidth="1"/>
    <col min="60" max="60" width="11" hidden="1" customWidth="1"/>
    <col min="61" max="62" width="9.140625" hidden="1" customWidth="1"/>
    <col min="64" max="71" width="0" hidden="1" customWidth="1"/>
    <col min="73" max="80" width="0" hidden="1" customWidth="1"/>
    <col min="81" max="81" width="9.140625" style="51"/>
    <col min="82" max="89" width="0" hidden="1" customWidth="1"/>
    <col min="91" max="91" width="11.5703125" customWidth="1"/>
    <col min="92" max="92" width="12.28515625" customWidth="1"/>
    <col min="94" max="94" width="11.42578125" customWidth="1"/>
    <col min="95" max="95" width="11.28515625" customWidth="1"/>
    <col min="96" max="96" width="13" bestFit="1" customWidth="1"/>
  </cols>
  <sheetData>
    <row r="1" spans="1:97" s="65" customFormat="1" ht="45" x14ac:dyDescent="0.25">
      <c r="A1" s="53" t="s">
        <v>62</v>
      </c>
      <c r="B1" s="54" t="s">
        <v>63</v>
      </c>
      <c r="C1" s="54" t="s">
        <v>64</v>
      </c>
      <c r="D1" s="54" t="s">
        <v>65</v>
      </c>
      <c r="E1" s="54" t="s">
        <v>66</v>
      </c>
      <c r="F1" s="54" t="s">
        <v>67</v>
      </c>
      <c r="G1" s="55" t="s">
        <v>68</v>
      </c>
      <c r="H1" s="56" t="s">
        <v>69</v>
      </c>
      <c r="I1" s="57" t="s">
        <v>70</v>
      </c>
      <c r="J1" s="58" t="s">
        <v>71</v>
      </c>
      <c r="K1" s="58" t="s">
        <v>72</v>
      </c>
      <c r="L1" s="58" t="s">
        <v>73</v>
      </c>
      <c r="M1" s="58" t="s">
        <v>74</v>
      </c>
      <c r="N1" s="58" t="s">
        <v>75</v>
      </c>
      <c r="O1" s="58" t="s">
        <v>76</v>
      </c>
      <c r="P1" s="58" t="s">
        <v>77</v>
      </c>
      <c r="Q1" s="59" t="s">
        <v>78</v>
      </c>
      <c r="R1" s="58" t="s">
        <v>79</v>
      </c>
      <c r="S1" s="58" t="s">
        <v>71</v>
      </c>
      <c r="T1" s="58" t="s">
        <v>80</v>
      </c>
      <c r="U1" s="58" t="s">
        <v>81</v>
      </c>
      <c r="V1" s="58" t="s">
        <v>82</v>
      </c>
      <c r="W1" s="58" t="s">
        <v>83</v>
      </c>
      <c r="X1" s="58" t="s">
        <v>84</v>
      </c>
      <c r="Y1" s="58" t="s">
        <v>85</v>
      </c>
      <c r="Z1" s="59" t="s">
        <v>86</v>
      </c>
      <c r="AA1" s="59" t="s">
        <v>87</v>
      </c>
      <c r="AB1" s="58" t="s">
        <v>88</v>
      </c>
      <c r="AC1" s="58" t="s">
        <v>71</v>
      </c>
      <c r="AD1" s="58" t="s">
        <v>89</v>
      </c>
      <c r="AE1" s="58" t="s">
        <v>90</v>
      </c>
      <c r="AF1" s="58" t="s">
        <v>91</v>
      </c>
      <c r="AG1" s="58" t="s">
        <v>92</v>
      </c>
      <c r="AH1" s="58" t="s">
        <v>93</v>
      </c>
      <c r="AI1" s="58" t="s">
        <v>94</v>
      </c>
      <c r="AJ1" s="59" t="s">
        <v>95</v>
      </c>
      <c r="AK1" s="58" t="s">
        <v>96</v>
      </c>
      <c r="AL1" s="58" t="s">
        <v>71</v>
      </c>
      <c r="AM1" s="58" t="s">
        <v>97</v>
      </c>
      <c r="AN1" s="60" t="s">
        <v>98</v>
      </c>
      <c r="AO1" s="58" t="s">
        <v>99</v>
      </c>
      <c r="AP1" s="58" t="s">
        <v>100</v>
      </c>
      <c r="AQ1" s="58" t="s">
        <v>101</v>
      </c>
      <c r="AR1" s="58" t="s">
        <v>102</v>
      </c>
      <c r="AS1" s="59" t="s">
        <v>103</v>
      </c>
      <c r="AT1" s="58" t="s">
        <v>104</v>
      </c>
      <c r="AU1" s="58" t="s">
        <v>71</v>
      </c>
      <c r="AV1" s="58" t="s">
        <v>105</v>
      </c>
      <c r="AW1" s="58" t="s">
        <v>106</v>
      </c>
      <c r="AX1" s="58" t="s">
        <v>107</v>
      </c>
      <c r="AY1" s="58" t="s">
        <v>108</v>
      </c>
      <c r="AZ1" s="58" t="s">
        <v>109</v>
      </c>
      <c r="BA1" s="58" t="s">
        <v>110</v>
      </c>
      <c r="BB1" s="59" t="s">
        <v>111</v>
      </c>
      <c r="BC1" s="58" t="s">
        <v>112</v>
      </c>
      <c r="BD1" s="58" t="s">
        <v>71</v>
      </c>
      <c r="BE1" s="58" t="s">
        <v>113</v>
      </c>
      <c r="BF1" s="58" t="s">
        <v>114</v>
      </c>
      <c r="BG1" s="58" t="s">
        <v>115</v>
      </c>
      <c r="BH1" s="58" t="s">
        <v>116</v>
      </c>
      <c r="BI1" s="58" t="s">
        <v>117</v>
      </c>
      <c r="BJ1" s="58" t="s">
        <v>118</v>
      </c>
      <c r="BK1" s="59" t="s">
        <v>119</v>
      </c>
      <c r="BL1" s="58" t="s">
        <v>120</v>
      </c>
      <c r="BM1" s="58" t="s">
        <v>71</v>
      </c>
      <c r="BN1" s="58" t="s">
        <v>121</v>
      </c>
      <c r="BO1" s="58" t="s">
        <v>122</v>
      </c>
      <c r="BP1" s="58" t="s">
        <v>123</v>
      </c>
      <c r="BQ1" s="58" t="s">
        <v>124</v>
      </c>
      <c r="BR1" s="58" t="s">
        <v>125</v>
      </c>
      <c r="BS1" s="58" t="s">
        <v>126</v>
      </c>
      <c r="BT1" s="59" t="s">
        <v>127</v>
      </c>
      <c r="BU1" s="58" t="s">
        <v>128</v>
      </c>
      <c r="BV1" s="58" t="s">
        <v>71</v>
      </c>
      <c r="BW1" s="58" t="s">
        <v>129</v>
      </c>
      <c r="BX1" s="58" t="s">
        <v>130</v>
      </c>
      <c r="BY1" s="58" t="s">
        <v>131</v>
      </c>
      <c r="BZ1" s="58" t="s">
        <v>132</v>
      </c>
      <c r="CA1" s="58" t="s">
        <v>133</v>
      </c>
      <c r="CB1" s="58" t="s">
        <v>134</v>
      </c>
      <c r="CC1" s="59" t="s">
        <v>135</v>
      </c>
      <c r="CD1" s="61" t="s">
        <v>136</v>
      </c>
      <c r="CE1" s="58" t="s">
        <v>71</v>
      </c>
      <c r="CF1" s="58" t="s">
        <v>137</v>
      </c>
      <c r="CG1" s="58" t="s">
        <v>138</v>
      </c>
      <c r="CH1" s="58" t="s">
        <v>139</v>
      </c>
      <c r="CI1" s="58" t="s">
        <v>140</v>
      </c>
      <c r="CJ1" s="58" t="s">
        <v>141</v>
      </c>
      <c r="CK1" s="58" t="s">
        <v>142</v>
      </c>
      <c r="CL1" s="62" t="s">
        <v>143</v>
      </c>
      <c r="CM1" s="63" t="s">
        <v>144</v>
      </c>
      <c r="CN1" s="63" t="s">
        <v>145</v>
      </c>
      <c r="CO1" s="64" t="s">
        <v>146</v>
      </c>
      <c r="CP1" s="64" t="s">
        <v>147</v>
      </c>
      <c r="CQ1" s="64" t="s">
        <v>148</v>
      </c>
      <c r="CR1" s="59" t="s">
        <v>149</v>
      </c>
      <c r="CS1" s="64" t="s">
        <v>150</v>
      </c>
    </row>
    <row r="2" spans="1:97" ht="15" customHeight="1" x14ac:dyDescent="0.25">
      <c r="A2" s="66" t="s">
        <v>289</v>
      </c>
      <c r="B2" s="67" t="s">
        <v>151</v>
      </c>
      <c r="C2" s="67" t="s">
        <v>152</v>
      </c>
      <c r="D2" s="67">
        <v>3306</v>
      </c>
      <c r="E2" s="68">
        <v>200</v>
      </c>
      <c r="F2" s="69">
        <v>1981</v>
      </c>
      <c r="G2" s="70">
        <v>570</v>
      </c>
      <c r="H2" s="71">
        <v>12.5</v>
      </c>
      <c r="I2" s="72">
        <v>12.5</v>
      </c>
      <c r="J2">
        <f t="shared" ref="J2:J19" si="0">SUM(E2*I2)</f>
        <v>2500</v>
      </c>
      <c r="K2" s="365">
        <f>SUM(J2:J6,J23,J25)/SUM(E2:E6,E23,E25)</f>
        <v>12.030707196029777</v>
      </c>
      <c r="L2">
        <v>6.2</v>
      </c>
      <c r="M2">
        <f t="shared" ref="M2:M19" si="1">SUM(E2*L2)</f>
        <v>1240</v>
      </c>
      <c r="N2" s="365">
        <f>SUM(M2:M6,M23,M25)/SUM(E2:E6,E23,E25)</f>
        <v>6.1341811414392051</v>
      </c>
      <c r="O2" s="367">
        <f>SUM(E2:E6,E23,E25)*0.1-SUM(E23*2)</f>
        <v>-18.799999999999983</v>
      </c>
      <c r="P2" s="369">
        <f>SUM(E23*2)</f>
        <v>180</v>
      </c>
      <c r="Q2" s="73">
        <v>0</v>
      </c>
      <c r="R2" s="74">
        <v>12.5</v>
      </c>
      <c r="S2" s="74">
        <f>SUM(E2*R2)</f>
        <v>2500</v>
      </c>
      <c r="T2" s="370">
        <f>SUM(S2:S6,S23,S25)/SUM(E2:E6,E23,E25)</f>
        <v>7.5688585607940446</v>
      </c>
      <c r="U2" s="74">
        <v>5.8</v>
      </c>
      <c r="V2" s="74">
        <f t="shared" ref="V2:V19" si="2">SUM(E2*U2)</f>
        <v>1160</v>
      </c>
      <c r="W2" s="370">
        <f>SUM(V2:V6,V23,V25)/SUM(E2:E6,E23,E25)</f>
        <v>4.125</v>
      </c>
      <c r="X2" s="367">
        <f>SUM(E2:E6,E23,E25)*0.1+O2</f>
        <v>142.40000000000003</v>
      </c>
      <c r="Y2" s="382">
        <f>SUM(E32-X2)</f>
        <v>18.799999999999983</v>
      </c>
      <c r="Z2" s="75">
        <v>0</v>
      </c>
      <c r="AA2" s="76">
        <f>SUM(E2*797)+18000</f>
        <v>177400</v>
      </c>
      <c r="AB2">
        <v>0.3</v>
      </c>
      <c r="AC2">
        <f t="shared" ref="AC2:AC17" si="3">SUM(E2*AB2)</f>
        <v>60</v>
      </c>
      <c r="AD2" s="370">
        <f>SUM(AC2:AC6,AC23,AC25)/SUM(E2:E6,E23,E25)</f>
        <v>3.3566997518610422</v>
      </c>
      <c r="AE2">
        <v>4.7</v>
      </c>
      <c r="AF2">
        <f t="shared" ref="AF2:AF17" si="4">SUM(E2*AE2)</f>
        <v>940</v>
      </c>
      <c r="AG2" s="370">
        <f>SUM(AF2:AF6,AF23,AF25)/SUM(E2:E6,E23,E25)</f>
        <v>3.3566997518610422</v>
      </c>
      <c r="AH2" s="367" t="e">
        <f>SUM(E2:E6,E23,E25)*0.1-SUM(E2-#REF!)</f>
        <v>#REF!</v>
      </c>
      <c r="AI2" s="382" t="e">
        <f>SUM(E32-AH2)</f>
        <v>#REF!</v>
      </c>
      <c r="AJ2" s="75">
        <v>0</v>
      </c>
      <c r="AK2">
        <v>0.3</v>
      </c>
      <c r="AL2" s="77">
        <f t="shared" ref="AL2:AL17" si="5">SUM(E2*AK2)</f>
        <v>60</v>
      </c>
      <c r="AM2" s="370">
        <f>SUM(AL2:AL6,AL23,AL25)/SUM(E2:E6,E23,E25)</f>
        <v>3.3566997518610422</v>
      </c>
      <c r="AN2" s="78">
        <v>4.0999999999999996</v>
      </c>
      <c r="AO2" s="79">
        <f t="shared" ref="AO2:AO17" si="6">SUM(E2*AN2)</f>
        <v>819.99999999999989</v>
      </c>
      <c r="AP2" s="370">
        <f>SUM(AO2:AO6,AO23,AO25)/SUM(E2:E6,E23,E25)</f>
        <v>2.9482009925558312</v>
      </c>
      <c r="AQ2" s="370" t="e">
        <f>SUM(E2:E6,E23,E25)*0.1-SUM(E3-AH2)</f>
        <v>#REF!</v>
      </c>
      <c r="AR2" s="369" t="e">
        <f>SUM(E32-AQ2)</f>
        <v>#REF!</v>
      </c>
      <c r="AS2" s="75">
        <v>0</v>
      </c>
      <c r="AT2">
        <v>0.3</v>
      </c>
      <c r="AU2" s="77">
        <f t="shared" ref="AU2:AU17" si="7">SUM(E2*AT2)</f>
        <v>60</v>
      </c>
      <c r="AV2" s="370">
        <f>SUM(AU2:AU6,AU23,AU25)/SUM(E2:E6,E23,E25)</f>
        <v>3.3566997518610422</v>
      </c>
      <c r="AW2">
        <v>3.5</v>
      </c>
      <c r="AX2" s="77">
        <f t="shared" ref="AX2:AX17" si="8">SUM(E2*AW2)</f>
        <v>700</v>
      </c>
      <c r="AY2" s="370">
        <f>SUM(AX2:AX6,AX23,AX25)/SUM(E2:E6,E23,E25)</f>
        <v>2.5164392059553351</v>
      </c>
      <c r="AZ2" s="370" t="e">
        <f>SUM(E2:E6,E23,E25)*0.1+AQ2</f>
        <v>#REF!</v>
      </c>
      <c r="BA2" s="369" t="e">
        <f>SUM(E32-AZ2)</f>
        <v>#REF!</v>
      </c>
      <c r="BB2" s="75">
        <v>0</v>
      </c>
      <c r="BC2">
        <v>0.3</v>
      </c>
      <c r="BD2" s="77">
        <f t="shared" ref="BD2:BD17" si="9">SUM(E2*BC2)</f>
        <v>60</v>
      </c>
      <c r="BE2" s="370">
        <f>SUM(BD2:BD6,BD23,BD25)/SUM(E2:E6,E23,E25)</f>
        <v>1.8430521091811414</v>
      </c>
      <c r="BF2">
        <v>2.9</v>
      </c>
      <c r="BG2" s="77">
        <f t="shared" ref="BG2:BG17" si="10">SUM(E2*BF2)</f>
        <v>580</v>
      </c>
      <c r="BH2" s="370">
        <f>SUM(BG2:BG6,BG23,BG25)/SUM(E2:E6,E23,E25)</f>
        <v>2.0846774193548385</v>
      </c>
      <c r="BI2" s="367" t="e">
        <f>SUM(E2:E6,E23,E25)*0.1+AZ2</f>
        <v>#REF!</v>
      </c>
      <c r="BJ2" s="382">
        <v>0</v>
      </c>
      <c r="BK2" s="75">
        <v>0</v>
      </c>
      <c r="BL2">
        <v>0.3</v>
      </c>
      <c r="BM2" s="77">
        <f t="shared" ref="BM2:BM17" si="11">SUM(E2*BL2)</f>
        <v>60</v>
      </c>
      <c r="BN2" s="369">
        <f>SUM(BM2:BM6,BM23,BM25)/SUM(E2:E6,E23,E25)</f>
        <v>0.21588089330024815</v>
      </c>
      <c r="BO2">
        <v>2.2999999999999998</v>
      </c>
      <c r="BP2" s="77">
        <f t="shared" ref="BP2:BP17" si="12">SUM(E2*BO2)</f>
        <v>459.99999999999994</v>
      </c>
      <c r="BQ2" s="369">
        <f>SUM(BP2:BP6,BP23,BP25)/SUM(E2:E6,E23,E25)</f>
        <v>1.6529156327543424</v>
      </c>
      <c r="BR2" s="367" t="e">
        <f>SUM(E2:E6,E23,E25)*0.1-SUM(E5-BI2)</f>
        <v>#REF!</v>
      </c>
      <c r="BS2" s="382">
        <v>0</v>
      </c>
      <c r="BT2" s="75">
        <v>0</v>
      </c>
      <c r="BU2">
        <v>0.3</v>
      </c>
      <c r="BV2" s="77">
        <f t="shared" ref="BV2:BV17" si="13">SUM(E2*BU2)</f>
        <v>60</v>
      </c>
      <c r="BW2" s="369">
        <f>SUM(BV2:BV6,BV23,BV25)/SUM(E2:E6,E23,E25)</f>
        <v>0.21588089330024815</v>
      </c>
      <c r="BX2">
        <v>1.7</v>
      </c>
      <c r="BY2" s="77">
        <f t="shared" ref="BY2:BY17" si="14">SUM(E2*BX2)</f>
        <v>340</v>
      </c>
      <c r="BZ2" s="369">
        <f>SUM(BY2:BY6,BY23,BY25)/SUM(E2:E6,E23,E25)</f>
        <v>1.2444168734491314</v>
      </c>
      <c r="CA2" s="370">
        <f>SUM(E2:E6,E23,E25)*0.1-SUM(E6-E32)</f>
        <v>107.40000000000003</v>
      </c>
      <c r="CB2" s="369">
        <f>SUM(E32-CA2)</f>
        <v>53.799999999999983</v>
      </c>
      <c r="CC2" s="75">
        <v>0</v>
      </c>
      <c r="CD2">
        <v>0.3</v>
      </c>
      <c r="CE2">
        <f t="shared" ref="CE2:CE17" si="15">SUM(E2*CD2)</f>
        <v>60</v>
      </c>
      <c r="CF2" s="369">
        <f>SUM(CE2:CE6,CE23,CE25)/SUM(E2:E6,E23,E25)</f>
        <v>0.21588089330024815</v>
      </c>
      <c r="CG2" s="80">
        <v>1.5</v>
      </c>
      <c r="CH2">
        <f t="shared" ref="CH2:CH17" si="16">SUM(E2*CG2)</f>
        <v>300</v>
      </c>
      <c r="CI2" s="369">
        <f>SUM(CH2:CH6,CH23,CH25)/SUM(E2:E6,E23,E25)</f>
        <v>1.0583126550868487</v>
      </c>
      <c r="CJ2" s="370">
        <f>SUM(E2:E6,E23,E25)*0.1+CA2</f>
        <v>268.60000000000002</v>
      </c>
      <c r="CK2" s="369">
        <v>0</v>
      </c>
      <c r="CL2" s="75">
        <v>0</v>
      </c>
      <c r="CM2" s="381">
        <f>SUM(CN2:CN6)</f>
        <v>861030</v>
      </c>
      <c r="CN2" s="81">
        <f>AA2</f>
        <v>177400</v>
      </c>
      <c r="CO2" s="75">
        <v>2021</v>
      </c>
      <c r="CP2" s="82">
        <v>2011</v>
      </c>
      <c r="CQ2" s="83">
        <f>CO2-CP2</f>
        <v>10</v>
      </c>
      <c r="CR2" s="81">
        <f>-PV(CS$2,CQ2,,CN2)</f>
        <v>108908.2111781307</v>
      </c>
      <c r="CS2" s="84">
        <v>0.05</v>
      </c>
    </row>
    <row r="3" spans="1:97" ht="15" customHeight="1" x14ac:dyDescent="0.25">
      <c r="A3" s="66" t="s">
        <v>289</v>
      </c>
      <c r="B3" s="85" t="s">
        <v>151</v>
      </c>
      <c r="C3" s="85" t="s">
        <v>152</v>
      </c>
      <c r="D3" s="85">
        <v>3408</v>
      </c>
      <c r="E3" s="86">
        <v>375</v>
      </c>
      <c r="F3" s="87">
        <v>1981</v>
      </c>
      <c r="G3" s="88">
        <v>440</v>
      </c>
      <c r="H3" s="89">
        <v>11.9</v>
      </c>
      <c r="I3" s="72">
        <v>11.9</v>
      </c>
      <c r="J3">
        <f t="shared" si="0"/>
        <v>4462.5</v>
      </c>
      <c r="K3" s="365"/>
      <c r="L3">
        <v>5.9</v>
      </c>
      <c r="M3">
        <f t="shared" si="1"/>
        <v>2212.5</v>
      </c>
      <c r="N3" s="365"/>
      <c r="O3" s="367"/>
      <c r="P3" s="370"/>
      <c r="Q3" s="90">
        <v>0</v>
      </c>
      <c r="R3" s="74">
        <v>11.9</v>
      </c>
      <c r="S3" s="74">
        <f t="shared" ref="S3:S19" si="17">SUM(E3*R3)</f>
        <v>4462.5</v>
      </c>
      <c r="T3" s="370"/>
      <c r="U3" s="74">
        <v>5.5</v>
      </c>
      <c r="V3" s="74">
        <f t="shared" si="2"/>
        <v>2062.5</v>
      </c>
      <c r="W3" s="370"/>
      <c r="X3" s="367"/>
      <c r="Y3" s="367"/>
      <c r="Z3" s="91">
        <v>0</v>
      </c>
      <c r="AA3" s="91">
        <v>0</v>
      </c>
      <c r="AB3">
        <v>0.3</v>
      </c>
      <c r="AC3">
        <f t="shared" si="3"/>
        <v>112.5</v>
      </c>
      <c r="AD3" s="370"/>
      <c r="AE3">
        <v>4.5</v>
      </c>
      <c r="AF3">
        <f t="shared" si="4"/>
        <v>1687.5</v>
      </c>
      <c r="AG3" s="370"/>
      <c r="AH3" s="367"/>
      <c r="AI3" s="367"/>
      <c r="AJ3" s="92">
        <f>SUM(E3*797)+18000</f>
        <v>316875</v>
      </c>
      <c r="AK3">
        <v>0.3</v>
      </c>
      <c r="AL3" s="77">
        <f t="shared" si="5"/>
        <v>112.5</v>
      </c>
      <c r="AM3" s="370"/>
      <c r="AN3" s="78">
        <v>4</v>
      </c>
      <c r="AO3" s="79">
        <f t="shared" si="6"/>
        <v>1500</v>
      </c>
      <c r="AP3" s="370"/>
      <c r="AQ3" s="370"/>
      <c r="AR3" s="370"/>
      <c r="AS3" s="91">
        <v>0</v>
      </c>
      <c r="AT3">
        <v>0.3</v>
      </c>
      <c r="AU3" s="77">
        <f t="shared" si="7"/>
        <v>112.5</v>
      </c>
      <c r="AV3" s="370"/>
      <c r="AW3">
        <v>3.4</v>
      </c>
      <c r="AX3" s="77">
        <f t="shared" si="8"/>
        <v>1275</v>
      </c>
      <c r="AY3" s="370"/>
      <c r="AZ3" s="370"/>
      <c r="BA3" s="370"/>
      <c r="BB3" s="91">
        <v>0</v>
      </c>
      <c r="BC3">
        <v>0.3</v>
      </c>
      <c r="BD3" s="77">
        <f t="shared" si="9"/>
        <v>112.5</v>
      </c>
      <c r="BE3" s="370"/>
      <c r="BF3">
        <v>2.8</v>
      </c>
      <c r="BG3" s="77">
        <f t="shared" si="10"/>
        <v>1050</v>
      </c>
      <c r="BH3" s="370"/>
      <c r="BI3" s="367"/>
      <c r="BJ3" s="367"/>
      <c r="BK3" s="91">
        <v>0</v>
      </c>
      <c r="BL3">
        <v>0.3</v>
      </c>
      <c r="BM3" s="77">
        <f t="shared" si="11"/>
        <v>112.5</v>
      </c>
      <c r="BN3" s="370"/>
      <c r="BO3">
        <v>2.2000000000000002</v>
      </c>
      <c r="BP3" s="77">
        <f t="shared" si="12"/>
        <v>825.00000000000011</v>
      </c>
      <c r="BQ3" s="370"/>
      <c r="BR3" s="367"/>
      <c r="BS3" s="367"/>
      <c r="BT3" s="91">
        <v>0</v>
      </c>
      <c r="BU3">
        <v>0.3</v>
      </c>
      <c r="BV3" s="77">
        <f t="shared" si="13"/>
        <v>112.5</v>
      </c>
      <c r="BW3" s="370"/>
      <c r="BX3">
        <v>1.7</v>
      </c>
      <c r="BY3" s="77">
        <f t="shared" si="14"/>
        <v>637.5</v>
      </c>
      <c r="BZ3" s="370"/>
      <c r="CA3" s="370"/>
      <c r="CB3" s="370"/>
      <c r="CC3" s="91">
        <v>0</v>
      </c>
      <c r="CD3">
        <v>0.3</v>
      </c>
      <c r="CE3">
        <f t="shared" si="15"/>
        <v>112.5</v>
      </c>
      <c r="CF3" s="370"/>
      <c r="CG3" s="93">
        <v>1.5</v>
      </c>
      <c r="CH3">
        <f t="shared" si="16"/>
        <v>562.5</v>
      </c>
      <c r="CI3" s="370"/>
      <c r="CJ3" s="370"/>
      <c r="CK3" s="370"/>
      <c r="CL3" s="91">
        <v>0</v>
      </c>
      <c r="CM3" s="375"/>
      <c r="CN3" s="94">
        <f>AJ3</f>
        <v>316875</v>
      </c>
      <c r="CO3" s="91">
        <v>2022</v>
      </c>
      <c r="CP3" s="91">
        <f>CP$2</f>
        <v>2011</v>
      </c>
      <c r="CQ3" s="95">
        <f t="shared" ref="CQ3:CQ19" si="18">CO3-CP3</f>
        <v>11</v>
      </c>
      <c r="CR3" s="94">
        <f>-PV(CS$2,CQ3,,CN3)</f>
        <v>185270.24972926485</v>
      </c>
    </row>
    <row r="4" spans="1:97" ht="15" customHeight="1" x14ac:dyDescent="0.25">
      <c r="A4" s="66" t="s">
        <v>289</v>
      </c>
      <c r="B4" s="85" t="s">
        <v>151</v>
      </c>
      <c r="C4" s="85" t="s">
        <v>152</v>
      </c>
      <c r="D4" s="85">
        <v>3306</v>
      </c>
      <c r="E4" s="86">
        <v>170</v>
      </c>
      <c r="F4" s="87">
        <v>1974</v>
      </c>
      <c r="G4" s="88">
        <v>601</v>
      </c>
      <c r="H4" s="89">
        <v>13.6</v>
      </c>
      <c r="I4" s="72">
        <v>13.6</v>
      </c>
      <c r="J4">
        <f t="shared" si="0"/>
        <v>2312</v>
      </c>
      <c r="K4" s="365"/>
      <c r="L4">
        <v>6.4</v>
      </c>
      <c r="M4">
        <f t="shared" si="1"/>
        <v>1088</v>
      </c>
      <c r="N4" s="365"/>
      <c r="O4" s="367"/>
      <c r="P4" s="370"/>
      <c r="Q4" s="90">
        <v>0</v>
      </c>
      <c r="R4" s="74">
        <v>0.3</v>
      </c>
      <c r="S4" s="74">
        <f t="shared" si="17"/>
        <v>51</v>
      </c>
      <c r="T4" s="370"/>
      <c r="U4" s="74">
        <v>6</v>
      </c>
      <c r="V4" s="74">
        <f t="shared" si="2"/>
        <v>1020</v>
      </c>
      <c r="W4" s="370"/>
      <c r="X4" s="367"/>
      <c r="Y4" s="367"/>
      <c r="Z4" s="96" t="s">
        <v>153</v>
      </c>
      <c r="AA4" s="91">
        <v>0</v>
      </c>
      <c r="AB4">
        <v>0.3</v>
      </c>
      <c r="AC4">
        <f t="shared" si="3"/>
        <v>51</v>
      </c>
      <c r="AD4" s="370"/>
      <c r="AE4">
        <v>4.9000000000000004</v>
      </c>
      <c r="AF4">
        <f t="shared" si="4"/>
        <v>833.00000000000011</v>
      </c>
      <c r="AG4" s="370"/>
      <c r="AH4" s="367"/>
      <c r="AI4" s="367"/>
      <c r="AJ4" s="91">
        <v>0</v>
      </c>
      <c r="AK4">
        <v>0.3</v>
      </c>
      <c r="AL4" s="77">
        <f t="shared" si="5"/>
        <v>51</v>
      </c>
      <c r="AM4" s="370"/>
      <c r="AN4" s="78">
        <v>4.3</v>
      </c>
      <c r="AO4" s="79">
        <f t="shared" si="6"/>
        <v>731</v>
      </c>
      <c r="AP4" s="370"/>
      <c r="AQ4" s="370"/>
      <c r="AR4" s="370"/>
      <c r="AS4" s="91">
        <v>0</v>
      </c>
      <c r="AT4">
        <v>0.3</v>
      </c>
      <c r="AU4" s="77">
        <f t="shared" si="7"/>
        <v>51</v>
      </c>
      <c r="AV4" s="370"/>
      <c r="AW4">
        <v>3.7</v>
      </c>
      <c r="AX4" s="77">
        <f t="shared" si="8"/>
        <v>629</v>
      </c>
      <c r="AY4" s="370"/>
      <c r="AZ4" s="370"/>
      <c r="BA4" s="370"/>
      <c r="BB4" s="91">
        <v>0</v>
      </c>
      <c r="BC4">
        <v>0.3</v>
      </c>
      <c r="BD4" s="77">
        <f t="shared" si="9"/>
        <v>51</v>
      </c>
      <c r="BE4" s="370"/>
      <c r="BF4">
        <v>3.1</v>
      </c>
      <c r="BG4" s="77">
        <f t="shared" si="10"/>
        <v>527</v>
      </c>
      <c r="BH4" s="370"/>
      <c r="BI4" s="367"/>
      <c r="BJ4" s="367"/>
      <c r="BK4" s="91">
        <v>0</v>
      </c>
      <c r="BL4">
        <v>0.3</v>
      </c>
      <c r="BM4" s="77">
        <f t="shared" si="11"/>
        <v>51</v>
      </c>
      <c r="BN4" s="370"/>
      <c r="BO4">
        <v>2.5</v>
      </c>
      <c r="BP4" s="77">
        <f t="shared" si="12"/>
        <v>425</v>
      </c>
      <c r="BQ4" s="370"/>
      <c r="BR4" s="367"/>
      <c r="BS4" s="367"/>
      <c r="BT4" s="91">
        <v>0</v>
      </c>
      <c r="BU4">
        <v>0.3</v>
      </c>
      <c r="BV4" s="77">
        <f t="shared" si="13"/>
        <v>51</v>
      </c>
      <c r="BW4" s="370"/>
      <c r="BX4">
        <v>1.9</v>
      </c>
      <c r="BY4" s="77">
        <f t="shared" si="14"/>
        <v>323</v>
      </c>
      <c r="BZ4" s="370"/>
      <c r="CA4" s="370"/>
      <c r="CB4" s="370"/>
      <c r="CC4" s="91">
        <v>0</v>
      </c>
      <c r="CD4">
        <v>0.3</v>
      </c>
      <c r="CE4">
        <f t="shared" si="15"/>
        <v>51</v>
      </c>
      <c r="CF4" s="370"/>
      <c r="CG4" s="93">
        <v>1.3</v>
      </c>
      <c r="CH4">
        <f t="shared" si="16"/>
        <v>221</v>
      </c>
      <c r="CI4" s="370"/>
      <c r="CJ4" s="370"/>
      <c r="CK4" s="370"/>
      <c r="CL4" s="91">
        <v>0</v>
      </c>
      <c r="CM4" s="375"/>
      <c r="CN4" s="97">
        <v>0</v>
      </c>
      <c r="CO4" s="98" t="s">
        <v>153</v>
      </c>
      <c r="CP4" s="98" t="s">
        <v>154</v>
      </c>
      <c r="CQ4" s="98" t="s">
        <v>154</v>
      </c>
      <c r="CR4" s="94">
        <v>0</v>
      </c>
    </row>
    <row r="5" spans="1:97" ht="15" customHeight="1" x14ac:dyDescent="0.25">
      <c r="A5" s="66" t="s">
        <v>289</v>
      </c>
      <c r="B5" s="85" t="s">
        <v>151</v>
      </c>
      <c r="C5" s="85" t="s">
        <v>152</v>
      </c>
      <c r="D5" s="85">
        <v>3306</v>
      </c>
      <c r="E5" s="86">
        <v>200</v>
      </c>
      <c r="F5" s="87">
        <v>1982</v>
      </c>
      <c r="G5" s="88">
        <v>1148</v>
      </c>
      <c r="H5" s="89">
        <v>12.5</v>
      </c>
      <c r="I5" s="72">
        <v>12.5</v>
      </c>
      <c r="J5">
        <f t="shared" si="0"/>
        <v>2500</v>
      </c>
      <c r="K5" s="365"/>
      <c r="L5">
        <v>6.2</v>
      </c>
      <c r="M5">
        <f t="shared" si="1"/>
        <v>1240</v>
      </c>
      <c r="N5" s="365"/>
      <c r="O5" s="367"/>
      <c r="P5" s="370"/>
      <c r="Q5" s="90">
        <v>0</v>
      </c>
      <c r="R5" s="74">
        <v>12.5</v>
      </c>
      <c r="S5" s="74">
        <f t="shared" si="17"/>
        <v>2500</v>
      </c>
      <c r="T5" s="370"/>
      <c r="U5" s="74">
        <v>5.8</v>
      </c>
      <c r="V5" s="74">
        <f t="shared" si="2"/>
        <v>1160</v>
      </c>
      <c r="W5" s="370"/>
      <c r="X5" s="367"/>
      <c r="Y5" s="367"/>
      <c r="Z5" s="91">
        <v>0</v>
      </c>
      <c r="AA5" s="91">
        <v>0</v>
      </c>
      <c r="AB5">
        <v>12.5</v>
      </c>
      <c r="AC5">
        <f t="shared" si="3"/>
        <v>2500</v>
      </c>
      <c r="AD5" s="370"/>
      <c r="AE5">
        <v>4.7</v>
      </c>
      <c r="AF5">
        <f t="shared" si="4"/>
        <v>940</v>
      </c>
      <c r="AG5" s="370"/>
      <c r="AH5" s="367"/>
      <c r="AI5" s="367"/>
      <c r="AJ5" s="91">
        <v>0</v>
      </c>
      <c r="AK5">
        <v>12.5</v>
      </c>
      <c r="AL5" s="77">
        <f t="shared" si="5"/>
        <v>2500</v>
      </c>
      <c r="AM5" s="370"/>
      <c r="AN5" s="78">
        <v>4.0999999999999996</v>
      </c>
      <c r="AO5" s="79">
        <f t="shared" si="6"/>
        <v>819.99999999999989</v>
      </c>
      <c r="AP5" s="370"/>
      <c r="AQ5" s="370"/>
      <c r="AR5" s="370"/>
      <c r="AS5" s="91">
        <v>0</v>
      </c>
      <c r="AT5">
        <v>12.5</v>
      </c>
      <c r="AU5" s="77">
        <f t="shared" si="7"/>
        <v>2500</v>
      </c>
      <c r="AV5" s="370"/>
      <c r="AW5">
        <v>3.5</v>
      </c>
      <c r="AX5" s="77">
        <f t="shared" si="8"/>
        <v>700</v>
      </c>
      <c r="AY5" s="370"/>
      <c r="AZ5" s="370"/>
      <c r="BA5" s="370"/>
      <c r="BB5" s="91">
        <v>0</v>
      </c>
      <c r="BC5">
        <v>0.3</v>
      </c>
      <c r="BD5" s="77">
        <f t="shared" si="9"/>
        <v>60</v>
      </c>
      <c r="BE5" s="370"/>
      <c r="BF5">
        <v>2.9</v>
      </c>
      <c r="BG5" s="77">
        <f t="shared" si="10"/>
        <v>580</v>
      </c>
      <c r="BH5" s="370"/>
      <c r="BI5" s="367"/>
      <c r="BJ5" s="367"/>
      <c r="BK5" s="92">
        <f>SUM(E5*797)+18000</f>
        <v>177400</v>
      </c>
      <c r="BL5">
        <v>0.3</v>
      </c>
      <c r="BM5" s="77">
        <f t="shared" si="11"/>
        <v>60</v>
      </c>
      <c r="BN5" s="370"/>
      <c r="BO5">
        <v>2.2999999999999998</v>
      </c>
      <c r="BP5" s="77">
        <f t="shared" si="12"/>
        <v>459.99999999999994</v>
      </c>
      <c r="BQ5" s="370"/>
      <c r="BR5" s="367"/>
      <c r="BS5" s="367"/>
      <c r="BT5" s="91">
        <v>0</v>
      </c>
      <c r="BU5">
        <v>0.3</v>
      </c>
      <c r="BV5" s="77">
        <f t="shared" si="13"/>
        <v>60</v>
      </c>
      <c r="BW5" s="370"/>
      <c r="BX5">
        <v>1.7</v>
      </c>
      <c r="BY5" s="77">
        <f t="shared" si="14"/>
        <v>340</v>
      </c>
      <c r="BZ5" s="370"/>
      <c r="CA5" s="370"/>
      <c r="CB5" s="370"/>
      <c r="CC5" s="91">
        <v>0</v>
      </c>
      <c r="CD5">
        <v>0.3</v>
      </c>
      <c r="CE5">
        <f t="shared" si="15"/>
        <v>60</v>
      </c>
      <c r="CF5" s="370"/>
      <c r="CG5" s="93">
        <v>1.5</v>
      </c>
      <c r="CH5">
        <f t="shared" si="16"/>
        <v>300</v>
      </c>
      <c r="CI5" s="370"/>
      <c r="CJ5" s="370"/>
      <c r="CK5" s="370"/>
      <c r="CL5" s="91">
        <v>0</v>
      </c>
      <c r="CM5" s="375"/>
      <c r="CN5" s="94">
        <f>BK5</f>
        <v>177400</v>
      </c>
      <c r="CO5" s="91">
        <v>2025</v>
      </c>
      <c r="CP5" s="91">
        <f>CP$2</f>
        <v>2011</v>
      </c>
      <c r="CQ5" s="95">
        <f t="shared" si="18"/>
        <v>14</v>
      </c>
      <c r="CR5" s="94">
        <f t="shared" ref="CR5:CR19" si="19">-PV(CS$2,CQ5,,CN5)</f>
        <v>89599.054861405049</v>
      </c>
    </row>
    <row r="6" spans="1:97" s="105" customFormat="1" ht="15" customHeight="1" thickBot="1" x14ac:dyDescent="0.3">
      <c r="A6" s="66" t="s">
        <v>289</v>
      </c>
      <c r="B6" s="99" t="s">
        <v>151</v>
      </c>
      <c r="C6" s="99" t="s">
        <v>152</v>
      </c>
      <c r="D6" s="99">
        <v>3306</v>
      </c>
      <c r="E6" s="100">
        <v>215</v>
      </c>
      <c r="F6" s="101">
        <v>1987</v>
      </c>
      <c r="G6" s="102">
        <v>1610</v>
      </c>
      <c r="H6" s="103">
        <v>12.5</v>
      </c>
      <c r="I6" s="104">
        <v>12.5</v>
      </c>
      <c r="J6">
        <f t="shared" si="0"/>
        <v>2687.5</v>
      </c>
      <c r="K6" s="366"/>
      <c r="L6" s="105">
        <v>6.2</v>
      </c>
      <c r="M6">
        <f t="shared" si="1"/>
        <v>1333</v>
      </c>
      <c r="N6" s="366"/>
      <c r="O6" s="368"/>
      <c r="P6" s="371"/>
      <c r="Q6" s="106">
        <v>0</v>
      </c>
      <c r="R6" s="107">
        <v>12.5</v>
      </c>
      <c r="S6" s="74">
        <f t="shared" si="17"/>
        <v>2687.5</v>
      </c>
      <c r="T6" s="371"/>
      <c r="U6" s="107">
        <v>5.8</v>
      </c>
      <c r="V6" s="74">
        <f t="shared" si="2"/>
        <v>1247</v>
      </c>
      <c r="W6" s="371"/>
      <c r="X6" s="368"/>
      <c r="Y6" s="368"/>
      <c r="Z6" s="108">
        <v>0</v>
      </c>
      <c r="AA6" s="108">
        <v>0</v>
      </c>
      <c r="AB6" s="105">
        <v>12.5</v>
      </c>
      <c r="AC6">
        <f t="shared" si="3"/>
        <v>2687.5</v>
      </c>
      <c r="AD6" s="371"/>
      <c r="AE6" s="105">
        <v>4.7</v>
      </c>
      <c r="AF6">
        <f t="shared" si="4"/>
        <v>1010.5</v>
      </c>
      <c r="AG6" s="371"/>
      <c r="AH6" s="368"/>
      <c r="AI6" s="368"/>
      <c r="AJ6" s="108">
        <v>0</v>
      </c>
      <c r="AK6" s="105">
        <v>12.5</v>
      </c>
      <c r="AL6" s="77">
        <f t="shared" si="5"/>
        <v>2687.5</v>
      </c>
      <c r="AM6" s="371"/>
      <c r="AN6" s="109">
        <v>4.0999999999999996</v>
      </c>
      <c r="AO6" s="110">
        <f t="shared" si="6"/>
        <v>881.49999999999989</v>
      </c>
      <c r="AP6" s="371"/>
      <c r="AQ6" s="371"/>
      <c r="AR6" s="371"/>
      <c r="AS6" s="108">
        <v>0</v>
      </c>
      <c r="AT6" s="105">
        <v>12.5</v>
      </c>
      <c r="AU6" s="77">
        <f t="shared" si="7"/>
        <v>2687.5</v>
      </c>
      <c r="AV6" s="371"/>
      <c r="AW6" s="105">
        <v>3.5</v>
      </c>
      <c r="AX6" s="77">
        <f t="shared" si="8"/>
        <v>752.5</v>
      </c>
      <c r="AY6" s="371"/>
      <c r="AZ6" s="371"/>
      <c r="BA6" s="371"/>
      <c r="BB6" s="108">
        <v>0</v>
      </c>
      <c r="BC6" s="105">
        <v>12.5</v>
      </c>
      <c r="BD6" s="77">
        <f t="shared" si="9"/>
        <v>2687.5</v>
      </c>
      <c r="BE6" s="371"/>
      <c r="BF6" s="105">
        <v>2.9</v>
      </c>
      <c r="BG6" s="77">
        <f t="shared" si="10"/>
        <v>623.5</v>
      </c>
      <c r="BH6" s="371"/>
      <c r="BI6" s="368"/>
      <c r="BJ6" s="368"/>
      <c r="BK6" s="108">
        <v>0</v>
      </c>
      <c r="BL6" s="105">
        <v>0.3</v>
      </c>
      <c r="BM6" s="77">
        <f t="shared" si="11"/>
        <v>64.5</v>
      </c>
      <c r="BN6" s="371"/>
      <c r="BO6" s="105">
        <v>2.2999999999999998</v>
      </c>
      <c r="BP6" s="77">
        <f t="shared" si="12"/>
        <v>494.49999999999994</v>
      </c>
      <c r="BQ6" s="371"/>
      <c r="BR6" s="368"/>
      <c r="BS6" s="368"/>
      <c r="BT6" s="111">
        <f>SUM(E6*797)+18000</f>
        <v>189355</v>
      </c>
      <c r="BU6" s="105">
        <v>0.3</v>
      </c>
      <c r="BV6" s="77">
        <f t="shared" si="13"/>
        <v>64.5</v>
      </c>
      <c r="BW6" s="371"/>
      <c r="BX6" s="105">
        <v>1.7</v>
      </c>
      <c r="BY6" s="77">
        <f t="shared" si="14"/>
        <v>365.5</v>
      </c>
      <c r="BZ6" s="371"/>
      <c r="CA6" s="371"/>
      <c r="CB6" s="371"/>
      <c r="CC6" s="108">
        <v>0</v>
      </c>
      <c r="CD6" s="105">
        <v>0.3</v>
      </c>
      <c r="CE6">
        <f t="shared" si="15"/>
        <v>64.5</v>
      </c>
      <c r="CF6" s="371"/>
      <c r="CG6" s="112">
        <v>1.5</v>
      </c>
      <c r="CH6">
        <f t="shared" si="16"/>
        <v>322.5</v>
      </c>
      <c r="CI6" s="371"/>
      <c r="CJ6" s="371"/>
      <c r="CK6" s="371"/>
      <c r="CL6" s="108">
        <v>0</v>
      </c>
      <c r="CM6" s="380"/>
      <c r="CN6" s="113">
        <f>BT6</f>
        <v>189355</v>
      </c>
      <c r="CO6" s="108">
        <v>2026</v>
      </c>
      <c r="CP6" s="108">
        <f>CP$2</f>
        <v>2011</v>
      </c>
      <c r="CQ6" s="114">
        <f t="shared" si="18"/>
        <v>15</v>
      </c>
      <c r="CR6" s="113">
        <f t="shared" si="19"/>
        <v>91082.992609015666</v>
      </c>
    </row>
    <row r="7" spans="1:97" ht="15" customHeight="1" thickTop="1" x14ac:dyDescent="0.25">
      <c r="A7" s="115" t="s">
        <v>290</v>
      </c>
      <c r="B7" s="67" t="s">
        <v>151</v>
      </c>
      <c r="C7" s="116" t="s">
        <v>152</v>
      </c>
      <c r="D7" s="117">
        <v>3306</v>
      </c>
      <c r="E7" s="117">
        <v>235</v>
      </c>
      <c r="F7" s="118">
        <v>1995</v>
      </c>
      <c r="G7" s="117">
        <v>440</v>
      </c>
      <c r="H7" s="117">
        <v>9.3000000000000007</v>
      </c>
      <c r="I7" s="72">
        <v>9.3000000000000007</v>
      </c>
      <c r="J7" s="119">
        <f t="shared" si="0"/>
        <v>2185.5</v>
      </c>
      <c r="K7" s="357">
        <f>SUM(J7:J11)/SUM(E7:E11)</f>
        <v>8.2044176706827301</v>
      </c>
      <c r="L7" s="77">
        <v>6.2</v>
      </c>
      <c r="M7" s="119">
        <f t="shared" si="1"/>
        <v>1457</v>
      </c>
      <c r="N7" s="357">
        <f>SUM(M7:M11)/SUM(E7:E11)</f>
        <v>6.1285140562248994</v>
      </c>
      <c r="O7" s="359">
        <f>SUM(E7:E11)*0.1</f>
        <v>124.5</v>
      </c>
      <c r="P7" s="373">
        <v>0</v>
      </c>
      <c r="Q7" s="120">
        <v>0</v>
      </c>
      <c r="R7" s="121">
        <v>9.3000000000000007</v>
      </c>
      <c r="S7" s="121">
        <f t="shared" si="17"/>
        <v>2185.5</v>
      </c>
      <c r="T7" s="373">
        <f>SUM(S7:S11)/SUM(E7:E11)</f>
        <v>8.2044176706827301</v>
      </c>
      <c r="U7" s="121">
        <v>5.8</v>
      </c>
      <c r="V7" s="121">
        <f t="shared" si="2"/>
        <v>1363</v>
      </c>
      <c r="W7" s="373">
        <f>SUM(V7:V11)/SUM(E7:E11)</f>
        <v>5.7285140562249</v>
      </c>
      <c r="X7" s="359">
        <f>SUM(E7:E11)*0.1-SUM(E11-O7)</f>
        <v>79</v>
      </c>
      <c r="Y7" s="359">
        <f>SUM(E33-X7)</f>
        <v>45.5</v>
      </c>
      <c r="Z7" s="122">
        <v>0</v>
      </c>
      <c r="AA7" s="92">
        <f>SUM(E7*797)+18000</f>
        <v>205295</v>
      </c>
      <c r="AB7">
        <v>0.3</v>
      </c>
      <c r="AC7" s="119">
        <f t="shared" si="3"/>
        <v>70.5</v>
      </c>
      <c r="AD7" s="373">
        <f>SUM(AC7:AC11)/SUM(E7:E11)</f>
        <v>2.685542168674699</v>
      </c>
      <c r="AE7">
        <v>4.7</v>
      </c>
      <c r="AF7" s="119">
        <f t="shared" si="4"/>
        <v>1104.5</v>
      </c>
      <c r="AG7" s="373">
        <f>SUM(AF7:AF11)/SUM(E7:E11)</f>
        <v>4.66144578313253</v>
      </c>
      <c r="AH7" s="359" t="e">
        <f>SUM(E7:E11)*0.1-SUM(E7-#REF!)</f>
        <v>#REF!</v>
      </c>
      <c r="AI7" s="359" t="e">
        <f>SUM(E33-AH7)</f>
        <v>#REF!</v>
      </c>
      <c r="AJ7" s="122">
        <v>0</v>
      </c>
      <c r="AK7" s="77">
        <v>0.3</v>
      </c>
      <c r="AL7" s="123">
        <f t="shared" si="5"/>
        <v>70.5</v>
      </c>
      <c r="AM7" s="377">
        <f>SUM(AL7:AL11)/SUM(E7:E11)</f>
        <v>2.685542168674699</v>
      </c>
      <c r="AN7" s="124">
        <v>4.0999999999999996</v>
      </c>
      <c r="AO7" s="125">
        <f t="shared" si="6"/>
        <v>963.49999999999989</v>
      </c>
      <c r="AP7" s="377">
        <f>SUM(AO7:AO11)/SUM(E7:E11)</f>
        <v>4.0943775100401609</v>
      </c>
      <c r="AQ7" s="373" t="s">
        <v>154</v>
      </c>
      <c r="AR7" s="359" t="e">
        <f>SUM(E33-SUM((E33)-SUM(E8-AH7)))</f>
        <v>#REF!</v>
      </c>
      <c r="AS7" s="122">
        <v>0</v>
      </c>
      <c r="AT7" s="77">
        <v>0.3</v>
      </c>
      <c r="AU7" s="123">
        <f t="shared" si="7"/>
        <v>70.5</v>
      </c>
      <c r="AV7" s="377">
        <f>SUM(AU7:AU11)/SUM(E7:E11)</f>
        <v>2.685542168674699</v>
      </c>
      <c r="AW7" s="77">
        <v>3.5</v>
      </c>
      <c r="AX7" s="123">
        <f t="shared" si="8"/>
        <v>822.5</v>
      </c>
      <c r="AY7" s="377">
        <f>SUM(AX7:AX11)/SUM(E7:E11)</f>
        <v>3.4943775100401608</v>
      </c>
      <c r="AZ7" s="359" t="s">
        <v>154</v>
      </c>
      <c r="BA7" s="359" t="e">
        <f>SUM(E33-SUM((E33)-SUM(E8-AH7)))</f>
        <v>#REF!</v>
      </c>
      <c r="BB7" s="122">
        <v>0</v>
      </c>
      <c r="BC7" s="77">
        <v>0.3</v>
      </c>
      <c r="BD7" s="123">
        <f t="shared" si="9"/>
        <v>70.5</v>
      </c>
      <c r="BE7" s="377">
        <f>SUM(BD7:BD11)/SUM(E7:E11)</f>
        <v>2.685542168674699</v>
      </c>
      <c r="BF7" s="77">
        <v>2.9</v>
      </c>
      <c r="BG7" s="123">
        <f t="shared" si="10"/>
        <v>681.5</v>
      </c>
      <c r="BH7" s="377">
        <f>SUM(BG7:BG11)/SUM(E7:E11)</f>
        <v>2.8943775100401608</v>
      </c>
      <c r="BI7" s="359" t="e">
        <f>SUM(E33-BA7)</f>
        <v>#REF!</v>
      </c>
      <c r="BJ7" s="359" t="e">
        <f>SUM(E33-BI7)</f>
        <v>#REF!</v>
      </c>
      <c r="BK7" s="122">
        <v>0</v>
      </c>
      <c r="BL7" s="77">
        <v>0.3</v>
      </c>
      <c r="BM7" s="123">
        <f t="shared" si="11"/>
        <v>70.5</v>
      </c>
      <c r="BN7" s="377">
        <f>SUM(BM7:BM11)/SUM(E7:E11)</f>
        <v>2.685542168674699</v>
      </c>
      <c r="BO7" s="77">
        <v>2.2999999999999998</v>
      </c>
      <c r="BP7" s="123">
        <f t="shared" si="12"/>
        <v>540.5</v>
      </c>
      <c r="BQ7" s="377">
        <f>SUM(BP7:BP11)/SUM(E7:E11)</f>
        <v>2.2943775100401607</v>
      </c>
      <c r="BR7" s="359" t="e">
        <f>SUM(E7:E11)*0.1+BI7</f>
        <v>#REF!</v>
      </c>
      <c r="BS7" s="359" t="e">
        <f>SUM(E33-BR7)</f>
        <v>#REF!</v>
      </c>
      <c r="BT7" s="122">
        <v>0</v>
      </c>
      <c r="BU7" s="77">
        <v>0.3</v>
      </c>
      <c r="BV7" s="123">
        <f t="shared" si="13"/>
        <v>70.5</v>
      </c>
      <c r="BW7" s="377">
        <f>SUM(BV7:BV11)/SUM(E7:E11)</f>
        <v>2.685542168674699</v>
      </c>
      <c r="BX7" s="77">
        <v>1.7</v>
      </c>
      <c r="BY7" s="123">
        <f t="shared" si="14"/>
        <v>399.5</v>
      </c>
      <c r="BZ7" s="377">
        <f>SUM(BY7:BY11)/SUM(E7:E11)</f>
        <v>1.7273092369477911</v>
      </c>
      <c r="CA7" s="373" t="e">
        <f>SUM(E7:E11)*0.1+BR7</f>
        <v>#REF!</v>
      </c>
      <c r="CB7" s="373" t="e">
        <f>SUM(E33-CA7)</f>
        <v>#REF!</v>
      </c>
      <c r="CC7" s="122">
        <v>0</v>
      </c>
      <c r="CD7" s="77">
        <v>0.3</v>
      </c>
      <c r="CE7" s="119">
        <f t="shared" si="15"/>
        <v>70.5</v>
      </c>
      <c r="CF7" s="377">
        <f>SUM(CE7:CE11)/SUM(E7:E11)</f>
        <v>0.87831325301204821</v>
      </c>
      <c r="CG7" s="79">
        <v>1.5</v>
      </c>
      <c r="CH7" s="119">
        <f t="shared" si="16"/>
        <v>352.5</v>
      </c>
      <c r="CI7" s="377">
        <f>SUM(CH7:CH11)/SUM(E7:E11)</f>
        <v>1.4726907630522088</v>
      </c>
      <c r="CJ7" s="373" t="e">
        <f>SUM(E7:E11)*0.1+CA7</f>
        <v>#REF!</v>
      </c>
      <c r="CK7" s="373">
        <v>0</v>
      </c>
      <c r="CL7" s="122">
        <v>0</v>
      </c>
      <c r="CM7" s="374">
        <f>SUM(CN7:CN11)</f>
        <v>926805</v>
      </c>
      <c r="CN7" s="94">
        <f>AA7</f>
        <v>205295</v>
      </c>
      <c r="CO7" s="91">
        <v>2021</v>
      </c>
      <c r="CP7" s="91">
        <f>CP$2</f>
        <v>2011</v>
      </c>
      <c r="CQ7" s="95">
        <f t="shared" si="18"/>
        <v>10</v>
      </c>
      <c r="CR7" s="94">
        <f t="shared" si="19"/>
        <v>126033.32138565018</v>
      </c>
    </row>
    <row r="8" spans="1:97" ht="15" customHeight="1" x14ac:dyDescent="0.25">
      <c r="A8" s="115" t="s">
        <v>290</v>
      </c>
      <c r="B8" s="85" t="s">
        <v>151</v>
      </c>
      <c r="C8" s="116" t="s">
        <v>152</v>
      </c>
      <c r="D8" s="117">
        <v>3408</v>
      </c>
      <c r="E8" s="117">
        <v>410</v>
      </c>
      <c r="F8" s="126">
        <v>1987</v>
      </c>
      <c r="G8" s="117">
        <v>440</v>
      </c>
      <c r="H8" s="117">
        <v>11.9</v>
      </c>
      <c r="I8" s="72">
        <v>11.9</v>
      </c>
      <c r="J8" s="51">
        <f t="shared" si="0"/>
        <v>4879</v>
      </c>
      <c r="K8" s="365"/>
      <c r="L8" s="77">
        <v>5.9</v>
      </c>
      <c r="M8" s="51">
        <f t="shared" si="1"/>
        <v>2419</v>
      </c>
      <c r="N8" s="365"/>
      <c r="O8" s="360"/>
      <c r="P8" s="361"/>
      <c r="Q8" s="90">
        <v>0</v>
      </c>
      <c r="R8" s="74">
        <v>11.9</v>
      </c>
      <c r="S8" s="127">
        <f t="shared" si="17"/>
        <v>4879</v>
      </c>
      <c r="T8" s="361"/>
      <c r="U8" s="74">
        <v>5.5</v>
      </c>
      <c r="V8" s="74">
        <f t="shared" si="2"/>
        <v>2255</v>
      </c>
      <c r="W8" s="361"/>
      <c r="X8" s="367"/>
      <c r="Y8" s="360"/>
      <c r="Z8" s="122">
        <v>0</v>
      </c>
      <c r="AA8" s="91">
        <v>0</v>
      </c>
      <c r="AB8">
        <v>0.3</v>
      </c>
      <c r="AC8">
        <f t="shared" si="3"/>
        <v>123</v>
      </c>
      <c r="AD8" s="370"/>
      <c r="AE8">
        <v>4.5</v>
      </c>
      <c r="AF8">
        <f t="shared" si="4"/>
        <v>1845</v>
      </c>
      <c r="AG8" s="370"/>
      <c r="AH8" s="367"/>
      <c r="AI8" s="360"/>
      <c r="AJ8" s="92">
        <f>SUM(E8*797)+30000</f>
        <v>356770</v>
      </c>
      <c r="AK8">
        <v>0.3</v>
      </c>
      <c r="AL8" s="77">
        <f t="shared" si="5"/>
        <v>123</v>
      </c>
      <c r="AM8" s="378"/>
      <c r="AN8" s="128">
        <v>4</v>
      </c>
      <c r="AO8" s="79">
        <f t="shared" si="6"/>
        <v>1640</v>
      </c>
      <c r="AP8" s="378"/>
      <c r="AQ8" s="370"/>
      <c r="AR8" s="361"/>
      <c r="AS8" s="122">
        <v>0</v>
      </c>
      <c r="AT8" s="77">
        <v>0.3</v>
      </c>
      <c r="AU8" s="77">
        <f t="shared" si="7"/>
        <v>123</v>
      </c>
      <c r="AV8" s="378"/>
      <c r="AW8" s="77">
        <v>3.4</v>
      </c>
      <c r="AX8" s="77">
        <f t="shared" si="8"/>
        <v>1394</v>
      </c>
      <c r="AY8" s="378"/>
      <c r="AZ8" s="370"/>
      <c r="BA8" s="360"/>
      <c r="BB8" s="122">
        <v>0</v>
      </c>
      <c r="BC8" s="77">
        <v>0.3</v>
      </c>
      <c r="BD8" s="77">
        <f t="shared" si="9"/>
        <v>123</v>
      </c>
      <c r="BE8" s="378"/>
      <c r="BF8" s="77">
        <v>2.8</v>
      </c>
      <c r="BG8" s="77">
        <f t="shared" si="10"/>
        <v>1148</v>
      </c>
      <c r="BH8" s="378"/>
      <c r="BI8" s="367"/>
      <c r="BJ8" s="360"/>
      <c r="BK8" s="122">
        <v>0</v>
      </c>
      <c r="BL8" s="77">
        <v>0.3</v>
      </c>
      <c r="BM8" s="77">
        <f t="shared" si="11"/>
        <v>123</v>
      </c>
      <c r="BN8" s="378"/>
      <c r="BO8" s="77">
        <v>2.2000000000000002</v>
      </c>
      <c r="BP8" s="77">
        <f t="shared" si="12"/>
        <v>902.00000000000011</v>
      </c>
      <c r="BQ8" s="378"/>
      <c r="BR8" s="367"/>
      <c r="BS8" s="360"/>
      <c r="BT8" s="122">
        <v>0</v>
      </c>
      <c r="BU8" s="77">
        <v>0.3</v>
      </c>
      <c r="BV8" s="77">
        <f t="shared" si="13"/>
        <v>123</v>
      </c>
      <c r="BW8" s="378"/>
      <c r="BX8" s="77">
        <v>1.7</v>
      </c>
      <c r="BY8" s="77">
        <f t="shared" si="14"/>
        <v>697</v>
      </c>
      <c r="BZ8" s="378"/>
      <c r="CA8" s="370"/>
      <c r="CB8" s="361"/>
      <c r="CC8" s="122">
        <v>0</v>
      </c>
      <c r="CD8" s="77">
        <v>0.3</v>
      </c>
      <c r="CE8" s="51">
        <f t="shared" si="15"/>
        <v>123</v>
      </c>
      <c r="CF8" s="378"/>
      <c r="CG8" s="79">
        <v>1.5</v>
      </c>
      <c r="CH8" s="51">
        <f t="shared" si="16"/>
        <v>615</v>
      </c>
      <c r="CI8" s="378"/>
      <c r="CJ8" s="370"/>
      <c r="CK8" s="361"/>
      <c r="CL8" s="122">
        <v>0</v>
      </c>
      <c r="CM8" s="375"/>
      <c r="CN8" s="94">
        <f>AJ8</f>
        <v>356770</v>
      </c>
      <c r="CO8" s="91">
        <v>2022</v>
      </c>
      <c r="CP8" s="91">
        <f>CP$2</f>
        <v>2011</v>
      </c>
      <c r="CQ8" s="95">
        <f t="shared" si="18"/>
        <v>11</v>
      </c>
      <c r="CR8" s="94">
        <f t="shared" si="19"/>
        <v>208596.02996736826</v>
      </c>
    </row>
    <row r="9" spans="1:97" ht="15" customHeight="1" x14ac:dyDescent="0.25">
      <c r="A9" s="115" t="s">
        <v>290</v>
      </c>
      <c r="B9" s="85" t="s">
        <v>151</v>
      </c>
      <c r="C9" s="116" t="s">
        <v>152</v>
      </c>
      <c r="D9" s="116" t="s">
        <v>155</v>
      </c>
      <c r="E9" s="117">
        <v>180</v>
      </c>
      <c r="F9" s="129">
        <v>2003</v>
      </c>
      <c r="G9" s="117">
        <v>385</v>
      </c>
      <c r="H9" s="117">
        <v>4.3</v>
      </c>
      <c r="I9" s="72">
        <v>4.3</v>
      </c>
      <c r="J9" s="51">
        <f t="shared" si="0"/>
        <v>774</v>
      </c>
      <c r="K9" s="365"/>
      <c r="L9" s="77">
        <v>6.2</v>
      </c>
      <c r="M9" s="51">
        <f t="shared" si="1"/>
        <v>1116</v>
      </c>
      <c r="N9" s="365"/>
      <c r="O9" s="360"/>
      <c r="P9" s="361"/>
      <c r="Q9" s="90">
        <v>0</v>
      </c>
      <c r="R9" s="74">
        <v>4.3</v>
      </c>
      <c r="S9" s="127">
        <f t="shared" si="17"/>
        <v>774</v>
      </c>
      <c r="T9" s="361"/>
      <c r="U9" s="74">
        <v>5.8</v>
      </c>
      <c r="V9" s="74">
        <f t="shared" si="2"/>
        <v>1044</v>
      </c>
      <c r="W9" s="361"/>
      <c r="X9" s="367"/>
      <c r="Y9" s="360"/>
      <c r="Z9" s="122">
        <v>0</v>
      </c>
      <c r="AA9" s="91">
        <v>0</v>
      </c>
      <c r="AB9">
        <v>4.3</v>
      </c>
      <c r="AC9">
        <f t="shared" si="3"/>
        <v>774</v>
      </c>
      <c r="AD9" s="370"/>
      <c r="AE9">
        <v>4.7</v>
      </c>
      <c r="AF9">
        <f t="shared" si="4"/>
        <v>846</v>
      </c>
      <c r="AG9" s="370"/>
      <c r="AH9" s="367"/>
      <c r="AI9" s="360"/>
      <c r="AJ9" s="91">
        <v>0</v>
      </c>
      <c r="AK9">
        <v>4.3</v>
      </c>
      <c r="AL9" s="77">
        <f t="shared" si="5"/>
        <v>774</v>
      </c>
      <c r="AM9" s="378"/>
      <c r="AN9" s="128">
        <v>4.0999999999999996</v>
      </c>
      <c r="AO9" s="79">
        <f t="shared" si="6"/>
        <v>737.99999999999989</v>
      </c>
      <c r="AP9" s="378"/>
      <c r="AQ9" s="370"/>
      <c r="AR9" s="361"/>
      <c r="AS9" s="122">
        <v>0</v>
      </c>
      <c r="AT9" s="77">
        <v>4.3</v>
      </c>
      <c r="AU9" s="77">
        <f t="shared" si="7"/>
        <v>774</v>
      </c>
      <c r="AV9" s="378"/>
      <c r="AW9" s="77">
        <v>3.5</v>
      </c>
      <c r="AX9" s="77">
        <f t="shared" si="8"/>
        <v>630</v>
      </c>
      <c r="AY9" s="378"/>
      <c r="AZ9" s="370"/>
      <c r="BA9" s="360"/>
      <c r="BB9" s="122">
        <v>0</v>
      </c>
      <c r="BC9" s="77">
        <v>4.3</v>
      </c>
      <c r="BD9" s="77">
        <f t="shared" si="9"/>
        <v>774</v>
      </c>
      <c r="BE9" s="378"/>
      <c r="BF9" s="77">
        <v>2.9</v>
      </c>
      <c r="BG9" s="77">
        <f t="shared" si="10"/>
        <v>522</v>
      </c>
      <c r="BH9" s="378"/>
      <c r="BI9" s="367"/>
      <c r="BJ9" s="360"/>
      <c r="BK9" s="122">
        <v>0</v>
      </c>
      <c r="BL9" s="77">
        <v>4.3</v>
      </c>
      <c r="BM9" s="77">
        <f t="shared" si="11"/>
        <v>774</v>
      </c>
      <c r="BN9" s="378"/>
      <c r="BO9" s="77">
        <v>2.2999999999999998</v>
      </c>
      <c r="BP9" s="77">
        <f t="shared" si="12"/>
        <v>413.99999999999994</v>
      </c>
      <c r="BQ9" s="378"/>
      <c r="BR9" s="367"/>
      <c r="BS9" s="360"/>
      <c r="BT9" s="122">
        <v>0</v>
      </c>
      <c r="BU9" s="77">
        <v>4.3</v>
      </c>
      <c r="BV9" s="77">
        <f t="shared" si="13"/>
        <v>774</v>
      </c>
      <c r="BW9" s="378"/>
      <c r="BX9" s="77">
        <v>1.7</v>
      </c>
      <c r="BY9" s="77">
        <f t="shared" si="14"/>
        <v>306</v>
      </c>
      <c r="BZ9" s="378"/>
      <c r="CA9" s="370"/>
      <c r="CB9" s="361"/>
      <c r="CC9" s="122">
        <v>0</v>
      </c>
      <c r="CD9" s="77">
        <v>4.3</v>
      </c>
      <c r="CE9" s="51">
        <f t="shared" si="15"/>
        <v>774</v>
      </c>
      <c r="CF9" s="378"/>
      <c r="CG9" s="79">
        <v>1.5</v>
      </c>
      <c r="CH9" s="51">
        <f t="shared" si="16"/>
        <v>270</v>
      </c>
      <c r="CI9" s="378"/>
      <c r="CJ9" s="370"/>
      <c r="CK9" s="361"/>
      <c r="CL9" s="91">
        <v>0</v>
      </c>
      <c r="CM9" s="375"/>
      <c r="CN9" s="94">
        <v>0</v>
      </c>
      <c r="CO9" s="98" t="s">
        <v>154</v>
      </c>
      <c r="CP9" s="98" t="s">
        <v>154</v>
      </c>
      <c r="CQ9" s="95"/>
      <c r="CR9" s="94">
        <f t="shared" si="19"/>
        <v>0</v>
      </c>
    </row>
    <row r="10" spans="1:97" ht="15" customHeight="1" x14ac:dyDescent="0.25">
      <c r="A10" s="115" t="s">
        <v>290</v>
      </c>
      <c r="B10" s="85" t="s">
        <v>151</v>
      </c>
      <c r="C10" s="130" t="s">
        <v>152</v>
      </c>
      <c r="D10" s="117">
        <v>3208</v>
      </c>
      <c r="E10" s="117">
        <v>250</v>
      </c>
      <c r="F10" s="118">
        <v>1990</v>
      </c>
      <c r="G10" s="117">
        <v>385</v>
      </c>
      <c r="H10" s="117">
        <v>9.3000000000000007</v>
      </c>
      <c r="I10" s="72">
        <v>9.3000000000000007</v>
      </c>
      <c r="J10" s="51">
        <f t="shared" si="0"/>
        <v>2325</v>
      </c>
      <c r="K10" s="365"/>
      <c r="L10" s="77">
        <v>6.2</v>
      </c>
      <c r="M10" s="51">
        <f t="shared" si="1"/>
        <v>1550</v>
      </c>
      <c r="N10" s="365"/>
      <c r="O10" s="360"/>
      <c r="P10" s="361"/>
      <c r="Q10" s="90">
        <v>0</v>
      </c>
      <c r="R10" s="74">
        <v>9.3000000000000007</v>
      </c>
      <c r="S10" s="127">
        <f t="shared" si="17"/>
        <v>2325</v>
      </c>
      <c r="T10" s="361"/>
      <c r="U10" s="74">
        <v>5.8</v>
      </c>
      <c r="V10" s="74">
        <f t="shared" si="2"/>
        <v>1450</v>
      </c>
      <c r="W10" s="361"/>
      <c r="X10" s="367"/>
      <c r="Y10" s="360"/>
      <c r="Z10" s="122">
        <v>0</v>
      </c>
      <c r="AA10" s="91">
        <v>0</v>
      </c>
      <c r="AB10">
        <v>9.3000000000000007</v>
      </c>
      <c r="AC10">
        <f t="shared" si="3"/>
        <v>2325</v>
      </c>
      <c r="AD10" s="370"/>
      <c r="AE10">
        <v>4.7</v>
      </c>
      <c r="AF10">
        <f t="shared" si="4"/>
        <v>1175</v>
      </c>
      <c r="AG10" s="370"/>
      <c r="AH10" s="367"/>
      <c r="AI10" s="360"/>
      <c r="AJ10" s="91">
        <v>0</v>
      </c>
      <c r="AK10">
        <v>9.3000000000000007</v>
      </c>
      <c r="AL10" s="77">
        <f t="shared" si="5"/>
        <v>2325</v>
      </c>
      <c r="AM10" s="378"/>
      <c r="AN10" s="128">
        <v>4.0999999999999996</v>
      </c>
      <c r="AO10" s="79">
        <f t="shared" si="6"/>
        <v>1025</v>
      </c>
      <c r="AP10" s="378"/>
      <c r="AQ10" s="370"/>
      <c r="AR10" s="361"/>
      <c r="AS10" s="122">
        <v>0</v>
      </c>
      <c r="AT10" s="77">
        <v>9.3000000000000007</v>
      </c>
      <c r="AU10" s="77">
        <f t="shared" si="7"/>
        <v>2325</v>
      </c>
      <c r="AV10" s="378"/>
      <c r="AW10" s="77">
        <v>3.5</v>
      </c>
      <c r="AX10" s="77">
        <f t="shared" si="8"/>
        <v>875</v>
      </c>
      <c r="AY10" s="378"/>
      <c r="AZ10" s="370"/>
      <c r="BA10" s="360"/>
      <c r="BB10" s="122">
        <v>0</v>
      </c>
      <c r="BC10" s="77">
        <v>9.3000000000000007</v>
      </c>
      <c r="BD10" s="77">
        <f t="shared" si="9"/>
        <v>2325</v>
      </c>
      <c r="BE10" s="378"/>
      <c r="BF10" s="77">
        <v>2.9</v>
      </c>
      <c r="BG10" s="77">
        <f t="shared" si="10"/>
        <v>725</v>
      </c>
      <c r="BH10" s="378"/>
      <c r="BI10" s="367"/>
      <c r="BJ10" s="360"/>
      <c r="BK10" s="122">
        <v>0</v>
      </c>
      <c r="BL10" s="77">
        <v>9.3000000000000007</v>
      </c>
      <c r="BM10" s="77">
        <f t="shared" si="11"/>
        <v>2325</v>
      </c>
      <c r="BN10" s="378"/>
      <c r="BO10" s="77">
        <v>2.2999999999999998</v>
      </c>
      <c r="BP10" s="77">
        <f t="shared" si="12"/>
        <v>575</v>
      </c>
      <c r="BQ10" s="378"/>
      <c r="BR10" s="367"/>
      <c r="BS10" s="360"/>
      <c r="BT10" s="91">
        <v>0</v>
      </c>
      <c r="BU10" s="77">
        <v>9.3000000000000007</v>
      </c>
      <c r="BV10" s="77">
        <f t="shared" si="13"/>
        <v>2325</v>
      </c>
      <c r="BW10" s="378"/>
      <c r="BX10" s="77">
        <v>1.7</v>
      </c>
      <c r="BY10" s="77">
        <f t="shared" si="14"/>
        <v>425</v>
      </c>
      <c r="BZ10" s="378"/>
      <c r="CA10" s="370"/>
      <c r="CB10" s="361"/>
      <c r="CC10" s="122">
        <v>0</v>
      </c>
      <c r="CD10" s="77">
        <v>0.3</v>
      </c>
      <c r="CE10" s="51">
        <f t="shared" si="15"/>
        <v>75</v>
      </c>
      <c r="CF10" s="378"/>
      <c r="CG10" s="79">
        <v>1.5</v>
      </c>
      <c r="CH10" s="51">
        <f t="shared" si="16"/>
        <v>375</v>
      </c>
      <c r="CI10" s="378"/>
      <c r="CJ10" s="370"/>
      <c r="CK10" s="361"/>
      <c r="CL10" s="92">
        <f>SUM(E10*797)+18000</f>
        <v>217250</v>
      </c>
      <c r="CM10" s="375"/>
      <c r="CN10" s="94">
        <f>CL10</f>
        <v>217250</v>
      </c>
      <c r="CO10" s="91">
        <v>2028</v>
      </c>
      <c r="CP10" s="91">
        <f>CP$2</f>
        <v>2011</v>
      </c>
      <c r="CQ10" s="95">
        <f t="shared" si="18"/>
        <v>17</v>
      </c>
      <c r="CR10" s="94">
        <f t="shared" si="19"/>
        <v>94785.455383458742</v>
      </c>
    </row>
    <row r="11" spans="1:97" s="105" customFormat="1" ht="15" customHeight="1" thickBot="1" x14ac:dyDescent="0.3">
      <c r="A11" s="115" t="s">
        <v>290</v>
      </c>
      <c r="B11" s="99" t="s">
        <v>151</v>
      </c>
      <c r="C11" s="131" t="s">
        <v>152</v>
      </c>
      <c r="D11" s="131">
        <v>3306</v>
      </c>
      <c r="E11" s="132">
        <v>170</v>
      </c>
      <c r="F11" s="133">
        <v>1973</v>
      </c>
      <c r="G11" s="132">
        <v>200</v>
      </c>
      <c r="H11" s="132">
        <v>13.6</v>
      </c>
      <c r="I11" s="104">
        <v>0.3</v>
      </c>
      <c r="J11" s="105">
        <f t="shared" si="0"/>
        <v>51</v>
      </c>
      <c r="K11" s="366"/>
      <c r="L11" s="105">
        <v>6.4</v>
      </c>
      <c r="M11" s="105">
        <f t="shared" si="1"/>
        <v>1088</v>
      </c>
      <c r="N11" s="366"/>
      <c r="O11" s="368"/>
      <c r="P11" s="371"/>
      <c r="Q11" s="134">
        <f>SUM(E11*797)+12000</f>
        <v>147490</v>
      </c>
      <c r="R11" s="107">
        <v>0.3</v>
      </c>
      <c r="S11" s="107">
        <f t="shared" si="17"/>
        <v>51</v>
      </c>
      <c r="T11" s="371"/>
      <c r="U11" s="107">
        <v>6</v>
      </c>
      <c r="V11" s="107">
        <f t="shared" si="2"/>
        <v>1020</v>
      </c>
      <c r="W11" s="371"/>
      <c r="X11" s="368"/>
      <c r="Y11" s="368"/>
      <c r="Z11" s="108">
        <v>0</v>
      </c>
      <c r="AA11" s="108">
        <v>0</v>
      </c>
      <c r="AB11" s="105">
        <v>0.3</v>
      </c>
      <c r="AC11" s="105">
        <f t="shared" si="3"/>
        <v>51</v>
      </c>
      <c r="AD11" s="371"/>
      <c r="AE11" s="105">
        <v>4.9000000000000004</v>
      </c>
      <c r="AF11" s="105">
        <f t="shared" si="4"/>
        <v>833.00000000000011</v>
      </c>
      <c r="AG11" s="371"/>
      <c r="AH11" s="368"/>
      <c r="AI11" s="368"/>
      <c r="AJ11" s="108">
        <v>0</v>
      </c>
      <c r="AK11" s="105">
        <v>0.3</v>
      </c>
      <c r="AL11" s="135">
        <f t="shared" si="5"/>
        <v>51</v>
      </c>
      <c r="AM11" s="379"/>
      <c r="AN11" s="136">
        <v>4.3</v>
      </c>
      <c r="AO11" s="110">
        <f t="shared" si="6"/>
        <v>731</v>
      </c>
      <c r="AP11" s="379"/>
      <c r="AQ11" s="371"/>
      <c r="AR11" s="371"/>
      <c r="AS11" s="108">
        <v>0</v>
      </c>
      <c r="AT11" s="105">
        <v>0.3</v>
      </c>
      <c r="AU11" s="135">
        <f t="shared" si="7"/>
        <v>51</v>
      </c>
      <c r="AV11" s="379"/>
      <c r="AW11" s="105">
        <v>3.7</v>
      </c>
      <c r="AX11" s="135">
        <f t="shared" si="8"/>
        <v>629</v>
      </c>
      <c r="AY11" s="379"/>
      <c r="AZ11" s="371"/>
      <c r="BA11" s="368"/>
      <c r="BB11" s="108">
        <v>0</v>
      </c>
      <c r="BC11" s="105">
        <v>0.3</v>
      </c>
      <c r="BD11" s="135">
        <f t="shared" si="9"/>
        <v>51</v>
      </c>
      <c r="BE11" s="379"/>
      <c r="BF11" s="105">
        <v>3.1</v>
      </c>
      <c r="BG11" s="135">
        <f t="shared" si="10"/>
        <v>527</v>
      </c>
      <c r="BH11" s="379"/>
      <c r="BI11" s="368"/>
      <c r="BJ11" s="368"/>
      <c r="BK11" s="108">
        <v>0</v>
      </c>
      <c r="BL11" s="105">
        <v>0.3</v>
      </c>
      <c r="BM11" s="135">
        <f t="shared" si="11"/>
        <v>51</v>
      </c>
      <c r="BN11" s="379"/>
      <c r="BO11" s="105">
        <v>2.5</v>
      </c>
      <c r="BP11" s="135">
        <f t="shared" si="12"/>
        <v>425</v>
      </c>
      <c r="BQ11" s="379"/>
      <c r="BR11" s="368"/>
      <c r="BS11" s="368"/>
      <c r="BT11" s="108">
        <v>0</v>
      </c>
      <c r="BU11" s="105">
        <v>0.3</v>
      </c>
      <c r="BV11" s="135">
        <f t="shared" si="13"/>
        <v>51</v>
      </c>
      <c r="BW11" s="379"/>
      <c r="BX11" s="105">
        <v>1.9</v>
      </c>
      <c r="BY11" s="135">
        <f t="shared" si="14"/>
        <v>323</v>
      </c>
      <c r="BZ11" s="379"/>
      <c r="CA11" s="371"/>
      <c r="CB11" s="371"/>
      <c r="CC11" s="108">
        <v>0</v>
      </c>
      <c r="CD11" s="105">
        <v>0.3</v>
      </c>
      <c r="CE11" s="105">
        <f t="shared" si="15"/>
        <v>51</v>
      </c>
      <c r="CF11" s="379"/>
      <c r="CG11" s="110">
        <v>1.3</v>
      </c>
      <c r="CH11" s="105">
        <f t="shared" si="16"/>
        <v>221</v>
      </c>
      <c r="CI11" s="379"/>
      <c r="CJ11" s="371"/>
      <c r="CK11" s="371"/>
      <c r="CL11" s="108">
        <v>0</v>
      </c>
      <c r="CM11" s="380"/>
      <c r="CN11" s="113">
        <f>Q11</f>
        <v>147490</v>
      </c>
      <c r="CO11" s="108">
        <v>2019</v>
      </c>
      <c r="CP11" s="108">
        <f>CP$2</f>
        <v>2011</v>
      </c>
      <c r="CQ11" s="114">
        <f t="shared" si="18"/>
        <v>8</v>
      </c>
      <c r="CR11" s="113">
        <f t="shared" si="19"/>
        <v>99827.037505611079</v>
      </c>
    </row>
    <row r="12" spans="1:97" ht="15" customHeight="1" thickTop="1" x14ac:dyDescent="0.25">
      <c r="A12" s="115" t="s">
        <v>291</v>
      </c>
      <c r="B12" s="137" t="s">
        <v>151</v>
      </c>
      <c r="C12" s="130" t="s">
        <v>152</v>
      </c>
      <c r="D12" s="130">
        <v>3408</v>
      </c>
      <c r="E12" s="117">
        <v>375</v>
      </c>
      <c r="F12" s="126">
        <v>1981</v>
      </c>
      <c r="G12" s="117">
        <v>250</v>
      </c>
      <c r="H12" s="117">
        <v>11.9</v>
      </c>
      <c r="I12" s="138">
        <v>0.3</v>
      </c>
      <c r="J12">
        <f t="shared" si="0"/>
        <v>112.5</v>
      </c>
      <c r="K12" s="357">
        <f>SUM(J12:J19)/SUM(E12:E19)</f>
        <v>4.2337047353760449</v>
      </c>
      <c r="L12" s="77">
        <v>5.9</v>
      </c>
      <c r="M12">
        <f t="shared" si="1"/>
        <v>2212.5</v>
      </c>
      <c r="N12" s="357">
        <f>SUM(M12:M19)/SUM(E12:E19)</f>
        <v>4.7899721448467965</v>
      </c>
      <c r="O12" s="359">
        <f>SUM(E12:E19)*0.1</f>
        <v>179.5</v>
      </c>
      <c r="P12" s="359">
        <f>E12-O12</f>
        <v>195.5</v>
      </c>
      <c r="Q12" s="139">
        <f>SUM(E12*797)+18000</f>
        <v>316875</v>
      </c>
      <c r="R12" s="140">
        <v>0.3</v>
      </c>
      <c r="S12" s="74">
        <f t="shared" si="17"/>
        <v>112.5</v>
      </c>
      <c r="T12" s="373">
        <f>SUM(S12:S19)/SUM(E12:E19)</f>
        <v>4.2337047353760449</v>
      </c>
      <c r="U12" s="140">
        <v>5.5</v>
      </c>
      <c r="V12" s="140">
        <f t="shared" si="2"/>
        <v>2062.5</v>
      </c>
      <c r="W12" s="373">
        <f>SUM(V12:V19)/SUM(E12:E19)</f>
        <v>4.4791086350974929</v>
      </c>
      <c r="X12" s="359" t="s">
        <v>154</v>
      </c>
      <c r="Y12" s="359">
        <f>SUM(E12-E34)</f>
        <v>195.5</v>
      </c>
      <c r="Z12" s="122">
        <v>0</v>
      </c>
      <c r="AA12" s="122">
        <v>0</v>
      </c>
      <c r="AB12" s="77">
        <v>0.3</v>
      </c>
      <c r="AC12" s="77">
        <f t="shared" si="3"/>
        <v>112.5</v>
      </c>
      <c r="AD12" s="377">
        <f>SUM(AC12:AC19)/SUM(E12:E19)</f>
        <v>2.2949860724233981</v>
      </c>
      <c r="AE12" s="77">
        <v>4.5</v>
      </c>
      <c r="AF12" s="77">
        <f t="shared" si="4"/>
        <v>1687.5</v>
      </c>
      <c r="AG12" s="377">
        <f>SUM(AF12:AF19)/SUM(E12:E19)</f>
        <v>3.6571030640668525</v>
      </c>
      <c r="AH12" s="359">
        <f>E34</f>
        <v>179.5</v>
      </c>
      <c r="AI12" s="359" t="e">
        <f>(#REF!+E16)-AH12</f>
        <v>#REF!</v>
      </c>
      <c r="AJ12" s="122">
        <v>0</v>
      </c>
      <c r="AK12" s="77">
        <v>0.3</v>
      </c>
      <c r="AL12" s="77">
        <f t="shared" si="5"/>
        <v>112.5</v>
      </c>
      <c r="AM12" s="377">
        <f>SUM(AL12:AL19)/SUM(E12:E19)</f>
        <v>2.2949860724233981</v>
      </c>
      <c r="AN12" s="141">
        <v>4</v>
      </c>
      <c r="AO12" s="79">
        <f t="shared" si="6"/>
        <v>1500</v>
      </c>
      <c r="AP12" s="377">
        <f>SUM(AO12:AO19)/SUM(E12:E19)</f>
        <v>3.223676880222841</v>
      </c>
      <c r="AQ12" s="373" t="s">
        <v>154</v>
      </c>
      <c r="AR12" s="359" t="e">
        <f>AI12</f>
        <v>#REF!</v>
      </c>
      <c r="AS12" s="122">
        <v>0</v>
      </c>
      <c r="AT12" s="77">
        <v>0.3</v>
      </c>
      <c r="AU12" s="77">
        <f t="shared" si="7"/>
        <v>112.5</v>
      </c>
      <c r="AV12" s="377">
        <f>SUM(AU12:AU19)/SUM(E12:E19)</f>
        <v>2.2949860724233981</v>
      </c>
      <c r="AW12" s="77">
        <v>3.4</v>
      </c>
      <c r="AX12" s="77">
        <f t="shared" si="8"/>
        <v>1275</v>
      </c>
      <c r="AY12" s="377">
        <f>SUM(AX12:AX19)/SUM(E12:E19)</f>
        <v>2.7526462395543176</v>
      </c>
      <c r="AZ12" s="373" t="s">
        <v>154</v>
      </c>
      <c r="BA12" s="359" t="e">
        <f>AR12</f>
        <v>#REF!</v>
      </c>
      <c r="BB12" s="122">
        <v>0</v>
      </c>
      <c r="BC12" s="77">
        <v>0.3</v>
      </c>
      <c r="BD12" s="77">
        <f t="shared" si="9"/>
        <v>112.5</v>
      </c>
      <c r="BE12" s="377">
        <f>SUM(BD12:BD19)/SUM(E12:E19)</f>
        <v>2.2949860724233981</v>
      </c>
      <c r="BF12" s="77">
        <v>2.8</v>
      </c>
      <c r="BG12" s="77">
        <f t="shared" si="10"/>
        <v>1050</v>
      </c>
      <c r="BH12" s="377">
        <f>SUM(BG12:BG19)/SUM(E12:E19)</f>
        <v>2.2816155988857938</v>
      </c>
      <c r="BI12" s="359">
        <f>E34</f>
        <v>179.5</v>
      </c>
      <c r="BJ12" s="359" t="e">
        <f>BA12-BI12</f>
        <v>#REF!</v>
      </c>
      <c r="BK12" s="122">
        <v>0</v>
      </c>
      <c r="BL12" s="77">
        <v>0.3</v>
      </c>
      <c r="BM12" s="77">
        <f t="shared" si="11"/>
        <v>112.5</v>
      </c>
      <c r="BN12" s="377">
        <f>SUM(BM12:BM19)/SUM(E12:E19)</f>
        <v>2.2949860724233981</v>
      </c>
      <c r="BO12" s="77">
        <v>2.2000000000000002</v>
      </c>
      <c r="BP12" s="77">
        <f t="shared" si="12"/>
        <v>825.00000000000011</v>
      </c>
      <c r="BQ12" s="377">
        <f>SUM(BP12:BP19)/SUM(E12:E19)</f>
        <v>1.8105849582172702</v>
      </c>
      <c r="BR12" s="359">
        <f>E34</f>
        <v>179.5</v>
      </c>
      <c r="BS12" s="359" t="e">
        <f>BJ12-BI12</f>
        <v>#REF!</v>
      </c>
      <c r="BT12" s="122">
        <v>0</v>
      </c>
      <c r="BU12" s="77">
        <v>0.3</v>
      </c>
      <c r="BV12" s="77">
        <f t="shared" si="13"/>
        <v>112.5</v>
      </c>
      <c r="BW12" s="377">
        <f>SUM(BV12:BV19)/SUM(E12:E19)</f>
        <v>1.6933147632311978</v>
      </c>
      <c r="BX12" s="77">
        <v>1.7</v>
      </c>
      <c r="BY12" s="77">
        <f t="shared" si="14"/>
        <v>637.5</v>
      </c>
      <c r="BZ12" s="377">
        <f>SUM(BY12:BY19)/SUM(E12:E19)</f>
        <v>1.377158774373259</v>
      </c>
      <c r="CA12" s="359" t="e">
        <f>E34-BS12</f>
        <v>#REF!</v>
      </c>
      <c r="CB12" s="359" t="e">
        <f>E19-CA12</f>
        <v>#REF!</v>
      </c>
      <c r="CC12" s="122">
        <v>0</v>
      </c>
      <c r="CD12" s="77">
        <v>0.3</v>
      </c>
      <c r="CE12">
        <f t="shared" si="15"/>
        <v>112.5</v>
      </c>
      <c r="CF12" s="377">
        <f>SUM(CE12:CE19)/SUM(E12:E19)</f>
        <v>1.1133704735376044</v>
      </c>
      <c r="CG12" s="79">
        <v>1.5</v>
      </c>
      <c r="CH12">
        <f t="shared" si="16"/>
        <v>562.5</v>
      </c>
      <c r="CI12" s="377">
        <f>SUM(CH12:CH19)/SUM(E12:E19)</f>
        <v>1.1192200557103065</v>
      </c>
      <c r="CJ12" s="359" t="e">
        <f>E34-CB12</f>
        <v>#REF!</v>
      </c>
      <c r="CK12" s="359" t="e">
        <f>(E15+E17)-CJ12</f>
        <v>#REF!</v>
      </c>
      <c r="CL12" s="122">
        <v>0</v>
      </c>
      <c r="CM12" s="374">
        <f>SUM(CN12:CN19)</f>
        <v>1010240</v>
      </c>
      <c r="CN12" s="94">
        <f>Q12</f>
        <v>316875</v>
      </c>
      <c r="CO12" s="122">
        <v>2019</v>
      </c>
      <c r="CP12" s="91">
        <f>CP$2</f>
        <v>2011</v>
      </c>
      <c r="CQ12" s="95">
        <f t="shared" si="18"/>
        <v>8</v>
      </c>
      <c r="CR12" s="94">
        <f t="shared" si="19"/>
        <v>214473.47284284024</v>
      </c>
    </row>
    <row r="13" spans="1:97" ht="15" customHeight="1" x14ac:dyDescent="0.25">
      <c r="A13" s="115" t="s">
        <v>291</v>
      </c>
      <c r="B13" s="137" t="s">
        <v>151</v>
      </c>
      <c r="C13" s="130" t="s">
        <v>152</v>
      </c>
      <c r="D13" s="117"/>
      <c r="E13" s="117">
        <v>260</v>
      </c>
      <c r="F13" s="129">
        <v>2004</v>
      </c>
      <c r="G13" s="117">
        <v>2000</v>
      </c>
      <c r="H13" s="117">
        <v>4.3</v>
      </c>
      <c r="I13" s="138">
        <v>4.3</v>
      </c>
      <c r="J13">
        <f t="shared" si="0"/>
        <v>1118</v>
      </c>
      <c r="K13" s="358"/>
      <c r="L13" s="77">
        <v>6.2</v>
      </c>
      <c r="M13">
        <f t="shared" si="1"/>
        <v>1612</v>
      </c>
      <c r="N13" s="358"/>
      <c r="O13" s="360"/>
      <c r="P13" s="361"/>
      <c r="Q13" s="142">
        <v>0</v>
      </c>
      <c r="R13" s="140">
        <v>4.3</v>
      </c>
      <c r="S13" s="74">
        <f t="shared" si="17"/>
        <v>1118</v>
      </c>
      <c r="T13" s="361"/>
      <c r="U13" s="140">
        <v>5.8</v>
      </c>
      <c r="V13" s="140">
        <f t="shared" si="2"/>
        <v>1508</v>
      </c>
      <c r="W13" s="361"/>
      <c r="X13" s="367"/>
      <c r="Y13" s="360"/>
      <c r="Z13" s="122">
        <v>0</v>
      </c>
      <c r="AA13" s="122">
        <v>0</v>
      </c>
      <c r="AB13" s="77">
        <v>4.3</v>
      </c>
      <c r="AC13" s="77">
        <f t="shared" si="3"/>
        <v>1118</v>
      </c>
      <c r="AD13" s="378"/>
      <c r="AE13" s="77">
        <v>4.7</v>
      </c>
      <c r="AF13" s="77">
        <f t="shared" si="4"/>
        <v>1222</v>
      </c>
      <c r="AG13" s="378"/>
      <c r="AH13" s="367"/>
      <c r="AI13" s="360"/>
      <c r="AJ13" s="122">
        <v>0</v>
      </c>
      <c r="AK13" s="77">
        <v>4.3</v>
      </c>
      <c r="AL13" s="77">
        <f t="shared" si="5"/>
        <v>1118</v>
      </c>
      <c r="AM13" s="378"/>
      <c r="AN13" s="141">
        <v>4.0999999999999996</v>
      </c>
      <c r="AO13" s="79">
        <f t="shared" si="6"/>
        <v>1066</v>
      </c>
      <c r="AP13" s="378"/>
      <c r="AQ13" s="370"/>
      <c r="AR13" s="361"/>
      <c r="AS13" s="122">
        <v>0</v>
      </c>
      <c r="AT13" s="77">
        <v>4.3</v>
      </c>
      <c r="AU13" s="77">
        <f t="shared" si="7"/>
        <v>1118</v>
      </c>
      <c r="AV13" s="378"/>
      <c r="AW13" s="77">
        <v>3.5</v>
      </c>
      <c r="AX13" s="77">
        <f t="shared" si="8"/>
        <v>910</v>
      </c>
      <c r="AY13" s="378"/>
      <c r="AZ13" s="370"/>
      <c r="BA13" s="361"/>
      <c r="BB13" s="122">
        <v>0</v>
      </c>
      <c r="BC13" s="77">
        <v>4.3</v>
      </c>
      <c r="BD13" s="77">
        <f t="shared" si="9"/>
        <v>1118</v>
      </c>
      <c r="BE13" s="378"/>
      <c r="BF13" s="77">
        <v>2.9</v>
      </c>
      <c r="BG13" s="77">
        <f t="shared" si="10"/>
        <v>754</v>
      </c>
      <c r="BH13" s="378"/>
      <c r="BI13" s="367"/>
      <c r="BJ13" s="360"/>
      <c r="BK13" s="122">
        <v>0</v>
      </c>
      <c r="BL13" s="77">
        <v>4.3</v>
      </c>
      <c r="BM13" s="77">
        <f t="shared" si="11"/>
        <v>1118</v>
      </c>
      <c r="BN13" s="378"/>
      <c r="BO13" s="77">
        <v>2.2999999999999998</v>
      </c>
      <c r="BP13" s="77">
        <f t="shared" si="12"/>
        <v>598</v>
      </c>
      <c r="BQ13" s="378"/>
      <c r="BR13" s="367"/>
      <c r="BS13" s="360"/>
      <c r="BT13" s="91">
        <v>0</v>
      </c>
      <c r="BU13" s="77">
        <v>4.3</v>
      </c>
      <c r="BV13" s="77">
        <f t="shared" si="13"/>
        <v>1118</v>
      </c>
      <c r="BW13" s="378"/>
      <c r="BX13" s="77">
        <v>1.7</v>
      </c>
      <c r="BY13" s="77">
        <f t="shared" si="14"/>
        <v>442</v>
      </c>
      <c r="BZ13" s="378"/>
      <c r="CA13" s="370"/>
      <c r="CB13" s="361"/>
      <c r="CC13" s="122">
        <v>0</v>
      </c>
      <c r="CD13" s="77">
        <v>4.3</v>
      </c>
      <c r="CE13">
        <f t="shared" si="15"/>
        <v>1118</v>
      </c>
      <c r="CF13" s="378"/>
      <c r="CG13" s="79">
        <v>1.5</v>
      </c>
      <c r="CH13">
        <f t="shared" si="16"/>
        <v>390</v>
      </c>
      <c r="CI13" s="378"/>
      <c r="CJ13" s="370"/>
      <c r="CK13" s="361"/>
      <c r="CL13" s="122">
        <v>0</v>
      </c>
      <c r="CM13" s="375"/>
      <c r="CN13" s="94">
        <v>0</v>
      </c>
      <c r="CO13" s="98" t="s">
        <v>154</v>
      </c>
      <c r="CP13" s="98" t="s">
        <v>154</v>
      </c>
      <c r="CQ13" s="95"/>
      <c r="CR13" s="94">
        <f t="shared" si="19"/>
        <v>0</v>
      </c>
    </row>
    <row r="14" spans="1:97" ht="15" customHeight="1" x14ac:dyDescent="0.25">
      <c r="A14" s="115" t="s">
        <v>291</v>
      </c>
      <c r="B14" s="137" t="s">
        <v>157</v>
      </c>
      <c r="C14" s="130" t="s">
        <v>152</v>
      </c>
      <c r="D14" s="117"/>
      <c r="E14" s="117">
        <v>135</v>
      </c>
      <c r="F14" s="129">
        <v>2005</v>
      </c>
      <c r="G14" s="117">
        <v>750</v>
      </c>
      <c r="H14" s="117">
        <v>4.3</v>
      </c>
      <c r="I14" s="138">
        <v>4.3</v>
      </c>
      <c r="J14">
        <f t="shared" si="0"/>
        <v>580.5</v>
      </c>
      <c r="K14" s="358"/>
      <c r="L14" s="77">
        <v>6.4</v>
      </c>
      <c r="M14">
        <f t="shared" si="1"/>
        <v>864</v>
      </c>
      <c r="N14" s="358"/>
      <c r="O14" s="360"/>
      <c r="P14" s="361"/>
      <c r="Q14" s="142">
        <v>0</v>
      </c>
      <c r="R14" s="140">
        <v>4.3</v>
      </c>
      <c r="S14" s="74">
        <f t="shared" si="17"/>
        <v>580.5</v>
      </c>
      <c r="T14" s="361"/>
      <c r="U14" s="140">
        <v>6</v>
      </c>
      <c r="V14" s="140">
        <f t="shared" si="2"/>
        <v>810</v>
      </c>
      <c r="W14" s="361"/>
      <c r="X14" s="367"/>
      <c r="Y14" s="360"/>
      <c r="Z14" s="122">
        <v>0</v>
      </c>
      <c r="AA14" s="122">
        <v>0</v>
      </c>
      <c r="AB14" s="77">
        <v>4.3</v>
      </c>
      <c r="AC14" s="77">
        <f t="shared" si="3"/>
        <v>580.5</v>
      </c>
      <c r="AD14" s="378"/>
      <c r="AE14" s="77">
        <v>4.9000000000000004</v>
      </c>
      <c r="AF14" s="77">
        <f t="shared" si="4"/>
        <v>661.5</v>
      </c>
      <c r="AG14" s="378"/>
      <c r="AH14" s="367"/>
      <c r="AI14" s="360"/>
      <c r="AJ14" s="122">
        <v>0</v>
      </c>
      <c r="AK14" s="77">
        <v>4.3</v>
      </c>
      <c r="AL14" s="77">
        <f t="shared" si="5"/>
        <v>580.5</v>
      </c>
      <c r="AM14" s="378"/>
      <c r="AN14" s="141">
        <v>4.3</v>
      </c>
      <c r="AO14" s="79">
        <f t="shared" si="6"/>
        <v>580.5</v>
      </c>
      <c r="AP14" s="378"/>
      <c r="AQ14" s="370"/>
      <c r="AR14" s="361"/>
      <c r="AS14" s="122">
        <v>0</v>
      </c>
      <c r="AT14" s="77">
        <v>4.3</v>
      </c>
      <c r="AU14" s="77">
        <f t="shared" si="7"/>
        <v>580.5</v>
      </c>
      <c r="AV14" s="378"/>
      <c r="AW14" s="77">
        <v>3.7</v>
      </c>
      <c r="AX14" s="77">
        <f t="shared" si="8"/>
        <v>499.5</v>
      </c>
      <c r="AY14" s="378"/>
      <c r="AZ14" s="370"/>
      <c r="BA14" s="361"/>
      <c r="BB14" s="122">
        <v>0</v>
      </c>
      <c r="BC14" s="77">
        <v>4.3</v>
      </c>
      <c r="BD14" s="77">
        <f t="shared" si="9"/>
        <v>580.5</v>
      </c>
      <c r="BE14" s="378"/>
      <c r="BF14" s="77">
        <v>3.1</v>
      </c>
      <c r="BG14" s="77">
        <f t="shared" si="10"/>
        <v>418.5</v>
      </c>
      <c r="BH14" s="378"/>
      <c r="BI14" s="367"/>
      <c r="BJ14" s="360"/>
      <c r="BK14" s="122">
        <v>0</v>
      </c>
      <c r="BL14" s="77">
        <v>4.3</v>
      </c>
      <c r="BM14" s="77">
        <f t="shared" si="11"/>
        <v>580.5</v>
      </c>
      <c r="BN14" s="378"/>
      <c r="BO14" s="77">
        <v>2.5</v>
      </c>
      <c r="BP14" s="77">
        <f t="shared" si="12"/>
        <v>337.5</v>
      </c>
      <c r="BQ14" s="378"/>
      <c r="BR14" s="367"/>
      <c r="BS14" s="360"/>
      <c r="BT14" s="91">
        <v>0</v>
      </c>
      <c r="BU14" s="77">
        <v>4.3</v>
      </c>
      <c r="BV14" s="77">
        <f t="shared" si="13"/>
        <v>580.5</v>
      </c>
      <c r="BW14" s="378"/>
      <c r="BX14" s="77">
        <v>1.9</v>
      </c>
      <c r="BY14" s="77">
        <f t="shared" si="14"/>
        <v>256.5</v>
      </c>
      <c r="BZ14" s="378"/>
      <c r="CA14" s="370"/>
      <c r="CB14" s="361"/>
      <c r="CC14" s="122">
        <v>0</v>
      </c>
      <c r="CD14" s="77">
        <v>4.3</v>
      </c>
      <c r="CE14">
        <f t="shared" si="15"/>
        <v>580.5</v>
      </c>
      <c r="CF14" s="378"/>
      <c r="CG14" s="79">
        <v>1.3</v>
      </c>
      <c r="CH14">
        <f t="shared" si="16"/>
        <v>175.5</v>
      </c>
      <c r="CI14" s="378"/>
      <c r="CJ14" s="370"/>
      <c r="CK14" s="361"/>
      <c r="CL14" s="91">
        <v>0</v>
      </c>
      <c r="CM14" s="375"/>
      <c r="CN14" s="94">
        <v>0</v>
      </c>
      <c r="CO14" s="98" t="s">
        <v>154</v>
      </c>
      <c r="CP14" s="98" t="s">
        <v>154</v>
      </c>
      <c r="CQ14" s="95"/>
      <c r="CR14" s="94">
        <f t="shared" si="19"/>
        <v>0</v>
      </c>
    </row>
    <row r="15" spans="1:97" ht="15" customHeight="1" x14ac:dyDescent="0.25">
      <c r="A15" s="115" t="s">
        <v>291</v>
      </c>
      <c r="B15" s="137" t="s">
        <v>158</v>
      </c>
      <c r="C15" s="130" t="s">
        <v>152</v>
      </c>
      <c r="D15" s="117"/>
      <c r="E15" s="117">
        <v>120</v>
      </c>
      <c r="F15" s="129">
        <v>2003</v>
      </c>
      <c r="G15" s="117">
        <v>900</v>
      </c>
      <c r="H15" s="117">
        <v>4.3</v>
      </c>
      <c r="I15" s="138">
        <v>4.3</v>
      </c>
      <c r="J15">
        <f t="shared" si="0"/>
        <v>516</v>
      </c>
      <c r="K15" s="358"/>
      <c r="L15" s="77">
        <v>6.4</v>
      </c>
      <c r="M15">
        <f t="shared" si="1"/>
        <v>768</v>
      </c>
      <c r="N15" s="358"/>
      <c r="O15" s="360"/>
      <c r="P15" s="361"/>
      <c r="Q15" s="142">
        <v>0</v>
      </c>
      <c r="R15" s="140">
        <v>4.3</v>
      </c>
      <c r="S15" s="74">
        <f t="shared" si="17"/>
        <v>516</v>
      </c>
      <c r="T15" s="361"/>
      <c r="U15" s="140">
        <v>6</v>
      </c>
      <c r="V15" s="140">
        <f t="shared" si="2"/>
        <v>720</v>
      </c>
      <c r="W15" s="361"/>
      <c r="X15" s="367"/>
      <c r="Y15" s="360"/>
      <c r="Z15" s="122">
        <v>0</v>
      </c>
      <c r="AA15" s="122">
        <v>0</v>
      </c>
      <c r="AB15" s="77">
        <v>4.3</v>
      </c>
      <c r="AC15" s="77">
        <f t="shared" si="3"/>
        <v>516</v>
      </c>
      <c r="AD15" s="378"/>
      <c r="AE15" s="77">
        <v>4.9000000000000004</v>
      </c>
      <c r="AF15" s="77">
        <f t="shared" si="4"/>
        <v>588</v>
      </c>
      <c r="AG15" s="378"/>
      <c r="AH15" s="367"/>
      <c r="AI15" s="360"/>
      <c r="AJ15" s="122">
        <v>0</v>
      </c>
      <c r="AK15" s="77">
        <v>4.3</v>
      </c>
      <c r="AL15" s="77">
        <f t="shared" si="5"/>
        <v>516</v>
      </c>
      <c r="AM15" s="378"/>
      <c r="AN15" s="141">
        <v>4.3</v>
      </c>
      <c r="AO15" s="79">
        <f t="shared" si="6"/>
        <v>516</v>
      </c>
      <c r="AP15" s="378"/>
      <c r="AQ15" s="370"/>
      <c r="AR15" s="361"/>
      <c r="AS15" s="122">
        <v>0</v>
      </c>
      <c r="AT15" s="77">
        <v>4.3</v>
      </c>
      <c r="AU15" s="77">
        <f t="shared" si="7"/>
        <v>516</v>
      </c>
      <c r="AV15" s="378"/>
      <c r="AW15" s="77">
        <v>3.7</v>
      </c>
      <c r="AX15" s="77">
        <f t="shared" si="8"/>
        <v>444</v>
      </c>
      <c r="AY15" s="378"/>
      <c r="AZ15" s="370"/>
      <c r="BA15" s="361"/>
      <c r="BB15" s="122">
        <v>0</v>
      </c>
      <c r="BC15" s="77">
        <v>4.3</v>
      </c>
      <c r="BD15" s="77">
        <f t="shared" si="9"/>
        <v>516</v>
      </c>
      <c r="BE15" s="378"/>
      <c r="BF15" s="77">
        <v>3.1</v>
      </c>
      <c r="BG15" s="77">
        <f t="shared" si="10"/>
        <v>372</v>
      </c>
      <c r="BH15" s="378"/>
      <c r="BI15" s="367"/>
      <c r="BJ15" s="360"/>
      <c r="BK15" s="91">
        <v>0</v>
      </c>
      <c r="BL15" s="77">
        <v>4.3</v>
      </c>
      <c r="BM15" s="77">
        <f t="shared" si="11"/>
        <v>516</v>
      </c>
      <c r="BN15" s="378"/>
      <c r="BO15" s="77">
        <v>2.5</v>
      </c>
      <c r="BP15" s="77">
        <f t="shared" si="12"/>
        <v>300</v>
      </c>
      <c r="BQ15" s="378"/>
      <c r="BR15" s="367"/>
      <c r="BS15" s="360"/>
      <c r="BT15" s="91">
        <v>0</v>
      </c>
      <c r="BU15" s="77">
        <v>4.3</v>
      </c>
      <c r="BV15" s="77">
        <f t="shared" si="13"/>
        <v>516</v>
      </c>
      <c r="BW15" s="378"/>
      <c r="BX15" s="77">
        <v>1.9</v>
      </c>
      <c r="BY15" s="77">
        <f t="shared" si="14"/>
        <v>228</v>
      </c>
      <c r="BZ15" s="378"/>
      <c r="CA15" s="370"/>
      <c r="CB15" s="361"/>
      <c r="CC15" s="122">
        <v>0</v>
      </c>
      <c r="CD15" s="77">
        <v>0.3</v>
      </c>
      <c r="CE15">
        <f t="shared" si="15"/>
        <v>36</v>
      </c>
      <c r="CF15" s="378"/>
      <c r="CG15" s="79">
        <v>1.3</v>
      </c>
      <c r="CH15">
        <f t="shared" si="16"/>
        <v>156</v>
      </c>
      <c r="CI15" s="378"/>
      <c r="CJ15" s="370"/>
      <c r="CK15" s="361"/>
      <c r="CL15" s="92">
        <f>1172*E15+12000</f>
        <v>152640</v>
      </c>
      <c r="CM15" s="375"/>
      <c r="CN15" s="94">
        <f>CL15</f>
        <v>152640</v>
      </c>
      <c r="CO15" s="91">
        <v>2028</v>
      </c>
      <c r="CP15" s="91">
        <f>CP$2</f>
        <v>2011</v>
      </c>
      <c r="CQ15" s="95">
        <f t="shared" si="18"/>
        <v>17</v>
      </c>
      <c r="CR15" s="94">
        <f t="shared" si="19"/>
        <v>66596.326396921257</v>
      </c>
    </row>
    <row r="16" spans="1:97" ht="15" customHeight="1" x14ac:dyDescent="0.25">
      <c r="A16" s="115" t="s">
        <v>291</v>
      </c>
      <c r="B16" s="137" t="s">
        <v>158</v>
      </c>
      <c r="C16" s="130" t="s">
        <v>152</v>
      </c>
      <c r="D16" s="117">
        <v>3408</v>
      </c>
      <c r="E16" s="117">
        <v>300</v>
      </c>
      <c r="F16" s="126">
        <v>1985</v>
      </c>
      <c r="G16" s="117">
        <v>300</v>
      </c>
      <c r="H16" s="117">
        <v>11.9</v>
      </c>
      <c r="I16" s="138">
        <v>11.9</v>
      </c>
      <c r="J16">
        <f t="shared" si="0"/>
        <v>3570</v>
      </c>
      <c r="K16" s="358"/>
      <c r="L16" s="77">
        <v>5.9</v>
      </c>
      <c r="M16">
        <f t="shared" si="1"/>
        <v>1770</v>
      </c>
      <c r="N16" s="358"/>
      <c r="O16" s="360"/>
      <c r="P16" s="361"/>
      <c r="Q16" s="142">
        <v>0</v>
      </c>
      <c r="R16" s="140">
        <v>11.9</v>
      </c>
      <c r="S16" s="74">
        <f t="shared" si="17"/>
        <v>3570</v>
      </c>
      <c r="T16" s="361"/>
      <c r="U16" s="140">
        <v>5.5</v>
      </c>
      <c r="V16" s="140">
        <f t="shared" si="2"/>
        <v>1650</v>
      </c>
      <c r="W16" s="361"/>
      <c r="X16" s="367"/>
      <c r="Y16" s="360"/>
      <c r="Z16" s="122">
        <v>0</v>
      </c>
      <c r="AA16" s="122">
        <v>0</v>
      </c>
      <c r="AB16" s="77">
        <v>0.3</v>
      </c>
      <c r="AC16" s="77">
        <f t="shared" si="3"/>
        <v>90</v>
      </c>
      <c r="AD16" s="378"/>
      <c r="AE16" s="77">
        <v>4.5</v>
      </c>
      <c r="AF16" s="77">
        <f t="shared" si="4"/>
        <v>1350</v>
      </c>
      <c r="AG16" s="378"/>
      <c r="AH16" s="367"/>
      <c r="AI16" s="360"/>
      <c r="AJ16" s="92">
        <f>SUM(E16*1172)+18000</f>
        <v>369600</v>
      </c>
      <c r="AK16" s="77">
        <v>0.3</v>
      </c>
      <c r="AL16" s="77">
        <f t="shared" si="5"/>
        <v>90</v>
      </c>
      <c r="AM16" s="378"/>
      <c r="AN16" s="78">
        <v>4</v>
      </c>
      <c r="AO16" s="79">
        <f t="shared" si="6"/>
        <v>1200</v>
      </c>
      <c r="AP16" s="378"/>
      <c r="AQ16" s="370"/>
      <c r="AR16" s="361"/>
      <c r="AS16" s="122">
        <v>0</v>
      </c>
      <c r="AT16" s="77">
        <v>0.3</v>
      </c>
      <c r="AU16" s="77">
        <f t="shared" si="7"/>
        <v>90</v>
      </c>
      <c r="AV16" s="378"/>
      <c r="AW16" s="77">
        <v>3.4</v>
      </c>
      <c r="AX16" s="77">
        <f t="shared" si="8"/>
        <v>1020</v>
      </c>
      <c r="AY16" s="378"/>
      <c r="AZ16" s="370"/>
      <c r="BA16" s="361"/>
      <c r="BB16" s="122">
        <v>0</v>
      </c>
      <c r="BC16" s="77">
        <v>0.3</v>
      </c>
      <c r="BD16" s="77">
        <f t="shared" si="9"/>
        <v>90</v>
      </c>
      <c r="BE16" s="378"/>
      <c r="BF16" s="77">
        <v>2.8</v>
      </c>
      <c r="BG16" s="77">
        <f t="shared" si="10"/>
        <v>840</v>
      </c>
      <c r="BH16" s="378"/>
      <c r="BI16" s="367"/>
      <c r="BJ16" s="360"/>
      <c r="BK16" s="91">
        <v>0</v>
      </c>
      <c r="BL16">
        <v>0.3</v>
      </c>
      <c r="BM16" s="77">
        <f t="shared" si="11"/>
        <v>90</v>
      </c>
      <c r="BN16" s="378"/>
      <c r="BO16" s="77">
        <v>2.2000000000000002</v>
      </c>
      <c r="BP16" s="77">
        <f t="shared" si="12"/>
        <v>660</v>
      </c>
      <c r="BQ16" s="378"/>
      <c r="BR16" s="367"/>
      <c r="BS16" s="360"/>
      <c r="BT16" s="91">
        <v>0</v>
      </c>
      <c r="BU16" s="77">
        <v>0.3</v>
      </c>
      <c r="BV16" s="77">
        <f t="shared" si="13"/>
        <v>90</v>
      </c>
      <c r="BW16" s="378"/>
      <c r="BX16" s="77">
        <v>1.7</v>
      </c>
      <c r="BY16" s="77">
        <f t="shared" si="14"/>
        <v>510</v>
      </c>
      <c r="BZ16" s="378"/>
      <c r="CA16" s="370"/>
      <c r="CB16" s="361"/>
      <c r="CC16" s="122">
        <v>0</v>
      </c>
      <c r="CD16" s="77">
        <v>0.3</v>
      </c>
      <c r="CE16">
        <f t="shared" si="15"/>
        <v>90</v>
      </c>
      <c r="CF16" s="378"/>
      <c r="CG16" s="79">
        <v>1.5</v>
      </c>
      <c r="CH16">
        <f t="shared" si="16"/>
        <v>450</v>
      </c>
      <c r="CI16" s="378"/>
      <c r="CJ16" s="370"/>
      <c r="CK16" s="361"/>
      <c r="CL16" s="91">
        <v>0</v>
      </c>
      <c r="CM16" s="375"/>
      <c r="CN16" s="94">
        <f>AJ16</f>
        <v>369600</v>
      </c>
      <c r="CO16" s="91">
        <v>2022</v>
      </c>
      <c r="CP16" s="91">
        <f>CP$2</f>
        <v>2011</v>
      </c>
      <c r="CQ16" s="95">
        <f t="shared" si="18"/>
        <v>11</v>
      </c>
      <c r="CR16" s="94">
        <f t="shared" si="19"/>
        <v>216097.46524634727</v>
      </c>
    </row>
    <row r="17" spans="1:96" ht="15" customHeight="1" x14ac:dyDescent="0.25">
      <c r="A17" s="115" t="s">
        <v>291</v>
      </c>
      <c r="B17" s="137" t="s">
        <v>159</v>
      </c>
      <c r="C17" s="130" t="s">
        <v>160</v>
      </c>
      <c r="D17" s="117"/>
      <c r="E17" s="117">
        <v>85</v>
      </c>
      <c r="F17" s="129">
        <v>2003</v>
      </c>
      <c r="G17" s="117">
        <v>2000</v>
      </c>
      <c r="H17" s="117">
        <v>6.9</v>
      </c>
      <c r="I17" s="138">
        <v>6.9</v>
      </c>
      <c r="J17">
        <f t="shared" si="0"/>
        <v>586.5</v>
      </c>
      <c r="K17" s="358"/>
      <c r="L17" s="77">
        <v>7.1</v>
      </c>
      <c r="M17">
        <f t="shared" si="1"/>
        <v>603.5</v>
      </c>
      <c r="N17" s="358"/>
      <c r="O17" s="360"/>
      <c r="P17" s="361"/>
      <c r="Q17" s="142">
        <v>0</v>
      </c>
      <c r="R17" s="140">
        <v>6.9</v>
      </c>
      <c r="S17" s="74">
        <f t="shared" si="17"/>
        <v>586.5</v>
      </c>
      <c r="T17" s="361"/>
      <c r="U17" s="140">
        <v>6.7</v>
      </c>
      <c r="V17" s="140">
        <f t="shared" si="2"/>
        <v>569.5</v>
      </c>
      <c r="W17" s="361"/>
      <c r="X17" s="367"/>
      <c r="Y17" s="360"/>
      <c r="Z17" s="122">
        <v>0</v>
      </c>
      <c r="AA17" s="122">
        <v>0</v>
      </c>
      <c r="AB17" s="77">
        <v>6.9</v>
      </c>
      <c r="AC17" s="77">
        <f t="shared" si="3"/>
        <v>586.5</v>
      </c>
      <c r="AD17" s="378"/>
      <c r="AE17" s="77">
        <v>5.5</v>
      </c>
      <c r="AF17" s="77">
        <f t="shared" si="4"/>
        <v>467.5</v>
      </c>
      <c r="AG17" s="378"/>
      <c r="AH17" s="367"/>
      <c r="AI17" s="360"/>
      <c r="AJ17" s="91">
        <v>0</v>
      </c>
      <c r="AK17" s="77">
        <v>6.9</v>
      </c>
      <c r="AL17" s="77">
        <f t="shared" si="5"/>
        <v>586.5</v>
      </c>
      <c r="AM17" s="378"/>
      <c r="AN17" s="78">
        <v>4.8</v>
      </c>
      <c r="AO17" s="79">
        <f t="shared" si="6"/>
        <v>408</v>
      </c>
      <c r="AP17" s="378"/>
      <c r="AQ17" s="370"/>
      <c r="AR17" s="361"/>
      <c r="AS17" s="122">
        <v>0</v>
      </c>
      <c r="AT17" s="77">
        <v>6.9</v>
      </c>
      <c r="AU17" s="77">
        <f t="shared" si="7"/>
        <v>586.5</v>
      </c>
      <c r="AV17" s="378"/>
      <c r="AW17" s="77">
        <v>4.0999999999999996</v>
      </c>
      <c r="AX17" s="77">
        <f t="shared" si="8"/>
        <v>348.49999999999994</v>
      </c>
      <c r="AY17" s="378"/>
      <c r="AZ17" s="370"/>
      <c r="BA17" s="361"/>
      <c r="BB17" s="122">
        <v>0</v>
      </c>
      <c r="BC17" s="77">
        <v>6.9</v>
      </c>
      <c r="BD17" s="77">
        <f t="shared" si="9"/>
        <v>586.5</v>
      </c>
      <c r="BE17" s="378"/>
      <c r="BF17" s="77">
        <v>3.4</v>
      </c>
      <c r="BG17" s="77">
        <f t="shared" si="10"/>
        <v>289</v>
      </c>
      <c r="BH17" s="378"/>
      <c r="BI17" s="367"/>
      <c r="BJ17" s="360"/>
      <c r="BK17" s="91">
        <v>0</v>
      </c>
      <c r="BL17">
        <v>6.9</v>
      </c>
      <c r="BM17" s="77">
        <f t="shared" si="11"/>
        <v>586.5</v>
      </c>
      <c r="BN17" s="378"/>
      <c r="BO17" s="77">
        <v>2.7</v>
      </c>
      <c r="BP17" s="77">
        <f t="shared" si="12"/>
        <v>229.50000000000003</v>
      </c>
      <c r="BQ17" s="378"/>
      <c r="BR17" s="367"/>
      <c r="BS17" s="360"/>
      <c r="BT17" s="91">
        <v>0</v>
      </c>
      <c r="BU17" s="77">
        <v>6.9</v>
      </c>
      <c r="BV17" s="77">
        <f t="shared" si="13"/>
        <v>586.5</v>
      </c>
      <c r="BW17" s="378"/>
      <c r="BX17" s="77">
        <v>2</v>
      </c>
      <c r="BY17" s="77">
        <f t="shared" si="14"/>
        <v>170</v>
      </c>
      <c r="BZ17" s="378"/>
      <c r="CA17" s="370"/>
      <c r="CB17" s="361"/>
      <c r="CC17" s="122">
        <v>0</v>
      </c>
      <c r="CD17" s="77">
        <v>0.3</v>
      </c>
      <c r="CE17">
        <f t="shared" si="15"/>
        <v>25.5</v>
      </c>
      <c r="CF17" s="378"/>
      <c r="CG17" s="79">
        <v>1.4</v>
      </c>
      <c r="CH17">
        <f t="shared" si="16"/>
        <v>118.99999999999999</v>
      </c>
      <c r="CI17" s="378"/>
      <c r="CJ17" s="370"/>
      <c r="CK17" s="361"/>
      <c r="CL17" s="92">
        <f>SUM(E17*713)+12000</f>
        <v>72605</v>
      </c>
      <c r="CM17" s="375"/>
      <c r="CN17" s="94">
        <f>CL17</f>
        <v>72605</v>
      </c>
      <c r="CO17" s="91">
        <v>2028</v>
      </c>
      <c r="CP17" s="91">
        <f>CP$2</f>
        <v>2011</v>
      </c>
      <c r="CQ17" s="95">
        <f t="shared" si="18"/>
        <v>17</v>
      </c>
      <c r="CR17" s="94">
        <f t="shared" si="19"/>
        <v>31677.321003986293</v>
      </c>
    </row>
    <row r="18" spans="1:96" ht="15" customHeight="1" x14ac:dyDescent="0.25">
      <c r="A18" s="115" t="s">
        <v>291</v>
      </c>
      <c r="B18" s="137" t="s">
        <v>161</v>
      </c>
      <c r="C18" s="130"/>
      <c r="D18" s="117"/>
      <c r="E18" s="117">
        <v>400</v>
      </c>
      <c r="F18" s="129">
        <v>1996</v>
      </c>
      <c r="G18" s="117"/>
      <c r="H18" s="117"/>
      <c r="K18" s="358"/>
      <c r="L18" s="77"/>
      <c r="N18" s="358"/>
      <c r="O18" s="360"/>
      <c r="P18" s="361"/>
      <c r="Q18" s="142"/>
      <c r="R18" s="140"/>
      <c r="S18" s="74"/>
      <c r="T18" s="361"/>
      <c r="U18" s="140"/>
      <c r="V18" s="140"/>
      <c r="W18" s="361"/>
      <c r="X18" s="367"/>
      <c r="Y18" s="360"/>
      <c r="Z18" s="122"/>
      <c r="AA18" s="122"/>
      <c r="AB18" s="77"/>
      <c r="AC18" s="77"/>
      <c r="AD18" s="378"/>
      <c r="AE18" s="77"/>
      <c r="AF18" s="77"/>
      <c r="AG18" s="378"/>
      <c r="AH18" s="367"/>
      <c r="AI18" s="360"/>
      <c r="AJ18" s="91"/>
      <c r="AK18" s="77"/>
      <c r="AL18" s="77"/>
      <c r="AM18" s="378"/>
      <c r="AO18" s="79"/>
      <c r="AP18" s="378"/>
      <c r="AQ18" s="370"/>
      <c r="AR18" s="361"/>
      <c r="AS18" s="122"/>
      <c r="AT18" s="77"/>
      <c r="AU18" s="77"/>
      <c r="AV18" s="378"/>
      <c r="AW18" s="77"/>
      <c r="AX18" s="77"/>
      <c r="AY18" s="378"/>
      <c r="AZ18" s="370"/>
      <c r="BA18" s="361"/>
      <c r="BB18" s="122"/>
      <c r="BC18" s="77"/>
      <c r="BD18" s="77"/>
      <c r="BE18" s="378"/>
      <c r="BF18" s="77"/>
      <c r="BG18" s="77"/>
      <c r="BH18" s="378"/>
      <c r="BI18" s="367"/>
      <c r="BJ18" s="360"/>
      <c r="BK18" s="91"/>
      <c r="BM18" s="77"/>
      <c r="BN18" s="378"/>
      <c r="BO18" s="77"/>
      <c r="BP18" s="77"/>
      <c r="BQ18" s="378"/>
      <c r="BR18" s="367"/>
      <c r="BS18" s="360"/>
      <c r="BT18" s="91"/>
      <c r="BU18" s="77"/>
      <c r="BV18" s="77"/>
      <c r="BW18" s="378"/>
      <c r="BX18" s="77"/>
      <c r="BY18" s="77"/>
      <c r="BZ18" s="378"/>
      <c r="CA18" s="370"/>
      <c r="CB18" s="361"/>
      <c r="CC18" s="122"/>
      <c r="CD18" s="77"/>
      <c r="CF18" s="378"/>
      <c r="CG18" s="79"/>
      <c r="CI18" s="378"/>
      <c r="CJ18" s="370"/>
      <c r="CK18" s="361"/>
      <c r="CL18" s="92"/>
      <c r="CM18" s="375"/>
      <c r="CN18" s="94">
        <v>15000</v>
      </c>
      <c r="CO18" s="91">
        <v>2011</v>
      </c>
      <c r="CP18" s="91">
        <f>CP$2</f>
        <v>2011</v>
      </c>
      <c r="CQ18" s="95">
        <f t="shared" si="18"/>
        <v>0</v>
      </c>
      <c r="CR18" s="94">
        <f t="shared" si="19"/>
        <v>15000</v>
      </c>
    </row>
    <row r="19" spans="1:96" ht="15" customHeight="1" x14ac:dyDescent="0.25">
      <c r="A19" s="115" t="s">
        <v>291</v>
      </c>
      <c r="B19" s="137" t="s">
        <v>162</v>
      </c>
      <c r="C19" s="130" t="s">
        <v>163</v>
      </c>
      <c r="D19" s="117"/>
      <c r="E19" s="117">
        <v>120</v>
      </c>
      <c r="F19" s="118">
        <v>1990</v>
      </c>
      <c r="G19" s="117">
        <v>2500</v>
      </c>
      <c r="H19" s="117">
        <v>9.3000000000000007</v>
      </c>
      <c r="I19" s="138">
        <v>9.3000000000000007</v>
      </c>
      <c r="J19">
        <f t="shared" si="0"/>
        <v>1116</v>
      </c>
      <c r="K19" s="358"/>
      <c r="L19" s="77">
        <v>6.4</v>
      </c>
      <c r="M19">
        <f t="shared" si="1"/>
        <v>768</v>
      </c>
      <c r="N19" s="358"/>
      <c r="O19" s="360"/>
      <c r="P19" s="361"/>
      <c r="Q19" s="143">
        <v>0</v>
      </c>
      <c r="R19" s="140">
        <v>9.3000000000000007</v>
      </c>
      <c r="S19" s="74">
        <f t="shared" si="17"/>
        <v>1116</v>
      </c>
      <c r="T19" s="361"/>
      <c r="U19" s="140">
        <v>6</v>
      </c>
      <c r="V19" s="140">
        <f t="shared" si="2"/>
        <v>720</v>
      </c>
      <c r="W19" s="361"/>
      <c r="X19" s="367"/>
      <c r="Y19" s="360"/>
      <c r="Z19" s="144">
        <v>0</v>
      </c>
      <c r="AA19" s="144">
        <v>0</v>
      </c>
      <c r="AB19" s="77">
        <v>9.3000000000000007</v>
      </c>
      <c r="AC19" s="77">
        <f>SUM(E19*AB19)</f>
        <v>1116</v>
      </c>
      <c r="AD19" s="378"/>
      <c r="AE19" s="77">
        <v>4.9000000000000004</v>
      </c>
      <c r="AF19" s="77">
        <f>SUM(E19*AE19)</f>
        <v>588</v>
      </c>
      <c r="AG19" s="378"/>
      <c r="AH19" s="367"/>
      <c r="AI19" s="360"/>
      <c r="AJ19" s="37">
        <v>0</v>
      </c>
      <c r="AK19" s="77">
        <v>9.3000000000000007</v>
      </c>
      <c r="AL19" s="77">
        <f>SUM(E19*AK19)</f>
        <v>1116</v>
      </c>
      <c r="AM19" s="378"/>
      <c r="AN19" s="78">
        <v>4.3</v>
      </c>
      <c r="AO19" s="79">
        <f>SUM(E19*AN19)</f>
        <v>516</v>
      </c>
      <c r="AP19" s="378"/>
      <c r="AQ19" s="370"/>
      <c r="AR19" s="361"/>
      <c r="AS19" s="144">
        <v>0</v>
      </c>
      <c r="AT19" s="77">
        <v>9.3000000000000007</v>
      </c>
      <c r="AU19" s="77">
        <f>SUM(E19*AT19)</f>
        <v>1116</v>
      </c>
      <c r="AV19" s="378"/>
      <c r="AW19" s="77">
        <v>3.7</v>
      </c>
      <c r="AX19" s="77">
        <f>SUM(E19*AW19)</f>
        <v>444</v>
      </c>
      <c r="AY19" s="378"/>
      <c r="AZ19" s="370"/>
      <c r="BA19" s="361"/>
      <c r="BB19" s="144">
        <v>0</v>
      </c>
      <c r="BC19" s="77">
        <v>9.3000000000000007</v>
      </c>
      <c r="BD19" s="77">
        <f>SUM(E19*BC19)</f>
        <v>1116</v>
      </c>
      <c r="BE19" s="378"/>
      <c r="BF19" s="77">
        <v>3.1</v>
      </c>
      <c r="BG19" s="77">
        <f>SUM(E19*BF19)</f>
        <v>372</v>
      </c>
      <c r="BH19" s="378"/>
      <c r="BI19" s="367"/>
      <c r="BJ19" s="360"/>
      <c r="BK19" s="37">
        <v>0</v>
      </c>
      <c r="BL19">
        <v>9.3000000000000007</v>
      </c>
      <c r="BM19" s="77">
        <f>SUM(E19*BL19)</f>
        <v>1116</v>
      </c>
      <c r="BN19" s="378"/>
      <c r="BO19" s="77">
        <v>2.5</v>
      </c>
      <c r="BP19" s="77">
        <f>SUM(E19*BO19)</f>
        <v>300</v>
      </c>
      <c r="BQ19" s="378"/>
      <c r="BR19" s="367"/>
      <c r="BS19" s="360"/>
      <c r="BT19" s="37">
        <v>0</v>
      </c>
      <c r="BU19" s="77">
        <v>0.3</v>
      </c>
      <c r="BV19" s="77">
        <f>SUM(E19*BU19)</f>
        <v>36</v>
      </c>
      <c r="BW19" s="378"/>
      <c r="BX19" s="77">
        <v>1.9</v>
      </c>
      <c r="BY19" s="77">
        <f>SUM(E19*BX19)</f>
        <v>228</v>
      </c>
      <c r="BZ19" s="378"/>
      <c r="CA19" s="370"/>
      <c r="CB19" s="361"/>
      <c r="CC19" s="145">
        <f>SUM(E19*596)+12000</f>
        <v>83520</v>
      </c>
      <c r="CD19" s="77">
        <v>0.3</v>
      </c>
      <c r="CE19">
        <f>SUM(E19*CD19)</f>
        <v>36</v>
      </c>
      <c r="CF19" s="378"/>
      <c r="CG19" s="79">
        <v>1.3</v>
      </c>
      <c r="CH19">
        <f>SUM(E19*CG19)</f>
        <v>156</v>
      </c>
      <c r="CI19" s="378"/>
      <c r="CJ19" s="370"/>
      <c r="CK19" s="361"/>
      <c r="CL19" s="37">
        <v>0</v>
      </c>
      <c r="CM19" s="376"/>
      <c r="CN19" s="146">
        <f>CC19</f>
        <v>83520</v>
      </c>
      <c r="CO19" s="37">
        <v>2021</v>
      </c>
      <c r="CP19" s="37">
        <f>CP$2</f>
        <v>2011</v>
      </c>
      <c r="CQ19" s="147">
        <f t="shared" si="18"/>
        <v>10</v>
      </c>
      <c r="CR19" s="146">
        <f t="shared" si="19"/>
        <v>51274.034935724216</v>
      </c>
    </row>
    <row r="20" spans="1:96" x14ac:dyDescent="0.25">
      <c r="A20" s="148"/>
      <c r="B20" s="149"/>
      <c r="C20" s="149"/>
      <c r="D20" s="149"/>
      <c r="E20" s="149"/>
      <c r="F20" s="150"/>
      <c r="G20" s="149"/>
      <c r="H20" s="149"/>
      <c r="CM20" s="151"/>
    </row>
    <row r="21" spans="1:96" x14ac:dyDescent="0.25">
      <c r="A21" s="148"/>
      <c r="B21" s="149"/>
      <c r="C21" s="149"/>
      <c r="D21" s="149"/>
      <c r="E21" s="149"/>
      <c r="F21" s="150"/>
      <c r="G21" s="149"/>
      <c r="H21" s="149"/>
      <c r="CL21" s="78" t="s">
        <v>164</v>
      </c>
      <c r="CM21" s="152">
        <f>SUM(CM2:CM19)</f>
        <v>2798075</v>
      </c>
      <c r="CN21" s="152">
        <f>SUM(CN2:CN19)</f>
        <v>2798075</v>
      </c>
      <c r="CR21" s="152">
        <f>SUM(CR2:CR20)</f>
        <v>1599220.9730457237</v>
      </c>
    </row>
    <row r="22" spans="1:96" ht="30" x14ac:dyDescent="0.25">
      <c r="A22" s="153" t="s">
        <v>165</v>
      </c>
      <c r="B22" s="154" t="s">
        <v>166</v>
      </c>
      <c r="C22" s="149"/>
      <c r="D22" s="149"/>
      <c r="E22" s="149"/>
      <c r="F22" s="150"/>
      <c r="G22" s="149"/>
      <c r="H22" s="149"/>
      <c r="K22" s="3" t="s">
        <v>167</v>
      </c>
    </row>
    <row r="23" spans="1:96" x14ac:dyDescent="0.25">
      <c r="A23" s="115" t="s">
        <v>289</v>
      </c>
      <c r="B23" s="116" t="s">
        <v>168</v>
      </c>
      <c r="C23" s="116" t="s">
        <v>169</v>
      </c>
      <c r="D23" s="117"/>
      <c r="E23" s="117">
        <v>90</v>
      </c>
      <c r="F23" s="155">
        <v>1994</v>
      </c>
      <c r="G23" s="117">
        <v>480</v>
      </c>
      <c r="H23" s="117">
        <v>9.9</v>
      </c>
      <c r="I23" s="138">
        <v>9.9</v>
      </c>
      <c r="J23">
        <f>SUM(E23*I23*K23)</f>
        <v>623.69999999999993</v>
      </c>
      <c r="K23" s="117">
        <v>0.7</v>
      </c>
      <c r="L23">
        <v>7.1</v>
      </c>
      <c r="M23">
        <f>SUM(E23*L23)</f>
        <v>639</v>
      </c>
    </row>
    <row r="24" spans="1:96" x14ac:dyDescent="0.25">
      <c r="A24" s="355" t="s">
        <v>170</v>
      </c>
      <c r="B24" s="355"/>
      <c r="C24" s="355"/>
      <c r="D24" s="355"/>
      <c r="E24" s="355"/>
      <c r="F24" s="355"/>
      <c r="G24" s="156"/>
      <c r="H24" s="156"/>
      <c r="I24" s="156"/>
    </row>
    <row r="25" spans="1:96" x14ac:dyDescent="0.25">
      <c r="A25" s="157" t="s">
        <v>289</v>
      </c>
      <c r="B25" s="117" t="s">
        <v>171</v>
      </c>
      <c r="C25" s="117"/>
      <c r="D25" s="117"/>
      <c r="E25" s="117">
        <v>362</v>
      </c>
      <c r="F25" s="155">
        <v>1984</v>
      </c>
      <c r="G25" s="117">
        <v>220</v>
      </c>
      <c r="H25" s="117">
        <v>11.9</v>
      </c>
      <c r="I25" s="138">
        <v>11.9</v>
      </c>
      <c r="J25">
        <f>SUM(E25*I25)</f>
        <v>4307.8</v>
      </c>
      <c r="L25">
        <v>5.9</v>
      </c>
      <c r="M25">
        <f>SUM(E25*L25)</f>
        <v>2135.8000000000002</v>
      </c>
    </row>
    <row r="28" spans="1:96" ht="30" customHeight="1" x14ac:dyDescent="0.25">
      <c r="A28" s="356" t="s">
        <v>172</v>
      </c>
      <c r="B28" s="356"/>
      <c r="C28" s="356"/>
      <c r="D28" s="356"/>
      <c r="E28" s="356"/>
      <c r="F28" s="356"/>
      <c r="G28" s="158"/>
      <c r="H28" s="158"/>
      <c r="I28" s="158"/>
      <c r="J28" s="158"/>
      <c r="K28" s="158"/>
      <c r="L28" s="158"/>
      <c r="M28" s="158"/>
      <c r="N28" s="158"/>
    </row>
    <row r="29" spans="1:96" ht="15" customHeight="1" x14ac:dyDescent="0.25">
      <c r="A29" s="115" t="s">
        <v>291</v>
      </c>
      <c r="B29" s="137" t="s">
        <v>161</v>
      </c>
      <c r="C29" s="130" t="s">
        <v>152</v>
      </c>
      <c r="D29" s="116" t="s">
        <v>173</v>
      </c>
      <c r="E29" s="117">
        <v>400</v>
      </c>
      <c r="F29" s="155">
        <v>1996</v>
      </c>
      <c r="G29" s="117">
        <v>2000</v>
      </c>
      <c r="H29" s="117">
        <v>6.9</v>
      </c>
      <c r="I29" s="138">
        <v>6.9</v>
      </c>
      <c r="J29">
        <f>SUM(E29*I29)</f>
        <v>2760</v>
      </c>
      <c r="K29" s="159"/>
      <c r="L29" s="77"/>
      <c r="N29" s="159"/>
      <c r="O29" s="74"/>
      <c r="P29" s="74"/>
    </row>
    <row r="31" spans="1:96" ht="15" hidden="1" customHeight="1" x14ac:dyDescent="0.25">
      <c r="A31" t="s">
        <v>174</v>
      </c>
      <c r="E31" t="s">
        <v>175</v>
      </c>
    </row>
    <row r="32" spans="1:96" ht="15" hidden="1" customHeight="1" x14ac:dyDescent="0.25">
      <c r="A32" t="s">
        <v>176</v>
      </c>
      <c r="E32">
        <f>SUM(E2:E6,E23,E25)*0.1</f>
        <v>161.20000000000002</v>
      </c>
      <c r="X32">
        <f>SUM(E12:E19)*0.1-SUM(E12-O12)</f>
        <v>-16</v>
      </c>
    </row>
    <row r="33" spans="1:6" ht="15" hidden="1" customHeight="1" x14ac:dyDescent="0.25">
      <c r="A33" t="s">
        <v>177</v>
      </c>
      <c r="E33">
        <f>SUM(E7:E11)*0.1</f>
        <v>124.5</v>
      </c>
    </row>
    <row r="34" spans="1:6" ht="15" hidden="1" customHeight="1" x14ac:dyDescent="0.25">
      <c r="A34" t="s">
        <v>178</v>
      </c>
      <c r="E34">
        <f>SUM(E12:E19)*0.1</f>
        <v>179.5</v>
      </c>
    </row>
    <row r="35" spans="1:6" x14ac:dyDescent="0.25">
      <c r="A35" t="s">
        <v>179</v>
      </c>
    </row>
    <row r="36" spans="1:6" ht="45" customHeight="1" x14ac:dyDescent="0.25">
      <c r="A36" s="351" t="s">
        <v>292</v>
      </c>
      <c r="B36" s="351"/>
      <c r="C36" s="351"/>
      <c r="D36" s="351"/>
      <c r="E36" s="351"/>
      <c r="F36" s="351"/>
    </row>
    <row r="37" spans="1:6" ht="60" customHeight="1" x14ac:dyDescent="0.25">
      <c r="A37" s="351" t="s">
        <v>180</v>
      </c>
      <c r="B37" s="351"/>
      <c r="C37" s="351"/>
      <c r="D37" s="351"/>
      <c r="E37" s="351"/>
      <c r="F37" s="351"/>
    </row>
    <row r="38" spans="1:6" ht="60" customHeight="1" x14ac:dyDescent="0.25">
      <c r="A38" s="351" t="s">
        <v>181</v>
      </c>
      <c r="B38" s="351"/>
      <c r="C38" s="351"/>
      <c r="D38" s="351"/>
      <c r="E38" s="351"/>
      <c r="F38" s="351"/>
    </row>
    <row r="39" spans="1:6" ht="45" customHeight="1" x14ac:dyDescent="0.25">
      <c r="A39" s="351" t="s">
        <v>293</v>
      </c>
      <c r="B39" s="351"/>
      <c r="C39" s="351"/>
      <c r="D39" s="351"/>
      <c r="E39" s="351"/>
      <c r="F39" s="352"/>
    </row>
  </sheetData>
  <mergeCells count="117">
    <mergeCell ref="X2:X6"/>
    <mergeCell ref="Y2:Y6"/>
    <mergeCell ref="AD2:AD6"/>
    <mergeCell ref="AG2:AG6"/>
    <mergeCell ref="AH2:AH6"/>
    <mergeCell ref="AI2:AI6"/>
    <mergeCell ref="K2:K6"/>
    <mergeCell ref="N2:N6"/>
    <mergeCell ref="O2:O6"/>
    <mergeCell ref="P2:P6"/>
    <mergeCell ref="T2:T6"/>
    <mergeCell ref="W2:W6"/>
    <mergeCell ref="BE2:BE6"/>
    <mergeCell ref="BH2:BH6"/>
    <mergeCell ref="BI2:BI6"/>
    <mergeCell ref="BJ2:BJ6"/>
    <mergeCell ref="AM2:AM6"/>
    <mergeCell ref="AP2:AP6"/>
    <mergeCell ref="AQ2:AQ6"/>
    <mergeCell ref="AR2:AR6"/>
    <mergeCell ref="AV2:AV6"/>
    <mergeCell ref="AY2:AY6"/>
    <mergeCell ref="CM2:CM6"/>
    <mergeCell ref="K7:K11"/>
    <mergeCell ref="N7:N11"/>
    <mergeCell ref="O7:O11"/>
    <mergeCell ref="P7:P11"/>
    <mergeCell ref="T7:T11"/>
    <mergeCell ref="W7:W11"/>
    <mergeCell ref="X7:X11"/>
    <mergeCell ref="Y7:Y11"/>
    <mergeCell ref="AD7:AD11"/>
    <mergeCell ref="CA2:CA6"/>
    <mergeCell ref="CB2:CB6"/>
    <mergeCell ref="CF2:CF6"/>
    <mergeCell ref="CI2:CI6"/>
    <mergeCell ref="CJ2:CJ6"/>
    <mergeCell ref="CK2:CK6"/>
    <mergeCell ref="BN2:BN6"/>
    <mergeCell ref="BQ2:BQ6"/>
    <mergeCell ref="BR2:BR6"/>
    <mergeCell ref="BS2:BS6"/>
    <mergeCell ref="BW2:BW6"/>
    <mergeCell ref="BZ2:BZ6"/>
    <mergeCell ref="AZ2:AZ6"/>
    <mergeCell ref="BA2:BA6"/>
    <mergeCell ref="AY7:AY11"/>
    <mergeCell ref="AZ7:AZ11"/>
    <mergeCell ref="BA7:BA11"/>
    <mergeCell ref="BE7:BE11"/>
    <mergeCell ref="AG7:AG11"/>
    <mergeCell ref="AH7:AH11"/>
    <mergeCell ref="AI7:AI11"/>
    <mergeCell ref="AM7:AM11"/>
    <mergeCell ref="AP7:AP11"/>
    <mergeCell ref="AQ7:AQ11"/>
    <mergeCell ref="CI7:CI11"/>
    <mergeCell ref="CJ7:CJ11"/>
    <mergeCell ref="CK7:CK11"/>
    <mergeCell ref="CM7:CM11"/>
    <mergeCell ref="K12:K19"/>
    <mergeCell ref="N12:N19"/>
    <mergeCell ref="O12:O19"/>
    <mergeCell ref="P12:P19"/>
    <mergeCell ref="T12:T19"/>
    <mergeCell ref="W12:W19"/>
    <mergeCell ref="BS7:BS11"/>
    <mergeCell ref="BW7:BW11"/>
    <mergeCell ref="BZ7:BZ11"/>
    <mergeCell ref="CA7:CA11"/>
    <mergeCell ref="CB7:CB11"/>
    <mergeCell ref="CF7:CF11"/>
    <mergeCell ref="BH7:BH11"/>
    <mergeCell ref="BI7:BI11"/>
    <mergeCell ref="BJ7:BJ11"/>
    <mergeCell ref="BN7:BN11"/>
    <mergeCell ref="BQ7:BQ11"/>
    <mergeCell ref="BR7:BR11"/>
    <mergeCell ref="AR7:AR11"/>
    <mergeCell ref="AV7:AV11"/>
    <mergeCell ref="BJ12:BJ19"/>
    <mergeCell ref="AM12:AM19"/>
    <mergeCell ref="AP12:AP19"/>
    <mergeCell ref="AQ12:AQ19"/>
    <mergeCell ref="AR12:AR19"/>
    <mergeCell ref="AV12:AV19"/>
    <mergeCell ref="AY12:AY19"/>
    <mergeCell ref="X12:X19"/>
    <mergeCell ref="Y12:Y19"/>
    <mergeCell ref="AD12:AD19"/>
    <mergeCell ref="AG12:AG19"/>
    <mergeCell ref="AH12:AH19"/>
    <mergeCell ref="AI12:AI19"/>
    <mergeCell ref="A39:F39"/>
    <mergeCell ref="CM12:CM19"/>
    <mergeCell ref="A24:F24"/>
    <mergeCell ref="A28:F28"/>
    <mergeCell ref="A36:F36"/>
    <mergeCell ref="A37:F37"/>
    <mergeCell ref="A38:F38"/>
    <mergeCell ref="CA12:CA19"/>
    <mergeCell ref="CB12:CB19"/>
    <mergeCell ref="CF12:CF19"/>
    <mergeCell ref="CI12:CI19"/>
    <mergeCell ref="CJ12:CJ19"/>
    <mergeCell ref="CK12:CK19"/>
    <mergeCell ref="BN12:BN19"/>
    <mergeCell ref="BQ12:BQ19"/>
    <mergeCell ref="BR12:BR19"/>
    <mergeCell ref="BS12:BS19"/>
    <mergeCell ref="BW12:BW19"/>
    <mergeCell ref="BZ12:BZ19"/>
    <mergeCell ref="AZ12:AZ19"/>
    <mergeCell ref="BA12:BA19"/>
    <mergeCell ref="BE12:BE19"/>
    <mergeCell ref="BH12:BH19"/>
    <mergeCell ref="BI12:BI19"/>
  </mergeCells>
  <pageMargins left="0.7" right="0.7" top="0.75" bottom="0.7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C2:L33"/>
  <sheetViews>
    <sheetView workbookViewId="0">
      <selection activeCell="C3" sqref="C3"/>
    </sheetView>
  </sheetViews>
  <sheetFormatPr defaultRowHeight="15" x14ac:dyDescent="0.25"/>
  <cols>
    <col min="3" max="3" width="41.42578125" customWidth="1"/>
    <col min="4" max="4" width="15.85546875" customWidth="1"/>
    <col min="7" max="7" width="41.140625" customWidth="1"/>
    <col min="8" max="8" width="19.5703125" customWidth="1"/>
    <col min="9" max="9" width="15.85546875" customWidth="1"/>
    <col min="11" max="11" width="41" customWidth="1"/>
    <col min="12" max="12" width="20.85546875" customWidth="1"/>
  </cols>
  <sheetData>
    <row r="2" spans="3:12" ht="15.75" x14ac:dyDescent="0.25">
      <c r="C2" s="15" t="s">
        <v>61</v>
      </c>
      <c r="D2" s="15"/>
      <c r="G2" s="15" t="s">
        <v>60</v>
      </c>
      <c r="H2" s="15"/>
      <c r="K2" s="15" t="s">
        <v>59</v>
      </c>
      <c r="L2" s="15"/>
    </row>
    <row r="3" spans="3:12" ht="15.75" x14ac:dyDescent="0.25">
      <c r="C3" s="16" t="s">
        <v>28</v>
      </c>
      <c r="D3" s="17" t="s">
        <v>42</v>
      </c>
      <c r="G3" s="16" t="s">
        <v>28</v>
      </c>
      <c r="H3" s="32" t="s">
        <v>33</v>
      </c>
      <c r="I3" s="45"/>
      <c r="K3" s="16" t="s">
        <v>28</v>
      </c>
      <c r="L3" s="19" t="s">
        <v>34</v>
      </c>
    </row>
    <row r="4" spans="3:12" ht="15.75" x14ac:dyDescent="0.25">
      <c r="C4" s="16" t="s">
        <v>27</v>
      </c>
      <c r="D4" s="18">
        <f>'Form 399 Data'!I8</f>
        <v>11</v>
      </c>
      <c r="G4" s="16" t="s">
        <v>27</v>
      </c>
      <c r="H4" s="18">
        <f>'Form 399 Data'!M8</f>
        <v>77</v>
      </c>
      <c r="I4" s="45"/>
      <c r="K4" s="16" t="s">
        <v>27</v>
      </c>
      <c r="L4" s="18">
        <f>'Form 399 Data'!K8+'Form 399 Data'!J8</f>
        <v>37</v>
      </c>
    </row>
    <row r="5" spans="3:12" ht="15.75" x14ac:dyDescent="0.25">
      <c r="C5" s="345" t="s">
        <v>29</v>
      </c>
      <c r="D5" s="346"/>
      <c r="G5" s="345" t="s">
        <v>29</v>
      </c>
      <c r="H5" s="346"/>
      <c r="I5" s="46"/>
      <c r="K5" s="347" t="s">
        <v>29</v>
      </c>
      <c r="L5" s="347"/>
    </row>
    <row r="6" spans="3:12" ht="15.75" x14ac:dyDescent="0.25">
      <c r="C6" s="16" t="s">
        <v>8</v>
      </c>
      <c r="D6" s="16">
        <f>'Form 399 Data'!I9</f>
        <v>2</v>
      </c>
      <c r="G6" s="16" t="s">
        <v>8</v>
      </c>
      <c r="H6" s="16">
        <f>'Form 399 Data'!M9</f>
        <v>4</v>
      </c>
      <c r="I6" s="45"/>
      <c r="K6" s="16" t="s">
        <v>8</v>
      </c>
      <c r="L6" s="16">
        <f>'Form 399 Data'!K9+'Form 399 Data'!J9</f>
        <v>4</v>
      </c>
    </row>
    <row r="7" spans="3:12" ht="15.75" x14ac:dyDescent="0.25">
      <c r="C7" s="16" t="s">
        <v>35</v>
      </c>
      <c r="D7" s="16">
        <f>'Form 399 Data'!I10</f>
        <v>1</v>
      </c>
      <c r="G7" s="16" t="s">
        <v>35</v>
      </c>
      <c r="H7" s="16">
        <f>'Form 399 Data'!M10</f>
        <v>2</v>
      </c>
      <c r="I7" s="45"/>
      <c r="K7" s="16" t="s">
        <v>35</v>
      </c>
      <c r="L7" s="16">
        <f>'Form 399 Data'!K10+'Form 399 Data'!J10</f>
        <v>3</v>
      </c>
    </row>
    <row r="8" spans="3:12" ht="15.75" x14ac:dyDescent="0.25">
      <c r="C8" s="16" t="s">
        <v>36</v>
      </c>
      <c r="D8" s="16">
        <f>'Form 399 Data'!I11</f>
        <v>0</v>
      </c>
      <c r="G8" s="16" t="s">
        <v>36</v>
      </c>
      <c r="H8" s="16">
        <f>'Form 399 Data'!M11</f>
        <v>1</v>
      </c>
      <c r="I8" s="45"/>
      <c r="K8" s="16" t="s">
        <v>36</v>
      </c>
      <c r="L8" s="16">
        <f>'Form 399 Data'!K11+'Form 399 Data'!J11</f>
        <v>0</v>
      </c>
    </row>
    <row r="9" spans="3:12" ht="15.75" x14ac:dyDescent="0.25">
      <c r="C9" s="16" t="s">
        <v>11</v>
      </c>
      <c r="D9" s="16">
        <f>'Form 399 Data'!I12</f>
        <v>1</v>
      </c>
      <c r="G9" s="16" t="s">
        <v>11</v>
      </c>
      <c r="H9" s="16">
        <f>'Form 399 Data'!M12</f>
        <v>4</v>
      </c>
      <c r="I9" s="45"/>
      <c r="K9" s="16" t="s">
        <v>11</v>
      </c>
      <c r="L9" s="16">
        <f>'Form 399 Data'!K12+'Form 399 Data'!J12</f>
        <v>2</v>
      </c>
    </row>
    <row r="10" spans="3:12" ht="15.75" x14ac:dyDescent="0.25">
      <c r="C10" s="345" t="s">
        <v>46</v>
      </c>
      <c r="D10" s="346"/>
      <c r="G10" s="345" t="s">
        <v>46</v>
      </c>
      <c r="H10" s="346"/>
      <c r="I10" s="46"/>
      <c r="K10" s="347" t="s">
        <v>46</v>
      </c>
      <c r="L10" s="347"/>
    </row>
    <row r="11" spans="3:12" ht="15.75" x14ac:dyDescent="0.25">
      <c r="C11" s="16" t="s">
        <v>3</v>
      </c>
      <c r="D11" s="20">
        <f>'Form 399 Data'!I14</f>
        <v>-27689.74358974359</v>
      </c>
      <c r="G11" s="16" t="s">
        <v>3</v>
      </c>
      <c r="H11" s="20">
        <f>'Form 399 Data'!M14</f>
        <v>-55379.48717948718</v>
      </c>
      <c r="I11" s="47"/>
      <c r="K11" s="16" t="s">
        <v>3</v>
      </c>
      <c r="L11" s="20">
        <f>'Form 399 Data'!K14+'Form 399 Data'!J14</f>
        <v>-55379.48717948718</v>
      </c>
    </row>
    <row r="12" spans="3:12" ht="15.75" x14ac:dyDescent="0.25">
      <c r="C12" s="16" t="s">
        <v>4</v>
      </c>
      <c r="D12" s="20">
        <f>'Form 399 Data'!I15</f>
        <v>-18823.863636363636</v>
      </c>
      <c r="G12" s="16" t="s">
        <v>4</v>
      </c>
      <c r="H12" s="20">
        <f>'Form 399 Data'!M15</f>
        <v>-37647.727272727272</v>
      </c>
      <c r="I12" s="47"/>
      <c r="K12" s="16" t="s">
        <v>4</v>
      </c>
      <c r="L12" s="20">
        <f>'Form 399 Data'!K15+'Form 399 Data'!J15</f>
        <v>-56471.590909090912</v>
      </c>
    </row>
    <row r="13" spans="3:12" ht="15.75" x14ac:dyDescent="0.25">
      <c r="C13" s="16" t="s">
        <v>5</v>
      </c>
      <c r="D13" s="20">
        <f>'Form 399 Data'!I16</f>
        <v>0</v>
      </c>
      <c r="G13" s="16" t="s">
        <v>5</v>
      </c>
      <c r="H13" s="20">
        <f>'Form 399 Data'!M16</f>
        <v>-78975.777777777766</v>
      </c>
      <c r="I13" s="47"/>
      <c r="K13" s="16" t="s">
        <v>5</v>
      </c>
      <c r="L13" s="20">
        <f>'Form 399 Data'!K16+'Form 399 Data'!J16</f>
        <v>0</v>
      </c>
    </row>
    <row r="14" spans="3:12" ht="15.75" x14ac:dyDescent="0.25">
      <c r="C14" s="16" t="s">
        <v>6</v>
      </c>
      <c r="D14" s="20">
        <f>'Form 399 Data'!I17</f>
        <v>26968.75</v>
      </c>
      <c r="G14" s="16" t="s">
        <v>6</v>
      </c>
      <c r="H14" s="20">
        <f>'Form 399 Data'!M17</f>
        <v>107875</v>
      </c>
      <c r="I14" s="47"/>
      <c r="K14" s="16" t="s">
        <v>6</v>
      </c>
      <c r="L14" s="20">
        <f>'Form 399 Data'!K17+'Form 399 Data'!J17</f>
        <v>53937.5</v>
      </c>
    </row>
    <row r="15" spans="3:12" ht="15.75" x14ac:dyDescent="0.25">
      <c r="C15" s="21" t="s">
        <v>13</v>
      </c>
      <c r="D15" s="22">
        <f>'Form 399 Data'!I18</f>
        <v>5940</v>
      </c>
      <c r="G15" s="21" t="s">
        <v>13</v>
      </c>
      <c r="H15" s="22">
        <f>'Form 399 Data'!M18</f>
        <v>44050</v>
      </c>
      <c r="I15" s="48"/>
      <c r="K15" s="21" t="s">
        <v>13</v>
      </c>
      <c r="L15" s="22">
        <f>'Form 399 Data'!K18+'Form 399 Data'!K18</f>
        <v>24840</v>
      </c>
    </row>
    <row r="16" spans="3:12" ht="15.75" x14ac:dyDescent="0.25">
      <c r="C16" s="21" t="s">
        <v>14</v>
      </c>
      <c r="D16" s="22">
        <f>'Form 399 Data'!I19</f>
        <v>-13604.857226107226</v>
      </c>
      <c r="G16" s="21" t="s">
        <v>14</v>
      </c>
      <c r="H16" s="22">
        <f>'Form 399 Data'!M19</f>
        <v>-20077.992229992233</v>
      </c>
      <c r="I16" s="48"/>
      <c r="K16" s="21" t="s">
        <v>14</v>
      </c>
      <c r="L16" s="22">
        <f>'Form 399 Data'!K19+'Form 399 Data'!J19</f>
        <v>-37933.578088578084</v>
      </c>
    </row>
    <row r="17" spans="3:12" ht="15.75" x14ac:dyDescent="0.25">
      <c r="C17" s="43" t="s">
        <v>30</v>
      </c>
      <c r="D17" s="44"/>
      <c r="G17" s="349" t="s">
        <v>30</v>
      </c>
      <c r="H17" s="350"/>
      <c r="I17" s="49"/>
      <c r="K17" s="348" t="s">
        <v>30</v>
      </c>
      <c r="L17" s="348"/>
    </row>
    <row r="18" spans="3:12" ht="15.75" x14ac:dyDescent="0.25">
      <c r="C18" s="345" t="s">
        <v>32</v>
      </c>
      <c r="D18" s="346"/>
      <c r="G18" s="345" t="s">
        <v>32</v>
      </c>
      <c r="H18" s="346"/>
      <c r="I18" s="45"/>
      <c r="K18" s="347" t="s">
        <v>32</v>
      </c>
      <c r="L18" s="347"/>
    </row>
    <row r="19" spans="3:12" ht="15.75" x14ac:dyDescent="0.25">
      <c r="C19" s="16" t="s">
        <v>8</v>
      </c>
      <c r="D19" s="23">
        <f>'Form 399 Data'!I28</f>
        <v>1</v>
      </c>
      <c r="G19" s="16" t="s">
        <v>8</v>
      </c>
      <c r="H19" s="23">
        <f>'Form 399 Data'!M28</f>
        <v>2</v>
      </c>
      <c r="I19" s="50"/>
      <c r="K19" s="16" t="s">
        <v>8</v>
      </c>
      <c r="L19" s="23">
        <f>'Form 399 Data'!K28+'Form 399 Data'!J28</f>
        <v>2</v>
      </c>
    </row>
    <row r="20" spans="3:12" ht="15.75" x14ac:dyDescent="0.25">
      <c r="C20" s="16" t="s">
        <v>35</v>
      </c>
      <c r="D20" s="23">
        <f>'Form 399 Data'!I29</f>
        <v>1</v>
      </c>
      <c r="G20" s="16" t="s">
        <v>35</v>
      </c>
      <c r="H20" s="23">
        <f>'Form 399 Data'!M29</f>
        <v>2</v>
      </c>
      <c r="I20" s="50"/>
      <c r="K20" s="16" t="s">
        <v>35</v>
      </c>
      <c r="L20" s="23">
        <f>'Form 399 Data'!K29+'Form 399 Data'!J29</f>
        <v>3</v>
      </c>
    </row>
    <row r="21" spans="3:12" ht="15.75" x14ac:dyDescent="0.25">
      <c r="C21" s="16" t="s">
        <v>36</v>
      </c>
      <c r="D21" s="23">
        <f>'Form 399 Data'!I30</f>
        <v>0</v>
      </c>
      <c r="G21" s="16" t="s">
        <v>36</v>
      </c>
      <c r="H21" s="23">
        <f>'Form 399 Data'!M30</f>
        <v>0</v>
      </c>
      <c r="I21" s="50"/>
      <c r="K21" s="16" t="s">
        <v>36</v>
      </c>
      <c r="L21" s="23">
        <f>'Form 399 Data'!K30+'Form 399 Data'!J30</f>
        <v>0</v>
      </c>
    </row>
    <row r="22" spans="3:12" ht="15.75" x14ac:dyDescent="0.25">
      <c r="C22" s="16" t="s">
        <v>11</v>
      </c>
      <c r="D22" s="23">
        <f>'Form 399 Data'!I31</f>
        <v>0</v>
      </c>
      <c r="G22" s="16" t="s">
        <v>11</v>
      </c>
      <c r="H22" s="23">
        <f>'Form 399 Data'!M31</f>
        <v>1</v>
      </c>
      <c r="I22" s="50"/>
      <c r="K22" s="16" t="s">
        <v>11</v>
      </c>
      <c r="L22" s="23">
        <f>'Form 399 Data'!K31+'Form 399 Data'!J31</f>
        <v>0</v>
      </c>
    </row>
    <row r="23" spans="3:12" ht="15.75" x14ac:dyDescent="0.25">
      <c r="C23" s="345" t="s">
        <v>45</v>
      </c>
      <c r="D23" s="346"/>
      <c r="G23" s="345" t="s">
        <v>45</v>
      </c>
      <c r="H23" s="346"/>
      <c r="I23" s="46"/>
      <c r="K23" s="347" t="s">
        <v>45</v>
      </c>
      <c r="L23" s="347"/>
    </row>
    <row r="24" spans="3:12" ht="15.75" x14ac:dyDescent="0.25">
      <c r="C24" s="16" t="s">
        <v>3</v>
      </c>
      <c r="D24" s="20">
        <f>'Form 399 Data'!I35</f>
        <v>-13844.871794871795</v>
      </c>
      <c r="G24" s="16" t="s">
        <v>3</v>
      </c>
      <c r="H24" s="20">
        <f>'Form 399 Data'!M35</f>
        <v>-27689.74358974359</v>
      </c>
      <c r="I24" s="47"/>
      <c r="K24" s="16" t="s">
        <v>3</v>
      </c>
      <c r="L24" s="20">
        <f>'Form 399 Data'!K35+'Form 399 Data'!J35</f>
        <v>-27689.74358974359</v>
      </c>
    </row>
    <row r="25" spans="3:12" ht="15.75" x14ac:dyDescent="0.25">
      <c r="C25" s="16" t="s">
        <v>4</v>
      </c>
      <c r="D25" s="20">
        <f>'Form 399 Data'!I36</f>
        <v>-18823.863636363636</v>
      </c>
      <c r="G25" s="16" t="s">
        <v>4</v>
      </c>
      <c r="H25" s="20">
        <f>'Form 399 Data'!M36</f>
        <v>-37647.727272727272</v>
      </c>
      <c r="I25" s="47"/>
      <c r="K25" s="16" t="s">
        <v>4</v>
      </c>
      <c r="L25" s="20">
        <f>'Form 399 Data'!K36+'Form 399 Data'!J36</f>
        <v>-56471.590909090912</v>
      </c>
    </row>
    <row r="26" spans="3:12" ht="15.75" x14ac:dyDescent="0.25">
      <c r="C26" s="16" t="s">
        <v>5</v>
      </c>
      <c r="D26" s="20">
        <f>'Form 399 Data'!I37</f>
        <v>0</v>
      </c>
      <c r="G26" s="16" t="s">
        <v>5</v>
      </c>
      <c r="H26" s="20">
        <f>'Form 399 Data'!M37</f>
        <v>0</v>
      </c>
      <c r="I26" s="47"/>
      <c r="K26" s="16" t="s">
        <v>5</v>
      </c>
      <c r="L26" s="20">
        <f>'Form 399 Data'!K37+'Form 399 Data'!J37</f>
        <v>0</v>
      </c>
    </row>
    <row r="27" spans="3:12" ht="15.75" x14ac:dyDescent="0.25">
      <c r="C27" s="16" t="s">
        <v>6</v>
      </c>
      <c r="D27" s="20">
        <f>'Form 399 Data'!I38</f>
        <v>0</v>
      </c>
      <c r="G27" s="16" t="s">
        <v>6</v>
      </c>
      <c r="H27" s="20">
        <f>'Form 399 Data'!M38</f>
        <v>26968.75</v>
      </c>
      <c r="I27" s="47"/>
      <c r="K27" s="16" t="s">
        <v>6</v>
      </c>
      <c r="L27" s="20">
        <f>'Form 399 Data'!K38+'Form 399 Data'!J38</f>
        <v>0</v>
      </c>
    </row>
    <row r="28" spans="3:12" ht="15.75" x14ac:dyDescent="0.25">
      <c r="C28" s="21" t="s">
        <v>13</v>
      </c>
      <c r="D28" s="20">
        <f>'Form 399 Data'!I39</f>
        <v>0</v>
      </c>
      <c r="G28" s="21" t="s">
        <v>47</v>
      </c>
      <c r="H28" s="22">
        <f>'Form 399 Data'!M39</f>
        <v>9400</v>
      </c>
      <c r="I28" s="48"/>
      <c r="K28" s="21" t="s">
        <v>13</v>
      </c>
      <c r="L28" s="22">
        <f>'Form 399 Data'!K39+'Form 399 Data'!J39</f>
        <v>0</v>
      </c>
    </row>
    <row r="29" spans="3:12" ht="15.75" x14ac:dyDescent="0.25">
      <c r="C29" s="21" t="s">
        <v>14</v>
      </c>
      <c r="D29" s="20">
        <f>'Form 399 Data'!I40</f>
        <v>-32668.735431235429</v>
      </c>
      <c r="G29" s="21" t="s">
        <v>14</v>
      </c>
      <c r="H29" s="22">
        <f>'Form 399 Data'!M40</f>
        <v>-28968.720862470858</v>
      </c>
      <c r="I29" s="48"/>
      <c r="K29" s="21" t="s">
        <v>14</v>
      </c>
      <c r="L29" s="22">
        <f>'Form 399 Data'!K40+'Form 399 Data'!J40</f>
        <v>-84161.334498834505</v>
      </c>
    </row>
    <row r="30" spans="3:12" ht="31.5" x14ac:dyDescent="0.25">
      <c r="C30" s="52" t="s">
        <v>48</v>
      </c>
      <c r="D30" s="20">
        <f>'Form 399 Data'!I43</f>
        <v>660</v>
      </c>
      <c r="G30" s="52" t="s">
        <v>48</v>
      </c>
      <c r="H30" s="20">
        <f>'Form 399 Data'!M43</f>
        <v>3850</v>
      </c>
      <c r="I30" s="47"/>
      <c r="K30" s="52" t="s">
        <v>48</v>
      </c>
      <c r="L30" s="22">
        <f>'Form 399 Data'!K43+'Form 399 Data'!J43</f>
        <v>2220</v>
      </c>
    </row>
    <row r="31" spans="3:12" ht="15.75" x14ac:dyDescent="0.25">
      <c r="C31" s="15"/>
      <c r="D31" s="15"/>
      <c r="I31" s="51"/>
    </row>
    <row r="32" spans="3:12" ht="15.75" x14ac:dyDescent="0.25">
      <c r="C32" s="15"/>
      <c r="D32" s="15"/>
      <c r="I32" s="51"/>
    </row>
    <row r="33" spans="9:9" x14ac:dyDescent="0.25">
      <c r="I33" s="51"/>
    </row>
  </sheetData>
  <mergeCells count="14">
    <mergeCell ref="C23:D23"/>
    <mergeCell ref="C18:D18"/>
    <mergeCell ref="C10:D10"/>
    <mergeCell ref="C5:D5"/>
    <mergeCell ref="K5:L5"/>
    <mergeCell ref="K10:L10"/>
    <mergeCell ref="K17:L17"/>
    <mergeCell ref="K18:L18"/>
    <mergeCell ref="K23:L23"/>
    <mergeCell ref="G5:H5"/>
    <mergeCell ref="G10:H10"/>
    <mergeCell ref="G17:H17"/>
    <mergeCell ref="G18:H18"/>
    <mergeCell ref="G23:H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Cost Summary</vt:lpstr>
      <vt:lpstr>No VDECS $ PV</vt:lpstr>
      <vt:lpstr>Low-Use $ PV</vt:lpstr>
      <vt:lpstr>FEL $ PV</vt:lpstr>
      <vt:lpstr>Opacity $ PV</vt:lpstr>
      <vt:lpstr>$$$ Replace &amp; Retrofit</vt:lpstr>
      <vt:lpstr>Low-Thruput Port CHE</vt:lpstr>
      <vt:lpstr>Low-Thruput Port Off-Road</vt:lpstr>
      <vt:lpstr>Tables 399</vt:lpstr>
      <vt:lpstr>Form 399 Data</vt:lpstr>
      <vt:lpstr>CHE Model poplulation</vt:lpstr>
      <vt:lpstr>CHE Pop Amend &amp; HP</vt:lpstr>
      <vt:lpstr>CHE Pop VDECS by year</vt:lpstr>
      <vt:lpstr>'FEL $ PV'!Print_Area</vt:lpstr>
      <vt:lpstr>'Low-Thruput Port CHE'!Print_Area</vt:lpstr>
      <vt:lpstr>'Low-Thruput Port Off-Road'!Print_Area</vt:lpstr>
      <vt:lpstr>'Low-Use $ PV'!Print_Area</vt:lpstr>
      <vt:lpstr>'No VDECS $ PV'!Print_Area</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Cherie Rainforth</dc:creator>
  <cp:lastModifiedBy>Douglas Grandt</cp:lastModifiedBy>
  <cp:lastPrinted>2011-07-22T23:35:31Z</cp:lastPrinted>
  <dcterms:created xsi:type="dcterms:W3CDTF">2011-07-13T15:31:37Z</dcterms:created>
  <dcterms:modified xsi:type="dcterms:W3CDTF">2011-08-02T23:04:57Z</dcterms:modified>
</cp:coreProperties>
</file>